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50" yWindow="255" windowWidth="18960" windowHeight="5310" tabRatio="829"/>
  </bookViews>
  <sheets>
    <sheet name="Prop2018-19DistTar" sheetId="4" r:id="rId1"/>
    <sheet name="2018-19TarContForm" sheetId="2" r:id="rId2"/>
    <sheet name="2018-19RebalContForm" sheetId="3" r:id="rId3"/>
    <sheet name="UAFG" sheetId="7" r:id="rId4"/>
    <sheet name="ARS" sheetId="6" r:id="rId5"/>
  </sheets>
  <externalReferences>
    <externalReference r:id="rId6"/>
  </externalReferences>
  <definedNames>
    <definedName name="_xlnm.Print_Area" localSheetId="2">'2018-19RebalContForm'!$B$1:$L$321</definedName>
    <definedName name="_xlnm.Print_Area" localSheetId="1">'2018-19TarContForm'!$B$1:$F$57</definedName>
    <definedName name="_xlnm.Print_Area" localSheetId="4">ARS!$A$1:$N$14</definedName>
    <definedName name="_xlnm.Print_Area" localSheetId="0">'Prop2018-19DistTar'!$B$1:$H$69</definedName>
    <definedName name="_xlnm.Print_Area" localSheetId="3">UAFG!$A$1:$D$28</definedName>
    <definedName name="_xlnm.Print_Titles" localSheetId="2">'2018-19RebalContForm'!$1:$16</definedName>
    <definedName name="_xlnm.Print_Titles" localSheetId="0">'Prop2018-19DistTar'!$B:$C,'Prop2018-19DistTar'!$1:$5</definedName>
    <definedName name="solver_adj" localSheetId="0" hidden="1">'Prop2018-19DistTar'!#REF!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'Prop2018-19DistTar'!#REF!</definedName>
    <definedName name="solver_lhs2" localSheetId="0" hidden="1">'Prop2018-19DistTar'!#REF!</definedName>
    <definedName name="solver_lhs3" localSheetId="0" hidden="1">'Prop2018-19DistTar'!#REF!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'Prop2018-19DistTar'!#REF!</definedName>
    <definedName name="solver_pre" localSheetId="0" hidden="1">0.000001</definedName>
    <definedName name="solver_rbv" localSheetId="0" hidden="1">2</definedName>
    <definedName name="solver_rel1" localSheetId="0" hidden="1">4</definedName>
    <definedName name="solver_rel2" localSheetId="0" hidden="1">1</definedName>
    <definedName name="solver_rel3" localSheetId="0" hidden="1">3</definedName>
    <definedName name="solver_rhs1" localSheetId="0" hidden="1">integer</definedName>
    <definedName name="solver_rhs2" localSheetId="0" hidden="1">0</definedName>
    <definedName name="solver_rhs3" localSheetId="0" hidden="1">-20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C38" i="2" l="1"/>
  <c r="C39" i="2"/>
  <c r="C15" i="7"/>
  <c r="C27" i="7" s="1"/>
  <c r="C23" i="2" s="1"/>
  <c r="C35" i="2" s="1"/>
  <c r="H46" i="4"/>
  <c r="G45" i="4"/>
  <c r="H19" i="4"/>
  <c r="G19" i="4"/>
  <c r="G14" i="4"/>
  <c r="H14" i="4"/>
  <c r="H7" i="4"/>
  <c r="G7" i="4"/>
  <c r="C11" i="7" l="1"/>
  <c r="B1" i="7"/>
  <c r="H64" i="4" l="1"/>
  <c r="G64" i="4"/>
  <c r="H59" i="4"/>
  <c r="G59" i="4"/>
  <c r="H54" i="4"/>
  <c r="G54" i="4"/>
  <c r="H49" i="4"/>
  <c r="G49" i="4"/>
  <c r="H44" i="4"/>
  <c r="G44" i="4"/>
  <c r="H39" i="4"/>
  <c r="G39" i="4"/>
  <c r="H34" i="4"/>
  <c r="G34" i="4"/>
  <c r="H29" i="4"/>
  <c r="G29" i="4"/>
  <c r="H67" i="4"/>
  <c r="G67" i="4"/>
  <c r="H66" i="4"/>
  <c r="G66" i="4"/>
  <c r="H65" i="4"/>
  <c r="G65" i="4"/>
  <c r="H62" i="4"/>
  <c r="G62" i="4"/>
  <c r="H61" i="4"/>
  <c r="G61" i="4"/>
  <c r="H60" i="4"/>
  <c r="G60" i="4"/>
  <c r="H57" i="4"/>
  <c r="G57" i="4"/>
  <c r="H56" i="4"/>
  <c r="G56" i="4"/>
  <c r="H55" i="4"/>
  <c r="G55" i="4"/>
  <c r="H52" i="4"/>
  <c r="G52" i="4"/>
  <c r="H51" i="4"/>
  <c r="G51" i="4"/>
  <c r="H50" i="4"/>
  <c r="G50" i="4"/>
  <c r="H47" i="4"/>
  <c r="G47" i="4"/>
  <c r="G46" i="4"/>
  <c r="H45" i="4"/>
  <c r="H42" i="4"/>
  <c r="G42" i="4"/>
  <c r="H41" i="4"/>
  <c r="G41" i="4"/>
  <c r="H40" i="4"/>
  <c r="G40" i="4"/>
  <c r="H37" i="4"/>
  <c r="G37" i="4"/>
  <c r="H36" i="4"/>
  <c r="G36" i="4"/>
  <c r="H35" i="4"/>
  <c r="G35" i="4"/>
  <c r="H32" i="4"/>
  <c r="G32" i="4"/>
  <c r="H31" i="4"/>
  <c r="G31" i="4"/>
  <c r="H30" i="4"/>
  <c r="G30" i="4"/>
  <c r="H27" i="4"/>
  <c r="G27" i="4"/>
  <c r="H26" i="4"/>
  <c r="G26" i="4"/>
  <c r="H25" i="4"/>
  <c r="G25" i="4"/>
  <c r="H24" i="4"/>
  <c r="G24" i="4"/>
  <c r="H23" i="4"/>
  <c r="G23" i="4"/>
  <c r="H21" i="4"/>
  <c r="G21" i="4"/>
  <c r="H20" i="4"/>
  <c r="G20" i="4"/>
  <c r="H18" i="4"/>
  <c r="G18" i="4"/>
  <c r="H16" i="4"/>
  <c r="G16" i="4"/>
  <c r="H15" i="4"/>
  <c r="G15" i="4"/>
  <c r="H13" i="4"/>
  <c r="G13" i="4"/>
  <c r="H12" i="4"/>
  <c r="G12" i="4"/>
  <c r="H10" i="4"/>
  <c r="G10" i="4"/>
  <c r="H9" i="4"/>
  <c r="G9" i="4"/>
  <c r="H8" i="4"/>
  <c r="G8" i="4"/>
  <c r="C11" i="3" l="1"/>
  <c r="C10" i="3"/>
  <c r="C9" i="3" l="1"/>
  <c r="B303" i="3"/>
  <c r="B307" i="3" s="1"/>
  <c r="B311" i="3" s="1"/>
  <c r="B315" i="3" s="1"/>
  <c r="B300" i="3"/>
  <c r="B304" i="3" s="1"/>
  <c r="B308" i="3" s="1"/>
  <c r="B312" i="3" s="1"/>
  <c r="B316" i="3" s="1"/>
  <c r="B279" i="3"/>
  <c r="B283" i="3" s="1"/>
  <c r="B287" i="3" s="1"/>
  <c r="B291" i="3" s="1"/>
  <c r="B276" i="3"/>
  <c r="B280" i="3" s="1"/>
  <c r="B284" i="3" s="1"/>
  <c r="B288" i="3" s="1"/>
  <c r="B292" i="3" s="1"/>
  <c r="B231" i="3"/>
  <c r="B235" i="3" s="1"/>
  <c r="B239" i="3" s="1"/>
  <c r="B243" i="3" s="1"/>
  <c r="B255" i="3"/>
  <c r="B259" i="3" s="1"/>
  <c r="B263" i="3" s="1"/>
  <c r="B267" i="3" s="1"/>
  <c r="B252" i="3"/>
  <c r="B256" i="3" s="1"/>
  <c r="B260" i="3" s="1"/>
  <c r="B264" i="3" s="1"/>
  <c r="B268" i="3" s="1"/>
  <c r="B228" i="3"/>
  <c r="B232" i="3" s="1"/>
  <c r="B236" i="3" s="1"/>
  <c r="B240" i="3" s="1"/>
  <c r="B244" i="3" s="1"/>
  <c r="B207" i="3"/>
  <c r="B211" i="3"/>
  <c r="B215" i="3" s="1"/>
  <c r="B219" i="3" s="1"/>
  <c r="B204" i="3"/>
  <c r="B27" i="3" s="1"/>
  <c r="B111" i="3"/>
  <c r="B115" i="3" s="1"/>
  <c r="B119" i="3" s="1"/>
  <c r="B123" i="3" s="1"/>
  <c r="B108" i="3"/>
  <c r="B23" i="3" s="1"/>
  <c r="B87" i="3"/>
  <c r="B91" i="3" s="1"/>
  <c r="B95" i="3" s="1"/>
  <c r="B99" i="3" s="1"/>
  <c r="B84" i="3"/>
  <c r="B88" i="3" s="1"/>
  <c r="B92" i="3" s="1"/>
  <c r="B96" i="3" s="1"/>
  <c r="B100" i="3" s="1"/>
  <c r="B183" i="3"/>
  <c r="B187" i="3" s="1"/>
  <c r="B191" i="3" s="1"/>
  <c r="B195" i="3" s="1"/>
  <c r="B180" i="3"/>
  <c r="B184" i="3" s="1"/>
  <c r="B188" i="3" s="1"/>
  <c r="B192" i="3" s="1"/>
  <c r="B196" i="3" s="1"/>
  <c r="B159" i="3"/>
  <c r="B163" i="3" s="1"/>
  <c r="B167" i="3" s="1"/>
  <c r="B171" i="3" s="1"/>
  <c r="B156" i="3"/>
  <c r="B160" i="3" s="1"/>
  <c r="B164" i="3" s="1"/>
  <c r="B168" i="3" s="1"/>
  <c r="B172" i="3" s="1"/>
  <c r="B1" i="2"/>
  <c r="B1" i="3" s="1"/>
  <c r="B135" i="3"/>
  <c r="B139" i="3" s="1"/>
  <c r="B143" i="3" s="1"/>
  <c r="B147" i="3" s="1"/>
  <c r="B132" i="3"/>
  <c r="B24" i="3" s="1"/>
  <c r="B63" i="3"/>
  <c r="B67" i="3" s="1"/>
  <c r="B71" i="3" s="1"/>
  <c r="B75" i="3" s="1"/>
  <c r="B60" i="3"/>
  <c r="B64" i="3" s="1"/>
  <c r="B68" i="3" s="1"/>
  <c r="B72" i="3" s="1"/>
  <c r="B76" i="3" s="1"/>
  <c r="B39" i="3"/>
  <c r="B43" i="3" s="1"/>
  <c r="B47" i="3" s="1"/>
  <c r="B51" i="3" s="1"/>
  <c r="B36" i="3"/>
  <c r="B20" i="3" s="1"/>
  <c r="B30" i="3"/>
  <c r="B31" i="3"/>
  <c r="C283" i="3" a="1"/>
  <c r="C187" i="3" a="1"/>
  <c r="F187" i="3" s="1"/>
  <c r="F188" i="3" s="1"/>
  <c r="C67" i="3" a="1"/>
  <c r="C67" i="3" s="1"/>
  <c r="C68" i="3" s="1"/>
  <c r="B25" i="3" l="1"/>
  <c r="B208" i="3"/>
  <c r="B212" i="3" s="1"/>
  <c r="B216" i="3" s="1"/>
  <c r="B220" i="3" s="1"/>
  <c r="B22" i="3"/>
  <c r="B28" i="3"/>
  <c r="B29" i="3"/>
  <c r="B136" i="3"/>
  <c r="B140" i="3" s="1"/>
  <c r="B144" i="3" s="1"/>
  <c r="B148" i="3" s="1"/>
  <c r="B21" i="3"/>
  <c r="B112" i="3"/>
  <c r="B116" i="3" s="1"/>
  <c r="B120" i="3" s="1"/>
  <c r="B124" i="3" s="1"/>
  <c r="B40" i="3"/>
  <c r="B44" i="3" s="1"/>
  <c r="B48" i="3" s="1"/>
  <c r="B52" i="3" s="1"/>
  <c r="B26" i="3"/>
  <c r="E67" i="3"/>
  <c r="E68" i="3" s="1"/>
  <c r="C11" i="2"/>
  <c r="G283" i="3"/>
  <c r="G284" i="3" s="1"/>
  <c r="C283" i="3"/>
  <c r="C284" i="3" s="1"/>
  <c r="D283" i="3"/>
  <c r="D284" i="3" s="1"/>
  <c r="E283" i="3"/>
  <c r="E284" i="3" s="1"/>
  <c r="C211" i="3" a="1"/>
  <c r="C115" i="3" a="1"/>
  <c r="C43" i="3" a="1"/>
  <c r="G67" i="3"/>
  <c r="G68" i="3" s="1"/>
  <c r="F67" i="3"/>
  <c r="F68" i="3" s="1"/>
  <c r="D67" i="3"/>
  <c r="D68" i="3" s="1"/>
  <c r="F283" i="3"/>
  <c r="F284" i="3" s="1"/>
  <c r="C163" i="3" a="1"/>
  <c r="C259" i="3" a="1"/>
  <c r="E187" i="3"/>
  <c r="E188" i="3" s="1"/>
  <c r="C187" i="3"/>
  <c r="C188" i="3" s="1"/>
  <c r="D187" i="3"/>
  <c r="D188" i="3" s="1"/>
  <c r="C307" i="3" a="1"/>
  <c r="C139" i="3" a="1"/>
  <c r="C235" i="3" a="1"/>
  <c r="C91" i="3" a="1"/>
  <c r="C8" i="3" l="1"/>
  <c r="C14" i="3" s="1"/>
  <c r="C5" i="6"/>
  <c r="C7" i="6"/>
  <c r="C9" i="6"/>
  <c r="C6" i="6"/>
  <c r="C10" i="6"/>
  <c r="C8" i="6"/>
  <c r="F307" i="3"/>
  <c r="F308" i="3" s="1"/>
  <c r="D307" i="3"/>
  <c r="D308" i="3" s="1"/>
  <c r="C307" i="3"/>
  <c r="C308" i="3" s="1"/>
  <c r="G307" i="3"/>
  <c r="G308" i="3" s="1"/>
  <c r="E307" i="3"/>
  <c r="E308" i="3" s="1"/>
  <c r="F235" i="3"/>
  <c r="F236" i="3" s="1"/>
  <c r="E235" i="3"/>
  <c r="E236" i="3" s="1"/>
  <c r="C235" i="3"/>
  <c r="C236" i="3" s="1"/>
  <c r="G235" i="3"/>
  <c r="G236" i="3" s="1"/>
  <c r="D235" i="3"/>
  <c r="D236" i="3" s="1"/>
  <c r="E211" i="3"/>
  <c r="E212" i="3" s="1"/>
  <c r="D211" i="3"/>
  <c r="D212" i="3" s="1"/>
  <c r="F211" i="3"/>
  <c r="F212" i="3" s="1"/>
  <c r="C211" i="3"/>
  <c r="C212" i="3" s="1"/>
  <c r="G211" i="3"/>
  <c r="G212" i="3" s="1"/>
  <c r="C139" i="3"/>
  <c r="C140" i="3" s="1"/>
  <c r="D139" i="3"/>
  <c r="D140" i="3" s="1"/>
  <c r="E139" i="3"/>
  <c r="E140" i="3" s="1"/>
  <c r="F139" i="3"/>
  <c r="F140" i="3" s="1"/>
  <c r="F163" i="3"/>
  <c r="F164" i="3" s="1"/>
  <c r="D163" i="3"/>
  <c r="D164" i="3" s="1"/>
  <c r="C163" i="3"/>
  <c r="C164" i="3" s="1"/>
  <c r="E163" i="3"/>
  <c r="E164" i="3" s="1"/>
  <c r="D43" i="3"/>
  <c r="D44" i="3" s="1"/>
  <c r="E43" i="3"/>
  <c r="E44" i="3" s="1"/>
  <c r="F43" i="3"/>
  <c r="F44" i="3" s="1"/>
  <c r="C43" i="3"/>
  <c r="C44" i="3" s="1"/>
  <c r="C91" i="3"/>
  <c r="C92" i="3" s="1"/>
  <c r="F91" i="3"/>
  <c r="F92" i="3" s="1"/>
  <c r="D91" i="3"/>
  <c r="D92" i="3" s="1"/>
  <c r="E91" i="3"/>
  <c r="E92" i="3" s="1"/>
  <c r="C115" i="3"/>
  <c r="C116" i="3" s="1"/>
  <c r="D115" i="3"/>
  <c r="D116" i="3" s="1"/>
  <c r="F115" i="3"/>
  <c r="F116" i="3" s="1"/>
  <c r="G115" i="3"/>
  <c r="G116" i="3" s="1"/>
  <c r="E115" i="3"/>
  <c r="E116" i="3" s="1"/>
  <c r="D259" i="3"/>
  <c r="D260" i="3" s="1"/>
  <c r="C259" i="3"/>
  <c r="C260" i="3" s="1"/>
  <c r="G259" i="3"/>
  <c r="G260" i="3" s="1"/>
  <c r="E259" i="3"/>
  <c r="E260" i="3" s="1"/>
  <c r="F259" i="3"/>
  <c r="F260" i="3" s="1"/>
  <c r="C53" i="2"/>
  <c r="C46" i="2"/>
  <c r="C183" i="3" l="1" a="1"/>
  <c r="C159" i="3" a="1"/>
  <c r="C279" i="3" a="1"/>
  <c r="C255" i="3" a="1"/>
  <c r="C207" i="3" a="1"/>
  <c r="C287" i="3" l="1" a="1"/>
  <c r="C288" i="3" s="1"/>
  <c r="C95" i="3" a="1"/>
  <c r="C167" i="3" a="1"/>
  <c r="D167" i="3" s="1"/>
  <c r="C263" i="3" a="1"/>
  <c r="C263" i="3" s="1"/>
  <c r="C215" i="3" a="1"/>
  <c r="F215" i="3" s="1"/>
  <c r="C191" i="3" a="1"/>
  <c r="C191" i="3" s="1"/>
  <c r="C311" i="3" a="1"/>
  <c r="F311" i="3" s="1"/>
  <c r="C143" i="3" a="1"/>
  <c r="C135" i="3" a="1"/>
  <c r="D135" i="3" s="1"/>
  <c r="C231" i="3" a="1"/>
  <c r="G232" i="3" s="1"/>
  <c r="C303" i="3" a="1"/>
  <c r="D304" i="3" s="1"/>
  <c r="C87" i="3" a="1"/>
  <c r="E184" i="3"/>
  <c r="C183" i="3"/>
  <c r="D183" i="3"/>
  <c r="F183" i="3"/>
  <c r="C184" i="3"/>
  <c r="E183" i="3"/>
  <c r="D184" i="3"/>
  <c r="F184" i="3"/>
  <c r="E207" i="3"/>
  <c r="D208" i="3"/>
  <c r="G207" i="3"/>
  <c r="F207" i="3"/>
  <c r="F208" i="3"/>
  <c r="D207" i="3"/>
  <c r="C208" i="3"/>
  <c r="C207" i="3"/>
  <c r="G208" i="3"/>
  <c r="E208" i="3"/>
  <c r="F255" i="3"/>
  <c r="F256" i="3"/>
  <c r="C255" i="3"/>
  <c r="E255" i="3"/>
  <c r="D255" i="3"/>
  <c r="C256" i="3"/>
  <c r="E256" i="3"/>
  <c r="D256" i="3"/>
  <c r="G255" i="3"/>
  <c r="G256" i="3"/>
  <c r="C111" i="3" a="1"/>
  <c r="C119" i="3" a="1"/>
  <c r="D279" i="3"/>
  <c r="F279" i="3"/>
  <c r="F280" i="3"/>
  <c r="G279" i="3"/>
  <c r="D280" i="3"/>
  <c r="G280" i="3"/>
  <c r="E280" i="3"/>
  <c r="C280" i="3"/>
  <c r="C279" i="3"/>
  <c r="E279" i="3"/>
  <c r="E160" i="3"/>
  <c r="C160" i="3"/>
  <c r="C159" i="3"/>
  <c r="E159" i="3"/>
  <c r="D160" i="3"/>
  <c r="D159" i="3"/>
  <c r="F159" i="3"/>
  <c r="F160" i="3"/>
  <c r="C287" i="3" l="1"/>
  <c r="D288" i="3"/>
  <c r="F167" i="3"/>
  <c r="E288" i="3"/>
  <c r="G287" i="3"/>
  <c r="D287" i="3"/>
  <c r="G288" i="3"/>
  <c r="F288" i="3"/>
  <c r="F287" i="3"/>
  <c r="E287" i="3"/>
  <c r="C239" i="3" a="1"/>
  <c r="G239" i="3" s="1"/>
  <c r="E215" i="3"/>
  <c r="E263" i="3"/>
  <c r="F263" i="3"/>
  <c r="C264" i="3"/>
  <c r="G264" i="3"/>
  <c r="F191" i="3"/>
  <c r="C168" i="3"/>
  <c r="C167" i="3"/>
  <c r="E168" i="3"/>
  <c r="F168" i="3"/>
  <c r="D168" i="3"/>
  <c r="D264" i="3"/>
  <c r="F264" i="3"/>
  <c r="G263" i="3"/>
  <c r="D263" i="3"/>
  <c r="E264" i="3"/>
  <c r="E167" i="3"/>
  <c r="E216" i="3"/>
  <c r="D192" i="3"/>
  <c r="C215" i="3"/>
  <c r="E191" i="3"/>
  <c r="F192" i="3"/>
  <c r="D191" i="3"/>
  <c r="C192" i="3"/>
  <c r="E192" i="3"/>
  <c r="D216" i="3"/>
  <c r="G216" i="3"/>
  <c r="G215" i="3"/>
  <c r="D215" i="3"/>
  <c r="C216" i="3"/>
  <c r="F216" i="3"/>
  <c r="D136" i="3"/>
  <c r="E136" i="3"/>
  <c r="C136" i="3"/>
  <c r="G312" i="3"/>
  <c r="C135" i="3"/>
  <c r="E135" i="3"/>
  <c r="F136" i="3"/>
  <c r="F135" i="3"/>
  <c r="C312" i="3"/>
  <c r="C63" i="3" a="1"/>
  <c r="C63" i="3" s="1"/>
  <c r="C39" i="3" a="1"/>
  <c r="D40" i="3" s="1"/>
  <c r="E312" i="3"/>
  <c r="E232" i="3"/>
  <c r="D311" i="3"/>
  <c r="D312" i="3"/>
  <c r="G311" i="3"/>
  <c r="C311" i="3"/>
  <c r="F312" i="3"/>
  <c r="E311" i="3"/>
  <c r="D231" i="3"/>
  <c r="C232" i="3"/>
  <c r="D232" i="3"/>
  <c r="C231" i="3"/>
  <c r="C52" i="2"/>
  <c r="F231" i="3"/>
  <c r="E231" i="3"/>
  <c r="F232" i="3"/>
  <c r="G231" i="3"/>
  <c r="C304" i="3"/>
  <c r="F303" i="3"/>
  <c r="G303" i="3"/>
  <c r="C303" i="3"/>
  <c r="E303" i="3"/>
  <c r="G304" i="3"/>
  <c r="D303" i="3"/>
  <c r="E304" i="3"/>
  <c r="F304" i="3"/>
  <c r="C111" i="3"/>
  <c r="F112" i="3"/>
  <c r="G111" i="3"/>
  <c r="E111" i="3"/>
  <c r="C112" i="3"/>
  <c r="F111" i="3"/>
  <c r="E112" i="3"/>
  <c r="D112" i="3"/>
  <c r="G112" i="3"/>
  <c r="D111" i="3"/>
  <c r="D88" i="3"/>
  <c r="F87" i="3"/>
  <c r="C87" i="3"/>
  <c r="F88" i="3"/>
  <c r="C88" i="3"/>
  <c r="E87" i="3"/>
  <c r="E88" i="3"/>
  <c r="D87" i="3"/>
  <c r="D144" i="3"/>
  <c r="D143" i="3"/>
  <c r="E143" i="3"/>
  <c r="E144" i="3"/>
  <c r="C143" i="3"/>
  <c r="C144" i="3"/>
  <c r="F144" i="3"/>
  <c r="F143" i="3"/>
  <c r="G119" i="3"/>
  <c r="F120" i="3"/>
  <c r="E119" i="3"/>
  <c r="D120" i="3"/>
  <c r="D119" i="3"/>
  <c r="C119" i="3"/>
  <c r="G120" i="3"/>
  <c r="F119" i="3"/>
  <c r="E120" i="3"/>
  <c r="C120" i="3"/>
  <c r="E95" i="3"/>
  <c r="C96" i="3"/>
  <c r="D95" i="3"/>
  <c r="F96" i="3"/>
  <c r="E96" i="3"/>
  <c r="F95" i="3"/>
  <c r="C95" i="3"/>
  <c r="D96" i="3"/>
  <c r="C292" i="3" l="1"/>
  <c r="D30" i="3" s="1"/>
  <c r="D239" i="3"/>
  <c r="C291" i="3"/>
  <c r="C30" i="3" s="1"/>
  <c r="E30" i="3" s="1"/>
  <c r="F30" i="3" s="1"/>
  <c r="C239" i="3"/>
  <c r="C172" i="3"/>
  <c r="E240" i="3"/>
  <c r="F240" i="3"/>
  <c r="C240" i="3"/>
  <c r="G240" i="3"/>
  <c r="F239" i="3"/>
  <c r="D240" i="3"/>
  <c r="E239" i="3"/>
  <c r="C40" i="2"/>
  <c r="B42" i="2" s="1"/>
  <c r="C196" i="3"/>
  <c r="D26" i="3" s="1"/>
  <c r="C219" i="3"/>
  <c r="C27" i="3" s="1"/>
  <c r="C171" i="3"/>
  <c r="C25" i="3" s="1"/>
  <c r="C267" i="3"/>
  <c r="C29" i="3" s="1"/>
  <c r="C195" i="3"/>
  <c r="C26" i="3" s="1"/>
  <c r="C268" i="3"/>
  <c r="D29" i="3" s="1"/>
  <c r="C220" i="3"/>
  <c r="D27" i="3" s="1"/>
  <c r="D63" i="3"/>
  <c r="C54" i="2"/>
  <c r="B56" i="2" s="1"/>
  <c r="G63" i="3"/>
  <c r="C45" i="2"/>
  <c r="E64" i="3"/>
  <c r="G64" i="3"/>
  <c r="E39" i="3"/>
  <c r="C40" i="3"/>
  <c r="E63" i="3"/>
  <c r="C39" i="3"/>
  <c r="F63" i="3"/>
  <c r="F64" i="3"/>
  <c r="F40" i="3"/>
  <c r="F39" i="3"/>
  <c r="D64" i="3"/>
  <c r="C64" i="3"/>
  <c r="D39" i="3"/>
  <c r="C316" i="3"/>
  <c r="D31" i="3" s="1"/>
  <c r="C47" i="3" a="1"/>
  <c r="C48" i="3" s="1"/>
  <c r="C315" i="3"/>
  <c r="C31" i="3" s="1"/>
  <c r="E40" i="3"/>
  <c r="C71" i="3" a="1"/>
  <c r="G71" i="3" s="1"/>
  <c r="C99" i="3"/>
  <c r="C22" i="3" s="1"/>
  <c r="C148" i="3"/>
  <c r="C124" i="3"/>
  <c r="C123" i="3"/>
  <c r="C23" i="3" s="1"/>
  <c r="C147" i="3"/>
  <c r="C24" i="3" s="1"/>
  <c r="C100" i="3"/>
  <c r="C243" i="3" l="1"/>
  <c r="C28" i="3" s="1"/>
  <c r="C294" i="3"/>
  <c r="B296" i="3" s="1"/>
  <c r="C198" i="3"/>
  <c r="B200" i="3" s="1"/>
  <c r="C174" i="3"/>
  <c r="B176" i="3" s="1"/>
  <c r="D25" i="3"/>
  <c r="E25" i="3" s="1"/>
  <c r="F25" i="3" s="1"/>
  <c r="C244" i="3"/>
  <c r="D28" i="3" s="1"/>
  <c r="E28" i="3" s="1"/>
  <c r="F28" i="3" s="1"/>
  <c r="E26" i="3"/>
  <c r="F26" i="3" s="1"/>
  <c r="E27" i="3"/>
  <c r="F27" i="3" s="1"/>
  <c r="E29" i="3"/>
  <c r="F29" i="3" s="1"/>
  <c r="C270" i="3"/>
  <c r="B272" i="3" s="1"/>
  <c r="C222" i="3"/>
  <c r="B224" i="3" s="1"/>
  <c r="C47" i="2"/>
  <c r="B49" i="2" s="1"/>
  <c r="D72" i="3"/>
  <c r="F47" i="3"/>
  <c r="F71" i="3"/>
  <c r="E47" i="3"/>
  <c r="C72" i="3"/>
  <c r="E72" i="3"/>
  <c r="C71" i="3"/>
  <c r="G72" i="3"/>
  <c r="F72" i="3"/>
  <c r="D71" i="3"/>
  <c r="E31" i="3"/>
  <c r="F31" i="3" s="1"/>
  <c r="E71" i="3"/>
  <c r="C47" i="3"/>
  <c r="D48" i="3"/>
  <c r="F48" i="3"/>
  <c r="D47" i="3"/>
  <c r="E48" i="3"/>
  <c r="C318" i="3"/>
  <c r="B320" i="3" s="1"/>
  <c r="C150" i="3"/>
  <c r="B152" i="3" s="1"/>
  <c r="D24" i="3"/>
  <c r="E24" i="3" s="1"/>
  <c r="F24" i="3" s="1"/>
  <c r="D22" i="3"/>
  <c r="E22" i="3" s="1"/>
  <c r="F22" i="3" s="1"/>
  <c r="C102" i="3"/>
  <c r="B104" i="3" s="1"/>
  <c r="D23" i="3"/>
  <c r="E23" i="3" s="1"/>
  <c r="F23" i="3" s="1"/>
  <c r="C126" i="3"/>
  <c r="B128" i="3" s="1"/>
  <c r="C246" i="3" l="1"/>
  <c r="B248" i="3" s="1"/>
  <c r="C76" i="3"/>
  <c r="D21" i="3" s="1"/>
  <c r="C75" i="3"/>
  <c r="C21" i="3" s="1"/>
  <c r="C52" i="3"/>
  <c r="D20" i="3" s="1"/>
  <c r="C51" i="3"/>
  <c r="C20" i="3" s="1"/>
  <c r="E21" i="3" l="1"/>
  <c r="F21" i="3" s="1"/>
  <c r="C32" i="3"/>
  <c r="C78" i="3"/>
  <c r="B80" i="3" s="1"/>
  <c r="D32" i="3"/>
  <c r="C54" i="3"/>
  <c r="B56" i="3" s="1"/>
  <c r="E20" i="3"/>
  <c r="F20" i="3" s="1"/>
  <c r="E32" i="3" l="1"/>
</calcChain>
</file>

<file path=xl/sharedStrings.xml><?xml version="1.0" encoding="utf-8"?>
<sst xmlns="http://schemas.openxmlformats.org/spreadsheetml/2006/main" count="427" uniqueCount="98">
  <si>
    <t>CPI</t>
  </si>
  <si>
    <t>X factor</t>
  </si>
  <si>
    <t>Average price movement allowed</t>
  </si>
  <si>
    <t>Proposed distribution tariff revenue</t>
  </si>
  <si>
    <t>Existing distribution tariff revenue</t>
  </si>
  <si>
    <t>Average price movement</t>
  </si>
  <si>
    <t>Rebalancing control</t>
  </si>
  <si>
    <t>Distribution tariff</t>
  </si>
  <si>
    <t>Fixed</t>
  </si>
  <si>
    <t>Distribution volumes (actual)</t>
  </si>
  <si>
    <t>Distribution revenue</t>
  </si>
  <si>
    <t>Revenue</t>
  </si>
  <si>
    <t>Total</t>
  </si>
  <si>
    <t>Rebalancing control summary</t>
  </si>
  <si>
    <t>Existing</t>
  </si>
  <si>
    <t>Proposed</t>
  </si>
  <si>
    <t>Movement</t>
  </si>
  <si>
    <t>DemBlk1</t>
  </si>
  <si>
    <t>DemBlk2</t>
  </si>
  <si>
    <t>DemBlk3</t>
  </si>
  <si>
    <t>Proposed tariff name</t>
  </si>
  <si>
    <t>Existing tariff name</t>
  </si>
  <si>
    <t>Prop Tar
Revenue</t>
  </si>
  <si>
    <t>Exist Tar
Revenue</t>
  </si>
  <si>
    <t>Fixed Charge</t>
  </si>
  <si>
    <t>Assessment</t>
  </si>
  <si>
    <t>Note: ancillary reference tariffs shall be rounded to the nearest dollar, except in relation to meter reading, which shall be rounded to the nearest ten cents.</t>
  </si>
  <si>
    <t>Disconnection</t>
  </si>
  <si>
    <t>Reconnection</t>
  </si>
  <si>
    <t>Ancillary Reference Services (Exc GST)</t>
  </si>
  <si>
    <t>First 0.0274 GJ</t>
  </si>
  <si>
    <t>Next 0.0219 GJ</t>
  </si>
  <si>
    <t>Tariff R - Envestra South Australia (excl Tanunda)</t>
  </si>
  <si>
    <t>Tariff C - Envestra South Australia (excl Tanunda)</t>
  </si>
  <si>
    <t>Additional GJ</t>
  </si>
  <si>
    <t>Tariff D - Envestra Adelaide Northern</t>
  </si>
  <si>
    <t>Next 50GJ</t>
  </si>
  <si>
    <t>Next 900GJ</t>
  </si>
  <si>
    <t>Tariff D - Envestra Adelaide Central</t>
  </si>
  <si>
    <t>Tariff D - Envestra Adelaide Southern</t>
  </si>
  <si>
    <t>DemBlk4</t>
  </si>
  <si>
    <t>ResBlk1</t>
  </si>
  <si>
    <t>ResBlk2</t>
  </si>
  <si>
    <t>ResBlk3</t>
  </si>
  <si>
    <t>C&amp;IBlk1</t>
  </si>
  <si>
    <t>C&amp;IBlk2</t>
  </si>
  <si>
    <t>C&amp;IBlk3</t>
  </si>
  <si>
    <t>C&amp;IBlk4</t>
  </si>
  <si>
    <t>First 0.9863 GJ</t>
  </si>
  <si>
    <t>Next 4.2740 GJ</t>
  </si>
  <si>
    <t>Next 11.1780 GJ</t>
  </si>
  <si>
    <t>Tariff C - Envestra Tanunda</t>
  </si>
  <si>
    <t>Tariff D - Envestra Port Pirie</t>
  </si>
  <si>
    <t>Tariff D - Envestra Riverland</t>
  </si>
  <si>
    <t>Tariff D - Envestra South East</t>
  </si>
  <si>
    <t>Tariff D - Envestra Peterborough</t>
  </si>
  <si>
    <t>Tariff D - Envestra Whyalla</t>
  </si>
  <si>
    <t>DemBlk5</t>
  </si>
  <si>
    <t>Special Meter Read</t>
  </si>
  <si>
    <t>50 GJ or less (customer num)</t>
  </si>
  <si>
    <t>Tariff R</t>
  </si>
  <si>
    <t>Tariff D</t>
  </si>
  <si>
    <t>Tariff C</t>
  </si>
  <si>
    <t>Tariff R - Envestra Tanunda</t>
  </si>
  <si>
    <t>2017/18</t>
  </si>
  <si>
    <t>CPI 2017/18</t>
  </si>
  <si>
    <t>2017-18 Distribution price control</t>
  </si>
  <si>
    <t>Meter Removal</t>
  </si>
  <si>
    <t>Meter Reinstallation</t>
  </si>
  <si>
    <t>Meter Gas and Installation Test</t>
  </si>
  <si>
    <t>2017/18 REBALANCING CONTROL FORMULA</t>
  </si>
  <si>
    <t>CPI Dec16</t>
  </si>
  <si>
    <t>Actual
2016/17 Volumes</t>
  </si>
  <si>
    <t>Exist
2017/18 Tariff</t>
  </si>
  <si>
    <t>Prop
2018/19 Tariff</t>
  </si>
  <si>
    <t>CPI Dec17</t>
  </si>
  <si>
    <t>2018/19</t>
  </si>
  <si>
    <t>X 2018-19</t>
  </si>
  <si>
    <t>2018-19 TARIFF CONTROL FORMULA</t>
  </si>
  <si>
    <t>2018/19 PROPOSED DISTRIBUTION TARIFFS</t>
  </si>
  <si>
    <t>CPI 2018/19</t>
  </si>
  <si>
    <t>X 2018/19</t>
  </si>
  <si>
    <t>Y 2018/19</t>
  </si>
  <si>
    <t>UAFG Adjustment Factor</t>
  </si>
  <si>
    <t>Cost Pass Through Factor</t>
  </si>
  <si>
    <r>
      <t>PT</t>
    </r>
    <r>
      <rPr>
        <sz val="6"/>
        <rFont val="Verdana"/>
        <family val="2"/>
      </rPr>
      <t>1</t>
    </r>
  </si>
  <si>
    <r>
      <t>U</t>
    </r>
    <r>
      <rPr>
        <sz val="6"/>
        <rFont val="Verdana"/>
        <family val="2"/>
      </rPr>
      <t>t</t>
    </r>
  </si>
  <si>
    <t>Ut</t>
  </si>
  <si>
    <t>PT1</t>
  </si>
  <si>
    <t>Tariff Approval - Australian Gas Networks (South Australia)</t>
  </si>
  <si>
    <t>2018-19 UAFG Adjustment Factor</t>
  </si>
  <si>
    <r>
      <t>DP</t>
    </r>
    <r>
      <rPr>
        <b/>
        <sz val="6"/>
        <rFont val="Verdana"/>
        <family val="2"/>
      </rPr>
      <t>t-2</t>
    </r>
  </si>
  <si>
    <r>
      <t>Real WACC</t>
    </r>
    <r>
      <rPr>
        <b/>
        <sz val="6"/>
        <rFont val="Verdana"/>
        <family val="2"/>
      </rPr>
      <t>t-1</t>
    </r>
  </si>
  <si>
    <r>
      <t>Real WACC</t>
    </r>
    <r>
      <rPr>
        <b/>
        <sz val="6"/>
        <rFont val="Verdana"/>
        <family val="2"/>
      </rPr>
      <t>t</t>
    </r>
  </si>
  <si>
    <r>
      <t>U</t>
    </r>
    <r>
      <rPr>
        <b/>
        <sz val="6"/>
        <rFont val="Verdana"/>
        <family val="2"/>
      </rPr>
      <t>t</t>
    </r>
  </si>
  <si>
    <r>
      <t>CPI</t>
    </r>
    <r>
      <rPr>
        <b/>
        <sz val="6"/>
        <rFont val="Verdana"/>
        <family val="2"/>
      </rPr>
      <t>t-1</t>
    </r>
  </si>
  <si>
    <t>CPI Dec15</t>
  </si>
  <si>
    <t>CPI 2016/17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</si>
</sst>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_-;\-* #,##0.000_-;_-* &quot;-&quot;??_-;_-@_-"/>
    <numFmt numFmtId="165" formatCode="_-* #,##0_-;\-* #,##0_-;_-* &quot;-&quot;??_-;_-@_-"/>
    <numFmt numFmtId="166" formatCode="_-* #,##0.0000_-;\-* #,##0.0000_-;_-* &quot;-&quot;??_-;_-@_-"/>
    <numFmt numFmtId="167" formatCode="_-* #,##0.0_-;\-* #,##0.0_-;_-* &quot;-&quot;??_-;_-@_-"/>
    <numFmt numFmtId="168" formatCode="0.0%"/>
    <numFmt numFmtId="169" formatCode="0.0000%"/>
    <numFmt numFmtId="170" formatCode="_-&quot;$&quot;* #,##0_-;\-&quot;$&quot;* #,##0_-;_-&quot;$&quot;* &quot;-&quot;??_-;_-@_-"/>
    <numFmt numFmtId="171" formatCode="0.00000%"/>
    <numFmt numFmtId="172" formatCode="0.00000"/>
  </numFmts>
  <fonts count="32" x14ac:knownFonts="1">
    <font>
      <sz val="10"/>
      <name val="Verdana"/>
    </font>
    <font>
      <sz val="10"/>
      <name val="Verdana"/>
      <family val="2"/>
    </font>
    <font>
      <b/>
      <sz val="10"/>
      <name val="Verdana"/>
      <family val="2"/>
    </font>
    <font>
      <b/>
      <u/>
      <sz val="11"/>
      <name val="Verdana"/>
      <family val="2"/>
    </font>
    <font>
      <sz val="10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sz val="10"/>
      <color indexed="9"/>
      <name val="Verdana"/>
      <family val="2"/>
    </font>
    <font>
      <b/>
      <sz val="14"/>
      <color indexed="8"/>
      <name val="Arial Narrow"/>
      <family val="2"/>
    </font>
    <font>
      <b/>
      <sz val="10"/>
      <name val="Arial"/>
      <family val="2"/>
    </font>
    <font>
      <sz val="12"/>
      <color indexed="8"/>
      <name val="Arial Narrow"/>
      <family val="2"/>
    </font>
    <font>
      <sz val="8"/>
      <name val="Verdana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6"/>
      <name val="Verdana"/>
      <family val="2"/>
    </font>
    <font>
      <b/>
      <sz val="6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6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7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38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35" borderId="0" applyNumberFormat="0" applyBorder="0" applyAlignment="0" applyProtection="0"/>
    <xf numFmtId="0" fontId="16" fillId="9" borderId="0" applyNumberFormat="0" applyBorder="0" applyAlignment="0" applyProtection="0"/>
    <xf numFmtId="0" fontId="17" fillId="12" borderId="36" applyNumberFormat="0" applyAlignment="0" applyProtection="0"/>
    <xf numFmtId="0" fontId="18" fillId="13" borderId="39" applyNumberFormat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1" fillId="0" borderId="33" applyNumberFormat="0" applyFill="0" applyAlignment="0" applyProtection="0"/>
    <xf numFmtId="0" fontId="22" fillId="0" borderId="34" applyNumberFormat="0" applyFill="0" applyAlignment="0" applyProtection="0"/>
    <xf numFmtId="0" fontId="23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4" fillId="11" borderId="36" applyNumberFormat="0" applyAlignment="0" applyProtection="0"/>
    <xf numFmtId="0" fontId="25" fillId="0" borderId="38" applyNumberFormat="0" applyFill="0" applyAlignment="0" applyProtection="0"/>
    <xf numFmtId="0" fontId="26" fillId="10" borderId="0" applyNumberFormat="0" applyBorder="0" applyAlignment="0" applyProtection="0"/>
    <xf numFmtId="0" fontId="14" fillId="0" borderId="0"/>
    <xf numFmtId="0" fontId="14" fillId="14" borderId="40" applyNumberFormat="0" applyFont="0" applyAlignment="0" applyProtection="0"/>
    <xf numFmtId="0" fontId="27" fillId="12" borderId="37" applyNumberFormat="0" applyAlignment="0" applyProtection="0"/>
    <xf numFmtId="9" fontId="13" fillId="0" borderId="0" applyFont="0" applyFill="0" applyBorder="0" applyAlignment="0" applyProtection="0"/>
    <xf numFmtId="0" fontId="28" fillId="0" borderId="41" applyNumberFormat="0" applyFill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13" fillId="0" borderId="0"/>
  </cellStyleXfs>
  <cellXfs count="147">
    <xf numFmtId="0" fontId="0" fillId="0" borderId="0" xfId="0"/>
    <xf numFmtId="0" fontId="0" fillId="2" borderId="0" xfId="0" applyFill="1"/>
    <xf numFmtId="165" fontId="0" fillId="3" borderId="1" xfId="1" applyNumberFormat="1" applyFont="1" applyFill="1" applyBorder="1"/>
    <xf numFmtId="0" fontId="0" fillId="4" borderId="2" xfId="0" applyFill="1" applyBorder="1"/>
    <xf numFmtId="0" fontId="0" fillId="4" borderId="0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3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/>
    <xf numFmtId="0" fontId="0" fillId="3" borderId="1" xfId="0" applyFill="1" applyBorder="1"/>
    <xf numFmtId="165" fontId="0" fillId="3" borderId="13" xfId="1" applyNumberFormat="1" applyFont="1" applyFill="1" applyBorder="1"/>
    <xf numFmtId="165" fontId="0" fillId="3" borderId="14" xfId="1" applyNumberFormat="1" applyFont="1" applyFill="1" applyBorder="1"/>
    <xf numFmtId="165" fontId="0" fillId="3" borderId="15" xfId="1" applyNumberFormat="1" applyFont="1" applyFill="1" applyBorder="1"/>
    <xf numFmtId="0" fontId="2" fillId="4" borderId="2" xfId="0" applyFont="1" applyFill="1" applyBorder="1"/>
    <xf numFmtId="168" fontId="0" fillId="3" borderId="16" xfId="3" applyNumberFormat="1" applyFont="1" applyFill="1" applyBorder="1"/>
    <xf numFmtId="168" fontId="0" fillId="4" borderId="7" xfId="3" applyNumberFormat="1" applyFont="1" applyFill="1" applyBorder="1"/>
    <xf numFmtId="164" fontId="0" fillId="4" borderId="7" xfId="1" applyNumberFormat="1" applyFont="1" applyFill="1" applyBorder="1"/>
    <xf numFmtId="0" fontId="3" fillId="2" borderId="0" xfId="0" applyFont="1" applyFill="1"/>
    <xf numFmtId="0" fontId="2" fillId="2" borderId="0" xfId="0" applyFont="1" applyFill="1"/>
    <xf numFmtId="168" fontId="0" fillId="4" borderId="0" xfId="3" applyNumberFormat="1" applyFont="1" applyFill="1" applyBorder="1"/>
    <xf numFmtId="165" fontId="0" fillId="3" borderId="17" xfId="1" applyNumberFormat="1" applyFont="1" applyFill="1" applyBorder="1"/>
    <xf numFmtId="168" fontId="0" fillId="3" borderId="13" xfId="3" applyNumberFormat="1" applyFont="1" applyFill="1" applyBorder="1"/>
    <xf numFmtId="168" fontId="0" fillId="3" borderId="1" xfId="3" applyNumberFormat="1" applyFont="1" applyFill="1" applyBorder="1"/>
    <xf numFmtId="168" fontId="0" fillId="3" borderId="17" xfId="3" applyNumberFormat="1" applyFont="1" applyFill="1" applyBorder="1"/>
    <xf numFmtId="165" fontId="0" fillId="3" borderId="13" xfId="0" applyNumberFormat="1" applyFill="1" applyBorder="1"/>
    <xf numFmtId="165" fontId="0" fillId="3" borderId="1" xfId="0" applyNumberFormat="1" applyFill="1" applyBorder="1"/>
    <xf numFmtId="165" fontId="0" fillId="3" borderId="17" xfId="0" applyNumberFormat="1" applyFill="1" applyBorder="1"/>
    <xf numFmtId="0" fontId="0" fillId="4" borderId="16" xfId="0" applyFill="1" applyBorder="1" applyAlignment="1">
      <alignment horizontal="center" wrapText="1"/>
    </xf>
    <xf numFmtId="166" fontId="0" fillId="3" borderId="13" xfId="1" applyNumberFormat="1" applyFont="1" applyFill="1" applyBorder="1"/>
    <xf numFmtId="166" fontId="0" fillId="3" borderId="17" xfId="1" applyNumberFormat="1" applyFont="1" applyFill="1" applyBorder="1"/>
    <xf numFmtId="0" fontId="0" fillId="4" borderId="13" xfId="0" applyFill="1" applyBorder="1" applyAlignment="1">
      <alignment horizontal="center"/>
    </xf>
    <xf numFmtId="165" fontId="0" fillId="4" borderId="18" xfId="0" applyNumberFormat="1" applyFill="1" applyBorder="1"/>
    <xf numFmtId="168" fontId="0" fillId="4" borderId="18" xfId="3" applyNumberFormat="1" applyFont="1" applyFill="1" applyBorder="1"/>
    <xf numFmtId="0" fontId="0" fillId="3" borderId="20" xfId="0" applyFill="1" applyBorder="1" applyAlignment="1">
      <alignment horizontal="left" indent="2"/>
    </xf>
    <xf numFmtId="49" fontId="0" fillId="3" borderId="21" xfId="0" applyNumberFormat="1" applyFill="1" applyBorder="1" applyAlignment="1">
      <alignment horizontal="left" indent="2"/>
    </xf>
    <xf numFmtId="49" fontId="0" fillId="3" borderId="22" xfId="0" applyNumberFormat="1" applyFill="1" applyBorder="1" applyAlignment="1">
      <alignment horizontal="left" indent="2"/>
    </xf>
    <xf numFmtId="0" fontId="0" fillId="3" borderId="25" xfId="0" applyFill="1" applyBorder="1"/>
    <xf numFmtId="0" fontId="0" fillId="3" borderId="14" xfId="0" applyFill="1" applyBorder="1"/>
    <xf numFmtId="165" fontId="0" fillId="3" borderId="14" xfId="0" applyNumberFormat="1" applyFill="1" applyBorder="1"/>
    <xf numFmtId="0" fontId="7" fillId="4" borderId="0" xfId="0" applyFont="1" applyFill="1" applyBorder="1"/>
    <xf numFmtId="43" fontId="0" fillId="3" borderId="13" xfId="1" applyFont="1" applyFill="1" applyBorder="1"/>
    <xf numFmtId="168" fontId="0" fillId="2" borderId="0" xfId="0" applyNumberFormat="1" applyFill="1"/>
    <xf numFmtId="0" fontId="0" fillId="4" borderId="16" xfId="0" applyFill="1" applyBorder="1" applyAlignment="1">
      <alignment horizontal="center"/>
    </xf>
    <xf numFmtId="170" fontId="0" fillId="2" borderId="0" xfId="2" applyNumberFormat="1" applyFont="1" applyFill="1" applyBorder="1"/>
    <xf numFmtId="49" fontId="0" fillId="3" borderId="7" xfId="0" applyNumberFormat="1" applyFill="1" applyBorder="1" applyAlignment="1">
      <alignment horizontal="left" indent="2"/>
    </xf>
    <xf numFmtId="10" fontId="0" fillId="2" borderId="0" xfId="0" applyNumberFormat="1" applyFill="1" applyBorder="1"/>
    <xf numFmtId="169" fontId="0" fillId="2" borderId="0" xfId="0" applyNumberFormat="1" applyFill="1" applyBorder="1"/>
    <xf numFmtId="0" fontId="0" fillId="4" borderId="25" xfId="0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165" fontId="0" fillId="2" borderId="0" xfId="0" applyNumberFormat="1" applyFill="1" applyBorder="1"/>
    <xf numFmtId="165" fontId="0" fillId="3" borderId="24" xfId="0" applyNumberFormat="1" applyFill="1" applyBorder="1"/>
    <xf numFmtId="165" fontId="0" fillId="3" borderId="7" xfId="0" applyNumberFormat="1" applyFill="1" applyBorder="1" applyAlignment="1">
      <alignment horizontal="left" indent="2"/>
    </xf>
    <xf numFmtId="167" fontId="4" fillId="3" borderId="13" xfId="1" applyNumberFormat="1" applyFont="1" applyFill="1" applyBorder="1"/>
    <xf numFmtId="169" fontId="0" fillId="3" borderId="16" xfId="3" applyNumberFormat="1" applyFont="1" applyFill="1" applyBorder="1"/>
    <xf numFmtId="0" fontId="1" fillId="4" borderId="2" xfId="0" applyFont="1" applyFill="1" applyBorder="1"/>
    <xf numFmtId="0" fontId="1" fillId="3" borderId="11" xfId="0" applyFont="1" applyFill="1" applyBorder="1" applyAlignment="1">
      <alignment horizontal="center" wrapText="1"/>
    </xf>
    <xf numFmtId="165" fontId="1" fillId="3" borderId="11" xfId="0" applyNumberFormat="1" applyFont="1" applyFill="1" applyBorder="1" applyAlignment="1">
      <alignment horizontal="center" wrapText="1"/>
    </xf>
    <xf numFmtId="0" fontId="8" fillId="5" borderId="0" xfId="0" applyFont="1" applyFill="1" applyBorder="1"/>
    <xf numFmtId="0" fontId="0" fillId="5" borderId="0" xfId="0" applyFill="1"/>
    <xf numFmtId="0" fontId="2" fillId="5" borderId="0" xfId="0" applyFont="1" applyFill="1"/>
    <xf numFmtId="0" fontId="10" fillId="6" borderId="31" xfId="0" applyFont="1" applyFill="1" applyBorder="1" applyAlignment="1">
      <alignment horizontal="left" vertical="center"/>
    </xf>
    <xf numFmtId="0" fontId="10" fillId="6" borderId="30" xfId="0" applyFont="1" applyFill="1" applyBorder="1" applyAlignment="1">
      <alignment horizontal="left" vertical="center"/>
    </xf>
    <xf numFmtId="0" fontId="10" fillId="6" borderId="32" xfId="0" applyFont="1" applyFill="1" applyBorder="1" applyAlignment="1">
      <alignment horizontal="left" vertical="center"/>
    </xf>
    <xf numFmtId="165" fontId="0" fillId="5" borderId="0" xfId="0" applyNumberFormat="1" applyFill="1" applyBorder="1"/>
    <xf numFmtId="0" fontId="1" fillId="3" borderId="19" xfId="0" applyFont="1" applyFill="1" applyBorder="1"/>
    <xf numFmtId="0" fontId="1" fillId="3" borderId="20" xfId="0" applyFont="1" applyFill="1" applyBorder="1" applyAlignment="1">
      <alignment horizontal="left" indent="2"/>
    </xf>
    <xf numFmtId="0" fontId="1" fillId="3" borderId="13" xfId="0" applyFont="1" applyFill="1" applyBorder="1"/>
    <xf numFmtId="0" fontId="1" fillId="3" borderId="20" xfId="0" applyFont="1" applyFill="1" applyBorder="1"/>
    <xf numFmtId="0" fontId="1" fillId="4" borderId="16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left" indent="2"/>
    </xf>
    <xf numFmtId="0" fontId="1" fillId="3" borderId="23" xfId="0" applyFont="1" applyFill="1" applyBorder="1"/>
    <xf numFmtId="0" fontId="1" fillId="3" borderId="23" xfId="0" applyFont="1" applyFill="1" applyBorder="1" applyAlignment="1">
      <alignment horizontal="left" indent="2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left" indent="2"/>
    </xf>
    <xf numFmtId="0" fontId="1" fillId="3" borderId="2" xfId="0" applyFont="1" applyFill="1" applyBorder="1"/>
    <xf numFmtId="165" fontId="0" fillId="3" borderId="22" xfId="1" applyNumberFormat="1" applyFont="1" applyFill="1" applyBorder="1"/>
    <xf numFmtId="165" fontId="0" fillId="2" borderId="0" xfId="1" applyNumberFormat="1" applyFont="1" applyFill="1" applyBorder="1"/>
    <xf numFmtId="43" fontId="0" fillId="2" borderId="0" xfId="0" applyNumberFormat="1" applyFill="1" applyBorder="1"/>
    <xf numFmtId="169" fontId="0" fillId="3" borderId="17" xfId="3" applyNumberFormat="1" applyFont="1" applyFill="1" applyBorder="1"/>
    <xf numFmtId="0" fontId="2" fillId="4" borderId="19" xfId="0" applyFont="1" applyFill="1" applyBorder="1"/>
    <xf numFmtId="168" fontId="0" fillId="4" borderId="42" xfId="3" applyNumberFormat="1" applyFont="1" applyFill="1" applyBorder="1"/>
    <xf numFmtId="0" fontId="0" fillId="4" borderId="43" xfId="0" applyFill="1" applyBorder="1"/>
    <xf numFmtId="0" fontId="0" fillId="4" borderId="42" xfId="0" applyFill="1" applyBorder="1"/>
    <xf numFmtId="0" fontId="0" fillId="4" borderId="44" xfId="0" applyFill="1" applyBorder="1"/>
    <xf numFmtId="0" fontId="0" fillId="4" borderId="45" xfId="0" applyFill="1" applyBorder="1"/>
    <xf numFmtId="0" fontId="0" fillId="4" borderId="46" xfId="0" applyFill="1" applyBorder="1"/>
    <xf numFmtId="10" fontId="0" fillId="3" borderId="13" xfId="3" applyNumberFormat="1" applyFont="1" applyFill="1" applyBorder="1"/>
    <xf numFmtId="10" fontId="0" fillId="3" borderId="1" xfId="3" applyNumberFormat="1" applyFont="1" applyFill="1" applyBorder="1"/>
    <xf numFmtId="10" fontId="0" fillId="3" borderId="17" xfId="3" applyNumberFormat="1" applyFont="1" applyFill="1" applyBorder="1"/>
    <xf numFmtId="43" fontId="0" fillId="2" borderId="0" xfId="1" applyNumberFormat="1" applyFont="1" applyFill="1" applyBorder="1"/>
    <xf numFmtId="43" fontId="0" fillId="2" borderId="0" xfId="1" applyFont="1" applyFill="1" applyBorder="1"/>
    <xf numFmtId="0" fontId="0" fillId="2" borderId="0" xfId="0" applyFill="1" applyAlignment="1">
      <alignment wrapText="1"/>
    </xf>
    <xf numFmtId="0" fontId="0" fillId="4" borderId="9" xfId="0" applyFill="1" applyBorder="1" applyAlignment="1">
      <alignment wrapText="1"/>
    </xf>
    <xf numFmtId="9" fontId="1" fillId="3" borderId="1" xfId="0" applyNumberFormat="1" applyFont="1" applyFill="1" applyBorder="1"/>
    <xf numFmtId="166" fontId="0" fillId="2" borderId="0" xfId="0" applyNumberFormat="1" applyFill="1" applyBorder="1"/>
    <xf numFmtId="165" fontId="0" fillId="6" borderId="26" xfId="0" applyNumberFormat="1" applyFill="1" applyBorder="1" applyProtection="1">
      <protection locked="0"/>
    </xf>
    <xf numFmtId="165" fontId="0" fillId="6" borderId="27" xfId="0" applyNumberFormat="1" applyFill="1" applyBorder="1" applyProtection="1">
      <protection locked="0"/>
    </xf>
    <xf numFmtId="165" fontId="0" fillId="6" borderId="28" xfId="0" applyNumberFormat="1" applyFill="1" applyBorder="1" applyProtection="1">
      <protection locked="0"/>
    </xf>
    <xf numFmtId="167" fontId="1" fillId="3" borderId="17" xfId="1" applyNumberFormat="1" applyFont="1" applyFill="1" applyBorder="1" applyProtection="1">
      <protection locked="0"/>
    </xf>
    <xf numFmtId="166" fontId="0" fillId="2" borderId="0" xfId="1" applyNumberFormat="1" applyFont="1" applyFill="1" applyBorder="1"/>
    <xf numFmtId="171" fontId="4" fillId="3" borderId="16" xfId="3" applyNumberFormat="1" applyFont="1" applyFill="1" applyBorder="1"/>
    <xf numFmtId="169" fontId="0" fillId="3" borderId="16" xfId="0" applyNumberFormat="1" applyFill="1" applyBorder="1"/>
    <xf numFmtId="166" fontId="0" fillId="4" borderId="26" xfId="0" applyNumberFormat="1" applyFill="1" applyBorder="1" applyProtection="1">
      <protection locked="0"/>
    </xf>
    <xf numFmtId="166" fontId="0" fillId="4" borderId="27" xfId="0" applyNumberFormat="1" applyFill="1" applyBorder="1" applyProtection="1">
      <protection locked="0"/>
    </xf>
    <xf numFmtId="166" fontId="0" fillId="4" borderId="28" xfId="0" applyNumberFormat="1" applyFill="1" applyBorder="1" applyProtection="1">
      <protection locked="0"/>
    </xf>
    <xf numFmtId="166" fontId="1" fillId="3" borderId="11" xfId="0" applyNumberFormat="1" applyFont="1" applyFill="1" applyBorder="1" applyAlignment="1">
      <alignment horizontal="center" wrapText="1"/>
    </xf>
    <xf numFmtId="166" fontId="0" fillId="3" borderId="13" xfId="0" applyNumberFormat="1" applyFill="1" applyBorder="1"/>
    <xf numFmtId="166" fontId="0" fillId="3" borderId="24" xfId="0" applyNumberFormat="1" applyFill="1" applyBorder="1"/>
    <xf numFmtId="166" fontId="1" fillId="4" borderId="27" xfId="0" applyNumberFormat="1" applyFont="1" applyFill="1" applyBorder="1" applyProtection="1">
      <protection locked="0"/>
    </xf>
    <xf numFmtId="166" fontId="0" fillId="3" borderId="1" xfId="0" applyNumberFormat="1" applyFill="1" applyBorder="1"/>
    <xf numFmtId="166" fontId="0" fillId="3" borderId="7" xfId="0" applyNumberFormat="1" applyFill="1" applyBorder="1" applyAlignment="1">
      <alignment horizontal="left" indent="2"/>
    </xf>
    <xf numFmtId="10" fontId="0" fillId="3" borderId="16" xfId="3" applyNumberFormat="1" applyFont="1" applyFill="1" applyBorder="1"/>
    <xf numFmtId="8" fontId="10" fillId="7" borderId="16" xfId="0" applyNumberFormat="1" applyFont="1" applyFill="1" applyBorder="1" applyAlignment="1">
      <alignment horizontal="center"/>
    </xf>
    <xf numFmtId="166" fontId="1" fillId="3" borderId="24" xfId="0" applyNumberFormat="1" applyFont="1" applyFill="1" applyBorder="1"/>
    <xf numFmtId="166" fontId="1" fillId="3" borderId="1" xfId="0" applyNumberFormat="1" applyFont="1" applyFill="1" applyBorder="1"/>
    <xf numFmtId="0" fontId="6" fillId="4" borderId="0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2" fillId="4" borderId="3" xfId="0" applyFont="1" applyFill="1" applyBorder="1"/>
    <xf numFmtId="0" fontId="6" fillId="4" borderId="2" xfId="0" applyFont="1" applyFill="1" applyBorder="1" applyAlignment="1">
      <alignment horizontal="left"/>
    </xf>
    <xf numFmtId="0" fontId="9" fillId="6" borderId="16" xfId="0" applyFont="1" applyFill="1" applyBorder="1" applyAlignment="1">
      <alignment horizontal="center"/>
    </xf>
    <xf numFmtId="0" fontId="0" fillId="6" borderId="16" xfId="0" applyFill="1" applyBorder="1"/>
    <xf numFmtId="166" fontId="1" fillId="6" borderId="26" xfId="0" applyNumberFormat="1" applyFont="1" applyFill="1" applyBorder="1" applyProtection="1">
      <protection locked="0"/>
    </xf>
    <xf numFmtId="166" fontId="1" fillId="6" borderId="27" xfId="0" applyNumberFormat="1" applyFont="1" applyFill="1" applyBorder="1" applyProtection="1">
      <protection locked="0"/>
    </xf>
    <xf numFmtId="166" fontId="1" fillId="6" borderId="28" xfId="0" applyNumberFormat="1" applyFont="1" applyFill="1" applyBorder="1" applyProtection="1">
      <protection locked="0"/>
    </xf>
    <xf numFmtId="172" fontId="0" fillId="2" borderId="0" xfId="0" applyNumberFormat="1" applyFill="1"/>
    <xf numFmtId="165" fontId="4" fillId="3" borderId="16" xfId="1" applyNumberFormat="1" applyFont="1" applyFill="1" applyBorder="1"/>
    <xf numFmtId="10" fontId="4" fillId="3" borderId="16" xfId="3" applyNumberFormat="1" applyFont="1" applyFill="1" applyBorder="1"/>
    <xf numFmtId="9" fontId="0" fillId="2" borderId="0" xfId="3" applyFont="1" applyFill="1"/>
    <xf numFmtId="169" fontId="4" fillId="3" borderId="16" xfId="3" applyNumberFormat="1" applyFont="1" applyFill="1" applyBorder="1"/>
    <xf numFmtId="0" fontId="6" fillId="4" borderId="2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</cellXfs>
  <cellStyles count="52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33"/>
    <cellStyle name="Currency" xfId="2" builtinId="4"/>
    <cellStyle name="Currency 2" xfId="34"/>
    <cellStyle name="Explanatory Text 2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2" xfId="44"/>
    <cellStyle name="Normal 3" xfId="5"/>
    <cellStyle name="Normal 4" xfId="50"/>
    <cellStyle name="Note 2" xfId="45"/>
    <cellStyle name="Output 2" xfId="46"/>
    <cellStyle name="Percent" xfId="3" builtinId="5"/>
    <cellStyle name="Percent 2" xfId="47"/>
    <cellStyle name="Style 1" xfId="51"/>
    <cellStyle name="Title" xfId="4" builtinId="15" customBuiltin="1"/>
    <cellStyle name="Total 2" xfId="48"/>
    <cellStyle name="Warning Text 2" xfId="49"/>
  </cellStyles>
  <dxfs count="0"/>
  <tableStyles count="0" defaultTableStyle="TableStyleMedium9" defaultPivotStyle="PivotStyleLight16"/>
  <colors>
    <mruColors>
      <color rgb="FF003C7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ll%20Chivell/Miscellaneous/CPI%20Inflation%20ke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lation key"/>
      <sheetName val="Data1"/>
      <sheetName val="SA"/>
    </sheetNames>
    <sheetDataSet>
      <sheetData sheetId="0"/>
      <sheetData sheetId="1">
        <row r="272">
          <cell r="M272">
            <v>104.8</v>
          </cell>
        </row>
        <row r="280">
          <cell r="M280">
            <v>108.4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 fitToPage="1"/>
  </sheetPr>
  <dimension ref="B1:Q100"/>
  <sheetViews>
    <sheetView tabSelected="1" zoomScale="85" zoomScaleNormal="85" workbookViewId="0">
      <selection activeCell="N19" sqref="N19"/>
    </sheetView>
  </sheetViews>
  <sheetFormatPr defaultRowHeight="12.75" x14ac:dyDescent="0.2"/>
  <cols>
    <col min="1" max="1" width="1.625" style="13" customWidth="1"/>
    <col min="2" max="2" width="35.125" style="13" customWidth="1"/>
    <col min="3" max="3" width="44.375" style="13" bestFit="1" customWidth="1"/>
    <col min="4" max="4" width="16" style="62" customWidth="1"/>
    <col min="5" max="5" width="14.125" style="13" bestFit="1" customWidth="1"/>
    <col min="6" max="6" width="14.125" style="107" bestFit="1" customWidth="1"/>
    <col min="7" max="7" width="15.75" style="13" bestFit="1" customWidth="1"/>
    <col min="8" max="8" width="13" style="13" bestFit="1" customWidth="1"/>
    <col min="9" max="9" width="1.5" style="13" customWidth="1"/>
    <col min="10" max="16" width="9" style="13"/>
    <col min="17" max="17" width="15.75" style="13" bestFit="1" customWidth="1"/>
    <col min="18" max="16384" width="9" style="13"/>
  </cols>
  <sheetData>
    <row r="1" spans="2:17" ht="14.25" x14ac:dyDescent="0.2">
      <c r="B1" s="12" t="s">
        <v>89</v>
      </c>
      <c r="E1" s="62"/>
      <c r="G1" s="62"/>
      <c r="H1" s="62"/>
      <c r="I1" s="62"/>
      <c r="J1" s="62"/>
      <c r="K1" s="62"/>
    </row>
    <row r="2" spans="2:17" ht="12.75" customHeight="1" x14ac:dyDescent="0.2">
      <c r="E2" s="62"/>
      <c r="G2" s="62"/>
      <c r="H2" s="62"/>
      <c r="I2" s="62"/>
      <c r="J2" s="62"/>
      <c r="K2" s="62"/>
    </row>
    <row r="3" spans="2:17" x14ac:dyDescent="0.2">
      <c r="B3" s="14" t="s">
        <v>79</v>
      </c>
      <c r="E3" s="62"/>
      <c r="G3" s="90"/>
      <c r="H3" s="90"/>
      <c r="I3" s="90"/>
      <c r="J3" s="90"/>
      <c r="K3" s="90"/>
    </row>
    <row r="4" spans="2:17" ht="12" customHeight="1" thickBot="1" x14ac:dyDescent="0.25"/>
    <row r="5" spans="2:17" ht="25.5" x14ac:dyDescent="0.2">
      <c r="B5" s="15" t="s">
        <v>20</v>
      </c>
      <c r="C5" s="16" t="s">
        <v>21</v>
      </c>
      <c r="D5" s="69" t="s">
        <v>72</v>
      </c>
      <c r="E5" s="68" t="s">
        <v>73</v>
      </c>
      <c r="F5" s="118" t="s">
        <v>74</v>
      </c>
      <c r="G5" s="17" t="s">
        <v>23</v>
      </c>
      <c r="H5" s="18" t="s">
        <v>22</v>
      </c>
    </row>
    <row r="6" spans="2:17" ht="13.5" thickBot="1" x14ac:dyDescent="0.25">
      <c r="B6" s="77" t="s">
        <v>32</v>
      </c>
      <c r="C6" s="79" t="s">
        <v>32</v>
      </c>
      <c r="D6" s="35"/>
      <c r="E6" s="19"/>
      <c r="F6" s="119"/>
      <c r="G6" s="19"/>
      <c r="H6" s="47"/>
    </row>
    <row r="7" spans="2:17" x14ac:dyDescent="0.2">
      <c r="B7" s="44" t="s">
        <v>24</v>
      </c>
      <c r="C7" s="82" t="s">
        <v>24</v>
      </c>
      <c r="D7" s="108">
        <v>155854461</v>
      </c>
      <c r="E7" s="134">
        <v>0.30230000000000001</v>
      </c>
      <c r="F7" s="115">
        <v>0.308</v>
      </c>
      <c r="G7" s="2">
        <f>D7*E7</f>
        <v>47114803.5603</v>
      </c>
      <c r="H7" s="22">
        <f>D7*F7</f>
        <v>48003173.987999998</v>
      </c>
      <c r="P7" s="90"/>
      <c r="Q7" s="102"/>
    </row>
    <row r="8" spans="2:17" x14ac:dyDescent="0.2">
      <c r="B8" s="78" t="s">
        <v>31</v>
      </c>
      <c r="C8" s="86" t="s">
        <v>30</v>
      </c>
      <c r="D8" s="109">
        <v>3314904.7591999997</v>
      </c>
      <c r="E8" s="135">
        <v>26.22118661723875</v>
      </c>
      <c r="F8" s="116">
        <v>28.348500000000001</v>
      </c>
      <c r="G8" s="2">
        <f t="shared" ref="G8:G10" si="0">D8*E8</f>
        <v>86920736.309356079</v>
      </c>
      <c r="H8" s="22">
        <f t="shared" ref="H8:H10" si="1">D8*F8</f>
        <v>93972577.566181198</v>
      </c>
      <c r="P8" s="90"/>
      <c r="Q8" s="102"/>
    </row>
    <row r="9" spans="2:17" x14ac:dyDescent="0.2">
      <c r="B9" s="78" t="s">
        <v>31</v>
      </c>
      <c r="C9" s="86" t="s">
        <v>31</v>
      </c>
      <c r="D9" s="109">
        <v>1391912.5818</v>
      </c>
      <c r="E9" s="135">
        <v>11.6083</v>
      </c>
      <c r="F9" s="116">
        <v>11.6083</v>
      </c>
      <c r="G9" s="2">
        <f t="shared" si="0"/>
        <v>16157738.823308941</v>
      </c>
      <c r="H9" s="22">
        <f t="shared" si="1"/>
        <v>16157738.823308941</v>
      </c>
      <c r="P9" s="90"/>
      <c r="Q9" s="102"/>
    </row>
    <row r="10" spans="2:17" ht="13.5" thickBot="1" x14ac:dyDescent="0.25">
      <c r="B10" s="78" t="s">
        <v>34</v>
      </c>
      <c r="C10" s="86" t="s">
        <v>34</v>
      </c>
      <c r="D10" s="110">
        <v>2968067.2289999998</v>
      </c>
      <c r="E10" s="136">
        <v>3.9296000000000002</v>
      </c>
      <c r="F10" s="117">
        <v>3.9296000000000002</v>
      </c>
      <c r="G10" s="2">
        <f t="shared" si="0"/>
        <v>11663316.9830784</v>
      </c>
      <c r="H10" s="22">
        <f t="shared" si="1"/>
        <v>11663316.9830784</v>
      </c>
      <c r="P10" s="90"/>
      <c r="Q10" s="102"/>
    </row>
    <row r="11" spans="2:17" ht="13.5" thickBot="1" x14ac:dyDescent="0.25">
      <c r="B11" s="80" t="s">
        <v>33</v>
      </c>
      <c r="C11" s="83" t="s">
        <v>33</v>
      </c>
      <c r="D11" s="63"/>
      <c r="E11" s="126"/>
      <c r="F11" s="120"/>
      <c r="G11" s="36"/>
      <c r="H11" s="49"/>
      <c r="P11" s="90"/>
      <c r="Q11" s="102"/>
    </row>
    <row r="12" spans="2:17" x14ac:dyDescent="0.2">
      <c r="B12" s="44" t="s">
        <v>24</v>
      </c>
      <c r="C12" s="82" t="s">
        <v>24</v>
      </c>
      <c r="D12" s="108">
        <v>3945828</v>
      </c>
      <c r="E12" s="134">
        <v>0.63670000000000004</v>
      </c>
      <c r="F12" s="115">
        <v>0.64880000000000004</v>
      </c>
      <c r="G12" s="2">
        <f t="shared" ref="G12:G16" si="2">D12*E12</f>
        <v>2512308.6876000003</v>
      </c>
      <c r="H12" s="22">
        <f t="shared" ref="H12:H16" si="3">D12*F12</f>
        <v>2560053.2064</v>
      </c>
      <c r="P12" s="90"/>
      <c r="Q12" s="102"/>
    </row>
    <row r="13" spans="2:17" x14ac:dyDescent="0.2">
      <c r="B13" s="78" t="s">
        <v>48</v>
      </c>
      <c r="C13" s="84" t="s">
        <v>48</v>
      </c>
      <c r="D13" s="109">
        <v>1303131.6973999997</v>
      </c>
      <c r="E13" s="135">
        <v>13.014700654921622</v>
      </c>
      <c r="F13" s="116">
        <v>14.0428</v>
      </c>
      <c r="G13" s="2">
        <f t="shared" si="2"/>
        <v>16959868.955600902</v>
      </c>
      <c r="H13" s="22">
        <f t="shared" si="3"/>
        <v>18299617.800248716</v>
      </c>
      <c r="P13" s="90"/>
      <c r="Q13" s="102"/>
    </row>
    <row r="14" spans="2:17" x14ac:dyDescent="0.2">
      <c r="B14" s="78" t="s">
        <v>49</v>
      </c>
      <c r="C14" s="84" t="s">
        <v>49</v>
      </c>
      <c r="D14" s="109">
        <v>1201502.9561000001</v>
      </c>
      <c r="E14" s="135">
        <v>6.4238</v>
      </c>
      <c r="F14" s="121">
        <v>6.4238</v>
      </c>
      <c r="G14" s="2">
        <f>D14*E14</f>
        <v>7718214.68939518</v>
      </c>
      <c r="H14" s="22">
        <f>D14*F14</f>
        <v>7718214.68939518</v>
      </c>
      <c r="P14" s="90"/>
      <c r="Q14" s="102"/>
    </row>
    <row r="15" spans="2:17" x14ac:dyDescent="0.2">
      <c r="B15" s="78" t="s">
        <v>50</v>
      </c>
      <c r="C15" s="84" t="s">
        <v>50</v>
      </c>
      <c r="D15" s="109">
        <v>564134.34780000011</v>
      </c>
      <c r="E15" s="135">
        <v>2.7530000000000001</v>
      </c>
      <c r="F15" s="116">
        <v>2.7749999999999999</v>
      </c>
      <c r="G15" s="2">
        <f t="shared" si="2"/>
        <v>1553061.8594934004</v>
      </c>
      <c r="H15" s="22">
        <f t="shared" si="3"/>
        <v>1565472.8151450003</v>
      </c>
      <c r="P15" s="90"/>
      <c r="Q15" s="102"/>
    </row>
    <row r="16" spans="2:17" ht="13.5" thickBot="1" x14ac:dyDescent="0.25">
      <c r="B16" s="78" t="s">
        <v>34</v>
      </c>
      <c r="C16" s="84" t="s">
        <v>34</v>
      </c>
      <c r="D16" s="110">
        <v>224194.54170000003</v>
      </c>
      <c r="E16" s="136">
        <v>1.5647</v>
      </c>
      <c r="F16" s="117">
        <v>1.6889000000000001</v>
      </c>
      <c r="G16" s="2">
        <f t="shared" si="2"/>
        <v>350797.19939799001</v>
      </c>
      <c r="H16" s="22">
        <f t="shared" si="3"/>
        <v>378642.16147713008</v>
      </c>
      <c r="P16" s="90"/>
      <c r="Q16" s="102"/>
    </row>
    <row r="17" spans="2:17" ht="13.5" thickBot="1" x14ac:dyDescent="0.25">
      <c r="B17" s="87" t="s">
        <v>63</v>
      </c>
      <c r="C17" s="106" t="s">
        <v>63</v>
      </c>
      <c r="D17" s="36"/>
      <c r="E17" s="127"/>
      <c r="F17" s="122"/>
      <c r="G17" s="20"/>
      <c r="H17" s="48"/>
      <c r="P17" s="90"/>
      <c r="Q17" s="102"/>
    </row>
    <row r="18" spans="2:17" x14ac:dyDescent="0.2">
      <c r="B18" s="44" t="s">
        <v>24</v>
      </c>
      <c r="C18" s="82" t="s">
        <v>24</v>
      </c>
      <c r="D18" s="108">
        <v>43144</v>
      </c>
      <c r="E18" s="134">
        <v>0.30230000000000001</v>
      </c>
      <c r="F18" s="115">
        <v>0.308</v>
      </c>
      <c r="G18" s="2">
        <f t="shared" ref="G18:G21" si="4">D18*E18</f>
        <v>13042.431200000001</v>
      </c>
      <c r="H18" s="22">
        <f t="shared" ref="H18:H21" si="5">D18*F18</f>
        <v>13288.351999999999</v>
      </c>
      <c r="P18" s="90"/>
      <c r="Q18" s="102"/>
    </row>
    <row r="19" spans="2:17" x14ac:dyDescent="0.2">
      <c r="B19" s="78" t="s">
        <v>30</v>
      </c>
      <c r="C19" s="86" t="s">
        <v>30</v>
      </c>
      <c r="D19" s="109">
        <v>932.66959999999995</v>
      </c>
      <c r="E19" s="135">
        <v>34.087499999999999</v>
      </c>
      <c r="F19" s="116">
        <v>36.853000000000002</v>
      </c>
      <c r="G19" s="2">
        <f>D19*E19</f>
        <v>31792.374989999997</v>
      </c>
      <c r="H19" s="22">
        <f>D19*F19</f>
        <v>34371.672768800003</v>
      </c>
      <c r="P19" s="90"/>
      <c r="Q19" s="102"/>
    </row>
    <row r="20" spans="2:17" x14ac:dyDescent="0.2">
      <c r="B20" s="78" t="s">
        <v>31</v>
      </c>
      <c r="C20" s="86" t="s">
        <v>31</v>
      </c>
      <c r="D20" s="109">
        <v>325.15120000000002</v>
      </c>
      <c r="E20" s="135">
        <v>15.0908</v>
      </c>
      <c r="F20" s="116">
        <v>15.0907</v>
      </c>
      <c r="G20" s="2">
        <f t="shared" si="4"/>
        <v>4906.79172896</v>
      </c>
      <c r="H20" s="22">
        <f t="shared" si="5"/>
        <v>4906.7592138400005</v>
      </c>
      <c r="P20" s="90"/>
      <c r="Q20" s="102"/>
    </row>
    <row r="21" spans="2:17" ht="13.5" thickBot="1" x14ac:dyDescent="0.25">
      <c r="B21" s="78" t="s">
        <v>34</v>
      </c>
      <c r="C21" s="86" t="s">
        <v>34</v>
      </c>
      <c r="D21" s="110">
        <v>1619.7572</v>
      </c>
      <c r="E21" s="136">
        <v>5.1085000000000003</v>
      </c>
      <c r="F21" s="117">
        <v>5.1083999999999996</v>
      </c>
      <c r="G21" s="2">
        <f t="shared" si="4"/>
        <v>8274.5296562000003</v>
      </c>
      <c r="H21" s="22">
        <f t="shared" si="5"/>
        <v>8274.3676804799998</v>
      </c>
      <c r="P21" s="90"/>
      <c r="Q21" s="102"/>
    </row>
    <row r="22" spans="2:17" ht="13.5" thickBot="1" x14ac:dyDescent="0.25">
      <c r="B22" s="80" t="s">
        <v>51</v>
      </c>
      <c r="C22" s="83" t="s">
        <v>51</v>
      </c>
      <c r="D22" s="63"/>
      <c r="E22" s="126"/>
      <c r="F22" s="120"/>
      <c r="G22" s="2"/>
      <c r="H22" s="22"/>
      <c r="P22" s="90"/>
      <c r="Q22" s="102"/>
    </row>
    <row r="23" spans="2:17" x14ac:dyDescent="0.2">
      <c r="B23" s="44" t="s">
        <v>24</v>
      </c>
      <c r="C23" s="82" t="s">
        <v>24</v>
      </c>
      <c r="D23" s="108">
        <v>7117</v>
      </c>
      <c r="E23" s="134">
        <v>0.63670000000000004</v>
      </c>
      <c r="F23" s="115">
        <v>0.64880000000000004</v>
      </c>
      <c r="G23" s="2">
        <f t="shared" ref="G23:G26" si="6">D23*E23</f>
        <v>4531.3939</v>
      </c>
      <c r="H23" s="22">
        <f t="shared" ref="H23:H26" si="7">D23*F23</f>
        <v>4617.5096000000003</v>
      </c>
      <c r="P23" s="90"/>
      <c r="Q23" s="102"/>
    </row>
    <row r="24" spans="2:17" x14ac:dyDescent="0.2">
      <c r="B24" s="78" t="s">
        <v>48</v>
      </c>
      <c r="C24" s="84" t="s">
        <v>48</v>
      </c>
      <c r="D24" s="109">
        <v>3816.6347999999998</v>
      </c>
      <c r="E24" s="135">
        <v>16.9191</v>
      </c>
      <c r="F24" s="116">
        <v>18.255600000000001</v>
      </c>
      <c r="G24" s="2">
        <f t="shared" si="6"/>
        <v>64574.02584468</v>
      </c>
      <c r="H24" s="22">
        <f t="shared" si="7"/>
        <v>69674.958254879995</v>
      </c>
      <c r="P24" s="90"/>
      <c r="Q24" s="102"/>
    </row>
    <row r="25" spans="2:17" x14ac:dyDescent="0.2">
      <c r="B25" s="78" t="s">
        <v>49</v>
      </c>
      <c r="C25" s="84" t="s">
        <v>49</v>
      </c>
      <c r="D25" s="109">
        <v>4403.7147999999997</v>
      </c>
      <c r="E25" s="135">
        <v>8.3508999999999993</v>
      </c>
      <c r="F25" s="116">
        <v>8.3508999999999993</v>
      </c>
      <c r="G25" s="2">
        <f t="shared" si="6"/>
        <v>36774.981923319996</v>
      </c>
      <c r="H25" s="22">
        <f t="shared" si="7"/>
        <v>36774.981923319996</v>
      </c>
      <c r="P25" s="90"/>
      <c r="Q25" s="102"/>
    </row>
    <row r="26" spans="2:17" x14ac:dyDescent="0.2">
      <c r="B26" s="78" t="s">
        <v>50</v>
      </c>
      <c r="C26" s="84" t="s">
        <v>50</v>
      </c>
      <c r="D26" s="109">
        <v>3185.9994000000002</v>
      </c>
      <c r="E26" s="135">
        <v>3.5789</v>
      </c>
      <c r="F26" s="116">
        <v>3.6074999999999999</v>
      </c>
      <c r="G26" s="2">
        <f t="shared" si="6"/>
        <v>11402.37325266</v>
      </c>
      <c r="H26" s="22">
        <f t="shared" si="7"/>
        <v>11493.492835500001</v>
      </c>
      <c r="P26" s="90"/>
      <c r="Q26" s="102"/>
    </row>
    <row r="27" spans="2:17" ht="13.5" thickBot="1" x14ac:dyDescent="0.25">
      <c r="B27" s="78" t="s">
        <v>34</v>
      </c>
      <c r="C27" s="84" t="s">
        <v>34</v>
      </c>
      <c r="D27" s="110">
        <v>0</v>
      </c>
      <c r="E27" s="136">
        <v>2.0341</v>
      </c>
      <c r="F27" s="117">
        <v>2.1955</v>
      </c>
      <c r="G27" s="2">
        <f>D27*E27</f>
        <v>0</v>
      </c>
      <c r="H27" s="22">
        <f>D27*F27</f>
        <v>0</v>
      </c>
      <c r="P27" s="90"/>
      <c r="Q27" s="102"/>
    </row>
    <row r="28" spans="2:17" ht="13.5" thickBot="1" x14ac:dyDescent="0.25">
      <c r="B28" s="80" t="s">
        <v>35</v>
      </c>
      <c r="C28" s="85" t="s">
        <v>35</v>
      </c>
      <c r="D28" s="63"/>
      <c r="E28" s="126"/>
      <c r="F28" s="120"/>
      <c r="G28" s="2"/>
      <c r="H28" s="22"/>
      <c r="P28" s="90"/>
      <c r="Q28" s="102"/>
    </row>
    <row r="29" spans="2:17" x14ac:dyDescent="0.2">
      <c r="B29" s="78" t="s">
        <v>59</v>
      </c>
      <c r="C29" s="86" t="s">
        <v>59</v>
      </c>
      <c r="D29" s="108">
        <v>65</v>
      </c>
      <c r="E29" s="134">
        <v>2425.4589000000001</v>
      </c>
      <c r="F29" s="115">
        <v>2544.4454999999998</v>
      </c>
      <c r="G29" s="2">
        <f>D29*E29*12</f>
        <v>1891857.942</v>
      </c>
      <c r="H29" s="22">
        <f>D29*F29*12</f>
        <v>1984667.4899999998</v>
      </c>
      <c r="P29" s="90"/>
      <c r="Q29" s="102"/>
    </row>
    <row r="30" spans="2:17" x14ac:dyDescent="0.2">
      <c r="B30" s="78" t="s">
        <v>36</v>
      </c>
      <c r="C30" s="84" t="s">
        <v>36</v>
      </c>
      <c r="D30" s="109">
        <v>2714.9999999999995</v>
      </c>
      <c r="E30" s="135">
        <v>47.161499999999997</v>
      </c>
      <c r="F30" s="116">
        <v>49.475099999999998</v>
      </c>
      <c r="G30" s="2">
        <f>D30*E30*12</f>
        <v>1536521.6699999997</v>
      </c>
      <c r="H30" s="22">
        <f>D30*F30*12</f>
        <v>1611898.7579999997</v>
      </c>
      <c r="P30" s="90"/>
      <c r="Q30" s="102"/>
    </row>
    <row r="31" spans="2:17" x14ac:dyDescent="0.2">
      <c r="B31" s="78" t="s">
        <v>37</v>
      </c>
      <c r="C31" s="84" t="s">
        <v>37</v>
      </c>
      <c r="D31" s="109">
        <v>13326.999999999998</v>
      </c>
      <c r="E31" s="135">
        <v>29.443000000000001</v>
      </c>
      <c r="F31" s="116">
        <v>30.8873</v>
      </c>
      <c r="G31" s="2">
        <f t="shared" ref="G31:G32" si="8">D31*E31*12</f>
        <v>4708642.3319999995</v>
      </c>
      <c r="H31" s="22">
        <f t="shared" ref="H31:H32" si="9">D31*F31*12</f>
        <v>4939620.5651999991</v>
      </c>
      <c r="P31" s="90"/>
      <c r="Q31" s="102"/>
    </row>
    <row r="32" spans="2:17" ht="13.5" thickBot="1" x14ac:dyDescent="0.25">
      <c r="B32" s="78" t="s">
        <v>34</v>
      </c>
      <c r="C32" s="84" t="s">
        <v>34</v>
      </c>
      <c r="D32" s="110">
        <v>21391</v>
      </c>
      <c r="E32" s="136">
        <v>8.9210999999999991</v>
      </c>
      <c r="F32" s="117">
        <v>9.3587000000000007</v>
      </c>
      <c r="G32" s="2">
        <f t="shared" si="8"/>
        <v>2289975.0011999998</v>
      </c>
      <c r="H32" s="22">
        <f t="shared" si="9"/>
        <v>2402303.4204000002</v>
      </c>
      <c r="P32" s="90"/>
      <c r="Q32" s="102"/>
    </row>
    <row r="33" spans="2:17" ht="13.5" thickBot="1" x14ac:dyDescent="0.25">
      <c r="B33" s="80" t="s">
        <v>38</v>
      </c>
      <c r="C33" s="85" t="s">
        <v>38</v>
      </c>
      <c r="D33" s="63"/>
      <c r="E33" s="126"/>
      <c r="F33" s="120"/>
      <c r="G33" s="20"/>
      <c r="H33" s="48"/>
      <c r="P33" s="90"/>
      <c r="Q33" s="102"/>
    </row>
    <row r="34" spans="2:17" x14ac:dyDescent="0.2">
      <c r="B34" s="78" t="s">
        <v>59</v>
      </c>
      <c r="C34" s="86" t="s">
        <v>59</v>
      </c>
      <c r="D34" s="108">
        <v>38</v>
      </c>
      <c r="E34" s="134">
        <v>2425.4589000000001</v>
      </c>
      <c r="F34" s="115">
        <v>2544.4454999999998</v>
      </c>
      <c r="G34" s="2">
        <f>D34*E34*12</f>
        <v>1106009.2584000002</v>
      </c>
      <c r="H34" s="22">
        <f>D34*F34*12</f>
        <v>1160267.1479999998</v>
      </c>
      <c r="P34" s="90"/>
      <c r="Q34" s="102"/>
    </row>
    <row r="35" spans="2:17" x14ac:dyDescent="0.2">
      <c r="B35" s="78" t="s">
        <v>36</v>
      </c>
      <c r="C35" s="84" t="s">
        <v>36</v>
      </c>
      <c r="D35" s="109">
        <v>1499.9999999999998</v>
      </c>
      <c r="E35" s="135">
        <v>56.007800000000003</v>
      </c>
      <c r="F35" s="116">
        <v>58.755299999999998</v>
      </c>
      <c r="G35" s="2">
        <f t="shared" ref="G35:G37" si="10">D35*E35*12</f>
        <v>1008140.3999999999</v>
      </c>
      <c r="H35" s="22">
        <f t="shared" ref="H35:H37" si="11">D35*F35*12</f>
        <v>1057595.3999999999</v>
      </c>
      <c r="P35" s="90"/>
      <c r="Q35" s="102"/>
    </row>
    <row r="36" spans="2:17" x14ac:dyDescent="0.2">
      <c r="B36" s="78" t="s">
        <v>37</v>
      </c>
      <c r="C36" s="84" t="s">
        <v>37</v>
      </c>
      <c r="D36" s="109">
        <v>6683.9999999999991</v>
      </c>
      <c r="E36" s="135">
        <v>35.618400000000001</v>
      </c>
      <c r="F36" s="116">
        <v>37.365699999999997</v>
      </c>
      <c r="G36" s="2">
        <f t="shared" si="10"/>
        <v>2856880.6272</v>
      </c>
      <c r="H36" s="22">
        <f t="shared" si="11"/>
        <v>2997028.0655999994</v>
      </c>
      <c r="P36" s="90"/>
      <c r="Q36" s="102"/>
    </row>
    <row r="37" spans="2:17" ht="13.5" thickBot="1" x14ac:dyDescent="0.25">
      <c r="B37" s="78" t="s">
        <v>34</v>
      </c>
      <c r="C37" s="84" t="s">
        <v>34</v>
      </c>
      <c r="D37" s="110">
        <v>104</v>
      </c>
      <c r="E37" s="136">
        <v>10.2074</v>
      </c>
      <c r="F37" s="117">
        <v>10.7081</v>
      </c>
      <c r="G37" s="2">
        <f t="shared" si="10"/>
        <v>12738.835200000001</v>
      </c>
      <c r="H37" s="22">
        <f t="shared" si="11"/>
        <v>13363.7088</v>
      </c>
      <c r="P37" s="90"/>
      <c r="Q37" s="102"/>
    </row>
    <row r="38" spans="2:17" ht="13.5" thickBot="1" x14ac:dyDescent="0.25">
      <c r="B38" s="80" t="s">
        <v>39</v>
      </c>
      <c r="C38" s="85" t="s">
        <v>39</v>
      </c>
      <c r="D38" s="63"/>
      <c r="E38" s="126"/>
      <c r="F38" s="120"/>
      <c r="G38" s="20"/>
      <c r="H38" s="48"/>
      <c r="P38" s="90"/>
      <c r="Q38" s="102"/>
    </row>
    <row r="39" spans="2:17" x14ac:dyDescent="0.2">
      <c r="B39" s="78" t="s">
        <v>59</v>
      </c>
      <c r="C39" s="86" t="s">
        <v>59</v>
      </c>
      <c r="D39" s="108">
        <v>12</v>
      </c>
      <c r="E39" s="134">
        <v>2425.4589000000001</v>
      </c>
      <c r="F39" s="115">
        <v>2544.4454999999998</v>
      </c>
      <c r="G39" s="2">
        <f>D39*E39*12</f>
        <v>349266.08160000003</v>
      </c>
      <c r="H39" s="22">
        <f>D39*F39*12</f>
        <v>366400.152</v>
      </c>
      <c r="P39" s="90"/>
      <c r="Q39" s="102"/>
    </row>
    <row r="40" spans="2:17" x14ac:dyDescent="0.2">
      <c r="B40" s="78" t="s">
        <v>36</v>
      </c>
      <c r="C40" s="84" t="s">
        <v>36</v>
      </c>
      <c r="D40" s="109">
        <v>485.00000000000006</v>
      </c>
      <c r="E40" s="135">
        <v>66.0501</v>
      </c>
      <c r="F40" s="116">
        <v>69.290300000000002</v>
      </c>
      <c r="G40" s="2">
        <f t="shared" ref="G40:G42" si="12">D40*E40*12</f>
        <v>384411.58200000005</v>
      </c>
      <c r="H40" s="22">
        <f t="shared" ref="H40:H42" si="13">D40*F40*12</f>
        <v>403269.54600000009</v>
      </c>
      <c r="P40" s="90"/>
      <c r="Q40" s="102"/>
    </row>
    <row r="41" spans="2:17" x14ac:dyDescent="0.2">
      <c r="B41" s="78" t="s">
        <v>37</v>
      </c>
      <c r="C41" s="84" t="s">
        <v>37</v>
      </c>
      <c r="D41" s="109">
        <v>781.00000000000011</v>
      </c>
      <c r="E41" s="135">
        <v>41.365099999999998</v>
      </c>
      <c r="F41" s="116">
        <v>43.394300000000001</v>
      </c>
      <c r="G41" s="2">
        <f t="shared" si="12"/>
        <v>387673.71720000007</v>
      </c>
      <c r="H41" s="22">
        <f t="shared" si="13"/>
        <v>406691.37960000004</v>
      </c>
      <c r="P41" s="90"/>
      <c r="Q41" s="102"/>
    </row>
    <row r="42" spans="2:17" ht="13.5" thickBot="1" x14ac:dyDescent="0.25">
      <c r="B42" s="78" t="s">
        <v>34</v>
      </c>
      <c r="C42" s="84" t="s">
        <v>34</v>
      </c>
      <c r="D42" s="110"/>
      <c r="E42" s="136">
        <v>12.4747</v>
      </c>
      <c r="F42" s="117">
        <v>13.086600000000001</v>
      </c>
      <c r="G42" s="2">
        <f t="shared" si="12"/>
        <v>0</v>
      </c>
      <c r="H42" s="22">
        <f t="shared" si="13"/>
        <v>0</v>
      </c>
      <c r="P42" s="90"/>
      <c r="Q42" s="102"/>
    </row>
    <row r="43" spans="2:17" ht="13.5" thickBot="1" x14ac:dyDescent="0.25">
      <c r="B43" s="80" t="s">
        <v>52</v>
      </c>
      <c r="C43" s="85" t="s">
        <v>52</v>
      </c>
      <c r="D43" s="63"/>
      <c r="E43" s="126"/>
      <c r="F43" s="120"/>
      <c r="G43" s="20"/>
      <c r="H43" s="48"/>
      <c r="P43" s="90"/>
      <c r="Q43" s="102"/>
    </row>
    <row r="44" spans="2:17" x14ac:dyDescent="0.2">
      <c r="B44" s="78" t="s">
        <v>59</v>
      </c>
      <c r="C44" s="86" t="s">
        <v>59</v>
      </c>
      <c r="D44" s="108">
        <v>1</v>
      </c>
      <c r="E44" s="134">
        <v>2425.4589000000001</v>
      </c>
      <c r="F44" s="115">
        <v>2544.4454999999998</v>
      </c>
      <c r="G44" s="2">
        <f>D44*E44*12</f>
        <v>29105.506800000003</v>
      </c>
      <c r="H44" s="22">
        <f>D44*F44*12</f>
        <v>30533.345999999998</v>
      </c>
      <c r="P44" s="90"/>
      <c r="Q44" s="102"/>
    </row>
    <row r="45" spans="2:17" x14ac:dyDescent="0.2">
      <c r="B45" s="78" t="s">
        <v>36</v>
      </c>
      <c r="C45" s="84" t="s">
        <v>36</v>
      </c>
      <c r="D45" s="109">
        <v>50</v>
      </c>
      <c r="E45" s="135">
        <v>47.161000000000001</v>
      </c>
      <c r="F45" s="116">
        <v>49.474499999999999</v>
      </c>
      <c r="G45" s="2">
        <f>D45*E45*12</f>
        <v>28296.600000000002</v>
      </c>
      <c r="H45" s="22">
        <f t="shared" ref="H45:H47" si="14">D45*F45*12</f>
        <v>29684.699999999997</v>
      </c>
      <c r="P45" s="90"/>
      <c r="Q45" s="102"/>
    </row>
    <row r="46" spans="2:17" x14ac:dyDescent="0.2">
      <c r="B46" s="78" t="s">
        <v>37</v>
      </c>
      <c r="C46" s="84" t="s">
        <v>37</v>
      </c>
      <c r="D46" s="109">
        <v>900</v>
      </c>
      <c r="E46" s="135">
        <v>16.3444</v>
      </c>
      <c r="F46" s="116">
        <v>17.1462</v>
      </c>
      <c r="G46" s="2">
        <f t="shared" ref="G46:G47" si="15">D46*E46*12</f>
        <v>176519.52000000002</v>
      </c>
      <c r="H46" s="22">
        <f>D46*F46*12</f>
        <v>185178.96</v>
      </c>
      <c r="P46" s="90"/>
      <c r="Q46" s="102"/>
    </row>
    <row r="47" spans="2:17" ht="13.5" thickBot="1" x14ac:dyDescent="0.25">
      <c r="B47" s="78" t="s">
        <v>34</v>
      </c>
      <c r="C47" s="84" t="s">
        <v>34</v>
      </c>
      <c r="D47" s="110">
        <v>2560</v>
      </c>
      <c r="E47" s="136">
        <v>8.2119999999999997</v>
      </c>
      <c r="F47" s="117">
        <v>8.6148000000000007</v>
      </c>
      <c r="G47" s="2">
        <f t="shared" si="15"/>
        <v>252272.64000000001</v>
      </c>
      <c r="H47" s="22">
        <f t="shared" si="14"/>
        <v>264646.65600000002</v>
      </c>
      <c r="P47" s="90"/>
      <c r="Q47" s="102"/>
    </row>
    <row r="48" spans="2:17" ht="13.5" thickBot="1" x14ac:dyDescent="0.25">
      <c r="B48" s="80" t="s">
        <v>53</v>
      </c>
      <c r="C48" s="85" t="s">
        <v>53</v>
      </c>
      <c r="D48" s="63"/>
      <c r="E48" s="126"/>
      <c r="F48" s="120"/>
      <c r="G48" s="20"/>
      <c r="H48" s="48"/>
      <c r="P48" s="90"/>
      <c r="Q48" s="102"/>
    </row>
    <row r="49" spans="2:17" x14ac:dyDescent="0.2">
      <c r="B49" s="78" t="s">
        <v>59</v>
      </c>
      <c r="C49" s="86" t="s">
        <v>59</v>
      </c>
      <c r="D49" s="108">
        <v>2</v>
      </c>
      <c r="E49" s="134">
        <v>3423.5931</v>
      </c>
      <c r="F49" s="115">
        <v>3591.5455000000002</v>
      </c>
      <c r="G49" s="2">
        <f>D49*E49*12</f>
        <v>82166.234400000001</v>
      </c>
      <c r="H49" s="22">
        <f>D49*F49*12</f>
        <v>86197.092000000004</v>
      </c>
      <c r="P49" s="90"/>
      <c r="Q49" s="102"/>
    </row>
    <row r="50" spans="2:17" x14ac:dyDescent="0.2">
      <c r="B50" s="78" t="s">
        <v>36</v>
      </c>
      <c r="C50" s="84" t="s">
        <v>36</v>
      </c>
      <c r="D50" s="109">
        <v>100</v>
      </c>
      <c r="E50" s="135">
        <v>68.861699999999999</v>
      </c>
      <c r="F50" s="116">
        <v>72.239800000000002</v>
      </c>
      <c r="G50" s="2">
        <f t="shared" ref="G50:G52" si="16">D50*E50*12</f>
        <v>82634.040000000008</v>
      </c>
      <c r="H50" s="22">
        <f t="shared" ref="H50:H52" si="17">D50*F50*12</f>
        <v>86687.760000000009</v>
      </c>
      <c r="P50" s="90"/>
      <c r="Q50" s="102"/>
    </row>
    <row r="51" spans="2:17" x14ac:dyDescent="0.2">
      <c r="B51" s="78" t="s">
        <v>37</v>
      </c>
      <c r="C51" s="84" t="s">
        <v>37</v>
      </c>
      <c r="D51" s="109">
        <v>224.99999999999997</v>
      </c>
      <c r="E51" s="135">
        <v>42.909799999999997</v>
      </c>
      <c r="F51" s="116">
        <v>45.014800000000001</v>
      </c>
      <c r="G51" s="2">
        <f t="shared" si="16"/>
        <v>115856.45999999998</v>
      </c>
      <c r="H51" s="22">
        <f t="shared" si="17"/>
        <v>121539.95999999998</v>
      </c>
      <c r="P51" s="90"/>
      <c r="Q51" s="102"/>
    </row>
    <row r="52" spans="2:17" ht="13.5" thickBot="1" x14ac:dyDescent="0.25">
      <c r="B52" s="78" t="s">
        <v>34</v>
      </c>
      <c r="C52" s="84" t="s">
        <v>34</v>
      </c>
      <c r="D52" s="110"/>
      <c r="E52" s="136">
        <v>8.9210999999999991</v>
      </c>
      <c r="F52" s="117">
        <v>9.3587000000000007</v>
      </c>
      <c r="G52" s="2">
        <f t="shared" si="16"/>
        <v>0</v>
      </c>
      <c r="H52" s="22">
        <f t="shared" si="17"/>
        <v>0</v>
      </c>
      <c r="P52" s="90"/>
      <c r="Q52" s="102"/>
    </row>
    <row r="53" spans="2:17" ht="13.5" thickBot="1" x14ac:dyDescent="0.25">
      <c r="B53" s="80" t="s">
        <v>54</v>
      </c>
      <c r="C53" s="85" t="s">
        <v>54</v>
      </c>
      <c r="D53" s="63"/>
      <c r="E53" s="126"/>
      <c r="F53" s="120"/>
      <c r="G53" s="20"/>
      <c r="H53" s="48"/>
      <c r="P53" s="90"/>
      <c r="Q53" s="102"/>
    </row>
    <row r="54" spans="2:17" x14ac:dyDescent="0.2">
      <c r="B54" s="78" t="s">
        <v>59</v>
      </c>
      <c r="C54" s="86" t="s">
        <v>59</v>
      </c>
      <c r="D54" s="108">
        <v>4</v>
      </c>
      <c r="E54" s="134">
        <v>2425.4589000000001</v>
      </c>
      <c r="F54" s="115">
        <v>2544.4454999999998</v>
      </c>
      <c r="G54" s="2">
        <f>D54*E54*12</f>
        <v>116422.02720000001</v>
      </c>
      <c r="H54" s="22">
        <f>D54*F54*12</f>
        <v>122133.38399999999</v>
      </c>
      <c r="P54" s="90"/>
      <c r="Q54" s="102"/>
    </row>
    <row r="55" spans="2:17" x14ac:dyDescent="0.2">
      <c r="B55" s="78" t="s">
        <v>36</v>
      </c>
      <c r="C55" s="84" t="s">
        <v>36</v>
      </c>
      <c r="D55" s="109">
        <v>200</v>
      </c>
      <c r="E55" s="135">
        <v>47.161000000000001</v>
      </c>
      <c r="F55" s="116">
        <v>49.474499999999999</v>
      </c>
      <c r="G55" s="2">
        <f t="shared" ref="G55:G57" si="18">D55*E55*12</f>
        <v>113186.40000000001</v>
      </c>
      <c r="H55" s="22">
        <f t="shared" ref="H55:H57" si="19">D55*F55*12</f>
        <v>118738.79999999999</v>
      </c>
      <c r="P55" s="90"/>
      <c r="Q55" s="102"/>
    </row>
    <row r="56" spans="2:17" x14ac:dyDescent="0.2">
      <c r="B56" s="78" t="s">
        <v>37</v>
      </c>
      <c r="C56" s="84" t="s">
        <v>37</v>
      </c>
      <c r="D56" s="109">
        <v>379.00000000000006</v>
      </c>
      <c r="E56" s="135">
        <v>24.341999999999999</v>
      </c>
      <c r="F56" s="116">
        <v>25.536100000000001</v>
      </c>
      <c r="G56" s="2">
        <f t="shared" si="18"/>
        <v>110707.416</v>
      </c>
      <c r="H56" s="22">
        <f t="shared" si="19"/>
        <v>116138.18280000001</v>
      </c>
      <c r="P56" s="90"/>
      <c r="Q56" s="102"/>
    </row>
    <row r="57" spans="2:17" ht="13.5" thickBot="1" x14ac:dyDescent="0.25">
      <c r="B57" s="78" t="s">
        <v>34</v>
      </c>
      <c r="C57" s="84" t="s">
        <v>34</v>
      </c>
      <c r="D57" s="110"/>
      <c r="E57" s="136">
        <v>8.9210999999999991</v>
      </c>
      <c r="F57" s="117">
        <v>9.3587000000000007</v>
      </c>
      <c r="G57" s="2">
        <f t="shared" si="18"/>
        <v>0</v>
      </c>
      <c r="H57" s="22">
        <f t="shared" si="19"/>
        <v>0</v>
      </c>
      <c r="P57" s="90"/>
      <c r="Q57" s="102"/>
    </row>
    <row r="58" spans="2:17" ht="13.5" thickBot="1" x14ac:dyDescent="0.25">
      <c r="B58" s="80" t="s">
        <v>55</v>
      </c>
      <c r="C58" s="85" t="s">
        <v>55</v>
      </c>
      <c r="D58" s="63"/>
      <c r="E58" s="126"/>
      <c r="F58" s="120"/>
      <c r="G58" s="20"/>
      <c r="H58" s="48"/>
      <c r="P58" s="90"/>
      <c r="Q58" s="102"/>
    </row>
    <row r="59" spans="2:17" x14ac:dyDescent="0.2">
      <c r="B59" s="78" t="s">
        <v>59</v>
      </c>
      <c r="C59" s="86" t="s">
        <v>59</v>
      </c>
      <c r="D59" s="108">
        <v>0</v>
      </c>
      <c r="E59" s="134">
        <v>3423.5931</v>
      </c>
      <c r="F59" s="115">
        <v>3591.5455000000002</v>
      </c>
      <c r="G59" s="2">
        <f>D59*E59*12</f>
        <v>0</v>
      </c>
      <c r="H59" s="22">
        <f>D59*F59*12</f>
        <v>0</v>
      </c>
      <c r="P59" s="90"/>
      <c r="Q59" s="102"/>
    </row>
    <row r="60" spans="2:17" x14ac:dyDescent="0.2">
      <c r="B60" s="78" t="s">
        <v>36</v>
      </c>
      <c r="C60" s="84" t="s">
        <v>36</v>
      </c>
      <c r="D60" s="109">
        <v>0</v>
      </c>
      <c r="E60" s="135">
        <v>68.861699999999999</v>
      </c>
      <c r="F60" s="116">
        <v>72.239800000000002</v>
      </c>
      <c r="G60" s="2">
        <f t="shared" ref="G60:G62" si="20">D60*E60*12</f>
        <v>0</v>
      </c>
      <c r="H60" s="22">
        <f t="shared" ref="H60:H62" si="21">D60*F60*12</f>
        <v>0</v>
      </c>
      <c r="P60" s="90"/>
      <c r="Q60" s="102"/>
    </row>
    <row r="61" spans="2:17" x14ac:dyDescent="0.2">
      <c r="B61" s="78" t="s">
        <v>37</v>
      </c>
      <c r="C61" s="84" t="s">
        <v>37</v>
      </c>
      <c r="D61" s="109">
        <v>0</v>
      </c>
      <c r="E61" s="135">
        <v>42.909799999999997</v>
      </c>
      <c r="F61" s="116">
        <v>45.014800000000001</v>
      </c>
      <c r="G61" s="2">
        <f t="shared" si="20"/>
        <v>0</v>
      </c>
      <c r="H61" s="22">
        <f t="shared" si="21"/>
        <v>0</v>
      </c>
      <c r="P61" s="90"/>
      <c r="Q61" s="102"/>
    </row>
    <row r="62" spans="2:17" ht="13.5" thickBot="1" x14ac:dyDescent="0.25">
      <c r="B62" s="78" t="s">
        <v>34</v>
      </c>
      <c r="C62" s="84" t="s">
        <v>34</v>
      </c>
      <c r="D62" s="110"/>
      <c r="E62" s="136">
        <v>8.9210999999999991</v>
      </c>
      <c r="F62" s="117">
        <v>9.3587000000000007</v>
      </c>
      <c r="G62" s="2">
        <f t="shared" si="20"/>
        <v>0</v>
      </c>
      <c r="H62" s="22">
        <f t="shared" si="21"/>
        <v>0</v>
      </c>
      <c r="P62" s="90"/>
      <c r="Q62" s="102"/>
    </row>
    <row r="63" spans="2:17" ht="13.5" thickBot="1" x14ac:dyDescent="0.25">
      <c r="B63" s="80" t="s">
        <v>56</v>
      </c>
      <c r="C63" s="85" t="s">
        <v>56</v>
      </c>
      <c r="D63" s="63"/>
      <c r="E63" s="126"/>
      <c r="F63" s="120"/>
      <c r="G63" s="20"/>
      <c r="H63" s="48"/>
      <c r="P63" s="90"/>
      <c r="Q63" s="102"/>
    </row>
    <row r="64" spans="2:17" x14ac:dyDescent="0.2">
      <c r="B64" s="78" t="s">
        <v>59</v>
      </c>
      <c r="C64" s="86" t="s">
        <v>59</v>
      </c>
      <c r="D64" s="108">
        <v>1</v>
      </c>
      <c r="E64" s="134">
        <v>2425.4589000000001</v>
      </c>
      <c r="F64" s="115">
        <v>2544.4454999999998</v>
      </c>
      <c r="G64" s="2">
        <f>D64*E64*12</f>
        <v>29105.506800000003</v>
      </c>
      <c r="H64" s="22">
        <f>D64*F64*12</f>
        <v>30533.345999999998</v>
      </c>
      <c r="P64" s="90"/>
      <c r="Q64" s="102"/>
    </row>
    <row r="65" spans="2:17" x14ac:dyDescent="0.2">
      <c r="B65" s="78" t="s">
        <v>36</v>
      </c>
      <c r="C65" s="84" t="s">
        <v>36</v>
      </c>
      <c r="D65" s="109">
        <v>25.999999999999996</v>
      </c>
      <c r="E65" s="135">
        <v>47.161000000000001</v>
      </c>
      <c r="F65" s="116">
        <v>49.474499999999999</v>
      </c>
      <c r="G65" s="2">
        <f t="shared" ref="G65:G67" si="22">D65*E65*12</f>
        <v>14714.232</v>
      </c>
      <c r="H65" s="22">
        <f t="shared" ref="H65:H67" si="23">D65*F65*12</f>
        <v>15436.043999999998</v>
      </c>
      <c r="P65" s="90"/>
      <c r="Q65" s="102"/>
    </row>
    <row r="66" spans="2:17" x14ac:dyDescent="0.2">
      <c r="B66" s="78" t="s">
        <v>37</v>
      </c>
      <c r="C66" s="84" t="s">
        <v>37</v>
      </c>
      <c r="D66" s="109"/>
      <c r="E66" s="135">
        <v>24.341999999999999</v>
      </c>
      <c r="F66" s="116">
        <v>25.536100000000001</v>
      </c>
      <c r="G66" s="2">
        <f t="shared" si="22"/>
        <v>0</v>
      </c>
      <c r="H66" s="22">
        <f t="shared" si="23"/>
        <v>0</v>
      </c>
      <c r="P66" s="90"/>
      <c r="Q66" s="102"/>
    </row>
    <row r="67" spans="2:17" ht="13.5" thickBot="1" x14ac:dyDescent="0.25">
      <c r="B67" s="78" t="s">
        <v>34</v>
      </c>
      <c r="C67" s="84" t="s">
        <v>34</v>
      </c>
      <c r="D67" s="110"/>
      <c r="E67" s="136">
        <v>8.9210999999999991</v>
      </c>
      <c r="F67" s="117">
        <v>9.3587000000000007</v>
      </c>
      <c r="G67" s="2">
        <f t="shared" si="22"/>
        <v>0</v>
      </c>
      <c r="H67" s="22">
        <f t="shared" si="23"/>
        <v>0</v>
      </c>
      <c r="P67" s="90"/>
      <c r="Q67" s="102"/>
    </row>
    <row r="68" spans="2:17" ht="6" customHeight="1" thickBot="1" x14ac:dyDescent="0.25">
      <c r="B68" s="45"/>
      <c r="C68" s="46"/>
      <c r="D68" s="64"/>
      <c r="E68" s="55"/>
      <c r="F68" s="123"/>
      <c r="G68" s="88"/>
      <c r="H68" s="23"/>
    </row>
    <row r="69" spans="2:17" ht="6" customHeight="1" x14ac:dyDescent="0.2"/>
    <row r="70" spans="2:17" x14ac:dyDescent="0.2">
      <c r="D70" s="57"/>
      <c r="E70" s="57"/>
      <c r="H70" s="89"/>
      <c r="Q70" s="90"/>
    </row>
    <row r="71" spans="2:17" x14ac:dyDescent="0.2">
      <c r="D71" s="56"/>
      <c r="E71" s="56"/>
      <c r="G71" s="56"/>
      <c r="H71" s="56"/>
      <c r="I71" s="56"/>
    </row>
    <row r="72" spans="2:17" x14ac:dyDescent="0.2">
      <c r="D72" s="13"/>
      <c r="E72" s="103"/>
      <c r="F72" s="112"/>
      <c r="G72" s="103"/>
      <c r="H72" s="103"/>
      <c r="I72" s="103"/>
    </row>
    <row r="73" spans="2:17" x14ac:dyDescent="0.2">
      <c r="E73" s="54"/>
      <c r="G73" s="62"/>
      <c r="H73" s="62"/>
      <c r="I73" s="62"/>
    </row>
    <row r="74" spans="2:17" x14ac:dyDescent="0.2">
      <c r="C74" s="54"/>
      <c r="D74" s="13"/>
      <c r="G74" s="90"/>
      <c r="H74" s="90"/>
      <c r="I74" s="90"/>
    </row>
    <row r="75" spans="2:17" x14ac:dyDescent="0.2">
      <c r="C75" s="54"/>
      <c r="D75" s="13"/>
      <c r="E75" s="56"/>
      <c r="G75" s="90"/>
      <c r="H75" s="90"/>
      <c r="I75" s="90"/>
    </row>
    <row r="76" spans="2:17" x14ac:dyDescent="0.2">
      <c r="C76" s="54"/>
      <c r="D76" s="13"/>
      <c r="E76" s="56"/>
      <c r="G76" s="56"/>
      <c r="H76" s="56"/>
      <c r="I76" s="56"/>
    </row>
    <row r="77" spans="2:17" x14ac:dyDescent="0.2">
      <c r="D77" s="13"/>
      <c r="E77" s="56"/>
    </row>
    <row r="78" spans="2:17" x14ac:dyDescent="0.2">
      <c r="D78" s="13"/>
    </row>
    <row r="79" spans="2:17" x14ac:dyDescent="0.2">
      <c r="D79" s="13"/>
    </row>
    <row r="92" spans="4:4" x14ac:dyDescent="0.2">
      <c r="D92" s="13"/>
    </row>
    <row r="93" spans="4:4" x14ac:dyDescent="0.2">
      <c r="D93" s="13"/>
    </row>
    <row r="94" spans="4:4" x14ac:dyDescent="0.2">
      <c r="D94" s="13"/>
    </row>
    <row r="95" spans="4:4" x14ac:dyDescent="0.2">
      <c r="D95" s="13"/>
    </row>
    <row r="96" spans="4:4" x14ac:dyDescent="0.2">
      <c r="D96" s="13"/>
    </row>
    <row r="97" spans="4:4" x14ac:dyDescent="0.2">
      <c r="D97" s="13"/>
    </row>
    <row r="98" spans="4:4" x14ac:dyDescent="0.2">
      <c r="D98" s="13"/>
    </row>
    <row r="99" spans="4:4" x14ac:dyDescent="0.2">
      <c r="D99" s="13"/>
    </row>
    <row r="100" spans="4:4" x14ac:dyDescent="0.2">
      <c r="D100" s="13"/>
    </row>
  </sheetData>
  <phoneticPr fontId="0" type="noConversion"/>
  <printOptions horizontalCentered="1"/>
  <pageMargins left="0.15748031496062992" right="0.15748031496062992" top="0.39370078740157483" bottom="0.39370078740157483" header="0.11811023622047245" footer="0.11811023622047245"/>
  <pageSetup paperSize="8" scale="78" orientation="landscape" r:id="rId1"/>
  <headerFooter alignWithMargins="0">
    <oddHeader>&amp;R&amp;"Arial,Bold Italic"&amp;8Printed:&amp;"Arial,Regular"&amp;10 &amp;8&amp;D &amp;T</oddHeader>
    <oddFooter>&amp;L&amp;"Arial,Bold Italic"&amp;8File:&amp;"Arial,Regular"&amp;10 &amp;8&amp;F&amp;10 &amp;"Arial,Bold Italic"&amp;8Worksheet:&amp;"Arial,Regular"&amp;10 &amp;8&amp;A&amp;R&amp;"Arial,Bold Italic"&amp;8Page:&amp;"Arial,Regular"&amp;10 &amp;8&amp;P&amp;10 &amp;"Arial,Bold Italic"&amp;8of&amp;"Arial,Regular"&amp;10 &amp;8&amp;N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B1:F57"/>
  <sheetViews>
    <sheetView view="pageBreakPreview" zoomScaleNormal="85" zoomScaleSheetLayoutView="100" workbookViewId="0">
      <selection activeCell="J63" sqref="J63"/>
    </sheetView>
  </sheetViews>
  <sheetFormatPr defaultRowHeight="12.75" x14ac:dyDescent="0.2"/>
  <cols>
    <col min="1" max="1" width="1.625" style="1" customWidth="1"/>
    <col min="2" max="2" width="34.125" style="1" customWidth="1"/>
    <col min="3" max="3" width="14.625" style="1" customWidth="1"/>
    <col min="4" max="4" width="4.625" style="1" customWidth="1"/>
    <col min="5" max="5" width="6.375" style="1" customWidth="1"/>
    <col min="6" max="6" width="4.5" style="1" customWidth="1"/>
    <col min="7" max="7" width="11.25" style="1" customWidth="1"/>
    <col min="8" max="8" width="7.5" style="1" customWidth="1"/>
    <col min="9" max="16384" width="9" style="1"/>
  </cols>
  <sheetData>
    <row r="1" spans="2:5" ht="14.25" x14ac:dyDescent="0.2">
      <c r="B1" s="28" t="str">
        <f>'Prop2018-19DistTar'!B1</f>
        <v>Tariff Approval - Australian Gas Networks (South Australia)</v>
      </c>
    </row>
    <row r="2" spans="2:5" ht="6" customHeight="1" x14ac:dyDescent="0.2"/>
    <row r="3" spans="2:5" x14ac:dyDescent="0.2">
      <c r="B3" s="29" t="s">
        <v>78</v>
      </c>
    </row>
    <row r="4" spans="2:5" ht="6" customHeight="1" thickBot="1" x14ac:dyDescent="0.25"/>
    <row r="5" spans="2:5" ht="6" customHeight="1" x14ac:dyDescent="0.2">
      <c r="B5" s="5"/>
      <c r="C5" s="6"/>
      <c r="D5" s="105"/>
      <c r="E5" s="104"/>
    </row>
    <row r="6" spans="2:5" x14ac:dyDescent="0.2">
      <c r="B6" s="24" t="s">
        <v>0</v>
      </c>
      <c r="C6" s="4"/>
      <c r="D6" s="7"/>
    </row>
    <row r="7" spans="2:5" ht="6" customHeight="1" x14ac:dyDescent="0.2">
      <c r="B7" s="24"/>
      <c r="C7" s="4"/>
      <c r="D7" s="7"/>
    </row>
    <row r="8" spans="2:5" x14ac:dyDescent="0.2">
      <c r="B8" s="67" t="s">
        <v>71</v>
      </c>
      <c r="C8" s="65">
        <v>110</v>
      </c>
      <c r="D8" s="7"/>
    </row>
    <row r="9" spans="2:5" x14ac:dyDescent="0.2">
      <c r="B9" s="67" t="s">
        <v>75</v>
      </c>
      <c r="C9" s="111">
        <v>112.1</v>
      </c>
      <c r="D9" s="7"/>
    </row>
    <row r="10" spans="2:5" ht="6" customHeight="1" x14ac:dyDescent="0.2">
      <c r="B10" s="3"/>
      <c r="C10" s="4"/>
      <c r="D10" s="7"/>
    </row>
    <row r="11" spans="2:5" x14ac:dyDescent="0.2">
      <c r="B11" s="67" t="s">
        <v>65</v>
      </c>
      <c r="C11" s="124">
        <f>(C9/C8-1)</f>
        <v>1.9090909090909047E-2</v>
      </c>
      <c r="D11" s="7"/>
    </row>
    <row r="12" spans="2:5" ht="6" customHeight="1" thickBot="1" x14ac:dyDescent="0.25">
      <c r="B12" s="8"/>
      <c r="C12" s="26"/>
      <c r="D12" s="10"/>
    </row>
    <row r="13" spans="2:5" ht="6" customHeight="1" thickBot="1" x14ac:dyDescent="0.25">
      <c r="B13" s="13"/>
      <c r="C13" s="13"/>
      <c r="D13" s="13"/>
    </row>
    <row r="14" spans="2:5" ht="6" customHeight="1" x14ac:dyDescent="0.2">
      <c r="B14" s="5"/>
      <c r="C14" s="6"/>
      <c r="D14" s="11"/>
    </row>
    <row r="15" spans="2:5" x14ac:dyDescent="0.2">
      <c r="B15" s="24" t="s">
        <v>1</v>
      </c>
      <c r="C15" s="4"/>
      <c r="D15" s="7"/>
    </row>
    <row r="16" spans="2:5" ht="6" customHeight="1" x14ac:dyDescent="0.2">
      <c r="B16" s="3"/>
      <c r="C16" s="4"/>
      <c r="D16" s="7"/>
    </row>
    <row r="17" spans="2:6" x14ac:dyDescent="0.2">
      <c r="B17" s="67" t="s">
        <v>77</v>
      </c>
      <c r="C17" s="141">
        <v>-3.3036221782761561E-2</v>
      </c>
      <c r="D17" s="7"/>
    </row>
    <row r="18" spans="2:6" ht="6" customHeight="1" thickBot="1" x14ac:dyDescent="0.25">
      <c r="B18" s="8"/>
      <c r="C18" s="27"/>
      <c r="D18" s="10"/>
    </row>
    <row r="19" spans="2:6" ht="6.75" customHeight="1" thickBot="1" x14ac:dyDescent="0.25"/>
    <row r="20" spans="2:6" ht="6" customHeight="1" x14ac:dyDescent="0.2">
      <c r="B20" s="130"/>
      <c r="C20" s="6"/>
      <c r="D20" s="11"/>
    </row>
    <row r="21" spans="2:6" x14ac:dyDescent="0.2">
      <c r="B21" s="24" t="s">
        <v>83</v>
      </c>
      <c r="C21" s="4"/>
      <c r="D21" s="7"/>
      <c r="F21" s="140"/>
    </row>
    <row r="22" spans="2:6" ht="6" customHeight="1" x14ac:dyDescent="0.2">
      <c r="B22" s="24"/>
      <c r="C22" s="4"/>
      <c r="D22" s="7"/>
    </row>
    <row r="23" spans="2:6" x14ac:dyDescent="0.2">
      <c r="B23" s="67" t="s">
        <v>86</v>
      </c>
      <c r="C23" s="141">
        <f>UAFG!C27</f>
        <v>-3.5150055659787238E-3</v>
      </c>
      <c r="D23" s="7"/>
    </row>
    <row r="24" spans="2:6" ht="13.5" thickBot="1" x14ac:dyDescent="0.25">
      <c r="B24" s="8"/>
      <c r="C24" s="27"/>
      <c r="D24" s="10"/>
    </row>
    <row r="25" spans="2:6" ht="6.75" customHeight="1" thickBot="1" x14ac:dyDescent="0.25"/>
    <row r="26" spans="2:6" ht="6" customHeight="1" x14ac:dyDescent="0.2">
      <c r="B26" s="130"/>
      <c r="C26" s="6"/>
      <c r="D26" s="11"/>
    </row>
    <row r="27" spans="2:6" x14ac:dyDescent="0.2">
      <c r="B27" s="24" t="s">
        <v>84</v>
      </c>
      <c r="C27" s="4"/>
      <c r="D27" s="7"/>
    </row>
    <row r="28" spans="2:6" ht="6" customHeight="1" x14ac:dyDescent="0.2">
      <c r="B28" s="24"/>
      <c r="C28" s="4"/>
      <c r="D28" s="7"/>
    </row>
    <row r="29" spans="2:6" x14ac:dyDescent="0.2">
      <c r="B29" s="67" t="s">
        <v>85</v>
      </c>
      <c r="C29" s="113">
        <v>0</v>
      </c>
      <c r="D29" s="7"/>
    </row>
    <row r="30" spans="2:6" ht="13.5" thickBot="1" x14ac:dyDescent="0.25">
      <c r="B30" s="8"/>
      <c r="C30" s="27"/>
      <c r="D30" s="10"/>
    </row>
    <row r="31" spans="2:6" ht="6.75" customHeight="1" thickBot="1" x14ac:dyDescent="0.25"/>
    <row r="32" spans="2:6" ht="2.25" customHeight="1" x14ac:dyDescent="0.2">
      <c r="B32" s="5"/>
      <c r="C32" s="6"/>
      <c r="D32" s="11"/>
    </row>
    <row r="33" spans="2:4" x14ac:dyDescent="0.2">
      <c r="B33" s="24" t="s">
        <v>66</v>
      </c>
      <c r="C33" s="4"/>
      <c r="D33" s="7"/>
    </row>
    <row r="34" spans="2:4" x14ac:dyDescent="0.2">
      <c r="B34" s="3"/>
      <c r="C34" s="4"/>
      <c r="D34" s="7"/>
    </row>
    <row r="35" spans="2:4" x14ac:dyDescent="0.2">
      <c r="B35" s="3" t="s">
        <v>2</v>
      </c>
      <c r="C35" s="66">
        <f>(1+C11)*(1-C17)*(1+C23)*(1+C29)</f>
        <v>1.0490573727751376</v>
      </c>
      <c r="D35" s="7"/>
    </row>
    <row r="36" spans="2:4" x14ac:dyDescent="0.2">
      <c r="B36" s="3"/>
      <c r="C36" s="30"/>
      <c r="D36" s="7"/>
    </row>
    <row r="37" spans="2:4" x14ac:dyDescent="0.2">
      <c r="B37" s="92" t="s">
        <v>60</v>
      </c>
      <c r="C37" s="93"/>
      <c r="D37" s="94"/>
    </row>
    <row r="38" spans="2:4" x14ac:dyDescent="0.2">
      <c r="B38" s="3" t="s">
        <v>3</v>
      </c>
      <c r="C38" s="21">
        <f>SUM('Prop2018-19DistTar'!H7:H10,'Prop2018-19DistTar'!H18:H21)</f>
        <v>169857648.51223165</v>
      </c>
      <c r="D38" s="7"/>
    </row>
    <row r="39" spans="2:4" x14ac:dyDescent="0.2">
      <c r="B39" s="3" t="s">
        <v>4</v>
      </c>
      <c r="C39" s="2">
        <f>SUM('Prop2018-19DistTar'!G7:G10,'Prop2018-19DistTar'!G18:G21)</f>
        <v>161914611.80361858</v>
      </c>
      <c r="D39" s="7"/>
    </row>
    <row r="40" spans="2:4" x14ac:dyDescent="0.2">
      <c r="B40" s="3" t="s">
        <v>5</v>
      </c>
      <c r="C40" s="91">
        <f>IF(C38="","",C38/C39)</f>
        <v>1.0490569481045167</v>
      </c>
      <c r="D40" s="7"/>
    </row>
    <row r="41" spans="2:4" x14ac:dyDescent="0.2">
      <c r="B41" s="3"/>
      <c r="C41" s="4"/>
      <c r="D41" s="7"/>
    </row>
    <row r="42" spans="2:4" x14ac:dyDescent="0.2">
      <c r="B42" s="142" t="str">
        <f>IF(C38="","",IF(C35&gt;=C40,"DISTRIBUTION PRICE CONTROL FORMULA COMPLIANT","DISTRIBUTION PRICE CONTROL FORMULA BREACHED"))</f>
        <v>DISTRIBUTION PRICE CONTROL FORMULA COMPLIANT</v>
      </c>
      <c r="C42" s="143"/>
      <c r="D42" s="144"/>
    </row>
    <row r="43" spans="2:4" x14ac:dyDescent="0.2">
      <c r="B43" s="96"/>
      <c r="C43" s="97"/>
      <c r="D43" s="98"/>
    </row>
    <row r="44" spans="2:4" x14ac:dyDescent="0.2">
      <c r="B44" s="92" t="s">
        <v>62</v>
      </c>
      <c r="C44" s="95"/>
      <c r="D44" s="94"/>
    </row>
    <row r="45" spans="2:4" x14ac:dyDescent="0.2">
      <c r="B45" s="3" t="s">
        <v>3</v>
      </c>
      <c r="C45" s="21">
        <f>SUM('Prop2018-19DistTar'!H12:H16,'Prop2018-19DistTar'!H23:H27)</f>
        <v>30644561.615279723</v>
      </c>
      <c r="D45" s="7"/>
    </row>
    <row r="46" spans="2:4" x14ac:dyDescent="0.2">
      <c r="B46" s="3" t="s">
        <v>4</v>
      </c>
      <c r="C46" s="2">
        <f>SUM('Prop2018-19DistTar'!G12:G16,'Prop2018-19DistTar'!G23:G27)</f>
        <v>29211534.166408133</v>
      </c>
      <c r="D46" s="7"/>
    </row>
    <row r="47" spans="2:4" x14ac:dyDescent="0.2">
      <c r="B47" s="3" t="s">
        <v>5</v>
      </c>
      <c r="C47" s="91">
        <f>IF(C45="","",C45/C46)</f>
        <v>1.0490569047386598</v>
      </c>
      <c r="D47" s="7"/>
    </row>
    <row r="48" spans="2:4" x14ac:dyDescent="0.2">
      <c r="B48" s="3"/>
      <c r="C48" s="4"/>
      <c r="D48" s="7"/>
    </row>
    <row r="49" spans="2:4" x14ac:dyDescent="0.2">
      <c r="B49" s="131" t="str">
        <f>IF(C45="","",IF(C35&gt;=C47,"DISTRIBUTION PRICE CONTROL FORMULA COMPLIANT","DISTRIBUTION PRICE CONTROL FORMULA BREACHED"))</f>
        <v>DISTRIBUTION PRICE CONTROL FORMULA COMPLIANT</v>
      </c>
      <c r="C49" s="128"/>
      <c r="D49" s="129"/>
    </row>
    <row r="50" spans="2:4" x14ac:dyDescent="0.2">
      <c r="B50" s="96"/>
      <c r="C50" s="97"/>
      <c r="D50" s="98"/>
    </row>
    <row r="51" spans="2:4" x14ac:dyDescent="0.2">
      <c r="B51" s="24" t="s">
        <v>61</v>
      </c>
      <c r="C51" s="4"/>
      <c r="D51" s="7"/>
    </row>
    <row r="52" spans="2:4" x14ac:dyDescent="0.2">
      <c r="B52" s="3" t="s">
        <v>3</v>
      </c>
      <c r="C52" s="21">
        <f>SUM('Prop2018-19DistTar'!H29:H67)</f>
        <v>18550553.864400003</v>
      </c>
      <c r="D52" s="7"/>
    </row>
    <row r="53" spans="2:4" x14ac:dyDescent="0.2">
      <c r="B53" s="3" t="s">
        <v>4</v>
      </c>
      <c r="C53" s="2">
        <f>SUM('Prop2018-19DistTar'!G29:G67)</f>
        <v>17683104.029999997</v>
      </c>
      <c r="D53" s="7"/>
    </row>
    <row r="54" spans="2:4" x14ac:dyDescent="0.2">
      <c r="B54" s="3" t="s">
        <v>5</v>
      </c>
      <c r="C54" s="91">
        <f>IF(C52="","",C52/C53)</f>
        <v>1.049055292155062</v>
      </c>
      <c r="D54" s="7"/>
    </row>
    <row r="55" spans="2:4" x14ac:dyDescent="0.2">
      <c r="B55" s="3"/>
      <c r="C55" s="4"/>
      <c r="D55" s="7"/>
    </row>
    <row r="56" spans="2:4" x14ac:dyDescent="0.2">
      <c r="B56" s="131" t="str">
        <f>IF(C52="","",IF(C35&gt;=C54,"DISTRIBUTION PRICE CONTROL FORMULA COMPLIANT","DISTRIBUTION PRICE CONTROL FORMULA BREACHED"))</f>
        <v>DISTRIBUTION PRICE CONTROL FORMULA COMPLIANT</v>
      </c>
      <c r="C56" s="128"/>
      <c r="D56" s="129"/>
    </row>
    <row r="57" spans="2:4" ht="13.5" thickBot="1" x14ac:dyDescent="0.25">
      <c r="B57" s="8"/>
      <c r="C57" s="9"/>
      <c r="D57" s="10"/>
    </row>
  </sheetData>
  <mergeCells count="1">
    <mergeCell ref="B42:D42"/>
  </mergeCells>
  <phoneticPr fontId="0" type="noConversion"/>
  <printOptions horizontalCentered="1"/>
  <pageMargins left="0.15748031496063" right="0.15748031496063" top="0.39370078740157499" bottom="0.39370078740157499" header="0.11811023622047198" footer="0.11811023622047198"/>
  <pageSetup paperSize="9" orientation="portrait" r:id="rId1"/>
  <headerFooter alignWithMargins="0">
    <oddHeader>&amp;R&amp;"Arial,Bold Italic"&amp;8Printed:&amp;"Arial,Regular"&amp;10 &amp;8&amp;D &amp;T</oddHeader>
    <oddFooter>&amp;L&amp;"Arial,Bold Italic"&amp;8File:&amp;"Arial,Regular"&amp;10 &amp;8&amp;F&amp;10 &amp;"Arial,Bold Italic"&amp;8Worksheet:&amp;"Arial,Regular"&amp;10 &amp;8&amp;A&amp;R&amp;"Arial,Bold Italic"&amp;8Page:&amp;"Arial,Regular"&amp;10 &amp;8&amp;P&amp;10 &amp;"Arial,Bold Italic"&amp;8of&amp;"Arial,Regular"&amp;10 &amp;8&amp;N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B1:L321"/>
  <sheetViews>
    <sheetView view="pageBreakPreview" zoomScale="60" zoomScaleNormal="85" workbookViewId="0">
      <pane ySplit="33" topLeftCell="A34" activePane="bottomLeft" state="frozen"/>
      <selection activeCell="D47" sqref="D47"/>
      <selection pane="bottomLeft" activeCell="E56" sqref="E56"/>
    </sheetView>
  </sheetViews>
  <sheetFormatPr defaultRowHeight="12.75" x14ac:dyDescent="0.2"/>
  <cols>
    <col min="1" max="1" width="1.625" style="1" customWidth="1"/>
    <col min="2" max="2" width="56" style="1" customWidth="1"/>
    <col min="3" max="4" width="14.625" style="1" bestFit="1" customWidth="1"/>
    <col min="5" max="5" width="13.125" style="1" customWidth="1"/>
    <col min="6" max="6" width="12" style="1" bestFit="1" customWidth="1"/>
    <col min="7" max="7" width="10.875" style="1" bestFit="1" customWidth="1"/>
    <col min="8" max="8" width="11.875" style="1" bestFit="1" customWidth="1"/>
    <col min="9" max="11" width="10.875" style="1" bestFit="1" customWidth="1"/>
    <col min="12" max="12" width="1.625" style="1" customWidth="1"/>
    <col min="13" max="16384" width="9" style="1"/>
  </cols>
  <sheetData>
    <row r="1" spans="2:7" ht="14.25" x14ac:dyDescent="0.2">
      <c r="B1" s="28" t="str">
        <f>'2018-19TarContForm'!B1</f>
        <v>Tariff Approval - Australian Gas Networks (South Australia)</v>
      </c>
    </row>
    <row r="2" spans="2:7" ht="6" customHeight="1" x14ac:dyDescent="0.2"/>
    <row r="3" spans="2:7" x14ac:dyDescent="0.2">
      <c r="B3" s="29" t="s">
        <v>70</v>
      </c>
    </row>
    <row r="4" spans="2:7" ht="6" customHeight="1" thickBot="1" x14ac:dyDescent="0.25">
      <c r="B4" s="29"/>
    </row>
    <row r="5" spans="2:7" ht="6" customHeight="1" x14ac:dyDescent="0.2">
      <c r="B5" s="5"/>
      <c r="C5" s="6"/>
      <c r="D5" s="11"/>
    </row>
    <row r="6" spans="2:7" x14ac:dyDescent="0.2">
      <c r="B6" s="24" t="s">
        <v>6</v>
      </c>
      <c r="C6" s="4"/>
      <c r="D6" s="7"/>
    </row>
    <row r="7" spans="2:7" ht="6" customHeight="1" x14ac:dyDescent="0.2">
      <c r="B7" s="3"/>
      <c r="C7" s="4"/>
      <c r="D7" s="7"/>
    </row>
    <row r="8" spans="2:7" x14ac:dyDescent="0.2">
      <c r="B8" s="67" t="s">
        <v>80</v>
      </c>
      <c r="C8" s="99">
        <f>'2018-19TarContForm'!C11</f>
        <v>1.9090909090909047E-2</v>
      </c>
      <c r="D8" s="7"/>
    </row>
    <row r="9" spans="2:7" x14ac:dyDescent="0.2">
      <c r="B9" s="67" t="s">
        <v>81</v>
      </c>
      <c r="C9" s="100">
        <f>'2018-19TarContForm'!C17</f>
        <v>-3.3036221782761561E-2</v>
      </c>
      <c r="D9" s="7"/>
    </row>
    <row r="10" spans="2:7" x14ac:dyDescent="0.2">
      <c r="B10" s="67" t="s">
        <v>87</v>
      </c>
      <c r="C10" s="100">
        <f>'2018-19TarContForm'!C23</f>
        <v>-3.5150055659787238E-3</v>
      </c>
      <c r="D10" s="7"/>
      <c r="G10" s="52"/>
    </row>
    <row r="11" spans="2:7" x14ac:dyDescent="0.2">
      <c r="B11" s="67" t="s">
        <v>88</v>
      </c>
      <c r="C11" s="100">
        <f>'2018-19TarContForm'!C29</f>
        <v>0</v>
      </c>
      <c r="D11" s="7"/>
      <c r="G11" s="52"/>
    </row>
    <row r="12" spans="2:7" x14ac:dyDescent="0.2">
      <c r="B12" s="67" t="s">
        <v>82</v>
      </c>
      <c r="C12" s="101">
        <v>0.02</v>
      </c>
      <c r="D12" s="7"/>
      <c r="G12" s="52"/>
    </row>
    <row r="13" spans="2:7" ht="6" customHeight="1" x14ac:dyDescent="0.2">
      <c r="B13" s="3"/>
      <c r="C13" s="4"/>
      <c r="D13" s="7"/>
    </row>
    <row r="14" spans="2:7" x14ac:dyDescent="0.2">
      <c r="B14" s="3" t="s">
        <v>6</v>
      </c>
      <c r="C14" s="114">
        <f>(1+C8)*(1+C10)*(1+C11)*(1+C12)*(1-C9)</f>
        <v>1.0700385202306404</v>
      </c>
      <c r="D14" s="7"/>
    </row>
    <row r="15" spans="2:7" ht="6" customHeight="1" thickBot="1" x14ac:dyDescent="0.25">
      <c r="B15" s="8"/>
      <c r="C15" s="9"/>
      <c r="D15" s="10"/>
    </row>
    <row r="16" spans="2:7" ht="6" customHeight="1" thickBot="1" x14ac:dyDescent="0.25"/>
    <row r="17" spans="2:6" ht="6" customHeight="1" x14ac:dyDescent="0.2">
      <c r="B17" s="5"/>
      <c r="C17" s="6"/>
      <c r="D17" s="6"/>
      <c r="E17" s="6"/>
      <c r="F17" s="11"/>
    </row>
    <row r="18" spans="2:6" x14ac:dyDescent="0.2">
      <c r="B18" s="24" t="s">
        <v>13</v>
      </c>
      <c r="C18" s="4"/>
      <c r="D18" s="4"/>
      <c r="E18" s="4"/>
      <c r="F18" s="7"/>
    </row>
    <row r="19" spans="2:6" x14ac:dyDescent="0.2">
      <c r="B19" s="3"/>
      <c r="C19" s="41" t="s">
        <v>14</v>
      </c>
      <c r="D19" s="41" t="s">
        <v>15</v>
      </c>
      <c r="E19" s="41" t="s">
        <v>16</v>
      </c>
      <c r="F19" s="58" t="s">
        <v>25</v>
      </c>
    </row>
    <row r="20" spans="2:6" x14ac:dyDescent="0.2">
      <c r="B20" s="3" t="str">
        <f>B36</f>
        <v>Tariff R - Envestra South Australia (excl Tanunda)</v>
      </c>
      <c r="C20" s="35">
        <f>C51</f>
        <v>161856595.67604342</v>
      </c>
      <c r="D20" s="35">
        <f>C52</f>
        <v>169796807.36056852</v>
      </c>
      <c r="E20" s="32">
        <f t="shared" ref="E20:E31" si="0">IF(C20=0,0,D20/C20)</f>
        <v>1.0490570782819222</v>
      </c>
      <c r="F20" s="59" t="str">
        <f>IF(E20=0,"",IF($C$14&lt;E20,"Breached","Compliant"))</f>
        <v>Compliant</v>
      </c>
    </row>
    <row r="21" spans="2:6" x14ac:dyDescent="0.2">
      <c r="B21" s="3" t="str">
        <f>B60</f>
        <v>Tariff C - Envestra South Australia (excl Tanunda)</v>
      </c>
      <c r="C21" s="36">
        <f>C75</f>
        <v>29094251.391487475</v>
      </c>
      <c r="D21" s="36">
        <f>C76</f>
        <v>30522000.672666024</v>
      </c>
      <c r="E21" s="33">
        <f t="shared" si="0"/>
        <v>1.0490732434379215</v>
      </c>
      <c r="F21" s="60" t="str">
        <f t="shared" ref="F21:F31" si="1">IF(E21=0,"",IF($C$14&lt;E21,"Breached","Compliant"))</f>
        <v>Compliant</v>
      </c>
    </row>
    <row r="22" spans="2:6" x14ac:dyDescent="0.2">
      <c r="B22" s="3" t="str">
        <f>B84</f>
        <v>Tariff R - Envestra Tanunda</v>
      </c>
      <c r="C22" s="36">
        <f>C99</f>
        <v>58016.127575159997</v>
      </c>
      <c r="D22" s="36">
        <f>C100</f>
        <v>60841.151663119999</v>
      </c>
      <c r="E22" s="33">
        <f t="shared" si="0"/>
        <v>1.0486937719912481</v>
      </c>
      <c r="F22" s="60" t="str">
        <f>IF(E22=0,"",IF($C$14&lt;E22,"Breached","Compliant"))</f>
        <v>Compliant</v>
      </c>
    </row>
    <row r="23" spans="2:6" x14ac:dyDescent="0.2">
      <c r="B23" s="3" t="str">
        <f>B108</f>
        <v>Tariff C - Envestra Tanunda</v>
      </c>
      <c r="C23" s="36">
        <f>C123</f>
        <v>117282.77492065998</v>
      </c>
      <c r="D23" s="36">
        <f>C124</f>
        <v>122560.9426137</v>
      </c>
      <c r="E23" s="33">
        <f t="shared" si="0"/>
        <v>1.0450037756747366</v>
      </c>
      <c r="F23" s="60" t="str">
        <f t="shared" si="1"/>
        <v>Compliant</v>
      </c>
    </row>
    <row r="24" spans="2:6" x14ac:dyDescent="0.2">
      <c r="B24" s="3" t="str">
        <f>B132</f>
        <v>Tariff D - Envestra Adelaide Northern</v>
      </c>
      <c r="C24" s="36">
        <f>C147</f>
        <v>10426996.9452</v>
      </c>
      <c r="D24" s="36">
        <f>C148</f>
        <v>10938490.233599998</v>
      </c>
      <c r="E24" s="33">
        <f t="shared" si="0"/>
        <v>1.0490547078020831</v>
      </c>
      <c r="F24" s="60" t="str">
        <f t="shared" si="1"/>
        <v>Compliant</v>
      </c>
    </row>
    <row r="25" spans="2:6" x14ac:dyDescent="0.2">
      <c r="B25" s="3" t="str">
        <f>B156</f>
        <v>Tariff D - Envestra Adelaide Central</v>
      </c>
      <c r="C25" s="36">
        <f>C171</f>
        <v>4983769.1207999997</v>
      </c>
      <c r="D25" s="36">
        <f>C172</f>
        <v>5228254.322399999</v>
      </c>
      <c r="E25" s="33">
        <f t="shared" si="0"/>
        <v>1.0490562856492747</v>
      </c>
      <c r="F25" s="60" t="str">
        <f t="shared" si="1"/>
        <v>Compliant</v>
      </c>
    </row>
    <row r="26" spans="2:6" x14ac:dyDescent="0.2">
      <c r="B26" s="3" t="str">
        <f>B180</f>
        <v>Tariff D - Envestra Adelaide Southern</v>
      </c>
      <c r="C26" s="36">
        <f>C195</f>
        <v>1121351.3808000002</v>
      </c>
      <c r="D26" s="36">
        <f>C196</f>
        <v>1176361.0776000002</v>
      </c>
      <c r="E26" s="33">
        <f t="shared" si="0"/>
        <v>1.0490566094998293</v>
      </c>
      <c r="F26" s="60" t="str">
        <f t="shared" si="1"/>
        <v>Compliant</v>
      </c>
    </row>
    <row r="27" spans="2:6" x14ac:dyDescent="0.2">
      <c r="B27" s="3" t="str">
        <f>B204</f>
        <v>Tariff D - Envestra Port Pirie</v>
      </c>
      <c r="C27" s="36">
        <f>C219</f>
        <v>486194.26680000004</v>
      </c>
      <c r="D27" s="36">
        <f>C220</f>
        <v>510043.66200000001</v>
      </c>
      <c r="E27" s="33">
        <f t="shared" si="0"/>
        <v>1.0490532217851318</v>
      </c>
      <c r="F27" s="60" t="str">
        <f t="shared" si="1"/>
        <v>Compliant</v>
      </c>
    </row>
    <row r="28" spans="2:6" x14ac:dyDescent="0.2">
      <c r="B28" s="3" t="str">
        <f>B228</f>
        <v>Tariff D - Envestra Riverland</v>
      </c>
      <c r="C28" s="36">
        <f>C243</f>
        <v>280656.73439999996</v>
      </c>
      <c r="D28" s="36">
        <f>C244</f>
        <v>294424.81199999998</v>
      </c>
      <c r="E28" s="33">
        <f t="shared" si="0"/>
        <v>1.0490566443361282</v>
      </c>
      <c r="F28" s="60" t="str">
        <f t="shared" si="1"/>
        <v>Compliant</v>
      </c>
    </row>
    <row r="29" spans="2:6" x14ac:dyDescent="0.2">
      <c r="B29" s="3" t="str">
        <f>B252</f>
        <v>Tariff D - Envestra South East</v>
      </c>
      <c r="C29" s="36">
        <f>C267</f>
        <v>340315.8432</v>
      </c>
      <c r="D29" s="36">
        <f>C268</f>
        <v>357010.36679999996</v>
      </c>
      <c r="E29" s="33">
        <f t="shared" si="0"/>
        <v>1.049055969428343</v>
      </c>
      <c r="F29" s="60" t="str">
        <f t="shared" si="1"/>
        <v>Compliant</v>
      </c>
    </row>
    <row r="30" spans="2:6" x14ac:dyDescent="0.2">
      <c r="B30" s="3" t="str">
        <f>B276</f>
        <v>Tariff D - Envestra Peterborough</v>
      </c>
      <c r="C30" s="36">
        <f>C291</f>
        <v>0</v>
      </c>
      <c r="D30" s="36">
        <f>C292</f>
        <v>0</v>
      </c>
      <c r="E30" s="33">
        <f t="shared" si="0"/>
        <v>0</v>
      </c>
      <c r="F30" s="60" t="str">
        <f>IF(E30=0,"",IF($C$14&lt;E30,"Breached","Compliant"))</f>
        <v/>
      </c>
    </row>
    <row r="31" spans="2:6" x14ac:dyDescent="0.2">
      <c r="B31" s="3" t="str">
        <f>B300</f>
        <v>Tariff D - Envestra Whyalla</v>
      </c>
      <c r="C31" s="37">
        <f>C315</f>
        <v>43819.738800000006</v>
      </c>
      <c r="D31" s="37">
        <f>C316</f>
        <v>45969.39</v>
      </c>
      <c r="E31" s="34">
        <f t="shared" si="0"/>
        <v>1.0490566867550564</v>
      </c>
      <c r="F31" s="61" t="str">
        <f t="shared" si="1"/>
        <v>Compliant</v>
      </c>
    </row>
    <row r="32" spans="2:6" ht="13.5" thickBot="1" x14ac:dyDescent="0.25">
      <c r="B32" s="3"/>
      <c r="C32" s="42">
        <f>SUM(C20:C31)</f>
        <v>208809250.0000267</v>
      </c>
      <c r="D32" s="42">
        <f>SUM(D20:D31)</f>
        <v>219052763.99191135</v>
      </c>
      <c r="E32" s="43">
        <f>IF(C32=0,0,D32/C32)</f>
        <v>1.0490568018030013</v>
      </c>
      <c r="F32" s="7"/>
    </row>
    <row r="33" spans="2:12" ht="6" customHeight="1" thickTop="1" thickBot="1" x14ac:dyDescent="0.25">
      <c r="B33" s="8"/>
      <c r="C33" s="9"/>
      <c r="D33" s="9"/>
      <c r="E33" s="9"/>
      <c r="F33" s="10"/>
    </row>
    <row r="34" spans="2:12" ht="5.25" customHeight="1" thickBot="1" x14ac:dyDescent="0.25"/>
    <row r="35" spans="2:12" ht="6" customHeight="1" x14ac:dyDescent="0.2">
      <c r="B35" s="5"/>
      <c r="C35" s="6"/>
      <c r="D35" s="6"/>
      <c r="E35" s="6"/>
      <c r="F35" s="6"/>
      <c r="G35" s="6"/>
      <c r="H35" s="6"/>
      <c r="I35" s="6"/>
      <c r="J35" s="6"/>
      <c r="K35" s="6"/>
      <c r="L35" s="11"/>
    </row>
    <row r="36" spans="2:12" x14ac:dyDescent="0.2">
      <c r="B36" s="24" t="str">
        <f>'Prop2018-19DistTar'!B6</f>
        <v>Tariff R - Envestra South Australia (excl Tanunda)</v>
      </c>
      <c r="C36" s="4"/>
      <c r="D36" s="4"/>
      <c r="E36" s="4"/>
      <c r="F36" s="4"/>
      <c r="G36" s="4"/>
      <c r="H36" s="4"/>
      <c r="I36" s="4"/>
      <c r="J36" s="4"/>
      <c r="K36" s="4"/>
      <c r="L36" s="7"/>
    </row>
    <row r="37" spans="2:12" ht="6" customHeight="1" x14ac:dyDescent="0.2">
      <c r="B37" s="3"/>
      <c r="C37" s="50">
        <v>1</v>
      </c>
      <c r="D37" s="50">
        <v>2</v>
      </c>
      <c r="E37" s="50">
        <v>3</v>
      </c>
      <c r="F37" s="50">
        <v>4</v>
      </c>
      <c r="G37" s="50">
        <v>5</v>
      </c>
      <c r="H37" s="50">
        <v>6</v>
      </c>
      <c r="I37" s="4"/>
      <c r="J37" s="4"/>
      <c r="K37" s="4"/>
      <c r="L37" s="7"/>
    </row>
    <row r="38" spans="2:12" x14ac:dyDescent="0.2">
      <c r="B38" s="3" t="s">
        <v>7</v>
      </c>
      <c r="C38" s="38" t="s">
        <v>8</v>
      </c>
      <c r="D38" s="81" t="s">
        <v>41</v>
      </c>
      <c r="E38" s="81" t="s">
        <v>42</v>
      </c>
      <c r="F38" s="81" t="s">
        <v>43</v>
      </c>
      <c r="G38" s="4"/>
      <c r="H38" s="4"/>
      <c r="I38" s="4"/>
      <c r="J38" s="4"/>
      <c r="K38" s="4"/>
      <c r="L38" s="7"/>
    </row>
    <row r="39" spans="2:12" x14ac:dyDescent="0.2">
      <c r="B39" s="3" t="str">
        <f>"Existing: "&amp;'Prop2018-19DistTar'!C6</f>
        <v>Existing: Tariff R - Envestra South Australia (excl Tanunda)</v>
      </c>
      <c r="C39" s="39">
        <f t="array" ref="C39:F40">TRANSPOSE('Prop2018-19DistTar'!E7:F10)</f>
        <v>0.30230000000000001</v>
      </c>
      <c r="D39" s="39">
        <v>26.22118661723875</v>
      </c>
      <c r="E39" s="39">
        <v>11.6083</v>
      </c>
      <c r="F39" s="39">
        <v>3.9296000000000002</v>
      </c>
      <c r="G39" s="4"/>
      <c r="H39" s="4"/>
      <c r="I39" s="4"/>
      <c r="J39" s="4"/>
      <c r="K39" s="4"/>
      <c r="L39" s="7"/>
    </row>
    <row r="40" spans="2:12" x14ac:dyDescent="0.2">
      <c r="B40" s="3" t="str">
        <f>"Proposed: "&amp;B36</f>
        <v>Proposed: Tariff R - Envestra South Australia (excl Tanunda)</v>
      </c>
      <c r="C40" s="40">
        <v>0.308</v>
      </c>
      <c r="D40" s="40">
        <v>28.348500000000001</v>
      </c>
      <c r="E40" s="40">
        <v>11.6083</v>
      </c>
      <c r="F40" s="40">
        <v>3.9296000000000002</v>
      </c>
      <c r="G40" s="4"/>
      <c r="H40" s="4"/>
      <c r="I40" s="4"/>
      <c r="J40" s="4"/>
      <c r="K40" s="4"/>
      <c r="L40" s="7"/>
    </row>
    <row r="41" spans="2:12" ht="6" customHeight="1" x14ac:dyDescent="0.2">
      <c r="B41" s="3"/>
      <c r="C41" s="50"/>
      <c r="D41" s="50"/>
      <c r="E41" s="50"/>
      <c r="F41" s="50"/>
      <c r="G41" s="4"/>
      <c r="H41" s="4"/>
      <c r="I41" s="4"/>
      <c r="J41" s="4"/>
      <c r="K41" s="4"/>
      <c r="L41" s="7"/>
    </row>
    <row r="42" spans="2:12" x14ac:dyDescent="0.2">
      <c r="B42" s="3" t="s">
        <v>9</v>
      </c>
      <c r="C42" s="38" t="s">
        <v>8</v>
      </c>
      <c r="D42" s="81" t="s">
        <v>41</v>
      </c>
      <c r="E42" s="81" t="s">
        <v>42</v>
      </c>
      <c r="F42" s="81" t="s">
        <v>43</v>
      </c>
      <c r="G42" s="4"/>
      <c r="H42" s="4"/>
      <c r="I42" s="4"/>
      <c r="J42" s="4"/>
      <c r="K42" s="4"/>
      <c r="L42" s="7"/>
    </row>
    <row r="43" spans="2:12" x14ac:dyDescent="0.2">
      <c r="B43" s="3" t="str">
        <f>B39</f>
        <v>Existing: Tariff R - Envestra South Australia (excl Tanunda)</v>
      </c>
      <c r="C43" s="21">
        <f t="array" ref="C43:F43">TRANSPOSE('Prop2018-19DistTar'!D7:D10)</f>
        <v>155854461</v>
      </c>
      <c r="D43" s="21">
        <v>3314904.7591999997</v>
      </c>
      <c r="E43" s="21">
        <v>1391912.5818</v>
      </c>
      <c r="F43" s="21">
        <v>2968067.2289999998</v>
      </c>
      <c r="G43" s="4"/>
      <c r="H43" s="4"/>
      <c r="I43" s="4"/>
      <c r="J43" s="4"/>
      <c r="K43" s="4"/>
      <c r="L43" s="7"/>
    </row>
    <row r="44" spans="2:12" x14ac:dyDescent="0.2">
      <c r="B44" s="3" t="str">
        <f>B40</f>
        <v>Proposed: Tariff R - Envestra South Australia (excl Tanunda)</v>
      </c>
      <c r="C44" s="31">
        <f>C43</f>
        <v>155854461</v>
      </c>
      <c r="D44" s="31">
        <f t="shared" ref="D44:F44" si="2">D43</f>
        <v>3314904.7591999997</v>
      </c>
      <c r="E44" s="31">
        <f t="shared" si="2"/>
        <v>1391912.5818</v>
      </c>
      <c r="F44" s="31">
        <f t="shared" si="2"/>
        <v>2968067.2289999998</v>
      </c>
      <c r="G44" s="4"/>
      <c r="H44" s="4"/>
      <c r="I44" s="4"/>
      <c r="J44" s="4"/>
      <c r="K44" s="4"/>
      <c r="L44" s="7"/>
    </row>
    <row r="45" spans="2:12" ht="6" customHeight="1" x14ac:dyDescent="0.2">
      <c r="B45" s="3"/>
      <c r="C45" s="50"/>
      <c r="D45" s="50"/>
      <c r="E45" s="50"/>
      <c r="F45" s="50"/>
      <c r="G45" s="4"/>
      <c r="H45" s="4"/>
      <c r="I45" s="4"/>
      <c r="J45" s="4"/>
      <c r="K45" s="4"/>
      <c r="L45" s="7"/>
    </row>
    <row r="46" spans="2:12" x14ac:dyDescent="0.2">
      <c r="B46" s="3" t="s">
        <v>10</v>
      </c>
      <c r="C46" s="38" t="s">
        <v>8</v>
      </c>
      <c r="D46" s="81" t="s">
        <v>41</v>
      </c>
      <c r="E46" s="81" t="s">
        <v>42</v>
      </c>
      <c r="F46" s="81" t="s">
        <v>43</v>
      </c>
      <c r="G46" s="4"/>
      <c r="H46" s="4"/>
      <c r="I46" s="4"/>
      <c r="J46" s="4"/>
      <c r="K46" s="4"/>
      <c r="L46" s="7"/>
    </row>
    <row r="47" spans="2:12" x14ac:dyDescent="0.2">
      <c r="B47" s="3" t="str">
        <f>B43</f>
        <v>Existing: Tariff R - Envestra South Australia (excl Tanunda)</v>
      </c>
      <c r="C47" s="21">
        <f t="array" ref="C47:F48">TRANSPOSE('Prop2018-19DistTar'!G7:H10)</f>
        <v>47114803.5603</v>
      </c>
      <c r="D47" s="21">
        <v>86920736.309356079</v>
      </c>
      <c r="E47" s="21">
        <v>16157738.823308941</v>
      </c>
      <c r="F47" s="21">
        <v>11663316.9830784</v>
      </c>
      <c r="G47" s="4"/>
      <c r="H47" s="4"/>
      <c r="I47" s="4"/>
      <c r="J47" s="4"/>
      <c r="K47" s="4"/>
      <c r="L47" s="7"/>
    </row>
    <row r="48" spans="2:12" x14ac:dyDescent="0.2">
      <c r="B48" s="3" t="str">
        <f>B44</f>
        <v>Proposed: Tariff R - Envestra South Australia (excl Tanunda)</v>
      </c>
      <c r="C48" s="31">
        <v>48003173.987999998</v>
      </c>
      <c r="D48" s="31">
        <v>93972577.566181198</v>
      </c>
      <c r="E48" s="31">
        <v>16157738.823308941</v>
      </c>
      <c r="F48" s="31">
        <v>11663316.9830784</v>
      </c>
      <c r="G48" s="4"/>
      <c r="H48" s="4"/>
      <c r="I48" s="4"/>
      <c r="J48" s="4"/>
      <c r="K48" s="4"/>
      <c r="L48" s="7"/>
    </row>
    <row r="49" spans="2:12" ht="6" customHeight="1" x14ac:dyDescent="0.2">
      <c r="B49" s="3"/>
      <c r="C49" s="4"/>
      <c r="D49" s="4"/>
      <c r="E49" s="4"/>
      <c r="F49" s="4"/>
      <c r="G49" s="4"/>
      <c r="H49" s="4"/>
      <c r="I49" s="4"/>
      <c r="J49" s="4"/>
      <c r="K49" s="4"/>
      <c r="L49" s="7"/>
    </row>
    <row r="50" spans="2:12" x14ac:dyDescent="0.2">
      <c r="B50" s="3" t="s">
        <v>11</v>
      </c>
      <c r="C50" s="41" t="s">
        <v>12</v>
      </c>
      <c r="D50" s="4"/>
      <c r="E50" s="4"/>
      <c r="F50" s="4"/>
      <c r="G50" s="4"/>
      <c r="H50" s="4"/>
      <c r="I50" s="4"/>
      <c r="J50" s="4"/>
      <c r="K50" s="4"/>
      <c r="L50" s="7"/>
    </row>
    <row r="51" spans="2:12" x14ac:dyDescent="0.2">
      <c r="B51" s="3" t="str">
        <f>B47</f>
        <v>Existing: Tariff R - Envestra South Australia (excl Tanunda)</v>
      </c>
      <c r="C51" s="35">
        <f>SUM(C47:F47)</f>
        <v>161856595.67604342</v>
      </c>
      <c r="D51" s="4"/>
      <c r="E51" s="4"/>
      <c r="F51" s="4"/>
      <c r="G51" s="4"/>
      <c r="H51" s="4"/>
      <c r="I51" s="4"/>
      <c r="J51" s="4"/>
      <c r="K51" s="4"/>
      <c r="L51" s="7"/>
    </row>
    <row r="52" spans="2:12" x14ac:dyDescent="0.2">
      <c r="B52" s="3" t="str">
        <f>B48</f>
        <v>Proposed: Tariff R - Envestra South Australia (excl Tanunda)</v>
      </c>
      <c r="C52" s="37">
        <f>SUM(C48:F48)</f>
        <v>169796807.36056852</v>
      </c>
      <c r="D52" s="4"/>
      <c r="E52" s="4"/>
      <c r="F52" s="4"/>
      <c r="G52" s="4"/>
      <c r="H52" s="4"/>
      <c r="I52" s="4"/>
      <c r="J52" s="4"/>
      <c r="K52" s="4"/>
      <c r="L52" s="7"/>
    </row>
    <row r="53" spans="2:12" ht="6" customHeight="1" x14ac:dyDescent="0.2">
      <c r="B53" s="3"/>
      <c r="C53" s="4"/>
      <c r="D53" s="4"/>
      <c r="E53" s="4"/>
      <c r="F53" s="4"/>
      <c r="G53" s="4"/>
      <c r="H53" s="4"/>
      <c r="I53" s="4"/>
      <c r="J53" s="4"/>
      <c r="K53" s="4"/>
      <c r="L53" s="7"/>
    </row>
    <row r="54" spans="2:12" x14ac:dyDescent="0.2">
      <c r="B54" s="3" t="s">
        <v>5</v>
      </c>
      <c r="C54" s="25">
        <f>IF(C52=0,"",C52/C51)</f>
        <v>1.0490570782819222</v>
      </c>
      <c r="D54" s="4"/>
      <c r="E54" s="4"/>
      <c r="F54" s="4"/>
      <c r="G54" s="4"/>
      <c r="H54" s="4"/>
      <c r="I54" s="4"/>
      <c r="J54" s="4"/>
      <c r="K54" s="4"/>
      <c r="L54" s="7"/>
    </row>
    <row r="55" spans="2:12" ht="6" customHeight="1" x14ac:dyDescent="0.2">
      <c r="B55" s="3"/>
      <c r="C55" s="4"/>
      <c r="D55" s="4"/>
      <c r="E55" s="4"/>
      <c r="F55" s="4"/>
      <c r="G55" s="4"/>
      <c r="H55" s="4"/>
      <c r="I55" s="4"/>
      <c r="J55" s="4"/>
      <c r="K55" s="4"/>
      <c r="L55" s="7"/>
    </row>
    <row r="56" spans="2:12" x14ac:dyDescent="0.2">
      <c r="B56" s="145" t="str">
        <f>IF(C54="","",IF(C54&lt;$C$14,"REBALANCING CONTROL COMPLIANT","REBALANCING CONTROL BREACHED"))</f>
        <v>REBALANCING CONTROL COMPLIANT</v>
      </c>
      <c r="C56" s="146"/>
      <c r="D56" s="4"/>
      <c r="E56" s="4"/>
      <c r="F56" s="4"/>
      <c r="G56" s="4"/>
      <c r="H56" s="4"/>
      <c r="I56" s="4"/>
      <c r="J56" s="4"/>
      <c r="K56" s="4"/>
      <c r="L56" s="7"/>
    </row>
    <row r="57" spans="2:12" ht="6" customHeight="1" thickBot="1" x14ac:dyDescent="0.25">
      <c r="B57" s="8"/>
      <c r="C57" s="9"/>
      <c r="D57" s="9"/>
      <c r="E57" s="9"/>
      <c r="F57" s="9"/>
      <c r="G57" s="9"/>
      <c r="H57" s="9"/>
      <c r="I57" s="9"/>
      <c r="J57" s="9"/>
      <c r="K57" s="9"/>
      <c r="L57" s="10"/>
    </row>
    <row r="58" spans="2:12" ht="6" customHeight="1" thickBot="1" x14ac:dyDescent="0.25"/>
    <row r="59" spans="2:12" ht="6" customHeight="1" x14ac:dyDescent="0.2">
      <c r="B59" s="5"/>
      <c r="C59" s="6"/>
      <c r="D59" s="6"/>
      <c r="E59" s="6"/>
      <c r="F59" s="6"/>
      <c r="G59" s="6"/>
      <c r="H59" s="6"/>
      <c r="I59" s="6"/>
      <c r="J59" s="6"/>
      <c r="K59" s="6"/>
      <c r="L59" s="11"/>
    </row>
    <row r="60" spans="2:12" x14ac:dyDescent="0.2">
      <c r="B60" s="24" t="str">
        <f>'Prop2018-19DistTar'!B11</f>
        <v>Tariff C - Envestra South Australia (excl Tanunda)</v>
      </c>
      <c r="C60" s="4"/>
      <c r="D60" s="4"/>
      <c r="E60" s="4"/>
      <c r="F60" s="4"/>
      <c r="G60" s="4"/>
      <c r="H60" s="4"/>
      <c r="I60" s="4"/>
      <c r="J60" s="4"/>
      <c r="K60" s="4"/>
      <c r="L60" s="7"/>
    </row>
    <row r="61" spans="2:12" ht="6" customHeight="1" x14ac:dyDescent="0.2">
      <c r="B61" s="3"/>
      <c r="C61" s="50">
        <v>1</v>
      </c>
      <c r="D61" s="50">
        <v>2</v>
      </c>
      <c r="E61" s="50">
        <v>3</v>
      </c>
      <c r="F61" s="50">
        <v>4</v>
      </c>
      <c r="G61" s="50">
        <v>5</v>
      </c>
      <c r="H61" s="4"/>
      <c r="I61" s="4"/>
      <c r="J61" s="4"/>
      <c r="K61" s="4"/>
      <c r="L61" s="7"/>
    </row>
    <row r="62" spans="2:12" x14ac:dyDescent="0.2">
      <c r="B62" s="3" t="s">
        <v>7</v>
      </c>
      <c r="C62" s="38" t="s">
        <v>8</v>
      </c>
      <c r="D62" s="81" t="s">
        <v>44</v>
      </c>
      <c r="E62" s="81" t="s">
        <v>45</v>
      </c>
      <c r="F62" s="81" t="s">
        <v>46</v>
      </c>
      <c r="G62" s="81" t="s">
        <v>47</v>
      </c>
      <c r="H62" s="4"/>
      <c r="I62" s="4"/>
      <c r="J62" s="4"/>
      <c r="K62" s="4"/>
      <c r="L62" s="7"/>
    </row>
    <row r="63" spans="2:12" x14ac:dyDescent="0.2">
      <c r="B63" s="3" t="str">
        <f>"Existing: "&amp;'Prop2018-19DistTar'!C11</f>
        <v>Existing: Tariff C - Envestra South Australia (excl Tanunda)</v>
      </c>
      <c r="C63" s="39">
        <f t="array" ref="C63:G64">TRANSPOSE('Prop2018-19DistTar'!E12:F16)</f>
        <v>0.63670000000000004</v>
      </c>
      <c r="D63" s="39">
        <v>13.014700654921622</v>
      </c>
      <c r="E63" s="39">
        <v>6.4238</v>
      </c>
      <c r="F63" s="39">
        <v>2.7530000000000001</v>
      </c>
      <c r="G63" s="39">
        <v>1.5647</v>
      </c>
      <c r="H63" s="4"/>
      <c r="I63" s="4"/>
      <c r="J63" s="4"/>
      <c r="K63" s="4"/>
      <c r="L63" s="7"/>
    </row>
    <row r="64" spans="2:12" x14ac:dyDescent="0.2">
      <c r="B64" s="3" t="str">
        <f>"Proposed: "&amp;B60</f>
        <v>Proposed: Tariff C - Envestra South Australia (excl Tanunda)</v>
      </c>
      <c r="C64" s="40">
        <v>0.64880000000000004</v>
      </c>
      <c r="D64" s="40">
        <v>14.0428</v>
      </c>
      <c r="E64" s="40">
        <v>6.4238</v>
      </c>
      <c r="F64" s="40">
        <v>2.7749999999999999</v>
      </c>
      <c r="G64" s="40">
        <v>1.6889000000000001</v>
      </c>
      <c r="H64" s="4"/>
      <c r="I64" s="4"/>
      <c r="J64" s="4"/>
      <c r="K64" s="4"/>
      <c r="L64" s="7"/>
    </row>
    <row r="65" spans="2:12" ht="6" customHeight="1" x14ac:dyDescent="0.2">
      <c r="B65" s="3"/>
      <c r="C65" s="50"/>
      <c r="D65" s="50"/>
      <c r="E65" s="50"/>
      <c r="F65" s="50"/>
      <c r="G65" s="50"/>
      <c r="H65" s="4"/>
      <c r="I65" s="4"/>
      <c r="J65" s="4"/>
      <c r="K65" s="4"/>
      <c r="L65" s="7"/>
    </row>
    <row r="66" spans="2:12" x14ac:dyDescent="0.2">
      <c r="B66" s="3" t="s">
        <v>9</v>
      </c>
      <c r="C66" s="38" t="s">
        <v>8</v>
      </c>
      <c r="D66" s="81" t="s">
        <v>44</v>
      </c>
      <c r="E66" s="81" t="s">
        <v>45</v>
      </c>
      <c r="F66" s="81" t="s">
        <v>46</v>
      </c>
      <c r="G66" s="81" t="s">
        <v>47</v>
      </c>
      <c r="H66" s="4"/>
      <c r="I66" s="4"/>
      <c r="J66" s="4"/>
      <c r="K66" s="4"/>
      <c r="L66" s="7"/>
    </row>
    <row r="67" spans="2:12" x14ac:dyDescent="0.2">
      <c r="B67" s="3" t="str">
        <f>B63</f>
        <v>Existing: Tariff C - Envestra South Australia (excl Tanunda)</v>
      </c>
      <c r="C67" s="21">
        <f t="array" ref="C67:G67">TRANSPOSE('Prop2018-19DistTar'!D12:D16)</f>
        <v>3945828</v>
      </c>
      <c r="D67" s="21">
        <v>1303131.6973999997</v>
      </c>
      <c r="E67" s="21">
        <v>1201502.9561000001</v>
      </c>
      <c r="F67" s="21">
        <v>564134.34780000011</v>
      </c>
      <c r="G67" s="21">
        <v>224194.54170000003</v>
      </c>
      <c r="H67" s="4"/>
      <c r="I67" s="4"/>
      <c r="J67" s="4"/>
      <c r="K67" s="4"/>
      <c r="L67" s="7"/>
    </row>
    <row r="68" spans="2:12" x14ac:dyDescent="0.2">
      <c r="B68" s="3" t="str">
        <f>B64</f>
        <v>Proposed: Tariff C - Envestra South Australia (excl Tanunda)</v>
      </c>
      <c r="C68" s="31">
        <f>C67</f>
        <v>3945828</v>
      </c>
      <c r="D68" s="31">
        <f t="shared" ref="D68:G68" si="3">D67</f>
        <v>1303131.6973999997</v>
      </c>
      <c r="E68" s="31">
        <f t="shared" si="3"/>
        <v>1201502.9561000001</v>
      </c>
      <c r="F68" s="31">
        <f t="shared" si="3"/>
        <v>564134.34780000011</v>
      </c>
      <c r="G68" s="31">
        <f t="shared" si="3"/>
        <v>224194.54170000003</v>
      </c>
      <c r="H68" s="4"/>
      <c r="I68" s="4"/>
      <c r="J68" s="4"/>
      <c r="K68" s="4"/>
      <c r="L68" s="7"/>
    </row>
    <row r="69" spans="2:12" ht="6" customHeight="1" x14ac:dyDescent="0.2">
      <c r="B69" s="3"/>
      <c r="C69" s="50"/>
      <c r="D69" s="50"/>
      <c r="E69" s="50"/>
      <c r="F69" s="50"/>
      <c r="G69" s="50"/>
      <c r="H69" s="4"/>
      <c r="I69" s="4"/>
      <c r="J69" s="4"/>
      <c r="K69" s="4"/>
      <c r="L69" s="7"/>
    </row>
    <row r="70" spans="2:12" x14ac:dyDescent="0.2">
      <c r="B70" s="3" t="s">
        <v>10</v>
      </c>
      <c r="C70" s="38" t="s">
        <v>8</v>
      </c>
      <c r="D70" s="81" t="s">
        <v>44</v>
      </c>
      <c r="E70" s="81" t="s">
        <v>45</v>
      </c>
      <c r="F70" s="81" t="s">
        <v>46</v>
      </c>
      <c r="G70" s="81" t="s">
        <v>47</v>
      </c>
      <c r="H70" s="4"/>
      <c r="I70" s="4"/>
      <c r="J70" s="4"/>
      <c r="K70" s="4"/>
      <c r="L70" s="7"/>
    </row>
    <row r="71" spans="2:12" x14ac:dyDescent="0.2">
      <c r="B71" s="3" t="str">
        <f>B67</f>
        <v>Existing: Tariff C - Envestra South Australia (excl Tanunda)</v>
      </c>
      <c r="C71" s="21">
        <f t="array" ref="C71:G72">TRANSPOSE('Prop2018-19DistTar'!G12:H16)</f>
        <v>2512308.6876000003</v>
      </c>
      <c r="D71" s="21">
        <v>16959868.955600902</v>
      </c>
      <c r="E71" s="21">
        <v>7718214.68939518</v>
      </c>
      <c r="F71" s="21">
        <v>1553061.8594934004</v>
      </c>
      <c r="G71" s="21">
        <v>350797.19939799001</v>
      </c>
      <c r="H71" s="4"/>
      <c r="I71" s="4"/>
      <c r="J71" s="4"/>
      <c r="K71" s="4"/>
      <c r="L71" s="7"/>
    </row>
    <row r="72" spans="2:12" x14ac:dyDescent="0.2">
      <c r="B72" s="3" t="str">
        <f>B68</f>
        <v>Proposed: Tariff C - Envestra South Australia (excl Tanunda)</v>
      </c>
      <c r="C72" s="31">
        <v>2560053.2064</v>
      </c>
      <c r="D72" s="31">
        <v>18299617.800248716</v>
      </c>
      <c r="E72" s="31">
        <v>7718214.68939518</v>
      </c>
      <c r="F72" s="31">
        <v>1565472.8151450003</v>
      </c>
      <c r="G72" s="31">
        <v>378642.16147713008</v>
      </c>
      <c r="H72" s="4"/>
      <c r="I72" s="4"/>
      <c r="J72" s="4"/>
      <c r="K72" s="4"/>
      <c r="L72" s="7"/>
    </row>
    <row r="73" spans="2:12" ht="6" customHeight="1" x14ac:dyDescent="0.2">
      <c r="B73" s="3"/>
      <c r="C73" s="4"/>
      <c r="D73" s="4"/>
      <c r="E73" s="4"/>
      <c r="F73" s="4"/>
      <c r="G73" s="4"/>
      <c r="H73" s="4"/>
      <c r="I73" s="4"/>
      <c r="J73" s="4"/>
      <c r="K73" s="4"/>
      <c r="L73" s="7"/>
    </row>
    <row r="74" spans="2:12" x14ac:dyDescent="0.2">
      <c r="B74" s="3" t="s">
        <v>11</v>
      </c>
      <c r="C74" s="41" t="s">
        <v>12</v>
      </c>
      <c r="D74" s="4"/>
      <c r="E74" s="4"/>
      <c r="F74" s="4"/>
      <c r="G74" s="4"/>
      <c r="H74" s="4"/>
      <c r="I74" s="4"/>
      <c r="J74" s="4"/>
      <c r="K74" s="4"/>
      <c r="L74" s="7"/>
    </row>
    <row r="75" spans="2:12" x14ac:dyDescent="0.2">
      <c r="B75" s="3" t="str">
        <f>B71</f>
        <v>Existing: Tariff C - Envestra South Australia (excl Tanunda)</v>
      </c>
      <c r="C75" s="35">
        <f>SUM(C71:K71)</f>
        <v>29094251.391487475</v>
      </c>
      <c r="D75" s="4"/>
      <c r="E75" s="4"/>
      <c r="F75" s="4"/>
      <c r="G75" s="4"/>
      <c r="H75" s="4"/>
      <c r="I75" s="4"/>
      <c r="J75" s="4"/>
      <c r="K75" s="4"/>
      <c r="L75" s="7"/>
    </row>
    <row r="76" spans="2:12" x14ac:dyDescent="0.2">
      <c r="B76" s="3" t="str">
        <f>B72</f>
        <v>Proposed: Tariff C - Envestra South Australia (excl Tanunda)</v>
      </c>
      <c r="C76" s="37">
        <f>SUM(C72:K72)</f>
        <v>30522000.672666024</v>
      </c>
      <c r="D76" s="4"/>
      <c r="E76" s="4"/>
      <c r="F76" s="4"/>
      <c r="G76" s="4"/>
      <c r="H76" s="4"/>
      <c r="I76" s="4"/>
      <c r="J76" s="4"/>
      <c r="K76" s="4"/>
      <c r="L76" s="7"/>
    </row>
    <row r="77" spans="2:12" ht="6" customHeight="1" x14ac:dyDescent="0.2">
      <c r="B77" s="3"/>
      <c r="C77" s="4"/>
      <c r="D77" s="4"/>
      <c r="E77" s="4"/>
      <c r="F77" s="4"/>
      <c r="G77" s="4"/>
      <c r="H77" s="4"/>
      <c r="I77" s="4"/>
      <c r="J77" s="4"/>
      <c r="K77" s="4"/>
      <c r="L77" s="7"/>
    </row>
    <row r="78" spans="2:12" x14ac:dyDescent="0.2">
      <c r="B78" s="3" t="s">
        <v>5</v>
      </c>
      <c r="C78" s="25">
        <f>IF(C76=0,"",C76/C75)</f>
        <v>1.0490732434379215</v>
      </c>
      <c r="D78" s="4"/>
      <c r="E78" s="4"/>
      <c r="F78" s="4"/>
      <c r="G78" s="4"/>
      <c r="H78" s="4"/>
      <c r="I78" s="4"/>
      <c r="J78" s="4"/>
      <c r="K78" s="4"/>
      <c r="L78" s="7"/>
    </row>
    <row r="79" spans="2:12" ht="6" customHeight="1" x14ac:dyDescent="0.2">
      <c r="B79" s="3"/>
      <c r="C79" s="4"/>
      <c r="D79" s="4"/>
      <c r="E79" s="4"/>
      <c r="F79" s="4"/>
      <c r="G79" s="4"/>
      <c r="H79" s="4"/>
      <c r="I79" s="4"/>
      <c r="J79" s="4"/>
      <c r="K79" s="4"/>
      <c r="L79" s="7"/>
    </row>
    <row r="80" spans="2:12" x14ac:dyDescent="0.2">
      <c r="B80" s="145" t="str">
        <f>IF(C78="","",IF(C78&lt;$C$14,"REBALANCING CONTROL COMPLIANT","REBALANCING CONTROL BREACHED"))</f>
        <v>REBALANCING CONTROL COMPLIANT</v>
      </c>
      <c r="C80" s="146"/>
      <c r="D80" s="4"/>
      <c r="E80" s="4"/>
      <c r="F80" s="4"/>
      <c r="G80" s="4"/>
      <c r="H80" s="4"/>
      <c r="I80" s="4"/>
      <c r="J80" s="4"/>
      <c r="K80" s="4"/>
      <c r="L80" s="7"/>
    </row>
    <row r="81" spans="2:12" ht="6" customHeight="1" thickBot="1" x14ac:dyDescent="0.25">
      <c r="B81" s="8"/>
      <c r="C81" s="9"/>
      <c r="D81" s="9"/>
      <c r="E81" s="9"/>
      <c r="F81" s="9"/>
      <c r="G81" s="9"/>
      <c r="H81" s="9"/>
      <c r="I81" s="9"/>
      <c r="J81" s="9"/>
      <c r="K81" s="9"/>
      <c r="L81" s="10"/>
    </row>
    <row r="82" spans="2:12" ht="6" customHeight="1" thickBot="1" x14ac:dyDescent="0.25"/>
    <row r="83" spans="2:12" ht="6" customHeight="1" x14ac:dyDescent="0.2">
      <c r="B83" s="5"/>
      <c r="C83" s="6"/>
      <c r="D83" s="6"/>
      <c r="E83" s="6"/>
      <c r="F83" s="6"/>
      <c r="G83" s="6"/>
      <c r="H83" s="6"/>
      <c r="I83" s="6"/>
      <c r="J83" s="6"/>
      <c r="K83" s="6"/>
      <c r="L83" s="11"/>
    </row>
    <row r="84" spans="2:12" x14ac:dyDescent="0.2">
      <c r="B84" s="24" t="str">
        <f>'Prop2018-19DistTar'!B17</f>
        <v>Tariff R - Envestra Tanunda</v>
      </c>
      <c r="C84" s="4"/>
      <c r="D84" s="4"/>
      <c r="E84" s="4"/>
      <c r="F84" s="4"/>
      <c r="G84" s="4"/>
      <c r="H84" s="4"/>
      <c r="I84" s="4"/>
      <c r="J84" s="4"/>
      <c r="K84" s="4"/>
      <c r="L84" s="7"/>
    </row>
    <row r="85" spans="2:12" ht="6" customHeight="1" x14ac:dyDescent="0.2">
      <c r="B85" s="3"/>
      <c r="C85" s="50">
        <v>1</v>
      </c>
      <c r="D85" s="50">
        <v>2</v>
      </c>
      <c r="E85" s="50">
        <v>3</v>
      </c>
      <c r="F85" s="50">
        <v>4</v>
      </c>
      <c r="G85" s="50">
        <v>5</v>
      </c>
      <c r="H85" s="50">
        <v>6</v>
      </c>
      <c r="I85" s="4"/>
      <c r="J85" s="4"/>
      <c r="K85" s="4"/>
      <c r="L85" s="7"/>
    </row>
    <row r="86" spans="2:12" x14ac:dyDescent="0.2">
      <c r="B86" s="3" t="s">
        <v>7</v>
      </c>
      <c r="C86" s="38" t="s">
        <v>8</v>
      </c>
      <c r="D86" s="81" t="s">
        <v>41</v>
      </c>
      <c r="E86" s="81" t="s">
        <v>42</v>
      </c>
      <c r="F86" s="81" t="s">
        <v>43</v>
      </c>
      <c r="G86" s="4"/>
      <c r="H86" s="4"/>
      <c r="I86" s="4"/>
      <c r="J86" s="4"/>
      <c r="K86" s="4"/>
      <c r="L86" s="7"/>
    </row>
    <row r="87" spans="2:12" x14ac:dyDescent="0.2">
      <c r="B87" s="3" t="str">
        <f>"Existing: "&amp;'Prop2018-19DistTar'!C17</f>
        <v>Existing: Tariff R - Envestra Tanunda</v>
      </c>
      <c r="C87" s="39">
        <f t="array" ref="C87:F88">TRANSPOSE('Prop2018-19DistTar'!E18:F21)</f>
        <v>0.30230000000000001</v>
      </c>
      <c r="D87" s="39">
        <v>34.087499999999999</v>
      </c>
      <c r="E87" s="39">
        <v>15.0908</v>
      </c>
      <c r="F87" s="39">
        <v>5.1085000000000003</v>
      </c>
      <c r="G87" s="4"/>
      <c r="H87" s="4"/>
      <c r="I87" s="4"/>
      <c r="J87" s="4"/>
      <c r="K87" s="4"/>
      <c r="L87" s="7"/>
    </row>
    <row r="88" spans="2:12" x14ac:dyDescent="0.2">
      <c r="B88" s="3" t="str">
        <f>"Proposed: "&amp;B84</f>
        <v>Proposed: Tariff R - Envestra Tanunda</v>
      </c>
      <c r="C88" s="40">
        <v>0.308</v>
      </c>
      <c r="D88" s="40">
        <v>36.853000000000002</v>
      </c>
      <c r="E88" s="40">
        <v>15.0907</v>
      </c>
      <c r="F88" s="40">
        <v>5.1083999999999996</v>
      </c>
      <c r="G88" s="4"/>
      <c r="H88" s="4"/>
      <c r="I88" s="4"/>
      <c r="J88" s="4"/>
      <c r="K88" s="4"/>
      <c r="L88" s="7"/>
    </row>
    <row r="89" spans="2:12" ht="6" customHeight="1" x14ac:dyDescent="0.2">
      <c r="B89" s="3"/>
      <c r="C89" s="50"/>
      <c r="D89" s="50"/>
      <c r="E89" s="50"/>
      <c r="F89" s="50"/>
      <c r="G89" s="4"/>
      <c r="H89" s="4"/>
      <c r="I89" s="4"/>
      <c r="J89" s="4"/>
      <c r="K89" s="4"/>
      <c r="L89" s="7"/>
    </row>
    <row r="90" spans="2:12" x14ac:dyDescent="0.2">
      <c r="B90" s="3" t="s">
        <v>9</v>
      </c>
      <c r="C90" s="38" t="s">
        <v>8</v>
      </c>
      <c r="D90" s="81" t="s">
        <v>41</v>
      </c>
      <c r="E90" s="81" t="s">
        <v>42</v>
      </c>
      <c r="F90" s="81" t="s">
        <v>43</v>
      </c>
      <c r="G90" s="4"/>
      <c r="H90" s="4"/>
      <c r="I90" s="4"/>
      <c r="J90" s="4"/>
      <c r="K90" s="4"/>
      <c r="L90" s="7"/>
    </row>
    <row r="91" spans="2:12" x14ac:dyDescent="0.2">
      <c r="B91" s="3" t="str">
        <f>B87</f>
        <v>Existing: Tariff R - Envestra Tanunda</v>
      </c>
      <c r="C91" s="21">
        <f t="array" ref="C91:F91">TRANSPOSE('Prop2018-19DistTar'!D18:D21)</f>
        <v>43144</v>
      </c>
      <c r="D91" s="21">
        <v>932.66959999999995</v>
      </c>
      <c r="E91" s="21">
        <v>325.15120000000002</v>
      </c>
      <c r="F91" s="21">
        <v>1619.7572</v>
      </c>
      <c r="G91" s="4"/>
      <c r="H91" s="4"/>
      <c r="I91" s="4"/>
      <c r="J91" s="4"/>
      <c r="K91" s="4"/>
      <c r="L91" s="7"/>
    </row>
    <row r="92" spans="2:12" x14ac:dyDescent="0.2">
      <c r="B92" s="3" t="str">
        <f>B88</f>
        <v>Proposed: Tariff R - Envestra Tanunda</v>
      </c>
      <c r="C92" s="31">
        <f>C91</f>
        <v>43144</v>
      </c>
      <c r="D92" s="31">
        <f t="shared" ref="D92" si="4">D91</f>
        <v>932.66959999999995</v>
      </c>
      <c r="E92" s="31">
        <f t="shared" ref="E92" si="5">E91</f>
        <v>325.15120000000002</v>
      </c>
      <c r="F92" s="31">
        <f t="shared" ref="F92" si="6">F91</f>
        <v>1619.7572</v>
      </c>
      <c r="G92" s="4"/>
      <c r="H92" s="4"/>
      <c r="I92" s="4"/>
      <c r="J92" s="4"/>
      <c r="K92" s="4"/>
      <c r="L92" s="7"/>
    </row>
    <row r="93" spans="2:12" ht="6" customHeight="1" x14ac:dyDescent="0.2">
      <c r="B93" s="3"/>
      <c r="C93" s="50"/>
      <c r="D93" s="50"/>
      <c r="E93" s="50"/>
      <c r="F93" s="50"/>
      <c r="G93" s="4"/>
      <c r="H93" s="4"/>
      <c r="I93" s="4"/>
      <c r="J93" s="4"/>
      <c r="K93" s="4"/>
      <c r="L93" s="7"/>
    </row>
    <row r="94" spans="2:12" x14ac:dyDescent="0.2">
      <c r="B94" s="3" t="s">
        <v>10</v>
      </c>
      <c r="C94" s="38" t="s">
        <v>8</v>
      </c>
      <c r="D94" s="81" t="s">
        <v>41</v>
      </c>
      <c r="E94" s="81" t="s">
        <v>42</v>
      </c>
      <c r="F94" s="81" t="s">
        <v>43</v>
      </c>
      <c r="G94" s="4"/>
      <c r="H94" s="4"/>
      <c r="I94" s="4"/>
      <c r="J94" s="4"/>
      <c r="K94" s="4"/>
      <c r="L94" s="7"/>
    </row>
    <row r="95" spans="2:12" x14ac:dyDescent="0.2">
      <c r="B95" s="3" t="str">
        <f>B91</f>
        <v>Existing: Tariff R - Envestra Tanunda</v>
      </c>
      <c r="C95" s="21">
        <f t="array" ref="C95:F96">TRANSPOSE('Prop2018-19DistTar'!G18:H21)</f>
        <v>13042.431200000001</v>
      </c>
      <c r="D95" s="21">
        <v>31792.374989999997</v>
      </c>
      <c r="E95" s="21">
        <v>4906.79172896</v>
      </c>
      <c r="F95" s="21">
        <v>8274.5296562000003</v>
      </c>
      <c r="G95" s="4"/>
      <c r="H95" s="4"/>
      <c r="I95" s="4"/>
      <c r="J95" s="4"/>
      <c r="K95" s="4"/>
      <c r="L95" s="7"/>
    </row>
    <row r="96" spans="2:12" x14ac:dyDescent="0.2">
      <c r="B96" s="3" t="str">
        <f>B92</f>
        <v>Proposed: Tariff R - Envestra Tanunda</v>
      </c>
      <c r="C96" s="31">
        <v>13288.351999999999</v>
      </c>
      <c r="D96" s="31">
        <v>34371.672768800003</v>
      </c>
      <c r="E96" s="31">
        <v>4906.7592138400005</v>
      </c>
      <c r="F96" s="31">
        <v>8274.3676804799998</v>
      </c>
      <c r="G96" s="4"/>
      <c r="H96" s="4"/>
      <c r="I96" s="4"/>
      <c r="J96" s="4"/>
      <c r="K96" s="4"/>
      <c r="L96" s="7"/>
    </row>
    <row r="97" spans="2:12" ht="6" customHeight="1" x14ac:dyDescent="0.2">
      <c r="B97" s="3"/>
      <c r="C97" s="4"/>
      <c r="D97" s="4"/>
      <c r="E97" s="4"/>
      <c r="F97" s="4"/>
      <c r="G97" s="4"/>
      <c r="H97" s="4"/>
      <c r="I97" s="4"/>
      <c r="J97" s="4"/>
      <c r="K97" s="4"/>
      <c r="L97" s="7"/>
    </row>
    <row r="98" spans="2:12" x14ac:dyDescent="0.2">
      <c r="B98" s="3" t="s">
        <v>11</v>
      </c>
      <c r="C98" s="41" t="s">
        <v>12</v>
      </c>
      <c r="D98" s="4"/>
      <c r="E98" s="4"/>
      <c r="F98" s="4"/>
      <c r="G98" s="4"/>
      <c r="H98" s="4"/>
      <c r="I98" s="4"/>
      <c r="J98" s="4"/>
      <c r="K98" s="4"/>
      <c r="L98" s="7"/>
    </row>
    <row r="99" spans="2:12" x14ac:dyDescent="0.2">
      <c r="B99" s="3" t="str">
        <f>B95</f>
        <v>Existing: Tariff R - Envestra Tanunda</v>
      </c>
      <c r="C99" s="35">
        <f>SUM(C95:F95)</f>
        <v>58016.127575159997</v>
      </c>
      <c r="D99" s="4"/>
      <c r="E99" s="4"/>
      <c r="F99" s="4"/>
      <c r="G99" s="4"/>
      <c r="H99" s="4"/>
      <c r="I99" s="4"/>
      <c r="J99" s="4"/>
      <c r="K99" s="4"/>
      <c r="L99" s="7"/>
    </row>
    <row r="100" spans="2:12" x14ac:dyDescent="0.2">
      <c r="B100" s="3" t="str">
        <f>B96</f>
        <v>Proposed: Tariff R - Envestra Tanunda</v>
      </c>
      <c r="C100" s="37">
        <f>SUM(C96:F96)</f>
        <v>60841.151663119999</v>
      </c>
      <c r="D100" s="4"/>
      <c r="E100" s="4"/>
      <c r="F100" s="4"/>
      <c r="G100" s="4"/>
      <c r="H100" s="4"/>
      <c r="I100" s="4"/>
      <c r="J100" s="4"/>
      <c r="K100" s="4"/>
      <c r="L100" s="7"/>
    </row>
    <row r="101" spans="2:12" ht="6" customHeight="1" x14ac:dyDescent="0.2"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7"/>
    </row>
    <row r="102" spans="2:12" x14ac:dyDescent="0.2">
      <c r="B102" s="3" t="s">
        <v>5</v>
      </c>
      <c r="C102" s="25">
        <f>IF(C100=0,"",C100/C99)</f>
        <v>1.0486937719912481</v>
      </c>
      <c r="D102" s="4"/>
      <c r="E102" s="4"/>
      <c r="F102" s="4"/>
      <c r="G102" s="4"/>
      <c r="H102" s="4"/>
      <c r="I102" s="4"/>
      <c r="J102" s="4"/>
      <c r="K102" s="4"/>
      <c r="L102" s="7"/>
    </row>
    <row r="103" spans="2:12" ht="6" customHeight="1" x14ac:dyDescent="0.2"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7"/>
    </row>
    <row r="104" spans="2:12" x14ac:dyDescent="0.2">
      <c r="B104" s="145" t="str">
        <f>IF(C102="","",IF(C102&lt;$C$14,"REBALANCING CONTROL COMPLIANT","REBALANCING CONTROL BREACHED"))</f>
        <v>REBALANCING CONTROL COMPLIANT</v>
      </c>
      <c r="C104" s="146"/>
      <c r="D104" s="4"/>
      <c r="E104" s="4"/>
      <c r="F104" s="4"/>
      <c r="G104" s="4"/>
      <c r="H104" s="4"/>
      <c r="I104" s="4"/>
      <c r="J104" s="4"/>
      <c r="K104" s="4"/>
      <c r="L104" s="7"/>
    </row>
    <row r="105" spans="2:12" ht="6" customHeight="1" thickBot="1" x14ac:dyDescent="0.25"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10"/>
    </row>
    <row r="106" spans="2:12" ht="6" customHeight="1" thickBot="1" x14ac:dyDescent="0.25"/>
    <row r="107" spans="2:12" ht="6" customHeight="1" x14ac:dyDescent="0.2">
      <c r="B107" s="5"/>
      <c r="C107" s="6"/>
      <c r="D107" s="6"/>
      <c r="E107" s="6"/>
      <c r="F107" s="6"/>
      <c r="G107" s="6"/>
      <c r="H107" s="6"/>
      <c r="I107" s="6"/>
      <c r="J107" s="6"/>
      <c r="K107" s="6"/>
      <c r="L107" s="11"/>
    </row>
    <row r="108" spans="2:12" x14ac:dyDescent="0.2">
      <c r="B108" s="24" t="str">
        <f>'Prop2018-19DistTar'!B22</f>
        <v>Tariff C - Envestra Tanunda</v>
      </c>
      <c r="C108" s="4"/>
      <c r="D108" s="4"/>
      <c r="E108" s="4"/>
      <c r="F108" s="4"/>
      <c r="G108" s="4"/>
      <c r="H108" s="4"/>
      <c r="I108" s="4"/>
      <c r="J108" s="4"/>
      <c r="K108" s="4"/>
      <c r="L108" s="7"/>
    </row>
    <row r="109" spans="2:12" ht="6" customHeight="1" x14ac:dyDescent="0.2">
      <c r="B109" s="3"/>
      <c r="C109" s="50">
        <v>1</v>
      </c>
      <c r="D109" s="50">
        <v>2</v>
      </c>
      <c r="E109" s="50">
        <v>3</v>
      </c>
      <c r="F109" s="50">
        <v>4</v>
      </c>
      <c r="G109" s="50">
        <v>5</v>
      </c>
      <c r="H109" s="4"/>
      <c r="I109" s="4"/>
      <c r="J109" s="4"/>
      <c r="K109" s="4"/>
      <c r="L109" s="7"/>
    </row>
    <row r="110" spans="2:12" x14ac:dyDescent="0.2">
      <c r="B110" s="3" t="s">
        <v>7</v>
      </c>
      <c r="C110" s="38" t="s">
        <v>8</v>
      </c>
      <c r="D110" s="81" t="s">
        <v>44</v>
      </c>
      <c r="E110" s="81" t="s">
        <v>45</v>
      </c>
      <c r="F110" s="81" t="s">
        <v>46</v>
      </c>
      <c r="G110" s="81" t="s">
        <v>47</v>
      </c>
      <c r="H110" s="4"/>
      <c r="I110" s="4"/>
      <c r="J110" s="4"/>
      <c r="K110" s="4"/>
      <c r="L110" s="7"/>
    </row>
    <row r="111" spans="2:12" x14ac:dyDescent="0.2">
      <c r="B111" s="3" t="str">
        <f>"Existing: "&amp;'Prop2018-19DistTar'!C22</f>
        <v>Existing: Tariff C - Envestra Tanunda</v>
      </c>
      <c r="C111" s="39">
        <f t="array" ref="C111:G112">TRANSPOSE('Prop2018-19DistTar'!E23:F27)</f>
        <v>0.63670000000000004</v>
      </c>
      <c r="D111" s="39">
        <v>16.9191</v>
      </c>
      <c r="E111" s="39">
        <v>8.3508999999999993</v>
      </c>
      <c r="F111" s="39">
        <v>3.5789</v>
      </c>
      <c r="G111" s="39">
        <v>2.0341</v>
      </c>
      <c r="H111" s="4"/>
      <c r="I111" s="4"/>
      <c r="J111" s="4"/>
      <c r="K111" s="4"/>
      <c r="L111" s="7"/>
    </row>
    <row r="112" spans="2:12" x14ac:dyDescent="0.2">
      <c r="B112" s="3" t="str">
        <f>"Proposed: "&amp;B108</f>
        <v>Proposed: Tariff C - Envestra Tanunda</v>
      </c>
      <c r="C112" s="40">
        <v>0.64880000000000004</v>
      </c>
      <c r="D112" s="40">
        <v>18.255600000000001</v>
      </c>
      <c r="E112" s="40">
        <v>8.3508999999999993</v>
      </c>
      <c r="F112" s="40">
        <v>3.6074999999999999</v>
      </c>
      <c r="G112" s="40">
        <v>2.1955</v>
      </c>
      <c r="H112" s="4"/>
      <c r="I112" s="4"/>
      <c r="J112" s="4"/>
      <c r="K112" s="4"/>
      <c r="L112" s="7"/>
    </row>
    <row r="113" spans="2:12" ht="6" customHeight="1" x14ac:dyDescent="0.2">
      <c r="B113" s="3"/>
      <c r="C113" s="50"/>
      <c r="D113" s="50"/>
      <c r="E113" s="50"/>
      <c r="F113" s="50"/>
      <c r="G113" s="50"/>
      <c r="H113" s="4"/>
      <c r="I113" s="4"/>
      <c r="J113" s="4"/>
      <c r="K113" s="4"/>
      <c r="L113" s="7"/>
    </row>
    <row r="114" spans="2:12" x14ac:dyDescent="0.2">
      <c r="B114" s="3" t="s">
        <v>9</v>
      </c>
      <c r="C114" s="38" t="s">
        <v>8</v>
      </c>
      <c r="D114" s="81" t="s">
        <v>44</v>
      </c>
      <c r="E114" s="81" t="s">
        <v>45</v>
      </c>
      <c r="F114" s="81" t="s">
        <v>46</v>
      </c>
      <c r="G114" s="81" t="s">
        <v>47</v>
      </c>
      <c r="H114" s="4"/>
      <c r="I114" s="4"/>
      <c r="J114" s="4"/>
      <c r="K114" s="4"/>
      <c r="L114" s="7"/>
    </row>
    <row r="115" spans="2:12" x14ac:dyDescent="0.2">
      <c r="B115" s="3" t="str">
        <f>B111</f>
        <v>Existing: Tariff C - Envestra Tanunda</v>
      </c>
      <c r="C115" s="21">
        <f t="array" ref="C115:G115">TRANSPOSE('Prop2018-19DistTar'!D23:D27)</f>
        <v>7117</v>
      </c>
      <c r="D115" s="21">
        <v>3816.6347999999998</v>
      </c>
      <c r="E115" s="21">
        <v>4403.7147999999997</v>
      </c>
      <c r="F115" s="21">
        <v>3185.9994000000002</v>
      </c>
      <c r="G115" s="21">
        <v>0</v>
      </c>
      <c r="H115" s="4"/>
      <c r="I115" s="4"/>
      <c r="J115" s="4"/>
      <c r="K115" s="4"/>
      <c r="L115" s="7"/>
    </row>
    <row r="116" spans="2:12" x14ac:dyDescent="0.2">
      <c r="B116" s="3" t="str">
        <f>B112</f>
        <v>Proposed: Tariff C - Envestra Tanunda</v>
      </c>
      <c r="C116" s="31">
        <f>C115</f>
        <v>7117</v>
      </c>
      <c r="D116" s="31">
        <f t="shared" ref="D116" si="7">D115</f>
        <v>3816.6347999999998</v>
      </c>
      <c r="E116" s="31">
        <f t="shared" ref="E116" si="8">E115</f>
        <v>4403.7147999999997</v>
      </c>
      <c r="F116" s="31">
        <f t="shared" ref="F116" si="9">F115</f>
        <v>3185.9994000000002</v>
      </c>
      <c r="G116" s="31">
        <f t="shared" ref="G116" si="10">G115</f>
        <v>0</v>
      </c>
      <c r="H116" s="4"/>
      <c r="I116" s="4"/>
      <c r="J116" s="4"/>
      <c r="K116" s="4"/>
      <c r="L116" s="7"/>
    </row>
    <row r="117" spans="2:12" ht="6" customHeight="1" x14ac:dyDescent="0.2">
      <c r="B117" s="3"/>
      <c r="C117" s="50"/>
      <c r="D117" s="50"/>
      <c r="E117" s="50"/>
      <c r="F117" s="50"/>
      <c r="G117" s="50"/>
      <c r="H117" s="4"/>
      <c r="I117" s="4"/>
      <c r="J117" s="4"/>
      <c r="K117" s="4"/>
      <c r="L117" s="7"/>
    </row>
    <row r="118" spans="2:12" x14ac:dyDescent="0.2">
      <c r="B118" s="3" t="s">
        <v>10</v>
      </c>
      <c r="C118" s="38" t="s">
        <v>8</v>
      </c>
      <c r="D118" s="81" t="s">
        <v>44</v>
      </c>
      <c r="E118" s="81" t="s">
        <v>45</v>
      </c>
      <c r="F118" s="81" t="s">
        <v>46</v>
      </c>
      <c r="G118" s="81" t="s">
        <v>47</v>
      </c>
      <c r="H118" s="4"/>
      <c r="I118" s="4"/>
      <c r="J118" s="4"/>
      <c r="K118" s="4"/>
      <c r="L118" s="7"/>
    </row>
    <row r="119" spans="2:12" x14ac:dyDescent="0.2">
      <c r="B119" s="3" t="str">
        <f>B115</f>
        <v>Existing: Tariff C - Envestra Tanunda</v>
      </c>
      <c r="C119" s="21">
        <f t="array" ref="C119:G120">TRANSPOSE('Prop2018-19DistTar'!G23:H27)</f>
        <v>4531.3939</v>
      </c>
      <c r="D119" s="21">
        <v>64574.02584468</v>
      </c>
      <c r="E119" s="21">
        <v>36774.981923319996</v>
      </c>
      <c r="F119" s="21">
        <v>11402.37325266</v>
      </c>
      <c r="G119" s="21">
        <v>0</v>
      </c>
      <c r="H119" s="4"/>
      <c r="I119" s="4"/>
      <c r="J119" s="4"/>
      <c r="K119" s="4"/>
      <c r="L119" s="7"/>
    </row>
    <row r="120" spans="2:12" x14ac:dyDescent="0.2">
      <c r="B120" s="3" t="str">
        <f>B116</f>
        <v>Proposed: Tariff C - Envestra Tanunda</v>
      </c>
      <c r="C120" s="31">
        <v>4617.5096000000003</v>
      </c>
      <c r="D120" s="31">
        <v>69674.958254879995</v>
      </c>
      <c r="E120" s="31">
        <v>36774.981923319996</v>
      </c>
      <c r="F120" s="31">
        <v>11493.492835500001</v>
      </c>
      <c r="G120" s="31">
        <v>0</v>
      </c>
      <c r="H120" s="4"/>
      <c r="I120" s="4"/>
      <c r="J120" s="4"/>
      <c r="K120" s="4"/>
      <c r="L120" s="7"/>
    </row>
    <row r="121" spans="2:12" ht="6" customHeight="1" x14ac:dyDescent="0.2"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7"/>
    </row>
    <row r="122" spans="2:12" x14ac:dyDescent="0.2">
      <c r="B122" s="3" t="s">
        <v>11</v>
      </c>
      <c r="C122" s="41" t="s">
        <v>12</v>
      </c>
      <c r="D122" s="4"/>
      <c r="E122" s="4"/>
      <c r="F122" s="4"/>
      <c r="G122" s="4"/>
      <c r="H122" s="4"/>
      <c r="I122" s="4"/>
      <c r="J122" s="4"/>
      <c r="K122" s="4"/>
      <c r="L122" s="7"/>
    </row>
    <row r="123" spans="2:12" x14ac:dyDescent="0.2">
      <c r="B123" s="3" t="str">
        <f>B119</f>
        <v>Existing: Tariff C - Envestra Tanunda</v>
      </c>
      <c r="C123" s="35">
        <f>SUM(C119:K119)</f>
        <v>117282.77492065998</v>
      </c>
      <c r="D123" s="4"/>
      <c r="E123" s="4"/>
      <c r="F123" s="4"/>
      <c r="G123" s="4"/>
      <c r="H123" s="4"/>
      <c r="I123" s="4"/>
      <c r="J123" s="4"/>
      <c r="K123" s="4"/>
      <c r="L123" s="7"/>
    </row>
    <row r="124" spans="2:12" x14ac:dyDescent="0.2">
      <c r="B124" s="3" t="str">
        <f>B120</f>
        <v>Proposed: Tariff C - Envestra Tanunda</v>
      </c>
      <c r="C124" s="37">
        <f>SUM(C120:K120)</f>
        <v>122560.9426137</v>
      </c>
      <c r="D124" s="4"/>
      <c r="E124" s="4"/>
      <c r="F124" s="4"/>
      <c r="G124" s="4"/>
      <c r="H124" s="4"/>
      <c r="I124" s="4"/>
      <c r="J124" s="4"/>
      <c r="K124" s="4"/>
      <c r="L124" s="7"/>
    </row>
    <row r="125" spans="2:12" ht="6" customHeight="1" x14ac:dyDescent="0.2"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7"/>
    </row>
    <row r="126" spans="2:12" x14ac:dyDescent="0.2">
      <c r="B126" s="3" t="s">
        <v>5</v>
      </c>
      <c r="C126" s="25">
        <f>IF(C124=0,"",C124/C123)</f>
        <v>1.0450037756747366</v>
      </c>
      <c r="D126" s="4"/>
      <c r="E126" s="4"/>
      <c r="F126" s="4"/>
      <c r="G126" s="4"/>
      <c r="H126" s="4"/>
      <c r="I126" s="4"/>
      <c r="J126" s="4"/>
      <c r="K126" s="4"/>
      <c r="L126" s="7"/>
    </row>
    <row r="127" spans="2:12" ht="6" customHeight="1" x14ac:dyDescent="0.2"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7"/>
    </row>
    <row r="128" spans="2:12" x14ac:dyDescent="0.2">
      <c r="B128" s="145" t="str">
        <f>IF(C126="","",IF(C126&lt;$C$14,"REBALANCING CONTROL COMPLIANT","REBALANCING CONTROL BREACHED"))</f>
        <v>REBALANCING CONTROL COMPLIANT</v>
      </c>
      <c r="C128" s="146"/>
      <c r="D128" s="4"/>
      <c r="E128" s="4"/>
      <c r="F128" s="4"/>
      <c r="G128" s="4"/>
      <c r="H128" s="4"/>
      <c r="I128" s="4"/>
      <c r="J128" s="4"/>
      <c r="K128" s="4"/>
      <c r="L128" s="7"/>
    </row>
    <row r="129" spans="2:12" ht="6" customHeight="1" thickBot="1" x14ac:dyDescent="0.25">
      <c r="B129" s="8"/>
      <c r="C129" s="9"/>
      <c r="D129" s="9"/>
      <c r="E129" s="9"/>
      <c r="F129" s="9"/>
      <c r="G129" s="9"/>
      <c r="H129" s="9"/>
      <c r="I129" s="9"/>
      <c r="J129" s="9"/>
      <c r="K129" s="9"/>
      <c r="L129" s="10"/>
    </row>
    <row r="130" spans="2:12" ht="6" customHeight="1" thickBot="1" x14ac:dyDescent="0.25"/>
    <row r="131" spans="2:12" ht="6" customHeight="1" x14ac:dyDescent="0.2"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11"/>
    </row>
    <row r="132" spans="2:12" x14ac:dyDescent="0.2">
      <c r="B132" s="24" t="str">
        <f>'Prop2018-19DistTar'!B28</f>
        <v>Tariff D - Envestra Adelaide Northern</v>
      </c>
      <c r="C132" s="4"/>
      <c r="D132" s="4"/>
      <c r="E132" s="4"/>
      <c r="F132" s="4"/>
      <c r="G132" s="4"/>
      <c r="H132" s="4"/>
      <c r="I132" s="4"/>
      <c r="J132" s="4"/>
      <c r="K132" s="4"/>
      <c r="L132" s="7"/>
    </row>
    <row r="133" spans="2:12" ht="6" customHeight="1" x14ac:dyDescent="0.2">
      <c r="B133" s="3"/>
      <c r="C133" s="50">
        <v>1</v>
      </c>
      <c r="D133" s="50">
        <v>2</v>
      </c>
      <c r="E133" s="50">
        <v>3</v>
      </c>
      <c r="F133" s="50">
        <v>4</v>
      </c>
      <c r="G133" s="4"/>
      <c r="H133" s="4"/>
      <c r="I133" s="4"/>
      <c r="J133" s="4"/>
      <c r="K133" s="4"/>
      <c r="L133" s="7"/>
    </row>
    <row r="134" spans="2:12" x14ac:dyDescent="0.2">
      <c r="B134" s="3" t="s">
        <v>7</v>
      </c>
      <c r="C134" s="38" t="s">
        <v>17</v>
      </c>
      <c r="D134" s="38" t="s">
        <v>18</v>
      </c>
      <c r="E134" s="38" t="s">
        <v>19</v>
      </c>
      <c r="F134" s="38" t="s">
        <v>40</v>
      </c>
      <c r="G134" s="4"/>
      <c r="H134" s="4"/>
      <c r="I134" s="4"/>
      <c r="J134" s="4"/>
      <c r="K134" s="4"/>
      <c r="L134" s="7"/>
    </row>
    <row r="135" spans="2:12" x14ac:dyDescent="0.2">
      <c r="B135" s="3" t="str">
        <f>"Existing: "&amp;'Prop2018-19DistTar'!C28</f>
        <v>Existing: Tariff D - Envestra Adelaide Northern</v>
      </c>
      <c r="C135" s="39">
        <f t="array" ref="C135:F136">TRANSPOSE('Prop2018-19DistTar'!E29:F32)</f>
        <v>2425.4589000000001</v>
      </c>
      <c r="D135" s="51">
        <v>47.161499999999997</v>
      </c>
      <c r="E135" s="51">
        <v>29.443000000000001</v>
      </c>
      <c r="F135" s="51">
        <v>8.9210999999999991</v>
      </c>
      <c r="G135" s="4"/>
      <c r="H135" s="4"/>
      <c r="I135" s="4"/>
      <c r="J135" s="4"/>
      <c r="K135" s="4"/>
      <c r="L135" s="7"/>
    </row>
    <row r="136" spans="2:12" x14ac:dyDescent="0.2">
      <c r="B136" s="3" t="str">
        <f>"Proposed: "&amp;B132</f>
        <v>Proposed: Tariff D - Envestra Adelaide Northern</v>
      </c>
      <c r="C136" s="40">
        <v>2544.4454999999998</v>
      </c>
      <c r="D136" s="40">
        <v>49.475099999999998</v>
      </c>
      <c r="E136" s="40">
        <v>30.8873</v>
      </c>
      <c r="F136" s="40">
        <v>9.3587000000000007</v>
      </c>
      <c r="G136" s="4"/>
      <c r="H136" s="4"/>
      <c r="I136" s="4"/>
      <c r="J136" s="4"/>
      <c r="K136" s="4"/>
      <c r="L136" s="7"/>
    </row>
    <row r="137" spans="2:12" ht="6" customHeight="1" x14ac:dyDescent="0.2">
      <c r="B137" s="3"/>
      <c r="C137" s="50"/>
      <c r="D137" s="50"/>
      <c r="E137" s="50"/>
      <c r="F137" s="50"/>
      <c r="G137" s="4"/>
      <c r="H137" s="4"/>
      <c r="I137" s="4"/>
      <c r="J137" s="4"/>
      <c r="K137" s="4"/>
      <c r="L137" s="7"/>
    </row>
    <row r="138" spans="2:12" x14ac:dyDescent="0.2">
      <c r="B138" s="3" t="s">
        <v>9</v>
      </c>
      <c r="C138" s="38" t="s">
        <v>17</v>
      </c>
      <c r="D138" s="38" t="s">
        <v>18</v>
      </c>
      <c r="E138" s="38" t="s">
        <v>19</v>
      </c>
      <c r="F138" s="38" t="s">
        <v>40</v>
      </c>
      <c r="G138" s="4"/>
      <c r="H138" s="4"/>
      <c r="I138" s="4"/>
      <c r="J138" s="4"/>
      <c r="K138" s="4"/>
      <c r="L138" s="7"/>
    </row>
    <row r="139" spans="2:12" x14ac:dyDescent="0.2">
      <c r="B139" s="3" t="str">
        <f>B135</f>
        <v>Existing: Tariff D - Envestra Adelaide Northern</v>
      </c>
      <c r="C139" s="21">
        <f t="array" ref="C139:F139">TRANSPOSE('Prop2018-19DistTar'!D29:D32)</f>
        <v>65</v>
      </c>
      <c r="D139" s="21">
        <v>2714.9999999999995</v>
      </c>
      <c r="E139" s="21">
        <v>13326.999999999998</v>
      </c>
      <c r="F139" s="21">
        <v>21391</v>
      </c>
      <c r="G139" s="4"/>
      <c r="H139" s="4"/>
      <c r="I139" s="4"/>
      <c r="J139" s="4"/>
      <c r="K139" s="4"/>
      <c r="L139" s="7"/>
    </row>
    <row r="140" spans="2:12" x14ac:dyDescent="0.2">
      <c r="B140" s="3" t="str">
        <f>B136</f>
        <v>Proposed: Tariff D - Envestra Adelaide Northern</v>
      </c>
      <c r="C140" s="31">
        <f>C139</f>
        <v>65</v>
      </c>
      <c r="D140" s="31">
        <f t="shared" ref="D140" si="11">D139</f>
        <v>2714.9999999999995</v>
      </c>
      <c r="E140" s="31">
        <f t="shared" ref="E140" si="12">E139</f>
        <v>13326.999999999998</v>
      </c>
      <c r="F140" s="31">
        <f t="shared" ref="F140" si="13">F139</f>
        <v>21391</v>
      </c>
      <c r="G140" s="4"/>
      <c r="H140" s="4"/>
      <c r="I140" s="4"/>
      <c r="J140" s="4"/>
      <c r="K140" s="4"/>
      <c r="L140" s="7"/>
    </row>
    <row r="141" spans="2:12" ht="6" customHeight="1" x14ac:dyDescent="0.2">
      <c r="B141" s="3"/>
      <c r="C141" s="50"/>
      <c r="D141" s="50"/>
      <c r="E141" s="50"/>
      <c r="F141" s="50"/>
      <c r="G141" s="4"/>
      <c r="H141" s="4"/>
      <c r="I141" s="4"/>
      <c r="J141" s="4"/>
      <c r="K141" s="4"/>
      <c r="L141" s="7"/>
    </row>
    <row r="142" spans="2:12" x14ac:dyDescent="0.2">
      <c r="B142" s="3" t="s">
        <v>10</v>
      </c>
      <c r="C142" s="38" t="s">
        <v>17</v>
      </c>
      <c r="D142" s="38" t="s">
        <v>18</v>
      </c>
      <c r="E142" s="38" t="s">
        <v>19</v>
      </c>
      <c r="F142" s="38" t="s">
        <v>40</v>
      </c>
      <c r="G142" s="4"/>
      <c r="H142" s="4"/>
      <c r="I142" s="4"/>
      <c r="J142" s="4"/>
      <c r="K142" s="4"/>
      <c r="L142" s="7"/>
    </row>
    <row r="143" spans="2:12" x14ac:dyDescent="0.2">
      <c r="B143" s="3" t="str">
        <f>B139</f>
        <v>Existing: Tariff D - Envestra Adelaide Northern</v>
      </c>
      <c r="C143" s="21">
        <f t="array" ref="C143:F144">TRANSPOSE('Prop2018-19DistTar'!G29:H32)</f>
        <v>1891857.942</v>
      </c>
      <c r="D143" s="21">
        <v>1536521.6699999997</v>
      </c>
      <c r="E143" s="21">
        <v>4708642.3319999995</v>
      </c>
      <c r="F143" s="21">
        <v>2289975.0011999998</v>
      </c>
      <c r="G143" s="4"/>
      <c r="H143" s="4"/>
      <c r="I143" s="4"/>
      <c r="J143" s="4"/>
      <c r="K143" s="4"/>
      <c r="L143" s="7"/>
    </row>
    <row r="144" spans="2:12" x14ac:dyDescent="0.2">
      <c r="B144" s="3" t="str">
        <f>B140</f>
        <v>Proposed: Tariff D - Envestra Adelaide Northern</v>
      </c>
      <c r="C144" s="31">
        <v>1984667.4899999998</v>
      </c>
      <c r="D144" s="31">
        <v>1611898.7579999997</v>
      </c>
      <c r="E144" s="31">
        <v>4939620.5651999991</v>
      </c>
      <c r="F144" s="31">
        <v>2402303.4204000002</v>
      </c>
      <c r="G144" s="4"/>
      <c r="H144" s="4"/>
      <c r="I144" s="4"/>
      <c r="J144" s="4"/>
      <c r="K144" s="4"/>
      <c r="L144" s="7"/>
    </row>
    <row r="145" spans="2:12" ht="6" customHeight="1" x14ac:dyDescent="0.2"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7"/>
    </row>
    <row r="146" spans="2:12" x14ac:dyDescent="0.2">
      <c r="B146" s="3" t="s">
        <v>11</v>
      </c>
      <c r="C146" s="53" t="s">
        <v>12</v>
      </c>
      <c r="D146" s="4"/>
      <c r="E146" s="4"/>
      <c r="F146" s="4"/>
      <c r="G146" s="4"/>
      <c r="H146" s="4"/>
      <c r="I146" s="4"/>
      <c r="J146" s="4"/>
      <c r="K146" s="4"/>
      <c r="L146" s="7"/>
    </row>
    <row r="147" spans="2:12" x14ac:dyDescent="0.2">
      <c r="B147" s="3" t="str">
        <f>B143</f>
        <v>Existing: Tariff D - Envestra Adelaide Northern</v>
      </c>
      <c r="C147" s="35">
        <f>SUM(C143:K143)</f>
        <v>10426996.9452</v>
      </c>
      <c r="D147" s="4"/>
      <c r="E147" s="4"/>
      <c r="F147" s="4"/>
      <c r="G147" s="4"/>
      <c r="H147" s="4"/>
      <c r="I147" s="4"/>
      <c r="J147" s="4"/>
      <c r="K147" s="4"/>
      <c r="L147" s="7"/>
    </row>
    <row r="148" spans="2:12" x14ac:dyDescent="0.2">
      <c r="B148" s="3" t="str">
        <f>B144</f>
        <v>Proposed: Tariff D - Envestra Adelaide Northern</v>
      </c>
      <c r="C148" s="37">
        <f>SUM(C144:K144)</f>
        <v>10938490.233599998</v>
      </c>
      <c r="D148" s="4"/>
      <c r="E148" s="4"/>
      <c r="F148" s="4"/>
      <c r="G148" s="4"/>
      <c r="H148" s="4"/>
      <c r="I148" s="4"/>
      <c r="J148" s="4"/>
      <c r="K148" s="4"/>
      <c r="L148" s="7"/>
    </row>
    <row r="149" spans="2:12" ht="6" customHeight="1" x14ac:dyDescent="0.2"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7"/>
    </row>
    <row r="150" spans="2:12" x14ac:dyDescent="0.2">
      <c r="B150" s="3" t="s">
        <v>5</v>
      </c>
      <c r="C150" s="25">
        <f>IF(C148=0,"",C148/C147)</f>
        <v>1.0490547078020831</v>
      </c>
      <c r="D150" s="4"/>
      <c r="E150" s="4"/>
      <c r="F150" s="4"/>
      <c r="G150" s="4"/>
      <c r="H150" s="4"/>
      <c r="I150" s="4"/>
      <c r="J150" s="4"/>
      <c r="K150" s="4"/>
      <c r="L150" s="7"/>
    </row>
    <row r="151" spans="2:12" ht="6" customHeight="1" x14ac:dyDescent="0.2"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7"/>
    </row>
    <row r="152" spans="2:12" ht="12.75" customHeight="1" x14ac:dyDescent="0.2">
      <c r="B152" s="145" t="str">
        <f>IF(C150="","",IF(C150&lt;$C$14,"REBALANCING CONTROL COMPLIANT","REBALANCING CONTROL BREACHED"))</f>
        <v>REBALANCING CONTROL COMPLIANT</v>
      </c>
      <c r="C152" s="146"/>
      <c r="D152" s="4"/>
      <c r="E152" s="4"/>
      <c r="F152" s="4"/>
      <c r="G152" s="4"/>
      <c r="H152" s="4"/>
      <c r="I152" s="4"/>
      <c r="J152" s="4"/>
      <c r="K152" s="4"/>
      <c r="L152" s="7"/>
    </row>
    <row r="153" spans="2:12" ht="6" customHeight="1" thickBot="1" x14ac:dyDescent="0.25">
      <c r="B153" s="8"/>
      <c r="C153" s="9"/>
      <c r="D153" s="9"/>
      <c r="E153" s="9"/>
      <c r="F153" s="9"/>
      <c r="G153" s="9"/>
      <c r="H153" s="9"/>
      <c r="I153" s="9"/>
      <c r="J153" s="9"/>
      <c r="K153" s="9"/>
      <c r="L153" s="10"/>
    </row>
    <row r="154" spans="2:12" ht="6" customHeight="1" thickBot="1" x14ac:dyDescent="0.25"/>
    <row r="155" spans="2:12" ht="12.95" customHeight="1" x14ac:dyDescent="0.2">
      <c r="B155" s="5"/>
      <c r="C155" s="6"/>
      <c r="D155" s="6"/>
      <c r="E155" s="6"/>
      <c r="F155" s="6"/>
      <c r="G155" s="6"/>
      <c r="H155" s="6"/>
      <c r="I155" s="6"/>
      <c r="J155" s="6"/>
      <c r="K155" s="6"/>
      <c r="L155" s="11"/>
    </row>
    <row r="156" spans="2:12" ht="12.95" customHeight="1" x14ac:dyDescent="0.2">
      <c r="B156" s="24" t="str">
        <f>'Prop2018-19DistTar'!B33</f>
        <v>Tariff D - Envestra Adelaide Central</v>
      </c>
      <c r="C156" s="4"/>
      <c r="D156" s="4"/>
      <c r="E156" s="4"/>
      <c r="F156" s="4"/>
      <c r="G156" s="4"/>
      <c r="H156" s="4"/>
      <c r="I156" s="4"/>
      <c r="J156" s="4"/>
      <c r="K156" s="4"/>
      <c r="L156" s="7"/>
    </row>
    <row r="157" spans="2:12" ht="12.95" customHeight="1" x14ac:dyDescent="0.2">
      <c r="B157" s="3"/>
      <c r="C157" s="50">
        <v>1</v>
      </c>
      <c r="D157" s="50">
        <v>2</v>
      </c>
      <c r="E157" s="50">
        <v>3</v>
      </c>
      <c r="F157" s="50">
        <v>4</v>
      </c>
      <c r="G157" s="4"/>
      <c r="H157" s="4"/>
      <c r="I157" s="4"/>
      <c r="J157" s="4"/>
      <c r="K157" s="4"/>
      <c r="L157" s="7"/>
    </row>
    <row r="158" spans="2:12" ht="12.95" customHeight="1" x14ac:dyDescent="0.2">
      <c r="B158" s="3" t="s">
        <v>7</v>
      </c>
      <c r="C158" s="38" t="s">
        <v>17</v>
      </c>
      <c r="D158" s="38" t="s">
        <v>18</v>
      </c>
      <c r="E158" s="38" t="s">
        <v>19</v>
      </c>
      <c r="F158" s="38" t="s">
        <v>40</v>
      </c>
      <c r="G158" s="4"/>
      <c r="H158" s="4"/>
      <c r="I158" s="4"/>
      <c r="J158" s="4"/>
      <c r="K158" s="4"/>
      <c r="L158" s="7"/>
    </row>
    <row r="159" spans="2:12" ht="12.95" customHeight="1" x14ac:dyDescent="0.2">
      <c r="B159" s="3" t="str">
        <f>"Existing: "&amp;'Prop2018-19DistTar'!C33</f>
        <v>Existing: Tariff D - Envestra Adelaide Central</v>
      </c>
      <c r="C159" s="39">
        <f t="array" ref="C159:F160">TRANSPOSE('Prop2018-19DistTar'!E34:F37)</f>
        <v>2425.4589000000001</v>
      </c>
      <c r="D159" s="51">
        <v>56.007800000000003</v>
      </c>
      <c r="E159" s="51">
        <v>35.618400000000001</v>
      </c>
      <c r="F159" s="51">
        <v>10.2074</v>
      </c>
      <c r="G159" s="4"/>
      <c r="H159" s="4"/>
      <c r="I159" s="4"/>
      <c r="J159" s="4"/>
      <c r="K159" s="4"/>
      <c r="L159" s="7"/>
    </row>
    <row r="160" spans="2:12" ht="12.95" customHeight="1" x14ac:dyDescent="0.2">
      <c r="B160" s="3" t="str">
        <f>"Proposed: "&amp;B156</f>
        <v>Proposed: Tariff D - Envestra Adelaide Central</v>
      </c>
      <c r="C160" s="40">
        <v>2544.4454999999998</v>
      </c>
      <c r="D160" s="40">
        <v>58.755299999999998</v>
      </c>
      <c r="E160" s="40">
        <v>37.365699999999997</v>
      </c>
      <c r="F160" s="40">
        <v>10.7081</v>
      </c>
      <c r="G160" s="4"/>
      <c r="H160" s="4"/>
      <c r="I160" s="4"/>
      <c r="J160" s="4"/>
      <c r="K160" s="4"/>
      <c r="L160" s="7"/>
    </row>
    <row r="161" spans="2:12" ht="12.95" customHeight="1" x14ac:dyDescent="0.2">
      <c r="B161" s="3"/>
      <c r="C161" s="50"/>
      <c r="D161" s="50"/>
      <c r="E161" s="50"/>
      <c r="F161" s="50"/>
      <c r="G161" s="4"/>
      <c r="H161" s="4"/>
      <c r="I161" s="4"/>
      <c r="J161" s="4"/>
      <c r="K161" s="4"/>
      <c r="L161" s="7"/>
    </row>
    <row r="162" spans="2:12" ht="12.95" customHeight="1" x14ac:dyDescent="0.2">
      <c r="B162" s="3" t="s">
        <v>9</v>
      </c>
      <c r="C162" s="38" t="s">
        <v>17</v>
      </c>
      <c r="D162" s="38" t="s">
        <v>18</v>
      </c>
      <c r="E162" s="38" t="s">
        <v>19</v>
      </c>
      <c r="F162" s="38" t="s">
        <v>40</v>
      </c>
      <c r="G162" s="4"/>
      <c r="H162" s="4"/>
      <c r="I162" s="4"/>
      <c r="J162" s="4"/>
      <c r="K162" s="4"/>
      <c r="L162" s="7"/>
    </row>
    <row r="163" spans="2:12" ht="12.95" customHeight="1" x14ac:dyDescent="0.2">
      <c r="B163" s="3" t="str">
        <f>B159</f>
        <v>Existing: Tariff D - Envestra Adelaide Central</v>
      </c>
      <c r="C163" s="21">
        <f t="array" ref="C163:F163">TRANSPOSE('Prop2018-19DistTar'!D34:D37)</f>
        <v>38</v>
      </c>
      <c r="D163" s="21">
        <v>1499.9999999999998</v>
      </c>
      <c r="E163" s="21">
        <v>6683.9999999999991</v>
      </c>
      <c r="F163" s="21">
        <v>104</v>
      </c>
      <c r="G163" s="4"/>
      <c r="H163" s="4"/>
      <c r="I163" s="4"/>
      <c r="J163" s="4"/>
      <c r="K163" s="4"/>
      <c r="L163" s="7"/>
    </row>
    <row r="164" spans="2:12" ht="12.95" customHeight="1" x14ac:dyDescent="0.2">
      <c r="B164" s="3" t="str">
        <f>B160</f>
        <v>Proposed: Tariff D - Envestra Adelaide Central</v>
      </c>
      <c r="C164" s="31">
        <f>C163</f>
        <v>38</v>
      </c>
      <c r="D164" s="31">
        <f t="shared" ref="D164" si="14">D163</f>
        <v>1499.9999999999998</v>
      </c>
      <c r="E164" s="31">
        <f t="shared" ref="E164" si="15">E163</f>
        <v>6683.9999999999991</v>
      </c>
      <c r="F164" s="31">
        <f t="shared" ref="F164" si="16">F163</f>
        <v>104</v>
      </c>
      <c r="G164" s="4"/>
      <c r="H164" s="4"/>
      <c r="I164" s="4"/>
      <c r="J164" s="4"/>
      <c r="K164" s="4"/>
      <c r="L164" s="7"/>
    </row>
    <row r="165" spans="2:12" ht="12.95" customHeight="1" x14ac:dyDescent="0.2">
      <c r="B165" s="3"/>
      <c r="C165" s="50"/>
      <c r="D165" s="50"/>
      <c r="E165" s="50"/>
      <c r="F165" s="50"/>
      <c r="G165" s="4"/>
      <c r="H165" s="4"/>
      <c r="I165" s="4"/>
      <c r="J165" s="4"/>
      <c r="K165" s="4"/>
      <c r="L165" s="7"/>
    </row>
    <row r="166" spans="2:12" ht="12.95" customHeight="1" x14ac:dyDescent="0.2">
      <c r="B166" s="3" t="s">
        <v>10</v>
      </c>
      <c r="C166" s="38" t="s">
        <v>17</v>
      </c>
      <c r="D166" s="38" t="s">
        <v>18</v>
      </c>
      <c r="E166" s="38" t="s">
        <v>19</v>
      </c>
      <c r="F166" s="38" t="s">
        <v>40</v>
      </c>
      <c r="G166" s="4"/>
      <c r="H166" s="4"/>
      <c r="I166" s="4"/>
      <c r="J166" s="4"/>
      <c r="K166" s="4"/>
      <c r="L166" s="7"/>
    </row>
    <row r="167" spans="2:12" ht="12.95" customHeight="1" x14ac:dyDescent="0.2">
      <c r="B167" s="3" t="str">
        <f>B163</f>
        <v>Existing: Tariff D - Envestra Adelaide Central</v>
      </c>
      <c r="C167" s="21">
        <f t="array" ref="C167:F168">TRANSPOSE('Prop2018-19DistTar'!G34:H37)</f>
        <v>1106009.2584000002</v>
      </c>
      <c r="D167" s="21">
        <v>1008140.3999999999</v>
      </c>
      <c r="E167" s="21">
        <v>2856880.6272</v>
      </c>
      <c r="F167" s="21">
        <v>12738.835200000001</v>
      </c>
      <c r="G167" s="4"/>
      <c r="H167" s="4"/>
      <c r="I167" s="4"/>
      <c r="J167" s="4"/>
      <c r="K167" s="4"/>
      <c r="L167" s="7"/>
    </row>
    <row r="168" spans="2:12" ht="12.95" customHeight="1" x14ac:dyDescent="0.2">
      <c r="B168" s="3" t="str">
        <f>B164</f>
        <v>Proposed: Tariff D - Envestra Adelaide Central</v>
      </c>
      <c r="C168" s="31">
        <v>1160267.1479999998</v>
      </c>
      <c r="D168" s="31">
        <v>1057595.3999999999</v>
      </c>
      <c r="E168" s="31">
        <v>2997028.0655999994</v>
      </c>
      <c r="F168" s="31">
        <v>13363.7088</v>
      </c>
      <c r="G168" s="4"/>
      <c r="H168" s="4"/>
      <c r="I168" s="4"/>
      <c r="J168" s="4"/>
      <c r="K168" s="4"/>
      <c r="L168" s="7"/>
    </row>
    <row r="169" spans="2:12" ht="12.95" customHeight="1" x14ac:dyDescent="0.2"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7"/>
    </row>
    <row r="170" spans="2:12" ht="12.95" customHeight="1" x14ac:dyDescent="0.2">
      <c r="B170" s="3" t="s">
        <v>11</v>
      </c>
      <c r="C170" s="53" t="s">
        <v>12</v>
      </c>
      <c r="D170" s="4"/>
      <c r="E170" s="4"/>
      <c r="F170" s="4"/>
      <c r="G170" s="4"/>
      <c r="H170" s="4"/>
      <c r="I170" s="4"/>
      <c r="J170" s="4"/>
      <c r="K170" s="4"/>
      <c r="L170" s="7"/>
    </row>
    <row r="171" spans="2:12" ht="12.95" customHeight="1" x14ac:dyDescent="0.2">
      <c r="B171" s="3" t="str">
        <f>B167</f>
        <v>Existing: Tariff D - Envestra Adelaide Central</v>
      </c>
      <c r="C171" s="35">
        <f>SUM(C167:K167)</f>
        <v>4983769.1207999997</v>
      </c>
      <c r="D171" s="4"/>
      <c r="E171" s="4"/>
      <c r="F171" s="4"/>
      <c r="G171" s="4"/>
      <c r="H171" s="4"/>
      <c r="I171" s="4"/>
      <c r="J171" s="4"/>
      <c r="K171" s="4"/>
      <c r="L171" s="7"/>
    </row>
    <row r="172" spans="2:12" ht="12.95" customHeight="1" x14ac:dyDescent="0.2">
      <c r="B172" s="3" t="str">
        <f>B168</f>
        <v>Proposed: Tariff D - Envestra Adelaide Central</v>
      </c>
      <c r="C172" s="37">
        <f>SUM(C168:K168)</f>
        <v>5228254.322399999</v>
      </c>
      <c r="D172" s="4"/>
      <c r="E172" s="4"/>
      <c r="F172" s="4"/>
      <c r="G172" s="4"/>
      <c r="H172" s="4"/>
      <c r="I172" s="4"/>
      <c r="J172" s="4"/>
      <c r="K172" s="4"/>
      <c r="L172" s="7"/>
    </row>
    <row r="173" spans="2:12" ht="12.95" customHeight="1" x14ac:dyDescent="0.2"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7"/>
    </row>
    <row r="174" spans="2:12" ht="12.95" customHeight="1" x14ac:dyDescent="0.2">
      <c r="B174" s="3" t="s">
        <v>5</v>
      </c>
      <c r="C174" s="25">
        <f>IF(C172=0,"",C172/C171)</f>
        <v>1.0490562856492747</v>
      </c>
      <c r="D174" s="4"/>
      <c r="E174" s="4"/>
      <c r="F174" s="4"/>
      <c r="G174" s="4"/>
      <c r="H174" s="4"/>
      <c r="I174" s="4"/>
      <c r="J174" s="4"/>
      <c r="K174" s="4"/>
      <c r="L174" s="7"/>
    </row>
    <row r="175" spans="2:12" ht="12.95" customHeight="1" x14ac:dyDescent="0.2"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7"/>
    </row>
    <row r="176" spans="2:12" ht="12.95" customHeight="1" x14ac:dyDescent="0.2">
      <c r="B176" s="145" t="str">
        <f>IF(C174="","",IF(C174&lt;$C$14,"REBALANCING CONTROL COMPLIANT","REBALANCING CONTROL BREACHED"))</f>
        <v>REBALANCING CONTROL COMPLIANT</v>
      </c>
      <c r="C176" s="146"/>
      <c r="D176" s="4"/>
      <c r="E176" s="4"/>
      <c r="F176" s="4"/>
      <c r="G176" s="4"/>
      <c r="H176" s="4"/>
      <c r="I176" s="4"/>
      <c r="J176" s="4"/>
      <c r="K176" s="4"/>
      <c r="L176" s="7"/>
    </row>
    <row r="177" spans="2:12" ht="12.95" customHeight="1" thickBot="1" x14ac:dyDescent="0.25">
      <c r="B177" s="8"/>
      <c r="C177" s="9"/>
      <c r="D177" s="9"/>
      <c r="E177" s="9"/>
      <c r="F177" s="9"/>
      <c r="G177" s="9"/>
      <c r="H177" s="9"/>
      <c r="I177" s="9"/>
      <c r="J177" s="9"/>
      <c r="K177" s="9"/>
      <c r="L177" s="10"/>
    </row>
    <row r="178" spans="2:12" ht="9.9499999999999993" customHeight="1" thickBot="1" x14ac:dyDescent="0.25"/>
    <row r="179" spans="2:12" ht="12.95" customHeight="1" x14ac:dyDescent="0.2">
      <c r="B179" s="5"/>
      <c r="C179" s="6"/>
      <c r="D179" s="6"/>
      <c r="E179" s="6"/>
      <c r="F179" s="6"/>
      <c r="G179" s="6"/>
      <c r="H179" s="6"/>
      <c r="I179" s="6"/>
      <c r="J179" s="6"/>
      <c r="K179" s="6"/>
      <c r="L179" s="11"/>
    </row>
    <row r="180" spans="2:12" ht="12.95" customHeight="1" x14ac:dyDescent="0.2">
      <c r="B180" s="24" t="str">
        <f>'Prop2018-19DistTar'!B38</f>
        <v>Tariff D - Envestra Adelaide Southern</v>
      </c>
      <c r="C180" s="4"/>
      <c r="D180" s="4"/>
      <c r="E180" s="4"/>
      <c r="F180" s="4"/>
      <c r="G180" s="4"/>
      <c r="H180" s="4"/>
      <c r="I180" s="4"/>
      <c r="J180" s="4"/>
      <c r="K180" s="4"/>
      <c r="L180" s="7"/>
    </row>
    <row r="181" spans="2:12" ht="12.95" customHeight="1" x14ac:dyDescent="0.2">
      <c r="B181" s="3"/>
      <c r="C181" s="50">
        <v>1</v>
      </c>
      <c r="D181" s="50">
        <v>2</v>
      </c>
      <c r="E181" s="50">
        <v>3</v>
      </c>
      <c r="F181" s="50">
        <v>4</v>
      </c>
      <c r="G181" s="4"/>
      <c r="H181" s="4"/>
      <c r="I181" s="4"/>
      <c r="J181" s="4"/>
      <c r="K181" s="4"/>
      <c r="L181" s="7"/>
    </row>
    <row r="182" spans="2:12" ht="12.95" customHeight="1" x14ac:dyDescent="0.2">
      <c r="B182" s="3" t="s">
        <v>7</v>
      </c>
      <c r="C182" s="38" t="s">
        <v>17</v>
      </c>
      <c r="D182" s="38" t="s">
        <v>18</v>
      </c>
      <c r="E182" s="38" t="s">
        <v>19</v>
      </c>
      <c r="F182" s="38" t="s">
        <v>40</v>
      </c>
      <c r="G182" s="4"/>
      <c r="H182" s="4"/>
      <c r="I182" s="4"/>
      <c r="J182" s="4"/>
      <c r="K182" s="4"/>
      <c r="L182" s="7"/>
    </row>
    <row r="183" spans="2:12" ht="12.95" customHeight="1" x14ac:dyDescent="0.2">
      <c r="B183" s="3" t="str">
        <f>"Existing: "&amp;'Prop2018-19DistTar'!C38</f>
        <v>Existing: Tariff D - Envestra Adelaide Southern</v>
      </c>
      <c r="C183" s="39">
        <f t="array" ref="C183:F184">TRANSPOSE('Prop2018-19DistTar'!E39:F42)</f>
        <v>2425.4589000000001</v>
      </c>
      <c r="D183" s="51">
        <v>66.0501</v>
      </c>
      <c r="E183" s="51">
        <v>41.365099999999998</v>
      </c>
      <c r="F183" s="51">
        <v>12.4747</v>
      </c>
      <c r="G183" s="4"/>
      <c r="H183" s="4"/>
      <c r="I183" s="4"/>
      <c r="J183" s="4"/>
      <c r="K183" s="4"/>
      <c r="L183" s="7"/>
    </row>
    <row r="184" spans="2:12" ht="12.95" customHeight="1" x14ac:dyDescent="0.2">
      <c r="B184" s="3" t="str">
        <f>"Proposed: "&amp;B180</f>
        <v>Proposed: Tariff D - Envestra Adelaide Southern</v>
      </c>
      <c r="C184" s="40">
        <v>2544.4454999999998</v>
      </c>
      <c r="D184" s="40">
        <v>69.290300000000002</v>
      </c>
      <c r="E184" s="40">
        <v>43.394300000000001</v>
      </c>
      <c r="F184" s="40">
        <v>13.086600000000001</v>
      </c>
      <c r="G184" s="4"/>
      <c r="H184" s="4"/>
      <c r="I184" s="4"/>
      <c r="J184" s="4"/>
      <c r="K184" s="4"/>
      <c r="L184" s="7"/>
    </row>
    <row r="185" spans="2:12" ht="12.95" customHeight="1" x14ac:dyDescent="0.2">
      <c r="B185" s="3"/>
      <c r="C185" s="50"/>
      <c r="D185" s="50"/>
      <c r="E185" s="50"/>
      <c r="F185" s="50"/>
      <c r="G185" s="4"/>
      <c r="H185" s="4"/>
      <c r="I185" s="4"/>
      <c r="J185" s="4"/>
      <c r="K185" s="4"/>
      <c r="L185" s="7"/>
    </row>
    <row r="186" spans="2:12" ht="12.95" customHeight="1" x14ac:dyDescent="0.2">
      <c r="B186" s="3" t="s">
        <v>9</v>
      </c>
      <c r="C186" s="38" t="s">
        <v>17</v>
      </c>
      <c r="D186" s="38" t="s">
        <v>18</v>
      </c>
      <c r="E186" s="38" t="s">
        <v>19</v>
      </c>
      <c r="F186" s="38" t="s">
        <v>40</v>
      </c>
      <c r="G186" s="4"/>
      <c r="H186" s="4"/>
      <c r="I186" s="4"/>
      <c r="J186" s="4"/>
      <c r="K186" s="4"/>
      <c r="L186" s="7"/>
    </row>
    <row r="187" spans="2:12" ht="12.95" customHeight="1" x14ac:dyDescent="0.2">
      <c r="B187" s="3" t="str">
        <f>B183</f>
        <v>Existing: Tariff D - Envestra Adelaide Southern</v>
      </c>
      <c r="C187" s="21">
        <f t="array" ref="C187:F187">TRANSPOSE('Prop2018-19DistTar'!D39:D42)</f>
        <v>12</v>
      </c>
      <c r="D187" s="21">
        <v>485.00000000000006</v>
      </c>
      <c r="E187" s="21">
        <v>781.00000000000011</v>
      </c>
      <c r="F187" s="21">
        <v>0</v>
      </c>
      <c r="G187" s="4"/>
      <c r="H187" s="4"/>
      <c r="I187" s="4"/>
      <c r="J187" s="4"/>
      <c r="K187" s="4"/>
      <c r="L187" s="7"/>
    </row>
    <row r="188" spans="2:12" ht="12.95" customHeight="1" x14ac:dyDescent="0.2">
      <c r="B188" s="3" t="str">
        <f>B184</f>
        <v>Proposed: Tariff D - Envestra Adelaide Southern</v>
      </c>
      <c r="C188" s="31">
        <f>C187</f>
        <v>12</v>
      </c>
      <c r="D188" s="31">
        <f t="shared" ref="D188" si="17">D187</f>
        <v>485.00000000000006</v>
      </c>
      <c r="E188" s="31">
        <f t="shared" ref="E188" si="18">E187</f>
        <v>781.00000000000011</v>
      </c>
      <c r="F188" s="31">
        <f t="shared" ref="F188" si="19">F187</f>
        <v>0</v>
      </c>
      <c r="G188" s="4"/>
      <c r="H188" s="4"/>
      <c r="I188" s="4"/>
      <c r="J188" s="4"/>
      <c r="K188" s="4"/>
      <c r="L188" s="7"/>
    </row>
    <row r="189" spans="2:12" ht="12.95" customHeight="1" x14ac:dyDescent="0.2">
      <c r="B189" s="3"/>
      <c r="C189" s="50"/>
      <c r="D189" s="50"/>
      <c r="E189" s="50"/>
      <c r="F189" s="50"/>
      <c r="G189" s="4"/>
      <c r="H189" s="4"/>
      <c r="I189" s="4"/>
      <c r="J189" s="4"/>
      <c r="K189" s="4"/>
      <c r="L189" s="7"/>
    </row>
    <row r="190" spans="2:12" ht="12.95" customHeight="1" x14ac:dyDescent="0.2">
      <c r="B190" s="3" t="s">
        <v>10</v>
      </c>
      <c r="C190" s="38" t="s">
        <v>17</v>
      </c>
      <c r="D190" s="38" t="s">
        <v>18</v>
      </c>
      <c r="E190" s="38" t="s">
        <v>19</v>
      </c>
      <c r="F190" s="38" t="s">
        <v>40</v>
      </c>
      <c r="G190" s="4"/>
      <c r="H190" s="4"/>
      <c r="I190" s="4"/>
      <c r="J190" s="4"/>
      <c r="K190" s="4"/>
      <c r="L190" s="7"/>
    </row>
    <row r="191" spans="2:12" ht="12.95" customHeight="1" x14ac:dyDescent="0.2">
      <c r="B191" s="3" t="str">
        <f>B187</f>
        <v>Existing: Tariff D - Envestra Adelaide Southern</v>
      </c>
      <c r="C191" s="21">
        <f t="array" ref="C191:F192">TRANSPOSE('Prop2018-19DistTar'!G39:H42)</f>
        <v>349266.08160000003</v>
      </c>
      <c r="D191" s="21">
        <v>384411.58200000005</v>
      </c>
      <c r="E191" s="21">
        <v>387673.71720000007</v>
      </c>
      <c r="F191" s="21">
        <v>0</v>
      </c>
      <c r="G191" s="4"/>
      <c r="H191" s="4"/>
      <c r="I191" s="4"/>
      <c r="J191" s="4"/>
      <c r="K191" s="4"/>
      <c r="L191" s="7"/>
    </row>
    <row r="192" spans="2:12" ht="12.95" customHeight="1" x14ac:dyDescent="0.2">
      <c r="B192" s="3" t="str">
        <f>B188</f>
        <v>Proposed: Tariff D - Envestra Adelaide Southern</v>
      </c>
      <c r="C192" s="31">
        <v>366400.152</v>
      </c>
      <c r="D192" s="31">
        <v>403269.54600000009</v>
      </c>
      <c r="E192" s="31">
        <v>406691.37960000004</v>
      </c>
      <c r="F192" s="31">
        <v>0</v>
      </c>
      <c r="G192" s="4"/>
      <c r="H192" s="4"/>
      <c r="I192" s="4"/>
      <c r="J192" s="4"/>
      <c r="K192" s="4"/>
      <c r="L192" s="7"/>
    </row>
    <row r="193" spans="2:12" ht="12.95" customHeight="1" x14ac:dyDescent="0.2"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7"/>
    </row>
    <row r="194" spans="2:12" ht="12.95" customHeight="1" x14ac:dyDescent="0.2">
      <c r="B194" s="3" t="s">
        <v>11</v>
      </c>
      <c r="C194" s="53" t="s">
        <v>12</v>
      </c>
      <c r="D194" s="4"/>
      <c r="E194" s="4"/>
      <c r="F194" s="4"/>
      <c r="G194" s="4"/>
      <c r="H194" s="4"/>
      <c r="I194" s="4"/>
      <c r="J194" s="4"/>
      <c r="K194" s="4"/>
      <c r="L194" s="7"/>
    </row>
    <row r="195" spans="2:12" ht="12.95" customHeight="1" x14ac:dyDescent="0.2">
      <c r="B195" s="3" t="str">
        <f>B191</f>
        <v>Existing: Tariff D - Envestra Adelaide Southern</v>
      </c>
      <c r="C195" s="35">
        <f>SUM(C191:K191)</f>
        <v>1121351.3808000002</v>
      </c>
      <c r="D195" s="4"/>
      <c r="E195" s="4"/>
      <c r="F195" s="4"/>
      <c r="G195" s="4"/>
      <c r="H195" s="4"/>
      <c r="I195" s="4"/>
      <c r="J195" s="4"/>
      <c r="K195" s="4"/>
      <c r="L195" s="7"/>
    </row>
    <row r="196" spans="2:12" ht="12.95" customHeight="1" x14ac:dyDescent="0.2">
      <c r="B196" s="3" t="str">
        <f>B192</f>
        <v>Proposed: Tariff D - Envestra Adelaide Southern</v>
      </c>
      <c r="C196" s="37">
        <f>SUM(C192:K192)</f>
        <v>1176361.0776000002</v>
      </c>
      <c r="D196" s="4"/>
      <c r="E196" s="4"/>
      <c r="F196" s="4"/>
      <c r="G196" s="4"/>
      <c r="H196" s="4"/>
      <c r="I196" s="4"/>
      <c r="J196" s="4"/>
      <c r="K196" s="4"/>
      <c r="L196" s="7"/>
    </row>
    <row r="197" spans="2:12" ht="12.95" customHeight="1" x14ac:dyDescent="0.2"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7"/>
    </row>
    <row r="198" spans="2:12" ht="12.95" customHeight="1" x14ac:dyDescent="0.2">
      <c r="B198" s="3" t="s">
        <v>5</v>
      </c>
      <c r="C198" s="25">
        <f>IF(C196=0,"",C196/C195)</f>
        <v>1.0490566094998293</v>
      </c>
      <c r="D198" s="4"/>
      <c r="E198" s="4"/>
      <c r="F198" s="4"/>
      <c r="G198" s="4"/>
      <c r="H198" s="4"/>
      <c r="I198" s="4"/>
      <c r="J198" s="4"/>
      <c r="K198" s="4"/>
      <c r="L198" s="7"/>
    </row>
    <row r="199" spans="2:12" ht="12.95" customHeight="1" x14ac:dyDescent="0.2"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7"/>
    </row>
    <row r="200" spans="2:12" ht="12.95" customHeight="1" x14ac:dyDescent="0.2">
      <c r="B200" s="145" t="str">
        <f>IF(C198="","",IF(C198&lt;$C$14,"REBALANCING CONTROL COMPLIANT","REBALANCING CONTROL BREACHED"))</f>
        <v>REBALANCING CONTROL COMPLIANT</v>
      </c>
      <c r="C200" s="146"/>
      <c r="D200" s="4"/>
      <c r="E200" s="4"/>
      <c r="F200" s="4"/>
      <c r="G200" s="4"/>
      <c r="H200" s="4"/>
      <c r="I200" s="4"/>
      <c r="J200" s="4"/>
      <c r="K200" s="4"/>
      <c r="L200" s="7"/>
    </row>
    <row r="201" spans="2:12" ht="12.95" customHeight="1" thickBot="1" x14ac:dyDescent="0.25">
      <c r="B201" s="8"/>
      <c r="C201" s="9"/>
      <c r="D201" s="9"/>
      <c r="E201" s="9"/>
      <c r="F201" s="9"/>
      <c r="G201" s="9"/>
      <c r="H201" s="9"/>
      <c r="I201" s="9"/>
      <c r="J201" s="9"/>
      <c r="K201" s="9"/>
      <c r="L201" s="10"/>
    </row>
    <row r="202" spans="2:12" ht="9.9499999999999993" customHeight="1" thickBot="1" x14ac:dyDescent="0.25"/>
    <row r="203" spans="2:12" ht="12.95" customHeight="1" x14ac:dyDescent="0.2">
      <c r="B203" s="5"/>
      <c r="C203" s="6"/>
      <c r="D203" s="6"/>
      <c r="E203" s="6"/>
      <c r="F203" s="6"/>
      <c r="G203" s="6"/>
      <c r="H203" s="6"/>
      <c r="I203" s="6"/>
      <c r="J203" s="6"/>
      <c r="K203" s="6"/>
      <c r="L203" s="11"/>
    </row>
    <row r="204" spans="2:12" ht="12.95" customHeight="1" x14ac:dyDescent="0.2">
      <c r="B204" s="24" t="str">
        <f>'Prop2018-19DistTar'!B43</f>
        <v>Tariff D - Envestra Port Pirie</v>
      </c>
      <c r="C204" s="4"/>
      <c r="D204" s="4"/>
      <c r="E204" s="4"/>
      <c r="F204" s="4"/>
      <c r="G204" s="4"/>
      <c r="H204" s="4"/>
      <c r="I204" s="4"/>
      <c r="J204" s="4"/>
      <c r="K204" s="4"/>
      <c r="L204" s="7"/>
    </row>
    <row r="205" spans="2:12" ht="12.95" customHeight="1" x14ac:dyDescent="0.2">
      <c r="B205" s="3"/>
      <c r="C205" s="50">
        <v>1</v>
      </c>
      <c r="D205" s="50">
        <v>2</v>
      </c>
      <c r="E205" s="50">
        <v>3</v>
      </c>
      <c r="F205" s="50">
        <v>4</v>
      </c>
      <c r="G205" s="4"/>
      <c r="H205" s="4"/>
      <c r="I205" s="4"/>
      <c r="J205" s="4"/>
      <c r="K205" s="4"/>
      <c r="L205" s="7"/>
    </row>
    <row r="206" spans="2:12" ht="12.95" customHeight="1" x14ac:dyDescent="0.2">
      <c r="B206" s="3" t="s">
        <v>7</v>
      </c>
      <c r="C206" s="38" t="s">
        <v>17</v>
      </c>
      <c r="D206" s="38" t="s">
        <v>18</v>
      </c>
      <c r="E206" s="38" t="s">
        <v>19</v>
      </c>
      <c r="F206" s="38" t="s">
        <v>40</v>
      </c>
      <c r="G206" s="38" t="s">
        <v>57</v>
      </c>
      <c r="H206" s="4"/>
      <c r="I206" s="4"/>
      <c r="J206" s="4"/>
      <c r="K206" s="4"/>
      <c r="L206" s="7"/>
    </row>
    <row r="207" spans="2:12" ht="12.95" customHeight="1" x14ac:dyDescent="0.2">
      <c r="B207" s="3" t="str">
        <f>"Existing: "&amp;'Prop2018-19DistTar'!C43</f>
        <v>Existing: Tariff D - Envestra Port Pirie</v>
      </c>
      <c r="C207" s="39">
        <f t="array" ref="C207:G208">TRANSPOSE('Prop2018-19DistTar'!E44:F47)</f>
        <v>2425.4589000000001</v>
      </c>
      <c r="D207" s="51">
        <v>47.161000000000001</v>
      </c>
      <c r="E207" s="51">
        <v>16.3444</v>
      </c>
      <c r="F207" s="51">
        <v>8.2119999999999997</v>
      </c>
      <c r="G207" s="51" t="e">
        <v>#N/A</v>
      </c>
      <c r="H207" s="4"/>
      <c r="I207" s="4"/>
      <c r="J207" s="4"/>
      <c r="K207" s="4"/>
      <c r="L207" s="7"/>
    </row>
    <row r="208" spans="2:12" ht="12.95" customHeight="1" x14ac:dyDescent="0.2">
      <c r="B208" s="3" t="str">
        <f>"Proposed: "&amp;B204</f>
        <v>Proposed: Tariff D - Envestra Port Pirie</v>
      </c>
      <c r="C208" s="40">
        <v>2544.4454999999998</v>
      </c>
      <c r="D208" s="40">
        <v>49.474499999999999</v>
      </c>
      <c r="E208" s="40">
        <v>17.1462</v>
      </c>
      <c r="F208" s="40">
        <v>8.6148000000000007</v>
      </c>
      <c r="G208" s="40" t="e">
        <v>#N/A</v>
      </c>
      <c r="H208" s="4"/>
      <c r="I208" s="4"/>
      <c r="J208" s="4"/>
      <c r="K208" s="4"/>
      <c r="L208" s="7"/>
    </row>
    <row r="209" spans="2:12" ht="12.95" customHeight="1" x14ac:dyDescent="0.2">
      <c r="B209" s="3"/>
      <c r="C209" s="50"/>
      <c r="D209" s="50"/>
      <c r="E209" s="50"/>
      <c r="F209" s="50"/>
      <c r="G209" s="50"/>
      <c r="H209" s="4"/>
      <c r="I209" s="4"/>
      <c r="J209" s="4"/>
      <c r="K209" s="4"/>
      <c r="L209" s="7"/>
    </row>
    <row r="210" spans="2:12" ht="12.95" customHeight="1" x14ac:dyDescent="0.2">
      <c r="B210" s="3" t="s">
        <v>9</v>
      </c>
      <c r="C210" s="38" t="s">
        <v>17</v>
      </c>
      <c r="D210" s="38" t="s">
        <v>18</v>
      </c>
      <c r="E210" s="38" t="s">
        <v>19</v>
      </c>
      <c r="F210" s="38" t="s">
        <v>40</v>
      </c>
      <c r="G210" s="38" t="s">
        <v>57</v>
      </c>
      <c r="H210" s="4"/>
      <c r="I210" s="4"/>
      <c r="J210" s="4"/>
      <c r="K210" s="4"/>
      <c r="L210" s="7"/>
    </row>
    <row r="211" spans="2:12" ht="12.95" customHeight="1" x14ac:dyDescent="0.2">
      <c r="B211" s="3" t="str">
        <f>B207</f>
        <v>Existing: Tariff D - Envestra Port Pirie</v>
      </c>
      <c r="C211" s="21">
        <f t="array" ref="C211:G211">TRANSPOSE('Prop2018-19DistTar'!D44:D47)</f>
        <v>1</v>
      </c>
      <c r="D211" s="21">
        <v>50</v>
      </c>
      <c r="E211" s="21">
        <v>900</v>
      </c>
      <c r="F211" s="21">
        <v>2560</v>
      </c>
      <c r="G211" s="21" t="e">
        <v>#N/A</v>
      </c>
      <c r="H211" s="4"/>
      <c r="I211" s="4"/>
      <c r="J211" s="4"/>
      <c r="K211" s="4"/>
      <c r="L211" s="7"/>
    </row>
    <row r="212" spans="2:12" ht="12.95" customHeight="1" x14ac:dyDescent="0.2">
      <c r="B212" s="3" t="str">
        <f>B208</f>
        <v>Proposed: Tariff D - Envestra Port Pirie</v>
      </c>
      <c r="C212" s="31">
        <f>C211</f>
        <v>1</v>
      </c>
      <c r="D212" s="31">
        <f t="shared" ref="D212" si="20">D211</f>
        <v>50</v>
      </c>
      <c r="E212" s="31">
        <f t="shared" ref="E212" si="21">E211</f>
        <v>900</v>
      </c>
      <c r="F212" s="31">
        <f t="shared" ref="F212" si="22">F211</f>
        <v>2560</v>
      </c>
      <c r="G212" s="31" t="e">
        <f t="shared" ref="G212" si="23">G211</f>
        <v>#N/A</v>
      </c>
      <c r="H212" s="4"/>
      <c r="I212" s="4"/>
      <c r="J212" s="4"/>
      <c r="K212" s="4"/>
      <c r="L212" s="7"/>
    </row>
    <row r="213" spans="2:12" ht="12.95" customHeight="1" x14ac:dyDescent="0.2">
      <c r="B213" s="3"/>
      <c r="C213" s="50"/>
      <c r="D213" s="50"/>
      <c r="E213" s="50"/>
      <c r="F213" s="50"/>
      <c r="G213" s="50"/>
      <c r="H213" s="4"/>
      <c r="I213" s="4"/>
      <c r="J213" s="4"/>
      <c r="K213" s="4"/>
      <c r="L213" s="7"/>
    </row>
    <row r="214" spans="2:12" ht="12.95" customHeight="1" x14ac:dyDescent="0.2">
      <c r="B214" s="3" t="s">
        <v>10</v>
      </c>
      <c r="C214" s="38" t="s">
        <v>17</v>
      </c>
      <c r="D214" s="38" t="s">
        <v>18</v>
      </c>
      <c r="E214" s="38" t="s">
        <v>19</v>
      </c>
      <c r="F214" s="38" t="s">
        <v>40</v>
      </c>
      <c r="G214" s="38" t="s">
        <v>57</v>
      </c>
      <c r="H214" s="4"/>
      <c r="I214" s="4"/>
      <c r="J214" s="4"/>
      <c r="K214" s="4"/>
      <c r="L214" s="7"/>
    </row>
    <row r="215" spans="2:12" ht="12.95" customHeight="1" x14ac:dyDescent="0.2">
      <c r="B215" s="3" t="str">
        <f>B211</f>
        <v>Existing: Tariff D - Envestra Port Pirie</v>
      </c>
      <c r="C215" s="21">
        <f t="array" ref="C215:G216">TRANSPOSE('Prop2018-19DistTar'!G44:H47)</f>
        <v>29105.506800000003</v>
      </c>
      <c r="D215" s="21">
        <v>28296.600000000002</v>
      </c>
      <c r="E215" s="21">
        <v>176519.52000000002</v>
      </c>
      <c r="F215" s="21">
        <v>252272.64000000001</v>
      </c>
      <c r="G215" s="21" t="e">
        <v>#N/A</v>
      </c>
      <c r="H215" s="4"/>
      <c r="I215" s="4"/>
      <c r="J215" s="4"/>
      <c r="K215" s="4"/>
      <c r="L215" s="7"/>
    </row>
    <row r="216" spans="2:12" ht="12.95" customHeight="1" x14ac:dyDescent="0.2">
      <c r="B216" s="3" t="str">
        <f>B212</f>
        <v>Proposed: Tariff D - Envestra Port Pirie</v>
      </c>
      <c r="C216" s="31">
        <v>30533.345999999998</v>
      </c>
      <c r="D216" s="31">
        <v>29684.699999999997</v>
      </c>
      <c r="E216" s="31">
        <v>185178.96</v>
      </c>
      <c r="F216" s="31">
        <v>264646.65600000002</v>
      </c>
      <c r="G216" s="31" t="e">
        <v>#N/A</v>
      </c>
      <c r="H216" s="4"/>
      <c r="I216" s="4"/>
      <c r="J216" s="4"/>
      <c r="K216" s="4"/>
      <c r="L216" s="7"/>
    </row>
    <row r="217" spans="2:12" ht="12.95" customHeight="1" x14ac:dyDescent="0.2">
      <c r="B217" s="3"/>
      <c r="C217" s="4"/>
      <c r="D217" s="4"/>
      <c r="E217" s="4"/>
      <c r="F217" s="4"/>
      <c r="G217" s="4"/>
      <c r="H217" s="4"/>
      <c r="I217" s="4"/>
      <c r="J217" s="4"/>
      <c r="K217" s="4"/>
      <c r="L217" s="7"/>
    </row>
    <row r="218" spans="2:12" ht="12.95" customHeight="1" x14ac:dyDescent="0.2">
      <c r="B218" s="3" t="s">
        <v>11</v>
      </c>
      <c r="C218" s="53" t="s">
        <v>12</v>
      </c>
      <c r="D218" s="4"/>
      <c r="E218" s="4"/>
      <c r="F218" s="4"/>
      <c r="G218" s="4"/>
      <c r="H218" s="4"/>
      <c r="I218" s="4"/>
      <c r="J218" s="4"/>
      <c r="K218" s="4"/>
      <c r="L218" s="7"/>
    </row>
    <row r="219" spans="2:12" ht="12.95" customHeight="1" x14ac:dyDescent="0.2">
      <c r="B219" s="3" t="str">
        <f>B215</f>
        <v>Existing: Tariff D - Envestra Port Pirie</v>
      </c>
      <c r="C219" s="35">
        <f>SUM(C215:F215)</f>
        <v>486194.26680000004</v>
      </c>
      <c r="D219" s="4"/>
      <c r="E219" s="4"/>
      <c r="F219" s="4"/>
      <c r="G219" s="4"/>
      <c r="H219" s="4"/>
      <c r="I219" s="4"/>
      <c r="J219" s="4"/>
      <c r="K219" s="4"/>
      <c r="L219" s="7"/>
    </row>
    <row r="220" spans="2:12" ht="12.95" customHeight="1" x14ac:dyDescent="0.2">
      <c r="B220" s="3" t="str">
        <f>B216</f>
        <v>Proposed: Tariff D - Envestra Port Pirie</v>
      </c>
      <c r="C220" s="37">
        <f>SUM(C216:F216)</f>
        <v>510043.66200000001</v>
      </c>
      <c r="D220" s="4"/>
      <c r="E220" s="4"/>
      <c r="F220" s="4"/>
      <c r="G220" s="4"/>
      <c r="H220" s="4"/>
      <c r="I220" s="4"/>
      <c r="J220" s="4"/>
      <c r="K220" s="4"/>
      <c r="L220" s="7"/>
    </row>
    <row r="221" spans="2:12" ht="12.95" customHeight="1" x14ac:dyDescent="0.2"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7"/>
    </row>
    <row r="222" spans="2:12" ht="12.95" customHeight="1" x14ac:dyDescent="0.2">
      <c r="B222" s="3" t="s">
        <v>5</v>
      </c>
      <c r="C222" s="25">
        <f>IF(C220=0,"",C220/C219)</f>
        <v>1.0490532217851318</v>
      </c>
      <c r="D222" s="4"/>
      <c r="E222" s="4"/>
      <c r="F222" s="4"/>
      <c r="G222" s="4"/>
      <c r="H222" s="4"/>
      <c r="I222" s="4"/>
      <c r="J222" s="4"/>
      <c r="K222" s="4"/>
      <c r="L222" s="7"/>
    </row>
    <row r="223" spans="2:12" ht="12.95" customHeight="1" x14ac:dyDescent="0.2"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7"/>
    </row>
    <row r="224" spans="2:12" ht="12.95" customHeight="1" x14ac:dyDescent="0.2">
      <c r="B224" s="145" t="str">
        <f>IF(C222="","",IF(C222&lt;$C$14,"REBALANCING CONTROL COMPLIANT","REBALANCING CONTROL BREACHED"))</f>
        <v>REBALANCING CONTROL COMPLIANT</v>
      </c>
      <c r="C224" s="146"/>
      <c r="D224" s="4"/>
      <c r="E224" s="4"/>
      <c r="F224" s="4"/>
      <c r="G224" s="4"/>
      <c r="H224" s="4"/>
      <c r="I224" s="4"/>
      <c r="J224" s="4"/>
      <c r="K224" s="4"/>
      <c r="L224" s="7"/>
    </row>
    <row r="225" spans="2:12" ht="12.95" customHeight="1" thickBot="1" x14ac:dyDescent="0.25">
      <c r="B225" s="8"/>
      <c r="C225" s="9"/>
      <c r="D225" s="9"/>
      <c r="E225" s="9"/>
      <c r="F225" s="9"/>
      <c r="G225" s="9"/>
      <c r="H225" s="9"/>
      <c r="I225" s="9"/>
      <c r="J225" s="9"/>
      <c r="K225" s="9"/>
      <c r="L225" s="10"/>
    </row>
    <row r="226" spans="2:12" ht="9.9499999999999993" customHeight="1" thickBot="1" x14ac:dyDescent="0.25"/>
    <row r="227" spans="2:12" ht="12.95" customHeight="1" x14ac:dyDescent="0.2">
      <c r="B227" s="5"/>
      <c r="C227" s="6"/>
      <c r="D227" s="6"/>
      <c r="E227" s="6"/>
      <c r="F227" s="6"/>
      <c r="G227" s="6"/>
      <c r="H227" s="6"/>
      <c r="I227" s="6"/>
      <c r="J227" s="6"/>
      <c r="K227" s="6"/>
      <c r="L227" s="11"/>
    </row>
    <row r="228" spans="2:12" ht="12.95" customHeight="1" x14ac:dyDescent="0.2">
      <c r="B228" s="24" t="str">
        <f>'Prop2018-19DistTar'!B48</f>
        <v>Tariff D - Envestra Riverland</v>
      </c>
      <c r="C228" s="4"/>
      <c r="D228" s="4"/>
      <c r="E228" s="4"/>
      <c r="F228" s="4"/>
      <c r="G228" s="4"/>
      <c r="H228" s="4"/>
      <c r="I228" s="4"/>
      <c r="J228" s="4"/>
      <c r="K228" s="4"/>
      <c r="L228" s="7"/>
    </row>
    <row r="229" spans="2:12" ht="12.95" customHeight="1" x14ac:dyDescent="0.2">
      <c r="B229" s="3"/>
      <c r="C229" s="50">
        <v>1</v>
      </c>
      <c r="D229" s="50">
        <v>2</v>
      </c>
      <c r="E229" s="50">
        <v>3</v>
      </c>
      <c r="F229" s="50">
        <v>4</v>
      </c>
      <c r="G229" s="4"/>
      <c r="H229" s="4"/>
      <c r="I229" s="4"/>
      <c r="J229" s="4"/>
      <c r="K229" s="4"/>
      <c r="L229" s="7"/>
    </row>
    <row r="230" spans="2:12" ht="12.95" customHeight="1" x14ac:dyDescent="0.2">
      <c r="B230" s="3" t="s">
        <v>7</v>
      </c>
      <c r="C230" s="38" t="s">
        <v>17</v>
      </c>
      <c r="D230" s="38" t="s">
        <v>18</v>
      </c>
      <c r="E230" s="38" t="s">
        <v>19</v>
      </c>
      <c r="F230" s="38" t="s">
        <v>40</v>
      </c>
      <c r="G230" s="38" t="s">
        <v>57</v>
      </c>
      <c r="H230" s="4"/>
      <c r="I230" s="4"/>
      <c r="J230" s="4"/>
      <c r="K230" s="4"/>
      <c r="L230" s="7"/>
    </row>
    <row r="231" spans="2:12" ht="12.95" customHeight="1" x14ac:dyDescent="0.2">
      <c r="B231" s="3" t="str">
        <f>"Existing: "&amp;'Prop2018-19DistTar'!C48</f>
        <v>Existing: Tariff D - Envestra Riverland</v>
      </c>
      <c r="C231" s="39">
        <f t="array" ref="C231:G232">TRANSPOSE('Prop2018-19DistTar'!E49:F52)</f>
        <v>3423.5931</v>
      </c>
      <c r="D231" s="51">
        <v>68.861699999999999</v>
      </c>
      <c r="E231" s="51">
        <v>42.909799999999997</v>
      </c>
      <c r="F231" s="51">
        <v>8.9210999999999991</v>
      </c>
      <c r="G231" s="51" t="e">
        <v>#N/A</v>
      </c>
      <c r="H231" s="4"/>
      <c r="I231" s="4"/>
      <c r="J231" s="4"/>
      <c r="K231" s="4"/>
      <c r="L231" s="7"/>
    </row>
    <row r="232" spans="2:12" ht="12.95" customHeight="1" x14ac:dyDescent="0.2">
      <c r="B232" s="3" t="str">
        <f>"Proposed: "&amp;B228</f>
        <v>Proposed: Tariff D - Envestra Riverland</v>
      </c>
      <c r="C232" s="40">
        <v>3591.5455000000002</v>
      </c>
      <c r="D232" s="40">
        <v>72.239800000000002</v>
      </c>
      <c r="E232" s="40">
        <v>45.014800000000001</v>
      </c>
      <c r="F232" s="40">
        <v>9.3587000000000007</v>
      </c>
      <c r="G232" s="40" t="e">
        <v>#N/A</v>
      </c>
      <c r="H232" s="4"/>
      <c r="I232" s="4"/>
      <c r="J232" s="4"/>
      <c r="K232" s="4"/>
      <c r="L232" s="7"/>
    </row>
    <row r="233" spans="2:12" ht="12.95" customHeight="1" x14ac:dyDescent="0.2">
      <c r="B233" s="3"/>
      <c r="C233" s="50"/>
      <c r="D233" s="50"/>
      <c r="E233" s="50"/>
      <c r="F233" s="50"/>
      <c r="G233" s="50"/>
      <c r="H233" s="4"/>
      <c r="I233" s="4"/>
      <c r="J233" s="4"/>
      <c r="K233" s="4"/>
      <c r="L233" s="7"/>
    </row>
    <row r="234" spans="2:12" ht="12.95" customHeight="1" x14ac:dyDescent="0.2">
      <c r="B234" s="3" t="s">
        <v>9</v>
      </c>
      <c r="C234" s="38" t="s">
        <v>17</v>
      </c>
      <c r="D234" s="38" t="s">
        <v>18</v>
      </c>
      <c r="E234" s="38" t="s">
        <v>19</v>
      </c>
      <c r="F234" s="38" t="s">
        <v>40</v>
      </c>
      <c r="G234" s="38" t="s">
        <v>57</v>
      </c>
      <c r="H234" s="4"/>
      <c r="I234" s="4"/>
      <c r="J234" s="4"/>
      <c r="K234" s="4"/>
      <c r="L234" s="7"/>
    </row>
    <row r="235" spans="2:12" ht="12.95" customHeight="1" x14ac:dyDescent="0.2">
      <c r="B235" s="3" t="str">
        <f>B231</f>
        <v>Existing: Tariff D - Envestra Riverland</v>
      </c>
      <c r="C235" s="21">
        <f t="array" ref="C235:G235">TRANSPOSE('Prop2018-19DistTar'!D49:D52)</f>
        <v>2</v>
      </c>
      <c r="D235" s="21">
        <v>100</v>
      </c>
      <c r="E235" s="21">
        <v>224.99999999999997</v>
      </c>
      <c r="F235" s="21">
        <v>0</v>
      </c>
      <c r="G235" s="21" t="e">
        <v>#N/A</v>
      </c>
      <c r="H235" s="4"/>
      <c r="I235" s="4"/>
      <c r="J235" s="4"/>
      <c r="K235" s="4"/>
      <c r="L235" s="7"/>
    </row>
    <row r="236" spans="2:12" ht="12.95" customHeight="1" x14ac:dyDescent="0.2">
      <c r="B236" s="3" t="str">
        <f>B232</f>
        <v>Proposed: Tariff D - Envestra Riverland</v>
      </c>
      <c r="C236" s="31">
        <f>C235</f>
        <v>2</v>
      </c>
      <c r="D236" s="31">
        <f t="shared" ref="D236" si="24">D235</f>
        <v>100</v>
      </c>
      <c r="E236" s="31">
        <f t="shared" ref="E236" si="25">E235</f>
        <v>224.99999999999997</v>
      </c>
      <c r="F236" s="31">
        <f t="shared" ref="F236" si="26">F235</f>
        <v>0</v>
      </c>
      <c r="G236" s="31" t="e">
        <f>G235</f>
        <v>#N/A</v>
      </c>
      <c r="H236" s="4"/>
      <c r="I236" s="4"/>
      <c r="J236" s="4"/>
      <c r="K236" s="4"/>
      <c r="L236" s="7"/>
    </row>
    <row r="237" spans="2:12" ht="12.95" customHeight="1" x14ac:dyDescent="0.2">
      <c r="B237" s="3"/>
      <c r="C237" s="50"/>
      <c r="D237" s="50"/>
      <c r="E237" s="50"/>
      <c r="F237" s="50"/>
      <c r="G237" s="50"/>
      <c r="H237" s="4"/>
      <c r="I237" s="4"/>
      <c r="J237" s="4"/>
      <c r="K237" s="4"/>
      <c r="L237" s="7"/>
    </row>
    <row r="238" spans="2:12" ht="12.95" customHeight="1" x14ac:dyDescent="0.2">
      <c r="B238" s="3" t="s">
        <v>10</v>
      </c>
      <c r="C238" s="38" t="s">
        <v>17</v>
      </c>
      <c r="D238" s="38" t="s">
        <v>18</v>
      </c>
      <c r="E238" s="38" t="s">
        <v>19</v>
      </c>
      <c r="F238" s="38" t="s">
        <v>40</v>
      </c>
      <c r="G238" s="38" t="s">
        <v>57</v>
      </c>
      <c r="H238" s="4"/>
      <c r="I238" s="4"/>
      <c r="J238" s="4"/>
      <c r="K238" s="4"/>
      <c r="L238" s="7"/>
    </row>
    <row r="239" spans="2:12" ht="12.95" customHeight="1" x14ac:dyDescent="0.2">
      <c r="B239" s="3" t="str">
        <f>B235</f>
        <v>Existing: Tariff D - Envestra Riverland</v>
      </c>
      <c r="C239" s="21">
        <f t="array" ref="C239:G240">TRANSPOSE('Prop2018-19DistTar'!G49:H52)</f>
        <v>82166.234400000001</v>
      </c>
      <c r="D239" s="21">
        <v>82634.040000000008</v>
      </c>
      <c r="E239" s="21">
        <v>115856.45999999998</v>
      </c>
      <c r="F239" s="21">
        <v>0</v>
      </c>
      <c r="G239" s="21" t="e">
        <v>#N/A</v>
      </c>
      <c r="H239" s="4"/>
      <c r="I239" s="4"/>
      <c r="J239" s="4"/>
      <c r="K239" s="4"/>
      <c r="L239" s="7"/>
    </row>
    <row r="240" spans="2:12" ht="12.95" customHeight="1" x14ac:dyDescent="0.2">
      <c r="B240" s="3" t="str">
        <f>B236</f>
        <v>Proposed: Tariff D - Envestra Riverland</v>
      </c>
      <c r="C240" s="31">
        <v>86197.092000000004</v>
      </c>
      <c r="D240" s="31">
        <v>86687.760000000009</v>
      </c>
      <c r="E240" s="31">
        <v>121539.95999999998</v>
      </c>
      <c r="F240" s="31">
        <v>0</v>
      </c>
      <c r="G240" s="31" t="e">
        <v>#N/A</v>
      </c>
      <c r="H240" s="4"/>
      <c r="I240" s="4"/>
      <c r="J240" s="4"/>
      <c r="K240" s="4"/>
      <c r="L240" s="7"/>
    </row>
    <row r="241" spans="2:12" ht="12.95" customHeight="1" x14ac:dyDescent="0.2">
      <c r="B241" s="3"/>
      <c r="C241" s="4"/>
      <c r="D241" s="4"/>
      <c r="E241" s="4"/>
      <c r="F241" s="4"/>
      <c r="G241" s="4"/>
      <c r="H241" s="4"/>
      <c r="I241" s="4"/>
      <c r="J241" s="4"/>
      <c r="K241" s="4"/>
      <c r="L241" s="7"/>
    </row>
    <row r="242" spans="2:12" ht="12.95" customHeight="1" x14ac:dyDescent="0.2">
      <c r="B242" s="3" t="s">
        <v>11</v>
      </c>
      <c r="C242" s="53" t="s">
        <v>12</v>
      </c>
      <c r="D242" s="4"/>
      <c r="E242" s="4"/>
      <c r="F242" s="4"/>
      <c r="G242" s="4"/>
      <c r="H242" s="4"/>
      <c r="I242" s="4"/>
      <c r="J242" s="4"/>
      <c r="K242" s="4"/>
      <c r="L242" s="7"/>
    </row>
    <row r="243" spans="2:12" ht="12.95" customHeight="1" x14ac:dyDescent="0.2">
      <c r="B243" s="3" t="str">
        <f>B239</f>
        <v>Existing: Tariff D - Envestra Riverland</v>
      </c>
      <c r="C243" s="35">
        <f>SUM(C239:F239)</f>
        <v>280656.73439999996</v>
      </c>
      <c r="D243" s="4"/>
      <c r="E243" s="4"/>
      <c r="F243" s="4"/>
      <c r="G243" s="4"/>
      <c r="H243" s="4"/>
      <c r="I243" s="4"/>
      <c r="J243" s="4"/>
      <c r="K243" s="4"/>
      <c r="L243" s="7"/>
    </row>
    <row r="244" spans="2:12" ht="12.95" customHeight="1" x14ac:dyDescent="0.2">
      <c r="B244" s="3" t="str">
        <f>B240</f>
        <v>Proposed: Tariff D - Envestra Riverland</v>
      </c>
      <c r="C244" s="37">
        <f>SUM(C240:F240)</f>
        <v>294424.81199999998</v>
      </c>
      <c r="D244" s="4"/>
      <c r="E244" s="4"/>
      <c r="F244" s="4"/>
      <c r="G244" s="4"/>
      <c r="H244" s="4"/>
      <c r="I244" s="4"/>
      <c r="J244" s="4"/>
      <c r="K244" s="4"/>
      <c r="L244" s="7"/>
    </row>
    <row r="245" spans="2:12" ht="12.95" customHeight="1" x14ac:dyDescent="0.2"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7"/>
    </row>
    <row r="246" spans="2:12" ht="12.95" customHeight="1" x14ac:dyDescent="0.2">
      <c r="B246" s="3" t="s">
        <v>5</v>
      </c>
      <c r="C246" s="25">
        <f>IF(C244=0,"",C244/C243)</f>
        <v>1.0490566443361282</v>
      </c>
      <c r="D246" s="4"/>
      <c r="E246" s="4"/>
      <c r="F246" s="4"/>
      <c r="G246" s="4"/>
      <c r="H246" s="4"/>
      <c r="I246" s="4"/>
      <c r="J246" s="4"/>
      <c r="K246" s="4"/>
      <c r="L246" s="7"/>
    </row>
    <row r="247" spans="2:12" ht="12.95" customHeight="1" x14ac:dyDescent="0.2"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7"/>
    </row>
    <row r="248" spans="2:12" ht="12.95" customHeight="1" x14ac:dyDescent="0.2">
      <c r="B248" s="145" t="str">
        <f>IF(C246="","",IF(C246&lt;$C$14,"REBALANCING CONTROL COMPLIANT","REBALANCING CONTROL BREACHED"))</f>
        <v>REBALANCING CONTROL COMPLIANT</v>
      </c>
      <c r="C248" s="146"/>
      <c r="D248" s="4"/>
      <c r="E248" s="4"/>
      <c r="F248" s="4"/>
      <c r="G248" s="4"/>
      <c r="H248" s="4"/>
      <c r="I248" s="4"/>
      <c r="J248" s="4"/>
      <c r="K248" s="4"/>
      <c r="L248" s="7"/>
    </row>
    <row r="249" spans="2:12" ht="12.95" customHeight="1" thickBot="1" x14ac:dyDescent="0.25">
      <c r="B249" s="8"/>
      <c r="C249" s="9"/>
      <c r="D249" s="9"/>
      <c r="E249" s="9"/>
      <c r="F249" s="9"/>
      <c r="G249" s="9"/>
      <c r="H249" s="9"/>
      <c r="I249" s="9"/>
      <c r="J249" s="9"/>
      <c r="K249" s="9"/>
      <c r="L249" s="10"/>
    </row>
    <row r="250" spans="2:12" ht="9.9499999999999993" customHeight="1" thickBot="1" x14ac:dyDescent="0.25"/>
    <row r="251" spans="2:12" ht="12.95" customHeight="1" x14ac:dyDescent="0.2">
      <c r="B251" s="5"/>
      <c r="C251" s="6"/>
      <c r="D251" s="6"/>
      <c r="E251" s="6"/>
      <c r="F251" s="6"/>
      <c r="G251" s="6"/>
      <c r="H251" s="6"/>
      <c r="I251" s="6"/>
      <c r="J251" s="6"/>
      <c r="K251" s="6"/>
      <c r="L251" s="11"/>
    </row>
    <row r="252" spans="2:12" ht="12.95" customHeight="1" x14ac:dyDescent="0.2">
      <c r="B252" s="24" t="str">
        <f>'Prop2018-19DistTar'!B53</f>
        <v>Tariff D - Envestra South East</v>
      </c>
      <c r="C252" s="4"/>
      <c r="D252" s="4"/>
      <c r="E252" s="4"/>
      <c r="F252" s="4"/>
      <c r="G252" s="4"/>
      <c r="H252" s="4"/>
      <c r="I252" s="4"/>
      <c r="J252" s="4"/>
      <c r="K252" s="4"/>
      <c r="L252" s="7"/>
    </row>
    <row r="253" spans="2:12" ht="12.95" customHeight="1" x14ac:dyDescent="0.2">
      <c r="B253" s="3"/>
      <c r="C253" s="50">
        <v>1</v>
      </c>
      <c r="D253" s="50">
        <v>2</v>
      </c>
      <c r="E253" s="50">
        <v>3</v>
      </c>
      <c r="F253" s="50">
        <v>4</v>
      </c>
      <c r="G253" s="4"/>
      <c r="H253" s="4"/>
      <c r="I253" s="4"/>
      <c r="J253" s="4"/>
      <c r="K253" s="4"/>
      <c r="L253" s="7"/>
    </row>
    <row r="254" spans="2:12" ht="12.95" customHeight="1" x14ac:dyDescent="0.2">
      <c r="B254" s="3" t="s">
        <v>7</v>
      </c>
      <c r="C254" s="38" t="s">
        <v>17</v>
      </c>
      <c r="D254" s="38" t="s">
        <v>18</v>
      </c>
      <c r="E254" s="38" t="s">
        <v>19</v>
      </c>
      <c r="F254" s="38" t="s">
        <v>40</v>
      </c>
      <c r="G254" s="38" t="s">
        <v>57</v>
      </c>
      <c r="H254" s="4"/>
      <c r="I254" s="4"/>
      <c r="J254" s="4"/>
      <c r="K254" s="4"/>
      <c r="L254" s="7"/>
    </row>
    <row r="255" spans="2:12" ht="12.95" customHeight="1" x14ac:dyDescent="0.2">
      <c r="B255" s="3" t="str">
        <f>"Existing: "&amp;'Prop2018-19DistTar'!C53</f>
        <v>Existing: Tariff D - Envestra South East</v>
      </c>
      <c r="C255" s="39">
        <f t="array" ref="C255:G256">TRANSPOSE('Prop2018-19DistTar'!E54:F57)</f>
        <v>2425.4589000000001</v>
      </c>
      <c r="D255" s="51">
        <v>47.161000000000001</v>
      </c>
      <c r="E255" s="51">
        <v>24.341999999999999</v>
      </c>
      <c r="F255" s="51">
        <v>8.9210999999999991</v>
      </c>
      <c r="G255" s="51" t="e">
        <v>#N/A</v>
      </c>
      <c r="H255" s="4"/>
      <c r="I255" s="4"/>
      <c r="J255" s="4"/>
      <c r="K255" s="4"/>
      <c r="L255" s="7"/>
    </row>
    <row r="256" spans="2:12" ht="12.95" customHeight="1" x14ac:dyDescent="0.2">
      <c r="B256" s="3" t="str">
        <f>"Proposed: "&amp;B252</f>
        <v>Proposed: Tariff D - Envestra South East</v>
      </c>
      <c r="C256" s="40">
        <v>2544.4454999999998</v>
      </c>
      <c r="D256" s="40">
        <v>49.474499999999999</v>
      </c>
      <c r="E256" s="40">
        <v>25.536100000000001</v>
      </c>
      <c r="F256" s="40">
        <v>9.3587000000000007</v>
      </c>
      <c r="G256" s="40" t="e">
        <v>#N/A</v>
      </c>
      <c r="H256" s="4"/>
      <c r="I256" s="4"/>
      <c r="J256" s="4"/>
      <c r="K256" s="4"/>
      <c r="L256" s="7"/>
    </row>
    <row r="257" spans="2:12" ht="12.95" customHeight="1" x14ac:dyDescent="0.2">
      <c r="B257" s="3"/>
      <c r="C257" s="50"/>
      <c r="D257" s="50"/>
      <c r="E257" s="50"/>
      <c r="F257" s="50"/>
      <c r="G257" s="50"/>
      <c r="H257" s="4"/>
      <c r="I257" s="4"/>
      <c r="J257" s="4"/>
      <c r="K257" s="4"/>
      <c r="L257" s="7"/>
    </row>
    <row r="258" spans="2:12" ht="12.95" customHeight="1" x14ac:dyDescent="0.2">
      <c r="B258" s="3" t="s">
        <v>9</v>
      </c>
      <c r="C258" s="38" t="s">
        <v>17</v>
      </c>
      <c r="D258" s="38" t="s">
        <v>18</v>
      </c>
      <c r="E258" s="38" t="s">
        <v>19</v>
      </c>
      <c r="F258" s="38" t="s">
        <v>40</v>
      </c>
      <c r="G258" s="38" t="s">
        <v>57</v>
      </c>
      <c r="H258" s="4"/>
      <c r="I258" s="4"/>
      <c r="J258" s="4"/>
      <c r="K258" s="4"/>
      <c r="L258" s="7"/>
    </row>
    <row r="259" spans="2:12" ht="12.95" customHeight="1" x14ac:dyDescent="0.2">
      <c r="B259" s="3" t="str">
        <f>B255</f>
        <v>Existing: Tariff D - Envestra South East</v>
      </c>
      <c r="C259" s="21">
        <f t="array" ref="C259:G259">TRANSPOSE('Prop2018-19DistTar'!D54:D57)</f>
        <v>4</v>
      </c>
      <c r="D259" s="21">
        <v>200</v>
      </c>
      <c r="E259" s="21">
        <v>379.00000000000006</v>
      </c>
      <c r="F259" s="21">
        <v>0</v>
      </c>
      <c r="G259" s="21" t="e">
        <v>#N/A</v>
      </c>
      <c r="H259" s="4"/>
      <c r="I259" s="4"/>
      <c r="J259" s="4"/>
      <c r="K259" s="4"/>
      <c r="L259" s="7"/>
    </row>
    <row r="260" spans="2:12" ht="12.95" customHeight="1" x14ac:dyDescent="0.2">
      <c r="B260" s="3" t="str">
        <f>B256</f>
        <v>Proposed: Tariff D - Envestra South East</v>
      </c>
      <c r="C260" s="31">
        <f>C259</f>
        <v>4</v>
      </c>
      <c r="D260" s="31">
        <f t="shared" ref="D260" si="27">D259</f>
        <v>200</v>
      </c>
      <c r="E260" s="31">
        <f t="shared" ref="E260" si="28">E259</f>
        <v>379.00000000000006</v>
      </c>
      <c r="F260" s="31">
        <f t="shared" ref="F260" si="29">F259</f>
        <v>0</v>
      </c>
      <c r="G260" s="31" t="e">
        <f t="shared" ref="G260" si="30">G259</f>
        <v>#N/A</v>
      </c>
      <c r="H260" s="4"/>
      <c r="I260" s="4"/>
      <c r="J260" s="4"/>
      <c r="K260" s="4"/>
      <c r="L260" s="7"/>
    </row>
    <row r="261" spans="2:12" ht="12.95" customHeight="1" x14ac:dyDescent="0.2">
      <c r="B261" s="3"/>
      <c r="C261" s="50"/>
      <c r="D261" s="50"/>
      <c r="E261" s="50"/>
      <c r="F261" s="50"/>
      <c r="G261" s="50"/>
      <c r="H261" s="4"/>
      <c r="I261" s="4"/>
      <c r="J261" s="4"/>
      <c r="K261" s="4"/>
      <c r="L261" s="7"/>
    </row>
    <row r="262" spans="2:12" ht="12.95" customHeight="1" x14ac:dyDescent="0.2">
      <c r="B262" s="3" t="s">
        <v>10</v>
      </c>
      <c r="C262" s="38" t="s">
        <v>17</v>
      </c>
      <c r="D262" s="38" t="s">
        <v>18</v>
      </c>
      <c r="E262" s="38" t="s">
        <v>19</v>
      </c>
      <c r="F262" s="38" t="s">
        <v>40</v>
      </c>
      <c r="G262" s="38" t="s">
        <v>57</v>
      </c>
      <c r="H262" s="4"/>
      <c r="I262" s="4"/>
      <c r="J262" s="4"/>
      <c r="K262" s="4"/>
      <c r="L262" s="7"/>
    </row>
    <row r="263" spans="2:12" ht="12.95" customHeight="1" x14ac:dyDescent="0.2">
      <c r="B263" s="3" t="str">
        <f>B259</f>
        <v>Existing: Tariff D - Envestra South East</v>
      </c>
      <c r="C263" s="21">
        <f t="array" ref="C263:G264">TRANSPOSE('Prop2018-19DistTar'!G54:H57)</f>
        <v>116422.02720000001</v>
      </c>
      <c r="D263" s="21">
        <v>113186.40000000001</v>
      </c>
      <c r="E263" s="21">
        <v>110707.416</v>
      </c>
      <c r="F263" s="21">
        <v>0</v>
      </c>
      <c r="G263" s="21" t="e">
        <v>#N/A</v>
      </c>
      <c r="H263" s="4"/>
      <c r="I263" s="4"/>
      <c r="J263" s="4"/>
      <c r="K263" s="4"/>
      <c r="L263" s="7"/>
    </row>
    <row r="264" spans="2:12" ht="12.95" customHeight="1" x14ac:dyDescent="0.2">
      <c r="B264" s="3" t="str">
        <f>B260</f>
        <v>Proposed: Tariff D - Envestra South East</v>
      </c>
      <c r="C264" s="31">
        <v>122133.38399999999</v>
      </c>
      <c r="D264" s="31">
        <v>118738.79999999999</v>
      </c>
      <c r="E264" s="31">
        <v>116138.18280000001</v>
      </c>
      <c r="F264" s="31">
        <v>0</v>
      </c>
      <c r="G264" s="31" t="e">
        <v>#N/A</v>
      </c>
      <c r="H264" s="4"/>
      <c r="I264" s="4"/>
      <c r="J264" s="4"/>
      <c r="K264" s="4"/>
      <c r="L264" s="7"/>
    </row>
    <row r="265" spans="2:12" ht="12.95" customHeight="1" x14ac:dyDescent="0.2">
      <c r="B265" s="3"/>
      <c r="C265" s="4"/>
      <c r="D265" s="4"/>
      <c r="E265" s="4"/>
      <c r="F265" s="4"/>
      <c r="G265" s="4"/>
      <c r="H265" s="4"/>
      <c r="I265" s="4"/>
      <c r="J265" s="4"/>
      <c r="K265" s="4"/>
      <c r="L265" s="7"/>
    </row>
    <row r="266" spans="2:12" ht="12.95" customHeight="1" x14ac:dyDescent="0.2">
      <c r="B266" s="3" t="s">
        <v>11</v>
      </c>
      <c r="C266" s="53" t="s">
        <v>12</v>
      </c>
      <c r="D266" s="4"/>
      <c r="E266" s="4"/>
      <c r="F266" s="4"/>
      <c r="G266" s="4"/>
      <c r="H266" s="4"/>
      <c r="I266" s="4"/>
      <c r="J266" s="4"/>
      <c r="K266" s="4"/>
      <c r="L266" s="7"/>
    </row>
    <row r="267" spans="2:12" ht="12.95" customHeight="1" x14ac:dyDescent="0.2">
      <c r="B267" s="3" t="str">
        <f>B263</f>
        <v>Existing: Tariff D - Envestra South East</v>
      </c>
      <c r="C267" s="35">
        <f>SUM(C263:F263)</f>
        <v>340315.8432</v>
      </c>
      <c r="D267" s="4"/>
      <c r="E267" s="4"/>
      <c r="F267" s="4"/>
      <c r="G267" s="4"/>
      <c r="H267" s="4"/>
      <c r="I267" s="4"/>
      <c r="J267" s="4"/>
      <c r="K267" s="4"/>
      <c r="L267" s="7"/>
    </row>
    <row r="268" spans="2:12" ht="12.95" customHeight="1" x14ac:dyDescent="0.2">
      <c r="B268" s="3" t="str">
        <f>B264</f>
        <v>Proposed: Tariff D - Envestra South East</v>
      </c>
      <c r="C268" s="37">
        <f>SUM(C264:F264)</f>
        <v>357010.36679999996</v>
      </c>
      <c r="D268" s="4"/>
      <c r="E268" s="4"/>
      <c r="F268" s="4"/>
      <c r="G268" s="4"/>
      <c r="H268" s="4"/>
      <c r="I268" s="4"/>
      <c r="J268" s="4"/>
      <c r="K268" s="4"/>
      <c r="L268" s="7"/>
    </row>
    <row r="269" spans="2:12" ht="12.95" customHeight="1" x14ac:dyDescent="0.2"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7"/>
    </row>
    <row r="270" spans="2:12" ht="12.95" customHeight="1" x14ac:dyDescent="0.2">
      <c r="B270" s="3" t="s">
        <v>5</v>
      </c>
      <c r="C270" s="25">
        <f>IF(C268=0,"",C268/C267)</f>
        <v>1.049055969428343</v>
      </c>
      <c r="D270" s="4"/>
      <c r="E270" s="4"/>
      <c r="F270" s="4"/>
      <c r="G270" s="4"/>
      <c r="H270" s="4"/>
      <c r="I270" s="4"/>
      <c r="J270" s="4"/>
      <c r="K270" s="4"/>
      <c r="L270" s="7"/>
    </row>
    <row r="271" spans="2:12" ht="12.95" customHeight="1" x14ac:dyDescent="0.2"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7"/>
    </row>
    <row r="272" spans="2:12" ht="12.95" customHeight="1" x14ac:dyDescent="0.2">
      <c r="B272" s="145" t="str">
        <f>IF(C270="","",IF(C270&lt;$C$14,"REBALANCING CONTROL COMPLIANT","REBALANCING CONTROL BREACHED"))</f>
        <v>REBALANCING CONTROL COMPLIANT</v>
      </c>
      <c r="C272" s="146"/>
      <c r="D272" s="4"/>
      <c r="E272" s="4"/>
      <c r="F272" s="4"/>
      <c r="G272" s="4"/>
      <c r="H272" s="4"/>
      <c r="I272" s="4"/>
      <c r="J272" s="4"/>
      <c r="K272" s="4"/>
      <c r="L272" s="7"/>
    </row>
    <row r="273" spans="2:12" ht="12.95" customHeight="1" thickBot="1" x14ac:dyDescent="0.25">
      <c r="B273" s="8"/>
      <c r="C273" s="9"/>
      <c r="D273" s="9"/>
      <c r="E273" s="9"/>
      <c r="F273" s="9"/>
      <c r="G273" s="9"/>
      <c r="H273" s="9"/>
      <c r="I273" s="9"/>
      <c r="J273" s="9"/>
      <c r="K273" s="9"/>
      <c r="L273" s="10"/>
    </row>
    <row r="274" spans="2:12" ht="9.9499999999999993" customHeight="1" thickBot="1" x14ac:dyDescent="0.25"/>
    <row r="275" spans="2:12" ht="12.95" customHeight="1" x14ac:dyDescent="0.2">
      <c r="B275" s="5"/>
      <c r="C275" s="6"/>
      <c r="D275" s="6"/>
      <c r="E275" s="6"/>
      <c r="F275" s="6"/>
      <c r="G275" s="6"/>
      <c r="H275" s="6"/>
      <c r="I275" s="6"/>
      <c r="J275" s="6"/>
      <c r="K275" s="6"/>
      <c r="L275" s="11"/>
    </row>
    <row r="276" spans="2:12" ht="12.95" customHeight="1" x14ac:dyDescent="0.2">
      <c r="B276" s="24" t="str">
        <f>'Prop2018-19DistTar'!B58</f>
        <v>Tariff D - Envestra Peterborough</v>
      </c>
      <c r="C276" s="4"/>
      <c r="D276" s="4"/>
      <c r="E276" s="4"/>
      <c r="F276" s="4"/>
      <c r="G276" s="4"/>
      <c r="H276" s="4"/>
      <c r="I276" s="4"/>
      <c r="J276" s="4"/>
      <c r="K276" s="4"/>
      <c r="L276" s="7"/>
    </row>
    <row r="277" spans="2:12" ht="12.95" customHeight="1" x14ac:dyDescent="0.2">
      <c r="B277" s="3"/>
      <c r="C277" s="50">
        <v>1</v>
      </c>
      <c r="D277" s="50">
        <v>2</v>
      </c>
      <c r="E277" s="50">
        <v>3</v>
      </c>
      <c r="F277" s="50">
        <v>4</v>
      </c>
      <c r="G277" s="4"/>
      <c r="H277" s="4"/>
      <c r="I277" s="4"/>
      <c r="J277" s="4"/>
      <c r="K277" s="4"/>
      <c r="L277" s="7"/>
    </row>
    <row r="278" spans="2:12" ht="12.95" customHeight="1" x14ac:dyDescent="0.2">
      <c r="B278" s="3" t="s">
        <v>7</v>
      </c>
      <c r="C278" s="38" t="s">
        <v>17</v>
      </c>
      <c r="D278" s="38" t="s">
        <v>18</v>
      </c>
      <c r="E278" s="38" t="s">
        <v>19</v>
      </c>
      <c r="F278" s="38" t="s">
        <v>40</v>
      </c>
      <c r="G278" s="38" t="s">
        <v>57</v>
      </c>
      <c r="H278" s="4"/>
      <c r="I278" s="4"/>
      <c r="J278" s="4"/>
      <c r="K278" s="4"/>
      <c r="L278" s="7"/>
    </row>
    <row r="279" spans="2:12" ht="12.95" customHeight="1" x14ac:dyDescent="0.2">
      <c r="B279" s="3" t="str">
        <f>"Existing: "&amp;'Prop2018-19DistTar'!C58</f>
        <v>Existing: Tariff D - Envestra Peterborough</v>
      </c>
      <c r="C279" s="39">
        <f t="array" ref="C279:G280">TRANSPOSE('Prop2018-19DistTar'!E59:F62)</f>
        <v>3423.5931</v>
      </c>
      <c r="D279" s="51">
        <v>68.861699999999999</v>
      </c>
      <c r="E279" s="51">
        <v>42.909799999999997</v>
      </c>
      <c r="F279" s="51">
        <v>8.9210999999999991</v>
      </c>
      <c r="G279" s="51" t="e">
        <v>#N/A</v>
      </c>
      <c r="H279" s="4"/>
      <c r="I279" s="4"/>
      <c r="J279" s="4"/>
      <c r="K279" s="4"/>
      <c r="L279" s="7"/>
    </row>
    <row r="280" spans="2:12" ht="12.95" customHeight="1" x14ac:dyDescent="0.2">
      <c r="B280" s="3" t="str">
        <f>"Proposed: "&amp;B276</f>
        <v>Proposed: Tariff D - Envestra Peterborough</v>
      </c>
      <c r="C280" s="40">
        <v>3591.5455000000002</v>
      </c>
      <c r="D280" s="40">
        <v>72.239800000000002</v>
      </c>
      <c r="E280" s="40">
        <v>45.014800000000001</v>
      </c>
      <c r="F280" s="40">
        <v>9.3587000000000007</v>
      </c>
      <c r="G280" s="40" t="e">
        <v>#N/A</v>
      </c>
      <c r="H280" s="4"/>
      <c r="I280" s="4"/>
      <c r="J280" s="4"/>
      <c r="K280" s="4"/>
      <c r="L280" s="7"/>
    </row>
    <row r="281" spans="2:12" ht="12.95" customHeight="1" x14ac:dyDescent="0.2">
      <c r="B281" s="3"/>
      <c r="C281" s="50"/>
      <c r="D281" s="50"/>
      <c r="E281" s="50"/>
      <c r="F281" s="50"/>
      <c r="G281" s="50"/>
      <c r="H281" s="4"/>
      <c r="I281" s="4"/>
      <c r="J281" s="4"/>
      <c r="K281" s="4"/>
      <c r="L281" s="7"/>
    </row>
    <row r="282" spans="2:12" ht="12.95" customHeight="1" x14ac:dyDescent="0.2">
      <c r="B282" s="3" t="s">
        <v>9</v>
      </c>
      <c r="C282" s="38" t="s">
        <v>17</v>
      </c>
      <c r="D282" s="38" t="s">
        <v>18</v>
      </c>
      <c r="E282" s="38" t="s">
        <v>19</v>
      </c>
      <c r="F282" s="38" t="s">
        <v>40</v>
      </c>
      <c r="G282" s="38" t="s">
        <v>57</v>
      </c>
      <c r="H282" s="4"/>
      <c r="I282" s="4"/>
      <c r="J282" s="4"/>
      <c r="K282" s="4"/>
      <c r="L282" s="7"/>
    </row>
    <row r="283" spans="2:12" ht="12.95" customHeight="1" x14ac:dyDescent="0.2">
      <c r="B283" s="3" t="str">
        <f>B279</f>
        <v>Existing: Tariff D - Envestra Peterborough</v>
      </c>
      <c r="C283" s="21">
        <f t="array" ref="C283:G283">TRANSPOSE('Prop2018-19DistTar'!D59:D62)</f>
        <v>0</v>
      </c>
      <c r="D283" s="21">
        <v>0</v>
      </c>
      <c r="E283" s="21">
        <v>0</v>
      </c>
      <c r="F283" s="21">
        <v>0</v>
      </c>
      <c r="G283" s="21" t="e">
        <v>#N/A</v>
      </c>
      <c r="H283" s="4"/>
      <c r="I283" s="4"/>
      <c r="J283" s="4"/>
      <c r="K283" s="4"/>
      <c r="L283" s="7"/>
    </row>
    <row r="284" spans="2:12" ht="12.95" customHeight="1" x14ac:dyDescent="0.2">
      <c r="B284" s="3" t="str">
        <f>B280</f>
        <v>Proposed: Tariff D - Envestra Peterborough</v>
      </c>
      <c r="C284" s="31">
        <f>C283</f>
        <v>0</v>
      </c>
      <c r="D284" s="31">
        <f t="shared" ref="D284" si="31">D283</f>
        <v>0</v>
      </c>
      <c r="E284" s="31">
        <f t="shared" ref="E284" si="32">E283</f>
        <v>0</v>
      </c>
      <c r="F284" s="31">
        <f t="shared" ref="F284" si="33">F283</f>
        <v>0</v>
      </c>
      <c r="G284" s="31" t="e">
        <f t="shared" ref="G284" si="34">G283</f>
        <v>#N/A</v>
      </c>
      <c r="H284" s="4"/>
      <c r="I284" s="4"/>
      <c r="J284" s="4"/>
      <c r="K284" s="4"/>
      <c r="L284" s="7"/>
    </row>
    <row r="285" spans="2:12" ht="12.95" customHeight="1" x14ac:dyDescent="0.2">
      <c r="B285" s="3"/>
      <c r="C285" s="50"/>
      <c r="D285" s="50"/>
      <c r="E285" s="50"/>
      <c r="F285" s="50"/>
      <c r="G285" s="50"/>
      <c r="H285" s="4"/>
      <c r="I285" s="4"/>
      <c r="J285" s="4"/>
      <c r="K285" s="4"/>
      <c r="L285" s="7"/>
    </row>
    <row r="286" spans="2:12" ht="12.95" customHeight="1" x14ac:dyDescent="0.2">
      <c r="B286" s="3" t="s">
        <v>10</v>
      </c>
      <c r="C286" s="38" t="s">
        <v>17</v>
      </c>
      <c r="D286" s="38" t="s">
        <v>18</v>
      </c>
      <c r="E286" s="38" t="s">
        <v>19</v>
      </c>
      <c r="F286" s="38" t="s">
        <v>40</v>
      </c>
      <c r="G286" s="38" t="s">
        <v>57</v>
      </c>
      <c r="H286" s="4"/>
      <c r="I286" s="4"/>
      <c r="J286" s="4"/>
      <c r="K286" s="4"/>
      <c r="L286" s="7"/>
    </row>
    <row r="287" spans="2:12" ht="12.95" customHeight="1" x14ac:dyDescent="0.2">
      <c r="B287" s="3" t="str">
        <f>B283</f>
        <v>Existing: Tariff D - Envestra Peterborough</v>
      </c>
      <c r="C287" s="21">
        <f t="array" ref="C287:G288">TRANSPOSE('Prop2018-19DistTar'!G59:H62)</f>
        <v>0</v>
      </c>
      <c r="D287" s="21">
        <v>0</v>
      </c>
      <c r="E287" s="21">
        <v>0</v>
      </c>
      <c r="F287" s="21">
        <v>0</v>
      </c>
      <c r="G287" s="21" t="e">
        <v>#N/A</v>
      </c>
      <c r="H287" s="4"/>
      <c r="I287" s="4"/>
      <c r="J287" s="4"/>
      <c r="K287" s="4"/>
      <c r="L287" s="7"/>
    </row>
    <row r="288" spans="2:12" ht="12.95" customHeight="1" x14ac:dyDescent="0.2">
      <c r="B288" s="3" t="str">
        <f>B284</f>
        <v>Proposed: Tariff D - Envestra Peterborough</v>
      </c>
      <c r="C288" s="31">
        <v>0</v>
      </c>
      <c r="D288" s="31">
        <v>0</v>
      </c>
      <c r="E288" s="31">
        <v>0</v>
      </c>
      <c r="F288" s="31">
        <v>0</v>
      </c>
      <c r="G288" s="31" t="e">
        <v>#N/A</v>
      </c>
      <c r="H288" s="4"/>
      <c r="I288" s="4"/>
      <c r="J288" s="4"/>
      <c r="K288" s="4"/>
      <c r="L288" s="7"/>
    </row>
    <row r="289" spans="2:12" ht="12.95" customHeight="1" x14ac:dyDescent="0.2">
      <c r="B289" s="3"/>
      <c r="C289" s="4"/>
      <c r="D289" s="4"/>
      <c r="E289" s="4"/>
      <c r="F289" s="4"/>
      <c r="G289" s="4"/>
      <c r="H289" s="4"/>
      <c r="I289" s="4"/>
      <c r="J289" s="4"/>
      <c r="K289" s="4"/>
      <c r="L289" s="7"/>
    </row>
    <row r="290" spans="2:12" ht="12.95" customHeight="1" x14ac:dyDescent="0.2">
      <c r="B290" s="3" t="s">
        <v>11</v>
      </c>
      <c r="C290" s="53" t="s">
        <v>12</v>
      </c>
      <c r="D290" s="4"/>
      <c r="E290" s="4"/>
      <c r="F290" s="4"/>
      <c r="G290" s="4"/>
      <c r="H290" s="4"/>
      <c r="I290" s="4"/>
      <c r="J290" s="4"/>
      <c r="K290" s="4"/>
      <c r="L290" s="7"/>
    </row>
    <row r="291" spans="2:12" ht="12.95" customHeight="1" x14ac:dyDescent="0.2">
      <c r="B291" s="3" t="str">
        <f>B287</f>
        <v>Existing: Tariff D - Envestra Peterborough</v>
      </c>
      <c r="C291" s="35">
        <f>SUM(C287:F287)</f>
        <v>0</v>
      </c>
      <c r="D291" s="4"/>
      <c r="E291" s="4"/>
      <c r="F291" s="4"/>
      <c r="G291" s="4"/>
      <c r="H291" s="4"/>
      <c r="I291" s="4"/>
      <c r="J291" s="4"/>
      <c r="K291" s="4"/>
      <c r="L291" s="7"/>
    </row>
    <row r="292" spans="2:12" ht="12.95" customHeight="1" x14ac:dyDescent="0.2">
      <c r="B292" s="3" t="str">
        <f>B288</f>
        <v>Proposed: Tariff D - Envestra Peterborough</v>
      </c>
      <c r="C292" s="37">
        <f>SUM(C288:F288)</f>
        <v>0</v>
      </c>
      <c r="D292" s="4"/>
      <c r="E292" s="4"/>
      <c r="F292" s="4"/>
      <c r="G292" s="4"/>
      <c r="H292" s="4"/>
      <c r="I292" s="4"/>
      <c r="J292" s="4"/>
      <c r="K292" s="4"/>
      <c r="L292" s="7"/>
    </row>
    <row r="293" spans="2:12" ht="12.95" customHeight="1" x14ac:dyDescent="0.2"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7"/>
    </row>
    <row r="294" spans="2:12" ht="12.95" customHeight="1" x14ac:dyDescent="0.2">
      <c r="B294" s="3" t="s">
        <v>5</v>
      </c>
      <c r="C294" s="25" t="str">
        <f>IF(C292=0,"",C292/C291)</f>
        <v/>
      </c>
      <c r="D294" s="4"/>
      <c r="E294" s="4"/>
      <c r="F294" s="4"/>
      <c r="G294" s="4"/>
      <c r="H294" s="4"/>
      <c r="I294" s="4"/>
      <c r="J294" s="4"/>
      <c r="K294" s="4"/>
      <c r="L294" s="7"/>
    </row>
    <row r="295" spans="2:12" ht="12.95" customHeight="1" x14ac:dyDescent="0.2"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7"/>
    </row>
    <row r="296" spans="2:12" ht="12.95" customHeight="1" x14ac:dyDescent="0.2">
      <c r="B296" s="145" t="str">
        <f>IF(C294="","",IF(C294&lt;$C$14,"REBALANCING CONTROL COMPLIANT","REBALANCING CONTROL BREACHED"))</f>
        <v/>
      </c>
      <c r="C296" s="146"/>
      <c r="D296" s="4"/>
      <c r="E296" s="4"/>
      <c r="F296" s="4"/>
      <c r="G296" s="4"/>
      <c r="H296" s="4"/>
      <c r="I296" s="4"/>
      <c r="J296" s="4"/>
      <c r="K296" s="4"/>
      <c r="L296" s="7"/>
    </row>
    <row r="297" spans="2:12" ht="12.95" customHeight="1" thickBot="1" x14ac:dyDescent="0.25">
      <c r="B297" s="8"/>
      <c r="C297" s="9"/>
      <c r="D297" s="9"/>
      <c r="E297" s="9"/>
      <c r="F297" s="9"/>
      <c r="G297" s="9"/>
      <c r="H297" s="9"/>
      <c r="I297" s="9"/>
      <c r="J297" s="9"/>
      <c r="K297" s="9"/>
      <c r="L297" s="10"/>
    </row>
    <row r="298" spans="2:12" ht="9.9499999999999993" customHeight="1" thickBot="1" x14ac:dyDescent="0.25"/>
    <row r="299" spans="2:12" ht="12.95" customHeight="1" x14ac:dyDescent="0.2">
      <c r="B299" s="5"/>
      <c r="C299" s="6"/>
      <c r="D299" s="6"/>
      <c r="E299" s="6"/>
      <c r="F299" s="6"/>
      <c r="G299" s="6"/>
      <c r="H299" s="6"/>
      <c r="I299" s="6"/>
      <c r="J299" s="6"/>
      <c r="K299" s="6"/>
      <c r="L299" s="11"/>
    </row>
    <row r="300" spans="2:12" ht="12.95" customHeight="1" x14ac:dyDescent="0.2">
      <c r="B300" s="24" t="str">
        <f>'Prop2018-19DistTar'!B63</f>
        <v>Tariff D - Envestra Whyalla</v>
      </c>
      <c r="C300" s="4"/>
      <c r="D300" s="4"/>
      <c r="E300" s="4"/>
      <c r="F300" s="4"/>
      <c r="G300" s="4"/>
      <c r="H300" s="4"/>
      <c r="I300" s="4"/>
      <c r="J300" s="4"/>
      <c r="K300" s="4"/>
      <c r="L300" s="7"/>
    </row>
    <row r="301" spans="2:12" ht="12.95" customHeight="1" x14ac:dyDescent="0.2">
      <c r="B301" s="3"/>
      <c r="C301" s="50">
        <v>1</v>
      </c>
      <c r="D301" s="50">
        <v>2</v>
      </c>
      <c r="E301" s="50">
        <v>3</v>
      </c>
      <c r="F301" s="50">
        <v>4</v>
      </c>
      <c r="G301" s="4"/>
      <c r="H301" s="4"/>
      <c r="I301" s="4"/>
      <c r="J301" s="4"/>
      <c r="K301" s="4"/>
      <c r="L301" s="7"/>
    </row>
    <row r="302" spans="2:12" ht="12.95" customHeight="1" x14ac:dyDescent="0.2">
      <c r="B302" s="3" t="s">
        <v>7</v>
      </c>
      <c r="C302" s="38" t="s">
        <v>17</v>
      </c>
      <c r="D302" s="38" t="s">
        <v>18</v>
      </c>
      <c r="E302" s="38" t="s">
        <v>19</v>
      </c>
      <c r="F302" s="38" t="s">
        <v>40</v>
      </c>
      <c r="G302" s="38" t="s">
        <v>57</v>
      </c>
      <c r="H302" s="4"/>
      <c r="I302" s="4"/>
      <c r="J302" s="4"/>
      <c r="K302" s="4"/>
      <c r="L302" s="7"/>
    </row>
    <row r="303" spans="2:12" ht="12.95" customHeight="1" x14ac:dyDescent="0.2">
      <c r="B303" s="3" t="str">
        <f>"Existing: "&amp;'Prop2018-19DistTar'!C63</f>
        <v>Existing: Tariff D - Envestra Whyalla</v>
      </c>
      <c r="C303" s="39">
        <f t="array" ref="C303:G304">TRANSPOSE('Prop2018-19DistTar'!E64:F67)</f>
        <v>2425.4589000000001</v>
      </c>
      <c r="D303" s="51">
        <v>47.161000000000001</v>
      </c>
      <c r="E303" s="51">
        <v>24.341999999999999</v>
      </c>
      <c r="F303" s="51">
        <v>8.9210999999999991</v>
      </c>
      <c r="G303" s="51" t="e">
        <v>#N/A</v>
      </c>
      <c r="H303" s="4"/>
      <c r="I303" s="4"/>
      <c r="J303" s="4"/>
      <c r="K303" s="4"/>
      <c r="L303" s="7"/>
    </row>
    <row r="304" spans="2:12" ht="12.95" customHeight="1" x14ac:dyDescent="0.2">
      <c r="B304" s="3" t="str">
        <f>"Proposed: "&amp;B300</f>
        <v>Proposed: Tariff D - Envestra Whyalla</v>
      </c>
      <c r="C304" s="40">
        <v>2544.4454999999998</v>
      </c>
      <c r="D304" s="40">
        <v>49.474499999999999</v>
      </c>
      <c r="E304" s="40">
        <v>25.536100000000001</v>
      </c>
      <c r="F304" s="40">
        <v>9.3587000000000007</v>
      </c>
      <c r="G304" s="40" t="e">
        <v>#N/A</v>
      </c>
      <c r="H304" s="4"/>
      <c r="I304" s="4"/>
      <c r="J304" s="4"/>
      <c r="K304" s="4"/>
      <c r="L304" s="7"/>
    </row>
    <row r="305" spans="2:12" ht="12.95" customHeight="1" x14ac:dyDescent="0.2">
      <c r="B305" s="3"/>
      <c r="C305" s="50"/>
      <c r="D305" s="50"/>
      <c r="E305" s="50"/>
      <c r="F305" s="50"/>
      <c r="G305" s="50"/>
      <c r="H305" s="4"/>
      <c r="I305" s="4"/>
      <c r="J305" s="4"/>
      <c r="K305" s="4"/>
      <c r="L305" s="7"/>
    </row>
    <row r="306" spans="2:12" ht="12.95" customHeight="1" x14ac:dyDescent="0.2">
      <c r="B306" s="3" t="s">
        <v>9</v>
      </c>
      <c r="C306" s="38" t="s">
        <v>17</v>
      </c>
      <c r="D306" s="38" t="s">
        <v>18</v>
      </c>
      <c r="E306" s="38" t="s">
        <v>19</v>
      </c>
      <c r="F306" s="38" t="s">
        <v>40</v>
      </c>
      <c r="G306" s="38" t="s">
        <v>57</v>
      </c>
      <c r="H306" s="4"/>
      <c r="I306" s="4"/>
      <c r="J306" s="4"/>
      <c r="K306" s="4"/>
      <c r="L306" s="7"/>
    </row>
    <row r="307" spans="2:12" ht="12.95" customHeight="1" x14ac:dyDescent="0.2">
      <c r="B307" s="3" t="str">
        <f>B303</f>
        <v>Existing: Tariff D - Envestra Whyalla</v>
      </c>
      <c r="C307" s="21">
        <f t="array" ref="C307:G307">TRANSPOSE('Prop2018-19DistTar'!D64:D67)</f>
        <v>1</v>
      </c>
      <c r="D307" s="21">
        <v>25.999999999999996</v>
      </c>
      <c r="E307" s="21">
        <v>0</v>
      </c>
      <c r="F307" s="21">
        <v>0</v>
      </c>
      <c r="G307" s="21" t="e">
        <v>#N/A</v>
      </c>
      <c r="H307" s="4"/>
      <c r="I307" s="4"/>
      <c r="J307" s="4"/>
      <c r="K307" s="4"/>
      <c r="L307" s="7"/>
    </row>
    <row r="308" spans="2:12" ht="12.95" customHeight="1" x14ac:dyDescent="0.2">
      <c r="B308" s="3" t="str">
        <f>B304</f>
        <v>Proposed: Tariff D - Envestra Whyalla</v>
      </c>
      <c r="C308" s="31">
        <f>C307</f>
        <v>1</v>
      </c>
      <c r="D308" s="31">
        <f t="shared" ref="D308" si="35">D307</f>
        <v>25.999999999999996</v>
      </c>
      <c r="E308" s="31">
        <f t="shared" ref="E308" si="36">E307</f>
        <v>0</v>
      </c>
      <c r="F308" s="31">
        <f t="shared" ref="F308" si="37">F307</f>
        <v>0</v>
      </c>
      <c r="G308" s="31" t="e">
        <f t="shared" ref="G308" si="38">G307</f>
        <v>#N/A</v>
      </c>
      <c r="H308" s="4"/>
      <c r="I308" s="4"/>
      <c r="J308" s="4"/>
      <c r="K308" s="4"/>
      <c r="L308" s="7"/>
    </row>
    <row r="309" spans="2:12" ht="12.95" customHeight="1" x14ac:dyDescent="0.2">
      <c r="B309" s="3"/>
      <c r="C309" s="50"/>
      <c r="D309" s="50"/>
      <c r="E309" s="50"/>
      <c r="F309" s="50"/>
      <c r="G309" s="50"/>
      <c r="H309" s="4"/>
      <c r="I309" s="4"/>
      <c r="J309" s="4"/>
      <c r="K309" s="4"/>
      <c r="L309" s="7"/>
    </row>
    <row r="310" spans="2:12" ht="12.95" customHeight="1" x14ac:dyDescent="0.2">
      <c r="B310" s="3" t="s">
        <v>10</v>
      </c>
      <c r="C310" s="38" t="s">
        <v>17</v>
      </c>
      <c r="D310" s="38" t="s">
        <v>18</v>
      </c>
      <c r="E310" s="38" t="s">
        <v>19</v>
      </c>
      <c r="F310" s="38" t="s">
        <v>40</v>
      </c>
      <c r="G310" s="38" t="s">
        <v>57</v>
      </c>
      <c r="H310" s="4"/>
      <c r="I310" s="4"/>
      <c r="J310" s="4"/>
      <c r="K310" s="4"/>
      <c r="L310" s="7"/>
    </row>
    <row r="311" spans="2:12" ht="12.95" customHeight="1" x14ac:dyDescent="0.2">
      <c r="B311" s="3" t="str">
        <f>B307</f>
        <v>Existing: Tariff D - Envestra Whyalla</v>
      </c>
      <c r="C311" s="21">
        <f t="array" ref="C311:G312">TRANSPOSE('Prop2018-19DistTar'!G64:H67)</f>
        <v>29105.506800000003</v>
      </c>
      <c r="D311" s="21">
        <v>14714.232</v>
      </c>
      <c r="E311" s="21">
        <v>0</v>
      </c>
      <c r="F311" s="21">
        <v>0</v>
      </c>
      <c r="G311" s="21" t="e">
        <v>#N/A</v>
      </c>
      <c r="H311" s="4"/>
      <c r="I311" s="4"/>
      <c r="J311" s="4"/>
      <c r="K311" s="4"/>
      <c r="L311" s="7"/>
    </row>
    <row r="312" spans="2:12" ht="12.95" customHeight="1" x14ac:dyDescent="0.2">
      <c r="B312" s="3" t="str">
        <f>B308</f>
        <v>Proposed: Tariff D - Envestra Whyalla</v>
      </c>
      <c r="C312" s="31">
        <v>30533.345999999998</v>
      </c>
      <c r="D312" s="31">
        <v>15436.043999999998</v>
      </c>
      <c r="E312" s="31">
        <v>0</v>
      </c>
      <c r="F312" s="31">
        <v>0</v>
      </c>
      <c r="G312" s="31" t="e">
        <v>#N/A</v>
      </c>
      <c r="H312" s="4"/>
      <c r="I312" s="4"/>
      <c r="J312" s="4"/>
      <c r="K312" s="4"/>
      <c r="L312" s="7"/>
    </row>
    <row r="313" spans="2:12" ht="12.95" customHeight="1" x14ac:dyDescent="0.2"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7"/>
    </row>
    <row r="314" spans="2:12" ht="12.95" customHeight="1" x14ac:dyDescent="0.2">
      <c r="B314" s="3" t="s">
        <v>11</v>
      </c>
      <c r="C314" s="53" t="s">
        <v>12</v>
      </c>
      <c r="D314" s="4"/>
      <c r="E314" s="4"/>
      <c r="F314" s="4"/>
      <c r="G314" s="4"/>
      <c r="H314" s="4"/>
      <c r="I314" s="4"/>
      <c r="J314" s="4"/>
      <c r="K314" s="4"/>
      <c r="L314" s="7"/>
    </row>
    <row r="315" spans="2:12" ht="12.95" customHeight="1" x14ac:dyDescent="0.2">
      <c r="B315" s="3" t="str">
        <f>B311</f>
        <v>Existing: Tariff D - Envestra Whyalla</v>
      </c>
      <c r="C315" s="35">
        <f>SUM(C311:F311)</f>
        <v>43819.738800000006</v>
      </c>
      <c r="D315" s="4"/>
      <c r="E315" s="4"/>
      <c r="F315" s="4"/>
      <c r="G315" s="4"/>
      <c r="H315" s="4"/>
      <c r="I315" s="4"/>
      <c r="J315" s="4"/>
      <c r="K315" s="4"/>
      <c r="L315" s="7"/>
    </row>
    <row r="316" spans="2:12" ht="12.95" customHeight="1" x14ac:dyDescent="0.2">
      <c r="B316" s="3" t="str">
        <f>B312</f>
        <v>Proposed: Tariff D - Envestra Whyalla</v>
      </c>
      <c r="C316" s="37">
        <f>SUM(C312:F312)</f>
        <v>45969.39</v>
      </c>
      <c r="D316" s="4"/>
      <c r="E316" s="4"/>
      <c r="F316" s="4"/>
      <c r="G316" s="4"/>
      <c r="H316" s="4"/>
      <c r="I316" s="4"/>
      <c r="J316" s="4"/>
      <c r="K316" s="4"/>
      <c r="L316" s="7"/>
    </row>
    <row r="317" spans="2:12" ht="12.95" customHeight="1" x14ac:dyDescent="0.2">
      <c r="B317" s="3"/>
      <c r="C317" s="4"/>
      <c r="D317" s="4"/>
      <c r="E317" s="4"/>
      <c r="F317" s="4"/>
      <c r="G317" s="4"/>
      <c r="H317" s="4"/>
      <c r="I317" s="4"/>
      <c r="J317" s="4"/>
      <c r="K317" s="4"/>
      <c r="L317" s="7"/>
    </row>
    <row r="318" spans="2:12" ht="12.95" customHeight="1" x14ac:dyDescent="0.2">
      <c r="B318" s="3" t="s">
        <v>5</v>
      </c>
      <c r="C318" s="25">
        <f>IF(C316=0,"",C316/C315)</f>
        <v>1.0490566867550564</v>
      </c>
      <c r="D318" s="4"/>
      <c r="E318" s="4"/>
      <c r="F318" s="4"/>
      <c r="G318" s="4"/>
      <c r="H318" s="4"/>
      <c r="I318" s="4"/>
      <c r="J318" s="4"/>
      <c r="K318" s="4"/>
      <c r="L318" s="7"/>
    </row>
    <row r="319" spans="2:12" ht="12.95" customHeight="1" x14ac:dyDescent="0.2">
      <c r="B319" s="3"/>
      <c r="C319" s="4"/>
      <c r="D319" s="4"/>
      <c r="E319" s="4"/>
      <c r="F319" s="4"/>
      <c r="G319" s="4"/>
      <c r="H319" s="4"/>
      <c r="I319" s="4"/>
      <c r="J319" s="4"/>
      <c r="K319" s="4"/>
      <c r="L319" s="7"/>
    </row>
    <row r="320" spans="2:12" ht="12.95" customHeight="1" x14ac:dyDescent="0.2">
      <c r="B320" s="145" t="str">
        <f>IF(C318="","",IF(C318&lt;$C$14,"REBALANCING CONTROL COMPLIANT","REBALANCING CONTROL BREACHED"))</f>
        <v>REBALANCING CONTROL COMPLIANT</v>
      </c>
      <c r="C320" s="146"/>
      <c r="D320" s="4"/>
      <c r="E320" s="4"/>
      <c r="F320" s="4"/>
      <c r="G320" s="4"/>
      <c r="H320" s="4"/>
      <c r="I320" s="4"/>
      <c r="J320" s="4"/>
      <c r="K320" s="4"/>
      <c r="L320" s="7"/>
    </row>
    <row r="321" spans="2:12" ht="12.95" customHeight="1" thickBot="1" x14ac:dyDescent="0.25">
      <c r="B321" s="8"/>
      <c r="C321" s="9"/>
      <c r="D321" s="9"/>
      <c r="E321" s="9"/>
      <c r="F321" s="9"/>
      <c r="G321" s="9"/>
      <c r="H321" s="9"/>
      <c r="I321" s="9"/>
      <c r="J321" s="9"/>
      <c r="K321" s="9"/>
      <c r="L321" s="10"/>
    </row>
  </sheetData>
  <mergeCells count="12">
    <mergeCell ref="B320:C320"/>
    <mergeCell ref="B56:C56"/>
    <mergeCell ref="B80:C80"/>
    <mergeCell ref="B152:C152"/>
    <mergeCell ref="B200:C200"/>
    <mergeCell ref="B176:C176"/>
    <mergeCell ref="B104:C104"/>
    <mergeCell ref="B128:C128"/>
    <mergeCell ref="B224:C224"/>
    <mergeCell ref="B248:C248"/>
    <mergeCell ref="B272:C272"/>
    <mergeCell ref="B296:C296"/>
  </mergeCells>
  <phoneticPr fontId="0" type="noConversion"/>
  <printOptions horizontalCentered="1"/>
  <pageMargins left="0.15748031496063" right="0.15748031496063" top="0.39370078740157499" bottom="0.39370078740157499" header="0.11811023622047198" footer="0.11811023622047198"/>
  <pageSetup paperSize="9" scale="38" fitToHeight="2" orientation="portrait" r:id="rId1"/>
  <headerFooter alignWithMargins="0">
    <oddHeader>&amp;R&amp;"Arial,Bold Italic"&amp;8Printed:&amp;"Arial,Regular"&amp;10 &amp;8&amp;D &amp;T</oddHeader>
    <oddFooter>&amp;L&amp;"Arial,Bold Italic"&amp;8File:&amp;"Arial,Regular"&amp;10 &amp;8&amp;F&amp;10 &amp;"Arial,Bold Italic"&amp;8Worksheet:&amp;"Arial,Regular"&amp;10 &amp;8&amp;A&amp;R&amp;"Arial,Bold Italic"&amp;8Page:&amp;"Arial,Regular"&amp;10 &amp;8&amp;P&amp;10 &amp;"Arial,Bold Italic"&amp;8of&amp;"Arial,Regular"&amp;10 &amp;8&amp;N</oddFooter>
  </headerFooter>
  <rowBreaks count="1" manualBreakCount="1">
    <brk id="177" min="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view="pageBreakPreview" zoomScale="85" zoomScaleNormal="100" zoomScaleSheetLayoutView="85" workbookViewId="0">
      <selection activeCell="G16" sqref="G16"/>
    </sheetView>
  </sheetViews>
  <sheetFormatPr defaultRowHeight="12.75" x14ac:dyDescent="0.2"/>
  <cols>
    <col min="1" max="1" width="1.625" style="1" customWidth="1"/>
    <col min="2" max="2" width="34.125" style="1" customWidth="1"/>
    <col min="3" max="3" width="22.625" style="1" customWidth="1"/>
    <col min="4" max="4" width="4.625" style="1" customWidth="1"/>
    <col min="5" max="5" width="6.375" style="1" customWidth="1"/>
    <col min="6" max="6" width="16" style="1" customWidth="1"/>
    <col min="7" max="7" width="11.25" style="1" customWidth="1"/>
    <col min="8" max="8" width="10.625" style="1" customWidth="1"/>
    <col min="9" max="16384" width="9" style="1"/>
  </cols>
  <sheetData>
    <row r="1" spans="2:8" ht="14.25" x14ac:dyDescent="0.2">
      <c r="B1" s="28" t="str">
        <f>'Prop2018-19DistTar'!B1</f>
        <v>Tariff Approval - Australian Gas Networks (South Australia)</v>
      </c>
    </row>
    <row r="2" spans="2:8" ht="6" customHeight="1" x14ac:dyDescent="0.2"/>
    <row r="3" spans="2:8" x14ac:dyDescent="0.2">
      <c r="B3" s="29" t="s">
        <v>90</v>
      </c>
    </row>
    <row r="4" spans="2:8" ht="6" customHeight="1" thickBot="1" x14ac:dyDescent="0.25"/>
    <row r="5" spans="2:8" ht="6" customHeight="1" x14ac:dyDescent="0.2">
      <c r="B5" s="5"/>
      <c r="C5" s="6"/>
      <c r="D5" s="105"/>
      <c r="E5" s="104"/>
    </row>
    <row r="6" spans="2:8" x14ac:dyDescent="0.2">
      <c r="B6" s="24" t="s">
        <v>95</v>
      </c>
      <c r="C6" s="4"/>
      <c r="D6" s="7"/>
    </row>
    <row r="7" spans="2:8" ht="6" customHeight="1" x14ac:dyDescent="0.2">
      <c r="B7" s="24"/>
      <c r="C7" s="4"/>
      <c r="D7" s="7"/>
    </row>
    <row r="8" spans="2:8" x14ac:dyDescent="0.2">
      <c r="B8" s="67" t="s">
        <v>96</v>
      </c>
      <c r="C8" s="65">
        <v>108.4</v>
      </c>
      <c r="D8" s="7"/>
    </row>
    <row r="9" spans="2:8" x14ac:dyDescent="0.2">
      <c r="B9" s="67" t="s">
        <v>71</v>
      </c>
      <c r="C9" s="111">
        <v>110</v>
      </c>
      <c r="D9" s="7"/>
    </row>
    <row r="10" spans="2:8" ht="6" customHeight="1" x14ac:dyDescent="0.2">
      <c r="B10" s="3"/>
      <c r="C10" s="4"/>
      <c r="D10" s="7"/>
    </row>
    <row r="11" spans="2:8" x14ac:dyDescent="0.2">
      <c r="B11" s="67" t="s">
        <v>97</v>
      </c>
      <c r="C11" s="124">
        <f>(C9/C8-1)</f>
        <v>1.4760147601476037E-2</v>
      </c>
      <c r="D11" s="7"/>
    </row>
    <row r="12" spans="2:8" ht="6" customHeight="1" thickBot="1" x14ac:dyDescent="0.25">
      <c r="B12" s="8"/>
      <c r="C12" s="26"/>
      <c r="D12" s="10"/>
    </row>
    <row r="13" spans="2:8" ht="6" customHeight="1" thickBot="1" x14ac:dyDescent="0.25">
      <c r="B13" s="13"/>
      <c r="C13" s="13"/>
      <c r="D13" s="13"/>
    </row>
    <row r="14" spans="2:8" ht="6" customHeight="1" x14ac:dyDescent="0.2">
      <c r="B14" s="5"/>
      <c r="C14" s="6"/>
      <c r="D14" s="11"/>
    </row>
    <row r="15" spans="2:8" x14ac:dyDescent="0.2">
      <c r="B15" s="24" t="s">
        <v>91</v>
      </c>
      <c r="C15" s="138">
        <f>(10.89*1177000)-(11.1*([1]Data1!$M$280/[1]Data1!$M$272)*1177000)</f>
        <v>-695957.40458015352</v>
      </c>
      <c r="D15" s="7"/>
      <c r="H15" s="137"/>
    </row>
    <row r="16" spans="2:8" ht="6" customHeight="1" thickBot="1" x14ac:dyDescent="0.25">
      <c r="B16" s="8"/>
      <c r="C16" s="27"/>
      <c r="D16" s="10"/>
    </row>
    <row r="17" spans="2:4" ht="6.75" customHeight="1" thickBot="1" x14ac:dyDescent="0.25"/>
    <row r="18" spans="2:4" ht="6" customHeight="1" x14ac:dyDescent="0.2">
      <c r="B18" s="130"/>
      <c r="C18" s="6"/>
      <c r="D18" s="11"/>
    </row>
    <row r="19" spans="2:4" x14ac:dyDescent="0.2">
      <c r="B19" s="24" t="s">
        <v>93</v>
      </c>
      <c r="C19" s="139">
        <v>3.5900000000000001E-2</v>
      </c>
      <c r="D19" s="7"/>
    </row>
    <row r="20" spans="2:4" ht="6" customHeight="1" thickBot="1" x14ac:dyDescent="0.25">
      <c r="B20" s="8"/>
      <c r="C20" s="27"/>
      <c r="D20" s="10"/>
    </row>
    <row r="21" spans="2:4" ht="6.75" customHeight="1" thickBot="1" x14ac:dyDescent="0.25"/>
    <row r="22" spans="2:4" ht="6" customHeight="1" x14ac:dyDescent="0.2">
      <c r="B22" s="130"/>
      <c r="C22" s="6"/>
      <c r="D22" s="11"/>
    </row>
    <row r="23" spans="2:4" x14ac:dyDescent="0.2">
      <c r="B23" s="24" t="s">
        <v>92</v>
      </c>
      <c r="C23" s="139">
        <v>3.6400000000000002E-2</v>
      </c>
      <c r="D23" s="7"/>
    </row>
    <row r="24" spans="2:4" ht="13.5" thickBot="1" x14ac:dyDescent="0.25">
      <c r="B24" s="8"/>
      <c r="C24" s="27"/>
      <c r="D24" s="10"/>
    </row>
    <row r="25" spans="2:4" ht="6.75" customHeight="1" thickBot="1" x14ac:dyDescent="0.25"/>
    <row r="26" spans="2:4" ht="6" customHeight="1" x14ac:dyDescent="0.2">
      <c r="B26" s="130"/>
      <c r="C26" s="6"/>
      <c r="D26" s="11"/>
    </row>
    <row r="27" spans="2:4" x14ac:dyDescent="0.2">
      <c r="B27" s="24" t="s">
        <v>94</v>
      </c>
      <c r="C27" s="141">
        <f>(C15*(1+C19)*(1+C23)*(1+C11))/((1-'2018-19TarContForm'!C17)*(SUM('Prop2018-19DistTar'!G7:G67)))</f>
        <v>-3.5150055659787238E-3</v>
      </c>
      <c r="D27" s="7"/>
    </row>
    <row r="28" spans="2:4" ht="6" customHeight="1" thickBot="1" x14ac:dyDescent="0.25">
      <c r="B28" s="8"/>
      <c r="C28" s="27"/>
      <c r="D28" s="1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3"/>
  <sheetViews>
    <sheetView view="pageBreakPreview" zoomScale="60" zoomScaleNormal="100" workbookViewId="0">
      <selection activeCell="F49" sqref="F49"/>
    </sheetView>
  </sheetViews>
  <sheetFormatPr defaultRowHeight="12.75" x14ac:dyDescent="0.2"/>
  <cols>
    <col min="1" max="1" width="26.25" style="71" customWidth="1"/>
    <col min="2" max="3" width="12.5" style="71" customWidth="1"/>
    <col min="4" max="16384" width="9" style="71"/>
  </cols>
  <sheetData>
    <row r="2" spans="1:13" ht="18" x14ac:dyDescent="0.25">
      <c r="A2" s="70" t="s">
        <v>29</v>
      </c>
    </row>
    <row r="4" spans="1:13" x14ac:dyDescent="0.2">
      <c r="A4" s="133"/>
      <c r="B4" s="132" t="s">
        <v>64</v>
      </c>
      <c r="C4" s="132" t="s">
        <v>76</v>
      </c>
    </row>
    <row r="5" spans="1:13" ht="15.75" x14ac:dyDescent="0.25">
      <c r="A5" s="73" t="s">
        <v>58</v>
      </c>
      <c r="B5" s="125">
        <v>10.4</v>
      </c>
      <c r="C5" s="125">
        <f>ROUND((B5*(1+'2018-19TarContForm'!$C$11)),1)</f>
        <v>10.6</v>
      </c>
    </row>
    <row r="6" spans="1:13" ht="15.75" x14ac:dyDescent="0.25">
      <c r="A6" s="74" t="s">
        <v>27</v>
      </c>
      <c r="B6" s="125">
        <v>72</v>
      </c>
      <c r="C6" s="125">
        <f>ROUND((B6*(1+'2018-19TarContForm'!$C$11)),0)</f>
        <v>73</v>
      </c>
    </row>
    <row r="7" spans="1:13" ht="15.75" x14ac:dyDescent="0.25">
      <c r="A7" s="75" t="s">
        <v>28</v>
      </c>
      <c r="B7" s="125">
        <v>72</v>
      </c>
      <c r="C7" s="125">
        <f>ROUND((B7*(1+'2018-19TarContForm'!$C$11)),0)</f>
        <v>73</v>
      </c>
    </row>
    <row r="8" spans="1:13" ht="15.75" x14ac:dyDescent="0.25">
      <c r="A8" s="75" t="s">
        <v>67</v>
      </c>
      <c r="B8" s="125">
        <v>72</v>
      </c>
      <c r="C8" s="125">
        <f>ROUND((B8*(1+'2018-19TarContForm'!$C$11)),0)</f>
        <v>73</v>
      </c>
    </row>
    <row r="9" spans="1:13" ht="15.75" x14ac:dyDescent="0.25">
      <c r="A9" s="75" t="s">
        <v>68</v>
      </c>
      <c r="B9" s="125">
        <v>78</v>
      </c>
      <c r="C9" s="125">
        <f>ROUND((B9*(1+'2018-19TarContForm'!$C$11)),0)</f>
        <v>79</v>
      </c>
    </row>
    <row r="10" spans="1:13" ht="15.75" x14ac:dyDescent="0.25">
      <c r="A10" s="75" t="s">
        <v>69</v>
      </c>
      <c r="B10" s="125">
        <v>213</v>
      </c>
      <c r="C10" s="125">
        <f>ROUND((B10*(1+'2018-19TarContForm'!$C$11)),0)</f>
        <v>217</v>
      </c>
    </row>
    <row r="13" spans="1:13" x14ac:dyDescent="0.2">
      <c r="A13" s="72" t="s">
        <v>26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33" spans="5:5" x14ac:dyDescent="0.2">
      <c r="E33" s="76"/>
    </row>
  </sheetData>
  <phoneticPr fontId="11" type="noConversion"/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Prop2018-19DistTar</vt:lpstr>
      <vt:lpstr>2018-19TarContForm</vt:lpstr>
      <vt:lpstr>2018-19RebalContForm</vt:lpstr>
      <vt:lpstr>UAFG</vt:lpstr>
      <vt:lpstr>ARS</vt:lpstr>
      <vt:lpstr>'2018-19RebalContForm'!Print_Area</vt:lpstr>
      <vt:lpstr>'2018-19TarContForm'!Print_Area</vt:lpstr>
      <vt:lpstr>ARS!Print_Area</vt:lpstr>
      <vt:lpstr>'Prop2018-19DistTar'!Print_Area</vt:lpstr>
      <vt:lpstr>UAFG!Print_Area</vt:lpstr>
      <vt:lpstr>'2018-19RebalContForm'!Print_Titles</vt:lpstr>
      <vt:lpstr>'Prop2018-19DistTar'!Print_Titles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2010-11-10T03:20:14Z</cp:lastPrinted>
  <dcterms:created xsi:type="dcterms:W3CDTF">2003-09-15T04:13:08Z</dcterms:created>
  <dcterms:modified xsi:type="dcterms:W3CDTF">2018-04-19T01:18:22Z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