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800 Final Proposal (Jan 23)/802 RP Att (final)/2. Public Docs/"/>
    </mc:Choice>
  </mc:AlternateContent>
  <xr:revisionPtr revIDLastSave="47" documentId="8_{C58B7F57-38BF-4A9B-AB1E-4B70442BD57A}" xr6:coauthVersionLast="47" xr6:coauthVersionMax="47" xr10:uidLastSave="{0F6C6889-F573-470D-926A-E7D7F71A36EA}"/>
  <bookViews>
    <workbookView xWindow="13110" yWindow="-16350" windowWidth="29040" windowHeight="15840" tabRatio="646" xr2:uid="{843CB524-E8D0-409C-8D6D-9D55625A88C7}"/>
  </bookViews>
  <sheets>
    <sheet name="Cover sheet" sheetId="27" r:id="rId1"/>
    <sheet name="Index" sheetId="1" r:id="rId2"/>
    <sheet name="Input|General" sheetId="2" r:id="rId3"/>
    <sheet name="Input|Inflation" sheetId="26" r:id="rId4"/>
    <sheet name="Calc|CPI Indexes" sheetId="4" r:id="rId5"/>
    <sheet name="Calc|Cyber security" sheetId="12" r:id="rId6"/>
    <sheet name="Calc|Insurance premiums" sheetId="6" r:id="rId7"/>
    <sheet name="Calc|Community resilience" sheetId="13" r:id="rId8"/>
    <sheet name="Calc|Smart meter data" sheetId="14" r:id="rId9"/>
    <sheet name="Calc|Network innovation program" sheetId="15" r:id="rId10"/>
    <sheet name="Calc|ICT enablement for CER" sheetId="20" r:id="rId11"/>
    <sheet name="Calc|Property" sheetId="17" r:id="rId12"/>
    <sheet name="Calc|BY Adj SaaS" sheetId="21" r:id="rId13"/>
    <sheet name="Calc|BY Adj Nature induced cost" sheetId="23" r:id="rId14"/>
    <sheet name="Calc|BY Adj CAM adjustment" sheetId="22" r:id="rId15"/>
    <sheet name="Output|Step Changes" sheetId="11" r:id="rId16"/>
    <sheet name="Output|Base Year Adjustments" sheetId="25" r:id="rId17"/>
    <sheet name="Lookup|Tables" sheetId="8" r:id="rId18"/>
  </sheets>
  <definedNames>
    <definedName name="_xlnm._FilterDatabase" localSheetId="2" hidden="1">'Input|General'!$G$7:$G$14</definedName>
    <definedName name="BaseYear">'Input|General'!$G$11</definedName>
    <definedName name="dollars" localSheetId="17">'Lookup|Tables'!$G$10</definedName>
    <definedName name="factor" localSheetId="17">'Lookup|Tables'!$G$17</definedName>
    <definedName name="FPFirstYear">'Input|General'!$G$13</definedName>
    <definedName name="FPLastYear">'Input|General'!$G$14</definedName>
    <definedName name="FRCP_1to5">"2015-16 to 2019-20"</definedName>
    <definedName name="millions" localSheetId="17">'Lookup|Tables'!$G$12</definedName>
    <definedName name="month">'Input|General'!$G$9</definedName>
    <definedName name="Nominal_to_Real" localSheetId="17">'Lookup|Tables'!$H$65:$H$76</definedName>
    <definedName name="Nominal_to_Real">'Lookup|Tables'!$H$65:$H$76</definedName>
    <definedName name="NSP">'Input|General'!$G$8</definedName>
    <definedName name="number" localSheetId="17">'Lookup|Tables'!$G$16</definedName>
    <definedName name="percent" localSheetId="17">'Lookup|Tables'!$G$14</definedName>
    <definedName name="percent">'Lookup|Tables'!$G$14</definedName>
    <definedName name="PPFirstYear" localSheetId="17">'Input|General'!$G$10</definedName>
    <definedName name="PPFirstYear">'Input|General'!$G$10</definedName>
    <definedName name="PPLastYear" localSheetId="17">'Input|General'!$G$12</definedName>
    <definedName name="PPLastYear">'Input|General'!$G$12</definedName>
    <definedName name="RCP_1to5">"2015-16 to 2019-20"</definedName>
    <definedName name="thousands" localSheetId="17">'Lookup|Tables'!$G$11</definedName>
    <definedName name="unit" localSheetId="17">'Lookup|Tables'!$G$15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22" l="1"/>
  <c r="I4" i="22"/>
  <c r="I147" i="22" s="1"/>
  <c r="M147" i="22"/>
  <c r="S31" i="21"/>
  <c r="R31" i="21"/>
  <c r="N46" i="17"/>
  <c r="M46" i="17"/>
  <c r="O33" i="17"/>
  <c r="M33" i="17"/>
  <c r="O17" i="17"/>
  <c r="P24" i="20"/>
  <c r="Q24" i="15"/>
  <c r="P24" i="15"/>
  <c r="O24" i="15"/>
  <c r="S17" i="15"/>
  <c r="O45" i="14"/>
  <c r="N45" i="14"/>
  <c r="S38" i="14"/>
  <c r="Q33" i="14"/>
  <c r="P33" i="14"/>
  <c r="O33" i="14"/>
  <c r="N33" i="14"/>
  <c r="Q17" i="14"/>
  <c r="P17" i="14"/>
  <c r="O17" i="14"/>
  <c r="S63" i="13"/>
  <c r="S24" i="13"/>
  <c r="R24" i="13"/>
  <c r="Q24" i="13"/>
  <c r="R127" i="6"/>
  <c r="Q127" i="6"/>
  <c r="O127" i="6"/>
  <c r="M103" i="6"/>
  <c r="S80" i="6"/>
  <c r="R80" i="6"/>
  <c r="Q80" i="6"/>
  <c r="R33" i="6"/>
  <c r="Q33" i="6"/>
  <c r="R17" i="6"/>
  <c r="Q17" i="6"/>
  <c r="O17" i="6"/>
  <c r="O33" i="12"/>
  <c r="R24" i="12"/>
  <c r="S4" i="12"/>
  <c r="S38" i="12" s="1"/>
  <c r="R4" i="12"/>
  <c r="R38" i="12" s="1"/>
  <c r="Q4" i="12"/>
  <c r="Q24" i="12" s="1"/>
  <c r="P4" i="12"/>
  <c r="P24" i="12" s="1"/>
  <c r="O4" i="12"/>
  <c r="O24" i="12" s="1"/>
  <c r="N4" i="12"/>
  <c r="M4" i="12"/>
  <c r="L4" i="12"/>
  <c r="K4" i="12"/>
  <c r="J4" i="12"/>
  <c r="S4" i="6"/>
  <c r="S103" i="6" s="1"/>
  <c r="R4" i="6"/>
  <c r="R103" i="6" s="1"/>
  <c r="Q4" i="6"/>
  <c r="Q103" i="6" s="1"/>
  <c r="P4" i="6"/>
  <c r="P80" i="6" s="1"/>
  <c r="O4" i="6"/>
  <c r="O33" i="6" s="1"/>
  <c r="N4" i="6"/>
  <c r="N127" i="6" s="1"/>
  <c r="M4" i="6"/>
  <c r="M127" i="6" s="1"/>
  <c r="L4" i="6"/>
  <c r="L80" i="6" s="1"/>
  <c r="K4" i="6"/>
  <c r="J4" i="6"/>
  <c r="S4" i="13"/>
  <c r="S17" i="13" s="1"/>
  <c r="R4" i="13"/>
  <c r="R63" i="13" s="1"/>
  <c r="Q4" i="13"/>
  <c r="Q63" i="13" s="1"/>
  <c r="P4" i="13"/>
  <c r="P24" i="13" s="1"/>
  <c r="O4" i="13"/>
  <c r="O60" i="13" s="1"/>
  <c r="N4" i="13"/>
  <c r="M4" i="13"/>
  <c r="L4" i="13"/>
  <c r="K4" i="13"/>
  <c r="J4" i="13"/>
  <c r="S4" i="14"/>
  <c r="S24" i="14" s="1"/>
  <c r="R4" i="14"/>
  <c r="R38" i="14" s="1"/>
  <c r="Q4" i="14"/>
  <c r="Q38" i="14" s="1"/>
  <c r="P4" i="14"/>
  <c r="P38" i="14" s="1"/>
  <c r="O4" i="14"/>
  <c r="O38" i="14" s="1"/>
  <c r="N4" i="14"/>
  <c r="N38" i="14" s="1"/>
  <c r="M4" i="14"/>
  <c r="M33" i="14" s="1"/>
  <c r="L4" i="14"/>
  <c r="K4" i="14"/>
  <c r="J4" i="14"/>
  <c r="S4" i="15"/>
  <c r="S24" i="15" s="1"/>
  <c r="R4" i="15"/>
  <c r="R17" i="15" s="1"/>
  <c r="Q4" i="15"/>
  <c r="Q17" i="15" s="1"/>
  <c r="P4" i="15"/>
  <c r="P17" i="15" s="1"/>
  <c r="O4" i="15"/>
  <c r="O17" i="15" s="1"/>
  <c r="N4" i="15"/>
  <c r="M4" i="15"/>
  <c r="L4" i="15"/>
  <c r="K4" i="15"/>
  <c r="J4" i="15"/>
  <c r="S4" i="20"/>
  <c r="S17" i="20" s="1"/>
  <c r="R4" i="20"/>
  <c r="R17" i="20" s="1"/>
  <c r="Q4" i="20"/>
  <c r="Q49" i="20" s="1"/>
  <c r="P4" i="20"/>
  <c r="P49" i="20" s="1"/>
  <c r="O4" i="20"/>
  <c r="O24" i="20" s="1"/>
  <c r="N4" i="20"/>
  <c r="M4" i="20"/>
  <c r="L4" i="20"/>
  <c r="K4" i="20"/>
  <c r="J4" i="20"/>
  <c r="S4" i="17"/>
  <c r="S24" i="17" s="1"/>
  <c r="R4" i="17"/>
  <c r="R24" i="17" s="1"/>
  <c r="Q4" i="17"/>
  <c r="Q38" i="17" s="1"/>
  <c r="P4" i="17"/>
  <c r="P38" i="17" s="1"/>
  <c r="O4" i="17"/>
  <c r="O38" i="17" s="1"/>
  <c r="N4" i="17"/>
  <c r="N38" i="17" s="1"/>
  <c r="M4" i="17"/>
  <c r="M38" i="17" s="1"/>
  <c r="L4" i="17"/>
  <c r="K4" i="17"/>
  <c r="J4" i="17"/>
  <c r="S4" i="21"/>
  <c r="S42" i="21" s="1"/>
  <c r="R4" i="21"/>
  <c r="R42" i="21" s="1"/>
  <c r="Q4" i="21"/>
  <c r="Q42" i="21" s="1"/>
  <c r="P4" i="21"/>
  <c r="P42" i="21" s="1"/>
  <c r="O4" i="21"/>
  <c r="O31" i="21" s="1"/>
  <c r="N4" i="21"/>
  <c r="M4" i="21"/>
  <c r="M42" i="21" s="1"/>
  <c r="L4" i="21"/>
  <c r="K4" i="21"/>
  <c r="J4" i="21"/>
  <c r="S4" i="22"/>
  <c r="R4" i="22"/>
  <c r="Q4" i="22"/>
  <c r="P4" i="22"/>
  <c r="O4" i="22"/>
  <c r="N4" i="22"/>
  <c r="M4" i="22"/>
  <c r="M16" i="22" s="1"/>
  <c r="L4" i="22"/>
  <c r="L147" i="22" s="1"/>
  <c r="K4" i="22"/>
  <c r="K147" i="22" s="1"/>
  <c r="J4" i="22"/>
  <c r="J147" i="22" s="1"/>
  <c r="H4" i="23"/>
  <c r="H32" i="23" s="1"/>
  <c r="I4" i="23"/>
  <c r="I32" i="23" s="1"/>
  <c r="S4" i="23"/>
  <c r="R4" i="23"/>
  <c r="Q4" i="23"/>
  <c r="P4" i="23"/>
  <c r="O4" i="23"/>
  <c r="N4" i="23"/>
  <c r="M4" i="23"/>
  <c r="M23" i="23" s="1"/>
  <c r="L4" i="23"/>
  <c r="L32" i="23" s="1"/>
  <c r="K4" i="23"/>
  <c r="K32" i="23" s="1"/>
  <c r="J4" i="23"/>
  <c r="J32" i="23" s="1"/>
  <c r="H65" i="8"/>
  <c r="G65" i="8"/>
  <c r="H66" i="8"/>
  <c r="G66" i="8"/>
  <c r="C13" i="23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E29" i="26"/>
  <c r="H28" i="26"/>
  <c r="E28" i="26"/>
  <c r="H27" i="26"/>
  <c r="E27" i="26"/>
  <c r="H26" i="26"/>
  <c r="E26" i="26"/>
  <c r="H25" i="26"/>
  <c r="E25" i="26"/>
  <c r="H24" i="26"/>
  <c r="E24" i="26"/>
  <c r="H23" i="26"/>
  <c r="E23" i="26"/>
  <c r="H22" i="26"/>
  <c r="E22" i="26"/>
  <c r="H21" i="26"/>
  <c r="E21" i="26"/>
  <c r="E20" i="26"/>
  <c r="E19" i="26"/>
  <c r="E18" i="26"/>
  <c r="E17" i="26"/>
  <c r="E16" i="26"/>
  <c r="E15" i="26"/>
  <c r="E14" i="26"/>
  <c r="E13" i="26"/>
  <c r="R38" i="17" l="1"/>
  <c r="P31" i="21"/>
  <c r="S24" i="12"/>
  <c r="P17" i="6"/>
  <c r="P33" i="6"/>
  <c r="P127" i="6"/>
  <c r="M45" i="14"/>
  <c r="Q24" i="20"/>
  <c r="S49" i="20"/>
  <c r="N33" i="17"/>
  <c r="S38" i="17"/>
  <c r="Q31" i="21"/>
  <c r="O17" i="12"/>
  <c r="Q33" i="12"/>
  <c r="S17" i="6"/>
  <c r="S33" i="6"/>
  <c r="N103" i="6"/>
  <c r="S127" i="6"/>
  <c r="P60" i="13"/>
  <c r="R17" i="14"/>
  <c r="R33" i="14"/>
  <c r="P45" i="14"/>
  <c r="R24" i="15"/>
  <c r="O33" i="20"/>
  <c r="Q17" i="17"/>
  <c r="Q33" i="17"/>
  <c r="O46" i="17"/>
  <c r="O42" i="21"/>
  <c r="M22" i="22"/>
  <c r="P17" i="12"/>
  <c r="R33" i="12"/>
  <c r="O24" i="6"/>
  <c r="M33" i="6"/>
  <c r="O103" i="6"/>
  <c r="O17" i="13"/>
  <c r="Q60" i="13"/>
  <c r="S17" i="14"/>
  <c r="S33" i="14"/>
  <c r="Q45" i="14"/>
  <c r="P33" i="20"/>
  <c r="R17" i="17"/>
  <c r="R33" i="17"/>
  <c r="P46" i="17"/>
  <c r="M10" i="23"/>
  <c r="Q17" i="12"/>
  <c r="S33" i="12"/>
  <c r="P24" i="6"/>
  <c r="L33" i="6"/>
  <c r="P103" i="6"/>
  <c r="P17" i="13"/>
  <c r="R60" i="13"/>
  <c r="O24" i="14"/>
  <c r="M38" i="14"/>
  <c r="R45" i="14"/>
  <c r="O17" i="20"/>
  <c r="Q33" i="20"/>
  <c r="S17" i="17"/>
  <c r="S33" i="17"/>
  <c r="Q46" i="17"/>
  <c r="M17" i="23"/>
  <c r="N33" i="6"/>
  <c r="R49" i="20"/>
  <c r="R24" i="20"/>
  <c r="P33" i="12"/>
  <c r="R17" i="12"/>
  <c r="O38" i="12"/>
  <c r="Q24" i="6"/>
  <c r="Q17" i="13"/>
  <c r="S60" i="13"/>
  <c r="P24" i="14"/>
  <c r="S45" i="14"/>
  <c r="P17" i="20"/>
  <c r="R33" i="20"/>
  <c r="O24" i="17"/>
  <c r="R46" i="17"/>
  <c r="S24" i="20"/>
  <c r="S17" i="12"/>
  <c r="P38" i="12"/>
  <c r="R24" i="6"/>
  <c r="M80" i="6"/>
  <c r="R17" i="13"/>
  <c r="O63" i="13"/>
  <c r="Q24" i="14"/>
  <c r="Q17" i="20"/>
  <c r="S33" i="20"/>
  <c r="P24" i="17"/>
  <c r="S46" i="17"/>
  <c r="Q38" i="12"/>
  <c r="S24" i="6"/>
  <c r="N80" i="6"/>
  <c r="P63" i="13"/>
  <c r="R24" i="14"/>
  <c r="O49" i="20"/>
  <c r="Q24" i="17"/>
  <c r="M31" i="21"/>
  <c r="P17" i="17"/>
  <c r="P33" i="17"/>
  <c r="N10" i="6"/>
  <c r="O80" i="6"/>
  <c r="O24" i="13"/>
  <c r="I27" i="26"/>
  <c r="I56" i="26"/>
  <c r="I66" i="26"/>
  <c r="I53" i="26"/>
  <c r="I61" i="26"/>
  <c r="I52" i="26"/>
  <c r="I36" i="26"/>
  <c r="I48" i="26"/>
  <c r="I59" i="26"/>
  <c r="I70" i="26"/>
  <c r="I68" i="26"/>
  <c r="I32" i="26"/>
  <c r="I37" i="26"/>
  <c r="I49" i="26"/>
  <c r="I60" i="26"/>
  <c r="I42" i="26"/>
  <c r="I43" i="26"/>
  <c r="I44" i="26"/>
  <c r="I38" i="26"/>
  <c r="I50" i="26"/>
  <c r="I40" i="26"/>
  <c r="I62" i="26"/>
  <c r="I63" i="26"/>
  <c r="I58" i="26"/>
  <c r="I64" i="26"/>
  <c r="I34" i="26"/>
  <c r="I46" i="26"/>
  <c r="I35" i="26"/>
  <c r="I57" i="26"/>
  <c r="I55" i="26"/>
  <c r="I69" i="26"/>
  <c r="I41" i="26"/>
  <c r="I47" i="26"/>
  <c r="I54" i="26"/>
  <c r="I25" i="26"/>
  <c r="I29" i="26"/>
  <c r="I30" i="26"/>
  <c r="I31" i="26"/>
  <c r="I71" i="26"/>
  <c r="I51" i="26"/>
  <c r="I65" i="26"/>
  <c r="I33" i="26"/>
  <c r="I39" i="26"/>
  <c r="I45" i="26"/>
  <c r="I67" i="26"/>
  <c r="I28" i="26"/>
  <c r="I26" i="26"/>
  <c r="C13" i="17" l="1"/>
  <c r="S42" i="17"/>
  <c r="R42" i="17"/>
  <c r="Q42" i="17"/>
  <c r="P42" i="17"/>
  <c r="O42" i="17"/>
  <c r="N42" i="17"/>
  <c r="E42" i="17"/>
  <c r="E41" i="17"/>
  <c r="E40" i="17"/>
  <c r="E39" i="17"/>
  <c r="F42" i="17"/>
  <c r="M42" i="17" l="1"/>
  <c r="E39" i="23" l="1"/>
  <c r="E159" i="22"/>
  <c r="E155" i="22"/>
  <c r="E151" i="22"/>
  <c r="E37" i="23"/>
  <c r="E35" i="23"/>
  <c r="E34" i="23"/>
  <c r="E36" i="23"/>
  <c r="F36" i="23"/>
  <c r="I4" i="4"/>
  <c r="I10" i="4" l="1"/>
  <c r="I12" i="4" s="1"/>
  <c r="I14" i="4"/>
  <c r="I29" i="4"/>
  <c r="F157" i="22"/>
  <c r="E154" i="22"/>
  <c r="E150" i="22"/>
  <c r="E153" i="22"/>
  <c r="E149" i="22"/>
  <c r="E158" i="22" l="1"/>
  <c r="E157" i="22"/>
  <c r="P89" i="22"/>
  <c r="P118" i="22"/>
  <c r="T135" i="22"/>
  <c r="T125" i="22"/>
  <c r="E144" i="22"/>
  <c r="E142" i="22"/>
  <c r="E141" i="22"/>
  <c r="E139" i="22"/>
  <c r="E137" i="22"/>
  <c r="E136" i="22"/>
  <c r="E135" i="22"/>
  <c r="E133" i="22"/>
  <c r="E132" i="22"/>
  <c r="E131" i="22"/>
  <c r="E130" i="22"/>
  <c r="E129" i="22"/>
  <c r="E127" i="22"/>
  <c r="E126" i="22"/>
  <c r="E125" i="22"/>
  <c r="E121" i="22"/>
  <c r="E119" i="22"/>
  <c r="E118" i="22"/>
  <c r="E116" i="22"/>
  <c r="E114" i="22"/>
  <c r="E113" i="22"/>
  <c r="E112" i="22"/>
  <c r="E110" i="22"/>
  <c r="E109" i="22"/>
  <c r="E108" i="22"/>
  <c r="E107" i="22"/>
  <c r="E106" i="22"/>
  <c r="E104" i="22"/>
  <c r="E103" i="22"/>
  <c r="E102" i="22"/>
  <c r="E98" i="22"/>
  <c r="E96" i="22"/>
  <c r="E95" i="22"/>
  <c r="E93" i="22"/>
  <c r="E91" i="22"/>
  <c r="E90" i="22"/>
  <c r="E89" i="22"/>
  <c r="E87" i="22"/>
  <c r="E86" i="22"/>
  <c r="E85" i="22"/>
  <c r="E84" i="22"/>
  <c r="E83" i="22"/>
  <c r="E81" i="22"/>
  <c r="E80" i="22"/>
  <c r="E79" i="22"/>
  <c r="E75" i="22"/>
  <c r="E73" i="22"/>
  <c r="E72" i="22"/>
  <c r="E70" i="22"/>
  <c r="E68" i="22"/>
  <c r="E67" i="22"/>
  <c r="E66" i="22"/>
  <c r="E64" i="22"/>
  <c r="E63" i="22"/>
  <c r="E62" i="22"/>
  <c r="E61" i="22"/>
  <c r="E60" i="22"/>
  <c r="E58" i="22"/>
  <c r="E57" i="22"/>
  <c r="E56" i="22"/>
  <c r="F58" i="13"/>
  <c r="E58" i="13"/>
  <c r="W56" i="22" l="1"/>
  <c r="P107" i="22"/>
  <c r="P119" i="22"/>
  <c r="T109" i="22"/>
  <c r="P129" i="22"/>
  <c r="P141" i="22"/>
  <c r="R81" i="22"/>
  <c r="V118" i="22"/>
  <c r="S127" i="22"/>
  <c r="S137" i="22"/>
  <c r="O127" i="22"/>
  <c r="P86" i="22"/>
  <c r="T96" i="22"/>
  <c r="T67" i="22"/>
  <c r="W61" i="22"/>
  <c r="P132" i="22"/>
  <c r="O110" i="22"/>
  <c r="W109" i="22"/>
  <c r="W84" i="22"/>
  <c r="W73" i="22"/>
  <c r="T142" i="22"/>
  <c r="P109" i="22"/>
  <c r="T113" i="22"/>
  <c r="P96" i="22"/>
  <c r="P57" i="22"/>
  <c r="T61" i="22"/>
  <c r="V89" i="22"/>
  <c r="V62" i="22"/>
  <c r="S81" i="22"/>
  <c r="W89" i="22"/>
  <c r="V60" i="22"/>
  <c r="T132" i="22"/>
  <c r="P103" i="22"/>
  <c r="P113" i="22"/>
  <c r="T107" i="22"/>
  <c r="T80" i="22"/>
  <c r="P73" i="22"/>
  <c r="N91" i="22"/>
  <c r="R58" i="22"/>
  <c r="W96" i="22"/>
  <c r="W125" i="22"/>
  <c r="W135" i="22"/>
  <c r="W108" i="22"/>
  <c r="S104" i="22"/>
  <c r="O58" i="22"/>
  <c r="O68" i="22"/>
  <c r="T90" i="22"/>
  <c r="T106" i="22"/>
  <c r="P72" i="22"/>
  <c r="P125" i="22"/>
  <c r="N137" i="22"/>
  <c r="V141" i="22"/>
  <c r="P108" i="22"/>
  <c r="V102" i="22"/>
  <c r="V112" i="22"/>
  <c r="P95" i="22"/>
  <c r="V85" i="22"/>
  <c r="P66" i="22"/>
  <c r="V72" i="22"/>
  <c r="N127" i="22"/>
  <c r="V136" i="22"/>
  <c r="V84" i="22"/>
  <c r="N64" i="22"/>
  <c r="V126" i="22"/>
  <c r="W107" i="22"/>
  <c r="W119" i="22"/>
  <c r="S58" i="22"/>
  <c r="S91" i="22"/>
  <c r="V109" i="22"/>
  <c r="S133" i="22"/>
  <c r="W141" i="22"/>
  <c r="W112" i="22"/>
  <c r="O87" i="22"/>
  <c r="W95" i="22"/>
  <c r="V130" i="22"/>
  <c r="V119" i="22"/>
  <c r="T85" i="22"/>
  <c r="S87" i="22"/>
  <c r="R104" i="22"/>
  <c r="P80" i="22"/>
  <c r="P90" i="22"/>
  <c r="P91" i="22" s="1"/>
  <c r="V107" i="22"/>
  <c r="P126" i="22"/>
  <c r="P136" i="22"/>
  <c r="P67" i="22"/>
  <c r="V131" i="22"/>
  <c r="R127" i="22"/>
  <c r="S110" i="22"/>
  <c r="T118" i="22"/>
  <c r="T102" i="22"/>
  <c r="V108" i="22"/>
  <c r="X108" i="22" s="1"/>
  <c r="P130" i="22"/>
  <c r="P142" i="22"/>
  <c r="N81" i="22"/>
  <c r="R87" i="22"/>
  <c r="R68" i="22"/>
  <c r="V66" i="22"/>
  <c r="T126" i="22"/>
  <c r="T127" i="22" s="1"/>
  <c r="I153" i="22" s="1"/>
  <c r="P131" i="22"/>
  <c r="P79" i="22"/>
  <c r="W83" i="22"/>
  <c r="W62" i="22"/>
  <c r="W66" i="22"/>
  <c r="W63" i="22"/>
  <c r="P62" i="22"/>
  <c r="P63" i="22"/>
  <c r="O64" i="22"/>
  <c r="R91" i="22"/>
  <c r="T89" i="22"/>
  <c r="T83" i="22"/>
  <c r="W90" i="22"/>
  <c r="V83" i="22"/>
  <c r="O91" i="22"/>
  <c r="V95" i="22"/>
  <c r="P83" i="22"/>
  <c r="W118" i="22"/>
  <c r="X118" i="22" s="1"/>
  <c r="W102" i="22"/>
  <c r="W103" i="22"/>
  <c r="O104" i="22"/>
  <c r="P102" i="22"/>
  <c r="N110" i="22"/>
  <c r="N114" i="22"/>
  <c r="V103" i="22"/>
  <c r="W113" i="22"/>
  <c r="T141" i="22"/>
  <c r="R133" i="22"/>
  <c r="W129" i="22"/>
  <c r="V142" i="22"/>
  <c r="T131" i="22"/>
  <c r="W132" i="22"/>
  <c r="N133" i="22"/>
  <c r="O133" i="22"/>
  <c r="W131" i="22"/>
  <c r="V132" i="22"/>
  <c r="W136" i="22"/>
  <c r="W126" i="22"/>
  <c r="O137" i="22"/>
  <c r="W142" i="22"/>
  <c r="V125" i="22"/>
  <c r="R137" i="22"/>
  <c r="T130" i="22"/>
  <c r="T129" i="22"/>
  <c r="W130" i="22"/>
  <c r="T136" i="22"/>
  <c r="T137" i="22" s="1"/>
  <c r="V129" i="22"/>
  <c r="P135" i="22"/>
  <c r="V135" i="22"/>
  <c r="O114" i="22"/>
  <c r="T108" i="22"/>
  <c r="R114" i="22"/>
  <c r="N104" i="22"/>
  <c r="P106" i="22"/>
  <c r="S114" i="22"/>
  <c r="V106" i="22"/>
  <c r="V113" i="22"/>
  <c r="W106" i="22"/>
  <c r="R110" i="22"/>
  <c r="T112" i="22"/>
  <c r="P112" i="22"/>
  <c r="T103" i="22"/>
  <c r="T119" i="22"/>
  <c r="W85" i="22"/>
  <c r="V86" i="22"/>
  <c r="N87" i="22"/>
  <c r="W86" i="22"/>
  <c r="W80" i="22"/>
  <c r="V90" i="22"/>
  <c r="V80" i="22"/>
  <c r="P85" i="22"/>
  <c r="V96" i="22"/>
  <c r="T79" i="22"/>
  <c r="T86" i="22"/>
  <c r="T95" i="22"/>
  <c r="V79" i="22"/>
  <c r="P84" i="22"/>
  <c r="W79" i="22"/>
  <c r="O81" i="22"/>
  <c r="T84" i="22"/>
  <c r="T60" i="22"/>
  <c r="R64" i="22"/>
  <c r="V63" i="22"/>
  <c r="S64" i="22"/>
  <c r="T57" i="22"/>
  <c r="V67" i="22"/>
  <c r="W67" i="22"/>
  <c r="V73" i="22"/>
  <c r="W72" i="22"/>
  <c r="N68" i="22"/>
  <c r="W60" i="22"/>
  <c r="P60" i="22"/>
  <c r="N58" i="22"/>
  <c r="W57" i="22"/>
  <c r="T73" i="22"/>
  <c r="T56" i="22"/>
  <c r="T63" i="22"/>
  <c r="T72" i="22"/>
  <c r="T62" i="22"/>
  <c r="P56" i="22"/>
  <c r="V57" i="22"/>
  <c r="V56" i="22"/>
  <c r="P61" i="22"/>
  <c r="S68" i="22"/>
  <c r="W68" i="22" s="1"/>
  <c r="T66" i="22"/>
  <c r="V61" i="22"/>
  <c r="E15" i="25"/>
  <c r="E14" i="25"/>
  <c r="E13" i="25"/>
  <c r="F8" i="25"/>
  <c r="S4" i="25"/>
  <c r="R4" i="25"/>
  <c r="Q4" i="25"/>
  <c r="P4" i="25"/>
  <c r="O4" i="25"/>
  <c r="N4" i="25"/>
  <c r="M4" i="25"/>
  <c r="M11" i="25" s="1"/>
  <c r="L4" i="25"/>
  <c r="K4" i="25"/>
  <c r="J4" i="25"/>
  <c r="J36" i="23"/>
  <c r="E50" i="22"/>
  <c r="E49" i="22"/>
  <c r="E45" i="22"/>
  <c r="E44" i="22"/>
  <c r="E43" i="22"/>
  <c r="E41" i="22"/>
  <c r="E40" i="22"/>
  <c r="E39" i="22"/>
  <c r="E38" i="22"/>
  <c r="E37" i="22"/>
  <c r="E35" i="22"/>
  <c r="E34" i="22"/>
  <c r="E33" i="22"/>
  <c r="F15" i="25" l="1"/>
  <c r="F14" i="25"/>
  <c r="F13" i="25"/>
  <c r="H36" i="23"/>
  <c r="K36" i="23"/>
  <c r="I36" i="23"/>
  <c r="L36" i="23"/>
  <c r="X61" i="22"/>
  <c r="W58" i="22"/>
  <c r="T68" i="22"/>
  <c r="X62" i="22"/>
  <c r="T91" i="22"/>
  <c r="P68" i="22"/>
  <c r="W127" i="22"/>
  <c r="X96" i="22"/>
  <c r="P104" i="22"/>
  <c r="J149" i="22" s="1"/>
  <c r="O70" i="22"/>
  <c r="O75" i="22" s="1"/>
  <c r="S139" i="22"/>
  <c r="S144" i="22" s="1"/>
  <c r="X109" i="22"/>
  <c r="P81" i="22"/>
  <c r="K149" i="22" s="1"/>
  <c r="X89" i="22"/>
  <c r="X73" i="22"/>
  <c r="T114" i="22"/>
  <c r="X84" i="22"/>
  <c r="P58" i="22"/>
  <c r="L149" i="22" s="1"/>
  <c r="X85" i="22"/>
  <c r="X95" i="22"/>
  <c r="X107" i="22"/>
  <c r="S93" i="22"/>
  <c r="S98" i="22" s="1"/>
  <c r="O116" i="22"/>
  <c r="O121" i="22" s="1"/>
  <c r="T81" i="22"/>
  <c r="K153" i="22" s="1"/>
  <c r="P114" i="22"/>
  <c r="X135" i="22"/>
  <c r="W110" i="22"/>
  <c r="X102" i="22"/>
  <c r="R93" i="22"/>
  <c r="R98" i="22" s="1"/>
  <c r="X112" i="22"/>
  <c r="P110" i="22"/>
  <c r="V137" i="22"/>
  <c r="P127" i="22"/>
  <c r="I149" i="22" s="1"/>
  <c r="X141" i="22"/>
  <c r="X142" i="22"/>
  <c r="X136" i="22"/>
  <c r="T110" i="22"/>
  <c r="X132" i="22"/>
  <c r="X103" i="22"/>
  <c r="W64" i="22"/>
  <c r="W91" i="22"/>
  <c r="X130" i="22"/>
  <c r="X119" i="22"/>
  <c r="P137" i="22"/>
  <c r="X72" i="22"/>
  <c r="T133" i="22"/>
  <c r="T139" i="22" s="1"/>
  <c r="T144" i="22" s="1"/>
  <c r="P87" i="22"/>
  <c r="S116" i="22"/>
  <c r="S121" i="22" s="1"/>
  <c r="N93" i="22"/>
  <c r="N98" i="22" s="1"/>
  <c r="N139" i="22"/>
  <c r="N144" i="22" s="1"/>
  <c r="X83" i="22"/>
  <c r="T104" i="22"/>
  <c r="J153" i="22" s="1"/>
  <c r="P133" i="22"/>
  <c r="T58" i="22"/>
  <c r="L153" i="22" s="1"/>
  <c r="X63" i="22"/>
  <c r="V68" i="22"/>
  <c r="R70" i="22"/>
  <c r="R75" i="22" s="1"/>
  <c r="W133" i="22"/>
  <c r="X66" i="22"/>
  <c r="W81" i="22"/>
  <c r="X113" i="22"/>
  <c r="X126" i="22"/>
  <c r="V91" i="22"/>
  <c r="X131" i="22"/>
  <c r="V114" i="22"/>
  <c r="P64" i="22"/>
  <c r="X90" i="22"/>
  <c r="V87" i="22"/>
  <c r="O93" i="22"/>
  <c r="O98" i="22" s="1"/>
  <c r="W104" i="22"/>
  <c r="V104" i="22"/>
  <c r="N116" i="22"/>
  <c r="N121" i="22" s="1"/>
  <c r="O139" i="22"/>
  <c r="O144" i="22" s="1"/>
  <c r="W137" i="22"/>
  <c r="X125" i="22"/>
  <c r="V127" i="22"/>
  <c r="V133" i="22"/>
  <c r="X129" i="22"/>
  <c r="R139" i="22"/>
  <c r="R144" i="22" s="1"/>
  <c r="R116" i="22"/>
  <c r="R121" i="22" s="1"/>
  <c r="V110" i="22"/>
  <c r="X106" i="22"/>
  <c r="W114" i="22"/>
  <c r="W87" i="22"/>
  <c r="X86" i="22"/>
  <c r="X80" i="22"/>
  <c r="X79" i="22"/>
  <c r="V81" i="22"/>
  <c r="T87" i="22"/>
  <c r="T64" i="22"/>
  <c r="X67" i="22"/>
  <c r="X57" i="22"/>
  <c r="N70" i="22"/>
  <c r="N75" i="22" s="1"/>
  <c r="X60" i="22"/>
  <c r="V64" i="22"/>
  <c r="V58" i="22"/>
  <c r="X56" i="22"/>
  <c r="S70" i="22"/>
  <c r="S75" i="22" s="1"/>
  <c r="I157" i="22" l="1"/>
  <c r="X110" i="22"/>
  <c r="W70" i="22"/>
  <c r="W75" i="22" s="1"/>
  <c r="J157" i="22"/>
  <c r="K157" i="22"/>
  <c r="P93" i="22"/>
  <c r="P98" i="22" s="1"/>
  <c r="L157" i="22"/>
  <c r="X104" i="22"/>
  <c r="P70" i="22"/>
  <c r="P75" i="22" s="1"/>
  <c r="P139" i="22"/>
  <c r="P144" i="22" s="1"/>
  <c r="X87" i="22"/>
  <c r="X91" i="22"/>
  <c r="X137" i="22"/>
  <c r="P116" i="22"/>
  <c r="P121" i="22" s="1"/>
  <c r="T93" i="22"/>
  <c r="T98" i="22" s="1"/>
  <c r="X114" i="22"/>
  <c r="X64" i="22"/>
  <c r="V116" i="22"/>
  <c r="V121" i="22" s="1"/>
  <c r="T70" i="22"/>
  <c r="T75" i="22" s="1"/>
  <c r="T116" i="22"/>
  <c r="T121" i="22" s="1"/>
  <c r="X127" i="22"/>
  <c r="W93" i="22"/>
  <c r="W98" i="22" s="1"/>
  <c r="W139" i="22"/>
  <c r="W144" i="22" s="1"/>
  <c r="X68" i="22"/>
  <c r="W116" i="22"/>
  <c r="W121" i="22" s="1"/>
  <c r="X133" i="22"/>
  <c r="V70" i="22"/>
  <c r="V75" i="22" s="1"/>
  <c r="V93" i="22"/>
  <c r="V98" i="22" s="1"/>
  <c r="V139" i="22"/>
  <c r="V144" i="22" s="1"/>
  <c r="X81" i="22"/>
  <c r="X58" i="22"/>
  <c r="E28" i="23"/>
  <c r="E26" i="23"/>
  <c r="E25" i="23"/>
  <c r="E19" i="23"/>
  <c r="E13" i="23"/>
  <c r="E12" i="23"/>
  <c r="E18" i="22"/>
  <c r="E12" i="22"/>
  <c r="W50" i="22"/>
  <c r="V50" i="22"/>
  <c r="W49" i="22"/>
  <c r="V49" i="22"/>
  <c r="W44" i="22"/>
  <c r="V44" i="22"/>
  <c r="W43" i="22"/>
  <c r="V43" i="22"/>
  <c r="W40" i="22"/>
  <c r="V40" i="22"/>
  <c r="W39" i="22"/>
  <c r="V39" i="22"/>
  <c r="W38" i="22"/>
  <c r="V38" i="22"/>
  <c r="W37" i="22"/>
  <c r="V37" i="22"/>
  <c r="W33" i="22"/>
  <c r="W34" i="22"/>
  <c r="V34" i="22"/>
  <c r="V33" i="22"/>
  <c r="T50" i="22"/>
  <c r="T49" i="22"/>
  <c r="P50" i="22"/>
  <c r="P49" i="22"/>
  <c r="T44" i="22"/>
  <c r="T43" i="22"/>
  <c r="P44" i="22"/>
  <c r="P43" i="22"/>
  <c r="S45" i="22"/>
  <c r="R45" i="22"/>
  <c r="O45" i="22"/>
  <c r="N45" i="22"/>
  <c r="T40" i="22"/>
  <c r="T39" i="22"/>
  <c r="T38" i="22"/>
  <c r="T37" i="22"/>
  <c r="P40" i="22"/>
  <c r="P39" i="22"/>
  <c r="P38" i="22"/>
  <c r="P37" i="22"/>
  <c r="S41" i="22"/>
  <c r="R41" i="22"/>
  <c r="O41" i="22"/>
  <c r="N41" i="22"/>
  <c r="T34" i="22"/>
  <c r="T33" i="22"/>
  <c r="S35" i="22"/>
  <c r="R35" i="22"/>
  <c r="O35" i="22"/>
  <c r="N35" i="22"/>
  <c r="P34" i="22"/>
  <c r="P33" i="22"/>
  <c r="E47" i="22"/>
  <c r="F37" i="23" l="1"/>
  <c r="F39" i="23" s="1"/>
  <c r="F19" i="23" s="1"/>
  <c r="F25" i="23" s="1"/>
  <c r="X116" i="22"/>
  <c r="X121" i="22" s="1"/>
  <c r="X39" i="22"/>
  <c r="X139" i="22"/>
  <c r="X144" i="22" s="1"/>
  <c r="X93" i="22"/>
  <c r="X98" i="22" s="1"/>
  <c r="X70" i="22"/>
  <c r="X75" i="22" s="1"/>
  <c r="X40" i="22"/>
  <c r="X37" i="22"/>
  <c r="X50" i="22"/>
  <c r="T35" i="22"/>
  <c r="X44" i="22"/>
  <c r="V45" i="22"/>
  <c r="F13" i="23"/>
  <c r="F26" i="23" s="1"/>
  <c r="F28" i="23" s="1"/>
  <c r="X43" i="22"/>
  <c r="W45" i="22"/>
  <c r="T41" i="22"/>
  <c r="X38" i="22"/>
  <c r="P35" i="22"/>
  <c r="P41" i="22"/>
  <c r="V35" i="22"/>
  <c r="W41" i="22"/>
  <c r="W35" i="22"/>
  <c r="V41" i="22"/>
  <c r="X49" i="22"/>
  <c r="X33" i="22"/>
  <c r="X34" i="22"/>
  <c r="S47" i="22"/>
  <c r="S52" i="22" s="1"/>
  <c r="P45" i="22"/>
  <c r="T45" i="22"/>
  <c r="R47" i="22"/>
  <c r="R52" i="22" s="1"/>
  <c r="O47" i="22"/>
  <c r="O52" i="22" s="1"/>
  <c r="N47" i="22"/>
  <c r="N52" i="22" s="1"/>
  <c r="E52" i="22"/>
  <c r="E27" i="22"/>
  <c r="E25" i="22"/>
  <c r="E24" i="22"/>
  <c r="M22" i="21"/>
  <c r="E43" i="21"/>
  <c r="E27" i="21"/>
  <c r="E25" i="21"/>
  <c r="E24" i="21"/>
  <c r="E18" i="21"/>
  <c r="E12" i="21"/>
  <c r="M10" i="21"/>
  <c r="L10" i="21"/>
  <c r="K10" i="21"/>
  <c r="J10" i="21"/>
  <c r="F34" i="21" l="1"/>
  <c r="F35" i="21"/>
  <c r="F36" i="21"/>
  <c r="F37" i="21"/>
  <c r="F38" i="21" s="1"/>
  <c r="F43" i="21" s="1"/>
  <c r="F32" i="21"/>
  <c r="F33" i="21"/>
  <c r="F159" i="22"/>
  <c r="F155" i="22"/>
  <c r="F18" i="22" s="1"/>
  <c r="F24" i="22" s="1"/>
  <c r="F151" i="22"/>
  <c r="F12" i="22" s="1"/>
  <c r="F25" i="22" s="1"/>
  <c r="F27" i="22" s="1"/>
  <c r="F150" i="22"/>
  <c r="F154" i="22"/>
  <c r="M149" i="22"/>
  <c r="M153" i="22"/>
  <c r="X41" i="22"/>
  <c r="F158" i="22"/>
  <c r="T47" i="22"/>
  <c r="T52" i="22" s="1"/>
  <c r="X45" i="22"/>
  <c r="W47" i="22"/>
  <c r="W52" i="22" s="1"/>
  <c r="X35" i="22"/>
  <c r="P47" i="22"/>
  <c r="P52" i="22" s="1"/>
  <c r="T35" i="21"/>
  <c r="T37" i="21"/>
  <c r="V47" i="22"/>
  <c r="V52" i="22" s="1"/>
  <c r="T32" i="21"/>
  <c r="S38" i="21"/>
  <c r="S43" i="21" s="1"/>
  <c r="T36" i="21"/>
  <c r="T34" i="21"/>
  <c r="T33" i="21"/>
  <c r="P38" i="21"/>
  <c r="P43" i="21" s="1"/>
  <c r="Q38" i="21"/>
  <c r="Q43" i="21" s="1"/>
  <c r="R38" i="21"/>
  <c r="R43" i="21" s="1"/>
  <c r="M38" i="21"/>
  <c r="M43" i="21" s="1"/>
  <c r="M12" i="21" s="1"/>
  <c r="O38" i="21"/>
  <c r="O43" i="21" s="1"/>
  <c r="F18" i="21" l="1"/>
  <c r="F25" i="21" s="1"/>
  <c r="F27" i="21" s="1"/>
  <c r="F12" i="21"/>
  <c r="F24" i="21" s="1"/>
  <c r="M157" i="22"/>
  <c r="X47" i="22"/>
  <c r="X52" i="22" s="1"/>
  <c r="T43" i="21"/>
  <c r="M18" i="21" s="1" a="1"/>
  <c r="M18" i="21" s="1"/>
  <c r="T38" i="21"/>
  <c r="M24" i="21"/>
  <c r="M25" i="21" l="1"/>
  <c r="M27" i="21" s="1"/>
  <c r="M13" i="25" s="1"/>
  <c r="Q47" i="17" l="1"/>
  <c r="P47" i="17"/>
  <c r="O47" i="17"/>
  <c r="N47" i="17"/>
  <c r="E18" i="11"/>
  <c r="F47" i="17"/>
  <c r="F46" i="14"/>
  <c r="M10" i="14"/>
  <c r="C46" i="14"/>
  <c r="M46" i="14" s="1"/>
  <c r="Q46" i="14"/>
  <c r="F8" i="14"/>
  <c r="F47" i="14" s="1"/>
  <c r="E47" i="14"/>
  <c r="E46" i="14"/>
  <c r="C47" i="14"/>
  <c r="E41" i="14"/>
  <c r="E40" i="14"/>
  <c r="E39" i="14"/>
  <c r="S47" i="17"/>
  <c r="R47" i="17"/>
  <c r="E47" i="20"/>
  <c r="F47" i="20"/>
  <c r="F50" i="20"/>
  <c r="E51" i="20"/>
  <c r="E50" i="20"/>
  <c r="E29" i="20"/>
  <c r="E27" i="20"/>
  <c r="E26" i="20"/>
  <c r="N24" i="20"/>
  <c r="M24" i="20"/>
  <c r="L24" i="20"/>
  <c r="K24" i="20"/>
  <c r="J24" i="20"/>
  <c r="E20" i="20"/>
  <c r="C20" i="20"/>
  <c r="E19" i="20"/>
  <c r="N17" i="20"/>
  <c r="M17" i="20"/>
  <c r="L17" i="20"/>
  <c r="K17" i="20"/>
  <c r="J17" i="20"/>
  <c r="E13" i="20"/>
  <c r="C13" i="20"/>
  <c r="E12" i="20"/>
  <c r="S10" i="20"/>
  <c r="R10" i="20"/>
  <c r="Q10" i="20"/>
  <c r="P10" i="20"/>
  <c r="O10" i="20"/>
  <c r="N10" i="20"/>
  <c r="M10" i="20"/>
  <c r="L10" i="20"/>
  <c r="K10" i="20"/>
  <c r="J10" i="20"/>
  <c r="F8" i="20"/>
  <c r="F36" i="17"/>
  <c r="C20" i="17"/>
  <c r="E48" i="17"/>
  <c r="E47" i="17"/>
  <c r="R36" i="17"/>
  <c r="E36" i="17"/>
  <c r="E35" i="17"/>
  <c r="Q36" i="17"/>
  <c r="P36" i="17"/>
  <c r="N36" i="17"/>
  <c r="E34" i="17"/>
  <c r="E29" i="17"/>
  <c r="E27" i="17"/>
  <c r="E26" i="17"/>
  <c r="N24" i="17"/>
  <c r="M24" i="17"/>
  <c r="L24" i="17"/>
  <c r="K24" i="17"/>
  <c r="J24" i="17"/>
  <c r="E20" i="17"/>
  <c r="E19" i="17"/>
  <c r="N17" i="17"/>
  <c r="M17" i="17"/>
  <c r="L17" i="17"/>
  <c r="K17" i="17"/>
  <c r="J17" i="17"/>
  <c r="E13" i="17"/>
  <c r="E12" i="17"/>
  <c r="S10" i="17"/>
  <c r="R10" i="17"/>
  <c r="Q10" i="17"/>
  <c r="P10" i="17"/>
  <c r="O10" i="17"/>
  <c r="N10" i="17"/>
  <c r="M10" i="17"/>
  <c r="L10" i="17"/>
  <c r="K10" i="17"/>
  <c r="J10" i="17"/>
  <c r="F8" i="17"/>
  <c r="F13" i="17" s="1"/>
  <c r="F27" i="17" s="1"/>
  <c r="F29" i="17" s="1"/>
  <c r="S36" i="17"/>
  <c r="O36" i="17"/>
  <c r="O58" i="13"/>
  <c r="S78" i="6"/>
  <c r="R78" i="6"/>
  <c r="Q78" i="6"/>
  <c r="P78" i="6"/>
  <c r="O78" i="6"/>
  <c r="N78" i="6"/>
  <c r="F53" i="6"/>
  <c r="F100" i="6" s="1"/>
  <c r="F123" i="6" s="1"/>
  <c r="F128" i="6" s="1"/>
  <c r="F130" i="6" s="1"/>
  <c r="L85" i="6"/>
  <c r="M85" i="6"/>
  <c r="N85" i="6"/>
  <c r="O85" i="6"/>
  <c r="P85" i="6"/>
  <c r="Q85" i="6"/>
  <c r="R85" i="6"/>
  <c r="S85" i="6"/>
  <c r="L87" i="6"/>
  <c r="M87" i="6"/>
  <c r="N87" i="6"/>
  <c r="O87" i="6"/>
  <c r="P87" i="6"/>
  <c r="Q87" i="6"/>
  <c r="R87" i="6"/>
  <c r="S87" i="6"/>
  <c r="L88" i="6"/>
  <c r="M88" i="6"/>
  <c r="N88" i="6"/>
  <c r="O88" i="6"/>
  <c r="P88" i="6"/>
  <c r="Q88" i="6"/>
  <c r="R88" i="6"/>
  <c r="S88" i="6"/>
  <c r="L89" i="6"/>
  <c r="M89" i="6"/>
  <c r="N89" i="6"/>
  <c r="O89" i="6"/>
  <c r="P89" i="6"/>
  <c r="Q89" i="6"/>
  <c r="R89" i="6"/>
  <c r="S89" i="6"/>
  <c r="F82" i="6"/>
  <c r="F83" i="6"/>
  <c r="F84" i="6"/>
  <c r="F107" i="6" s="1"/>
  <c r="F85" i="6"/>
  <c r="F108" i="6" s="1"/>
  <c r="F86" i="6"/>
  <c r="F109" i="6" s="1"/>
  <c r="F87" i="6"/>
  <c r="F88" i="6"/>
  <c r="F89" i="6"/>
  <c r="F90" i="6"/>
  <c r="F91" i="6"/>
  <c r="F92" i="6"/>
  <c r="F93" i="6"/>
  <c r="F94" i="6"/>
  <c r="F95" i="6"/>
  <c r="F96" i="6"/>
  <c r="F119" i="6" s="1"/>
  <c r="F97" i="6"/>
  <c r="F120" i="6" s="1"/>
  <c r="F98" i="6"/>
  <c r="F121" i="6" s="1"/>
  <c r="F81" i="6"/>
  <c r="E116" i="6"/>
  <c r="E117" i="6"/>
  <c r="E118" i="6"/>
  <c r="E119" i="6"/>
  <c r="E120" i="6"/>
  <c r="E121" i="6"/>
  <c r="F116" i="6"/>
  <c r="F117" i="6"/>
  <c r="F118" i="6"/>
  <c r="E65" i="13"/>
  <c r="E64" i="13"/>
  <c r="F64" i="13"/>
  <c r="F39" i="12"/>
  <c r="E42" i="12"/>
  <c r="F41" i="12"/>
  <c r="E41" i="12"/>
  <c r="G82" i="8"/>
  <c r="E123" i="6"/>
  <c r="E131" i="6"/>
  <c r="E130" i="6"/>
  <c r="F122" i="6"/>
  <c r="E122" i="6"/>
  <c r="F115" i="6"/>
  <c r="E115" i="6"/>
  <c r="F114" i="6"/>
  <c r="E114" i="6"/>
  <c r="F113" i="6"/>
  <c r="E113" i="6"/>
  <c r="F112" i="6"/>
  <c r="E112" i="6"/>
  <c r="F111" i="6"/>
  <c r="E111" i="6"/>
  <c r="F110" i="6"/>
  <c r="E110" i="6"/>
  <c r="E109" i="6"/>
  <c r="E108" i="6"/>
  <c r="E107" i="6"/>
  <c r="F106" i="6"/>
  <c r="E106" i="6"/>
  <c r="F105" i="6"/>
  <c r="E105" i="6"/>
  <c r="E104" i="6"/>
  <c r="E128" i="6"/>
  <c r="F104" i="6"/>
  <c r="E29" i="15"/>
  <c r="E26" i="15"/>
  <c r="E27" i="15"/>
  <c r="N24" i="15"/>
  <c r="M24" i="15"/>
  <c r="L24" i="15"/>
  <c r="K24" i="15"/>
  <c r="J24" i="15"/>
  <c r="E20" i="15"/>
  <c r="C20" i="15"/>
  <c r="E19" i="15"/>
  <c r="N17" i="15"/>
  <c r="M17" i="15"/>
  <c r="L17" i="15"/>
  <c r="K17" i="15"/>
  <c r="J17" i="15"/>
  <c r="E13" i="15"/>
  <c r="C13" i="15"/>
  <c r="E12" i="15"/>
  <c r="S10" i="15"/>
  <c r="R10" i="15"/>
  <c r="Q10" i="15"/>
  <c r="P10" i="15"/>
  <c r="O10" i="15"/>
  <c r="N10" i="15"/>
  <c r="M10" i="15"/>
  <c r="L10" i="15"/>
  <c r="K10" i="15"/>
  <c r="J10" i="15"/>
  <c r="F8" i="15"/>
  <c r="F13" i="15" s="1"/>
  <c r="F27" i="15" s="1"/>
  <c r="F29" i="15" s="1"/>
  <c r="E29" i="14"/>
  <c r="E26" i="14"/>
  <c r="E27" i="14"/>
  <c r="N24" i="14"/>
  <c r="M24" i="14"/>
  <c r="L24" i="14"/>
  <c r="K24" i="14"/>
  <c r="J24" i="14"/>
  <c r="E20" i="14"/>
  <c r="C20" i="14"/>
  <c r="E19" i="14"/>
  <c r="N17" i="14"/>
  <c r="M17" i="14"/>
  <c r="L17" i="14"/>
  <c r="K17" i="14"/>
  <c r="J17" i="14"/>
  <c r="E13" i="14"/>
  <c r="C13" i="14"/>
  <c r="E12" i="14"/>
  <c r="S10" i="14"/>
  <c r="R10" i="14"/>
  <c r="Q10" i="14"/>
  <c r="P10" i="14"/>
  <c r="O10" i="14"/>
  <c r="N10" i="14"/>
  <c r="L10" i="14"/>
  <c r="K10" i="14"/>
  <c r="J10" i="14"/>
  <c r="E29" i="13"/>
  <c r="E26" i="13"/>
  <c r="E27" i="13"/>
  <c r="N24" i="13"/>
  <c r="M24" i="13"/>
  <c r="L24" i="13"/>
  <c r="K24" i="13"/>
  <c r="J24" i="13"/>
  <c r="E20" i="13"/>
  <c r="C20" i="13"/>
  <c r="E19" i="13"/>
  <c r="N17" i="13"/>
  <c r="M17" i="13"/>
  <c r="L17" i="13"/>
  <c r="K17" i="13"/>
  <c r="J17" i="13"/>
  <c r="E13" i="13"/>
  <c r="C13" i="13"/>
  <c r="E12" i="13"/>
  <c r="S10" i="13"/>
  <c r="R10" i="13"/>
  <c r="Q10" i="13"/>
  <c r="P10" i="13"/>
  <c r="O10" i="13"/>
  <c r="N10" i="13"/>
  <c r="M10" i="13"/>
  <c r="L10" i="13"/>
  <c r="K10" i="13"/>
  <c r="J10" i="13"/>
  <c r="F8" i="13"/>
  <c r="E29" i="12"/>
  <c r="E26" i="12"/>
  <c r="E27" i="12"/>
  <c r="N24" i="12"/>
  <c r="M24" i="12"/>
  <c r="L24" i="12"/>
  <c r="K24" i="12"/>
  <c r="J24" i="12"/>
  <c r="E20" i="12"/>
  <c r="C20" i="12"/>
  <c r="E19" i="12"/>
  <c r="N17" i="12"/>
  <c r="M17" i="12"/>
  <c r="L17" i="12"/>
  <c r="K17" i="12"/>
  <c r="J17" i="12"/>
  <c r="E13" i="12"/>
  <c r="C13" i="12"/>
  <c r="E12" i="12"/>
  <c r="S10" i="12"/>
  <c r="R10" i="12"/>
  <c r="Q10" i="12"/>
  <c r="P10" i="12"/>
  <c r="O10" i="12"/>
  <c r="N10" i="12"/>
  <c r="M10" i="12"/>
  <c r="L10" i="12"/>
  <c r="K10" i="12"/>
  <c r="J10" i="12"/>
  <c r="F8" i="12"/>
  <c r="F20" i="12" s="1"/>
  <c r="F26" i="12" s="1"/>
  <c r="F8" i="11"/>
  <c r="S4" i="11"/>
  <c r="S11" i="11" s="1"/>
  <c r="R4" i="11"/>
  <c r="R11" i="11" s="1"/>
  <c r="Q4" i="11"/>
  <c r="Q11" i="11" s="1"/>
  <c r="P4" i="11"/>
  <c r="P11" i="11" s="1"/>
  <c r="O4" i="11"/>
  <c r="O11" i="11" s="1"/>
  <c r="N4" i="11"/>
  <c r="N11" i="11" s="1"/>
  <c r="M4" i="11"/>
  <c r="M11" i="11" s="1"/>
  <c r="L4" i="11"/>
  <c r="L11" i="11" s="1"/>
  <c r="K4" i="11"/>
  <c r="K11" i="11" s="1"/>
  <c r="J4" i="11"/>
  <c r="J11" i="11" s="1"/>
  <c r="E17" i="11"/>
  <c r="E16" i="11"/>
  <c r="E15" i="11"/>
  <c r="E19" i="11"/>
  <c r="E14" i="11"/>
  <c r="E13" i="11"/>
  <c r="C20" i="6"/>
  <c r="E27" i="6"/>
  <c r="G84" i="8"/>
  <c r="G83" i="8"/>
  <c r="H76" i="8"/>
  <c r="H75" i="8"/>
  <c r="H74" i="8"/>
  <c r="H73" i="8"/>
  <c r="H72" i="8"/>
  <c r="H71" i="8"/>
  <c r="H70" i="8"/>
  <c r="H69" i="8"/>
  <c r="H68" i="8"/>
  <c r="G76" i="8"/>
  <c r="G75" i="8"/>
  <c r="G74" i="8"/>
  <c r="G73" i="8"/>
  <c r="G72" i="8"/>
  <c r="G71" i="8"/>
  <c r="G70" i="8"/>
  <c r="G69" i="8"/>
  <c r="G68" i="8"/>
  <c r="G67" i="8"/>
  <c r="H67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41" i="8"/>
  <c r="C64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C40" i="8"/>
  <c r="C24" i="8"/>
  <c r="C9" i="8"/>
  <c r="F8" i="6"/>
  <c r="F131" i="6" s="1"/>
  <c r="N24" i="6"/>
  <c r="M24" i="6"/>
  <c r="L24" i="6"/>
  <c r="K24" i="6"/>
  <c r="J24" i="6"/>
  <c r="N17" i="6"/>
  <c r="M17" i="6"/>
  <c r="L17" i="6"/>
  <c r="K17" i="6"/>
  <c r="J17" i="6"/>
  <c r="E26" i="6"/>
  <c r="E20" i="6"/>
  <c r="E19" i="6"/>
  <c r="E13" i="6"/>
  <c r="E12" i="6"/>
  <c r="E29" i="6"/>
  <c r="C13" i="6"/>
  <c r="R10" i="6"/>
  <c r="Q10" i="6"/>
  <c r="O10" i="6"/>
  <c r="L10" i="6"/>
  <c r="J10" i="6"/>
  <c r="S10" i="6"/>
  <c r="T4" i="4"/>
  <c r="T14" i="4" s="1"/>
  <c r="S4" i="4"/>
  <c r="S10" i="4" s="1"/>
  <c r="R4" i="4"/>
  <c r="R14" i="4" s="1"/>
  <c r="Q4" i="4"/>
  <c r="Q10" i="4" s="1"/>
  <c r="P4" i="4"/>
  <c r="P29" i="4" s="1"/>
  <c r="O4" i="4"/>
  <c r="O10" i="4" s="1"/>
  <c r="N4" i="4"/>
  <c r="N10" i="4" s="1"/>
  <c r="M4" i="4"/>
  <c r="M29" i="4" s="1"/>
  <c r="L4" i="4"/>
  <c r="L14" i="4" s="1"/>
  <c r="K4" i="4"/>
  <c r="K14" i="4" s="1"/>
  <c r="J4" i="4"/>
  <c r="K10" i="6"/>
  <c r="M10" i="6"/>
  <c r="P10" i="6"/>
  <c r="F13" i="6"/>
  <c r="F27" i="6" s="1"/>
  <c r="F29" i="6" s="1"/>
  <c r="F13" i="11" l="1"/>
  <c r="F17" i="11"/>
  <c r="F14" i="11"/>
  <c r="F15" i="11"/>
  <c r="F18" i="11"/>
  <c r="F16" i="11"/>
  <c r="F19" i="11"/>
  <c r="C31" i="4" a="1"/>
  <c r="O46" i="14"/>
  <c r="S19" i="17"/>
  <c r="C16" i="4" a="1"/>
  <c r="F20" i="14"/>
  <c r="F26" i="14" s="1"/>
  <c r="F13" i="14"/>
  <c r="F27" i="14" s="1"/>
  <c r="F29" i="14" s="1"/>
  <c r="S46" i="14"/>
  <c r="S19" i="14" s="1"/>
  <c r="R46" i="14"/>
  <c r="R19" i="14" s="1"/>
  <c r="P46" i="14"/>
  <c r="P19" i="14" s="1"/>
  <c r="Q19" i="14"/>
  <c r="M12" i="14"/>
  <c r="N46" i="14"/>
  <c r="O19" i="14"/>
  <c r="J10" i="4"/>
  <c r="J12" i="4" s="1"/>
  <c r="R19" i="17"/>
  <c r="O19" i="17"/>
  <c r="Q19" i="17"/>
  <c r="S64" i="13"/>
  <c r="R64" i="13"/>
  <c r="Q64" i="13"/>
  <c r="P64" i="13"/>
  <c r="O64" i="13"/>
  <c r="P39" i="12"/>
  <c r="P41" i="12" s="1"/>
  <c r="O29" i="4"/>
  <c r="O14" i="4"/>
  <c r="N14" i="4"/>
  <c r="N29" i="4"/>
  <c r="F13" i="13"/>
  <c r="F27" i="13" s="1"/>
  <c r="F29" i="13" s="1"/>
  <c r="P10" i="4"/>
  <c r="M14" i="4"/>
  <c r="F48" i="17"/>
  <c r="P14" i="4"/>
  <c r="R29" i="4"/>
  <c r="F20" i="6"/>
  <c r="F26" i="6" s="1"/>
  <c r="R10" i="4"/>
  <c r="Q14" i="4"/>
  <c r="Q29" i="4"/>
  <c r="T10" i="4"/>
  <c r="T29" i="4"/>
  <c r="S14" i="4"/>
  <c r="S29" i="4"/>
  <c r="F13" i="20"/>
  <c r="F27" i="20" s="1"/>
  <c r="F29" i="20" s="1"/>
  <c r="F20" i="15"/>
  <c r="F26" i="15" s="1"/>
  <c r="F51" i="20"/>
  <c r="F20" i="17"/>
  <c r="F26" i="17" s="1"/>
  <c r="F13" i="12"/>
  <c r="F27" i="12" s="1"/>
  <c r="F29" i="12" s="1"/>
  <c r="L29" i="4"/>
  <c r="L10" i="4"/>
  <c r="L12" i="4" s="1"/>
  <c r="F20" i="20"/>
  <c r="F26" i="20" s="1"/>
  <c r="M10" i="4"/>
  <c r="M12" i="4" s="1"/>
  <c r="K10" i="4"/>
  <c r="K12" i="4" s="1"/>
  <c r="K29" i="4"/>
  <c r="J14" i="4"/>
  <c r="F20" i="13"/>
  <c r="F26" i="13" s="1"/>
  <c r="F42" i="12"/>
  <c r="J29" i="4"/>
  <c r="F65" i="13"/>
  <c r="S39" i="12"/>
  <c r="S41" i="12" s="1"/>
  <c r="S19" i="12" s="1"/>
  <c r="R39" i="12"/>
  <c r="R41" i="12" s="1"/>
  <c r="R19" i="12" s="1"/>
  <c r="Q39" i="12"/>
  <c r="Q41" i="12" s="1"/>
  <c r="Q19" i="12" s="1"/>
  <c r="O47" i="20"/>
  <c r="O50" i="20" s="1"/>
  <c r="R47" i="20"/>
  <c r="R50" i="20" s="1"/>
  <c r="M47" i="17"/>
  <c r="M36" i="17"/>
  <c r="O39" i="12"/>
  <c r="O41" i="12" s="1"/>
  <c r="O19" i="12" s="1"/>
  <c r="Q47" i="20"/>
  <c r="Q50" i="20" s="1"/>
  <c r="P19" i="12"/>
  <c r="S47" i="20"/>
  <c r="S50" i="20" s="1"/>
  <c r="P19" i="17"/>
  <c r="P47" i="20"/>
  <c r="P50" i="20" s="1"/>
  <c r="C31" i="4" l="1"/>
  <c r="C42" i="4"/>
  <c r="C33" i="4"/>
  <c r="C32" i="4"/>
  <c r="C34" i="4"/>
  <c r="C36" i="4"/>
  <c r="C41" i="4"/>
  <c r="C40" i="4"/>
  <c r="C39" i="4"/>
  <c r="C38" i="4"/>
  <c r="C37" i="4"/>
  <c r="C35" i="4"/>
  <c r="L20" i="4"/>
  <c r="K20" i="4" s="1"/>
  <c r="J20" i="4" s="1"/>
  <c r="I20" i="4" s="1"/>
  <c r="L18" i="4"/>
  <c r="M18" i="4" s="1"/>
  <c r="C16" i="4"/>
  <c r="C26" i="4"/>
  <c r="S26" i="4" s="1"/>
  <c r="C27" i="4"/>
  <c r="T27" i="4" s="1"/>
  <c r="C25" i="4"/>
  <c r="R25" i="4" s="1"/>
  <c r="C24" i="4"/>
  <c r="Q24" i="4" s="1"/>
  <c r="C23" i="4"/>
  <c r="P23" i="4" s="1"/>
  <c r="C22" i="4"/>
  <c r="O22" i="4" s="1"/>
  <c r="C21" i="4"/>
  <c r="N21" i="4" s="1"/>
  <c r="C20" i="4"/>
  <c r="M20" i="4" s="1"/>
  <c r="C19" i="4"/>
  <c r="L19" i="4" s="1"/>
  <c r="C18" i="4"/>
  <c r="K18" i="4" s="1"/>
  <c r="C17" i="4"/>
  <c r="J17" i="4" s="1"/>
  <c r="M12" i="17"/>
  <c r="D38" i="4" l="1"/>
  <c r="E38" i="4"/>
  <c r="E37" i="4"/>
  <c r="D37" i="4"/>
  <c r="K19" i="4"/>
  <c r="J19" i="4" s="1"/>
  <c r="I19" i="4" s="1"/>
  <c r="E40" i="4"/>
  <c r="D40" i="4"/>
  <c r="E41" i="4"/>
  <c r="D41" i="4"/>
  <c r="M19" i="4"/>
  <c r="D39" i="4"/>
  <c r="E39" i="4"/>
  <c r="J18" i="4"/>
  <c r="I18" i="4" s="1"/>
  <c r="E42" i="4"/>
  <c r="D42" i="4"/>
  <c r="K17" i="4"/>
  <c r="L17" i="4" s="1"/>
  <c r="M17" i="4" s="1"/>
  <c r="I17" i="4"/>
  <c r="E22" i="4"/>
  <c r="D22" i="4"/>
  <c r="E23" i="4"/>
  <c r="D23" i="4"/>
  <c r="E24" i="4"/>
  <c r="D24" i="4"/>
  <c r="E25" i="4"/>
  <c r="D25" i="4"/>
  <c r="E26" i="4"/>
  <c r="D26" i="4"/>
  <c r="S128" i="6"/>
  <c r="S130" i="6" s="1"/>
  <c r="S19" i="6" s="1"/>
  <c r="D16" i="4"/>
  <c r="I16" i="4"/>
  <c r="J16" i="4" s="1"/>
  <c r="E16" i="4"/>
  <c r="D31" i="4"/>
  <c r="E31" i="4"/>
  <c r="O128" i="6"/>
  <c r="O130" i="6" s="1"/>
  <c r="O19" i="6" s="1"/>
  <c r="M128" i="6"/>
  <c r="M130" i="6" s="1"/>
  <c r="R128" i="6"/>
  <c r="R130" i="6" s="1"/>
  <c r="R19" i="6" s="1"/>
  <c r="N128" i="6"/>
  <c r="N130" i="6" s="1"/>
  <c r="N12" i="6" s="1"/>
  <c r="Q128" i="6"/>
  <c r="Q130" i="6" s="1"/>
  <c r="Q19" i="6" s="1"/>
  <c r="P128" i="6"/>
  <c r="P130" i="6" s="1"/>
  <c r="P19" i="6"/>
  <c r="I31" i="4" l="1"/>
  <c r="J31" i="4"/>
  <c r="K16" i="4"/>
  <c r="D17" i="4"/>
  <c r="E17" i="4"/>
  <c r="E27" i="4"/>
  <c r="D27" i="4"/>
  <c r="E20" i="4"/>
  <c r="D20" i="4"/>
  <c r="E21" i="4"/>
  <c r="D21" i="4"/>
  <c r="D34" i="4"/>
  <c r="E34" i="4"/>
  <c r="D18" i="4"/>
  <c r="E18" i="4"/>
  <c r="D19" i="4"/>
  <c r="E19" i="4"/>
  <c r="D32" i="4"/>
  <c r="E32" i="4"/>
  <c r="E36" i="4"/>
  <c r="D36" i="4"/>
  <c r="D33" i="4"/>
  <c r="E33" i="4"/>
  <c r="D35" i="4"/>
  <c r="E35" i="4"/>
  <c r="L16" i="4" l="1"/>
  <c r="K31" i="4"/>
  <c r="L31" i="4" l="1"/>
  <c r="M16" i="4"/>
  <c r="M31" i="4" l="1"/>
  <c r="O65" i="13" l="1"/>
  <c r="M13" i="13"/>
  <c r="M13" i="20"/>
  <c r="S20" i="15"/>
  <c r="S26" i="15" s="1"/>
  <c r="R20" i="15"/>
  <c r="R26" i="15" s="1"/>
  <c r="P65" i="13"/>
  <c r="Q20" i="15"/>
  <c r="Q26" i="15" s="1"/>
  <c r="Q65" i="13"/>
  <c r="P20" i="15"/>
  <c r="P26" i="15" s="1"/>
  <c r="R65" i="13"/>
  <c r="O20" i="15"/>
  <c r="O26" i="15" s="1"/>
  <c r="S65" i="13"/>
  <c r="P19" i="13"/>
  <c r="O19" i="13"/>
  <c r="R19" i="13"/>
  <c r="S19" i="13"/>
  <c r="Q19" i="13"/>
  <c r="Q20" i="13" l="1"/>
  <c r="Q26" i="13" s="1"/>
  <c r="S20" i="13"/>
  <c r="S26" i="13" s="1"/>
  <c r="R20" i="13"/>
  <c r="R26" i="13" s="1"/>
  <c r="O20" i="13"/>
  <c r="O26" i="13" s="1"/>
  <c r="P20" i="13"/>
  <c r="P26" i="13" s="1"/>
  <c r="P27" i="13"/>
  <c r="Q27" i="13"/>
  <c r="O27" i="13"/>
  <c r="R27" i="13"/>
  <c r="S27" i="13"/>
  <c r="S27" i="20"/>
  <c r="R27" i="20"/>
  <c r="Q27" i="20"/>
  <c r="P27" i="20"/>
  <c r="O27" i="20"/>
  <c r="P29" i="13" l="1"/>
  <c r="P15" i="11" s="1"/>
  <c r="S29" i="13"/>
  <c r="S15" i="11" s="1"/>
  <c r="Q29" i="13"/>
  <c r="Q15" i="11" s="1"/>
  <c r="R29" i="13"/>
  <c r="R15" i="11" s="1"/>
  <c r="O29" i="13"/>
  <c r="O15" i="11" s="1"/>
  <c r="L34" i="4" l="1"/>
  <c r="M34" i="4" l="1"/>
  <c r="L35" i="4" l="1"/>
  <c r="M35" i="4" l="1"/>
  <c r="K35" i="4" l="1"/>
  <c r="I35" i="4"/>
  <c r="J35" i="4"/>
  <c r="K32" i="4"/>
  <c r="L33" i="4"/>
  <c r="J33" i="4"/>
  <c r="K33" i="4"/>
  <c r="K34" i="4"/>
  <c r="J34" i="4"/>
  <c r="J32" i="4" l="1"/>
  <c r="I32" i="4"/>
  <c r="I33" i="4"/>
  <c r="I34" i="4"/>
  <c r="M33" i="4" l="1"/>
  <c r="L32" i="4"/>
  <c r="M32" i="4" l="1"/>
  <c r="G87" i="26" l="1"/>
  <c r="G88" i="26"/>
  <c r="G90" i="26"/>
  <c r="G86" i="26"/>
  <c r="G98" i="26"/>
  <c r="G85" i="26"/>
  <c r="G96" i="26"/>
  <c r="G91" i="26"/>
  <c r="G92" i="26"/>
  <c r="G93" i="26"/>
  <c r="G89" i="26"/>
  <c r="G94" i="26"/>
  <c r="G97" i="26"/>
  <c r="G83" i="26"/>
  <c r="G84" i="26"/>
  <c r="G95" i="26"/>
  <c r="H72" i="26" l="1"/>
  <c r="I72" i="26" s="1"/>
  <c r="H74" i="26"/>
  <c r="I74" i="26" s="1"/>
  <c r="N12" i="4" l="1"/>
  <c r="H76" i="26"/>
  <c r="H75" i="26" s="1"/>
  <c r="I75" i="26" s="1"/>
  <c r="H78" i="26"/>
  <c r="H73" i="26"/>
  <c r="I73" i="26" s="1"/>
  <c r="H82" i="26" l="1"/>
  <c r="I78" i="26"/>
  <c r="H80" i="26"/>
  <c r="I76" i="26"/>
  <c r="H77" i="26"/>
  <c r="I77" i="26" s="1"/>
  <c r="N18" i="4"/>
  <c r="N19" i="4"/>
  <c r="N16" i="4"/>
  <c r="N20" i="4"/>
  <c r="N36" i="4"/>
  <c r="N17" i="4"/>
  <c r="M21" i="4"/>
  <c r="N32" i="4" l="1"/>
  <c r="N35" i="4"/>
  <c r="N31" i="4"/>
  <c r="H84" i="26"/>
  <c r="I80" i="26"/>
  <c r="H81" i="26"/>
  <c r="N34" i="4"/>
  <c r="N33" i="4"/>
  <c r="H79" i="26"/>
  <c r="V1" i="26"/>
  <c r="O12" i="4"/>
  <c r="O16" i="4" s="1"/>
  <c r="I82" i="26"/>
  <c r="P12" i="4" s="1"/>
  <c r="H86" i="26"/>
  <c r="L21" i="4"/>
  <c r="M36" i="4"/>
  <c r="P16" i="4" l="1"/>
  <c r="O31" i="4"/>
  <c r="I84" i="26"/>
  <c r="H88" i="26"/>
  <c r="I86" i="26"/>
  <c r="Q12" i="4" s="1"/>
  <c r="H90" i="26"/>
  <c r="O23" i="4"/>
  <c r="P22" i="4"/>
  <c r="P38" i="4"/>
  <c r="O21" i="4"/>
  <c r="O37" i="4"/>
  <c r="N22" i="4"/>
  <c r="L36" i="4"/>
  <c r="K21" i="4"/>
  <c r="O20" i="4"/>
  <c r="I79" i="26"/>
  <c r="H83" i="26"/>
  <c r="O19" i="4"/>
  <c r="O18" i="4"/>
  <c r="I81" i="26"/>
  <c r="H85" i="26"/>
  <c r="O17" i="4"/>
  <c r="I90" i="26" l="1"/>
  <c r="R12" i="4" s="1"/>
  <c r="H94" i="26"/>
  <c r="Q23" i="4"/>
  <c r="P24" i="4"/>
  <c r="Q39" i="4"/>
  <c r="J21" i="4"/>
  <c r="K36" i="4"/>
  <c r="I83" i="26"/>
  <c r="H87" i="26"/>
  <c r="I88" i="26"/>
  <c r="H92" i="26"/>
  <c r="N37" i="4"/>
  <c r="M22" i="4"/>
  <c r="I85" i="26"/>
  <c r="H89" i="26"/>
  <c r="P18" i="4"/>
  <c r="O33" i="4"/>
  <c r="N13" i="6"/>
  <c r="N48" i="17"/>
  <c r="N131" i="6"/>
  <c r="P17" i="4"/>
  <c r="O32" i="4"/>
  <c r="P19" i="4"/>
  <c r="O34" i="4"/>
  <c r="P21" i="4"/>
  <c r="O36" i="4"/>
  <c r="P31" i="4"/>
  <c r="Q16" i="4"/>
  <c r="P37" i="4"/>
  <c r="Q22" i="4"/>
  <c r="Q20" i="12"/>
  <c r="Q26" i="12" s="1"/>
  <c r="Q51" i="20"/>
  <c r="Q19" i="20" s="1"/>
  <c r="Q20" i="20" s="1"/>
  <c r="Q26" i="20" s="1"/>
  <c r="Q29" i="20" s="1"/>
  <c r="Q18" i="11" s="1"/>
  <c r="O20" i="12"/>
  <c r="O26" i="12" s="1"/>
  <c r="P51" i="20"/>
  <c r="P19" i="20" s="1"/>
  <c r="P20" i="20" s="1"/>
  <c r="P26" i="20" s="1"/>
  <c r="P29" i="20" s="1"/>
  <c r="P18" i="11" s="1"/>
  <c r="Q47" i="14"/>
  <c r="P20" i="14"/>
  <c r="P26" i="14" s="1"/>
  <c r="O51" i="20"/>
  <c r="O19" i="20" s="1"/>
  <c r="O20" i="20" s="1"/>
  <c r="O26" i="20" s="1"/>
  <c r="O29" i="20" s="1"/>
  <c r="O18" i="11" s="1"/>
  <c r="R20" i="14"/>
  <c r="R26" i="14" s="1"/>
  <c r="O20" i="14"/>
  <c r="O26" i="14" s="1"/>
  <c r="R51" i="20"/>
  <c r="R19" i="20" s="1"/>
  <c r="R20" i="20" s="1"/>
  <c r="R26" i="20" s="1"/>
  <c r="R29" i="20" s="1"/>
  <c r="R18" i="11" s="1"/>
  <c r="S42" i="12"/>
  <c r="S47" i="14"/>
  <c r="P20" i="4"/>
  <c r="S51" i="20"/>
  <c r="S19" i="20" s="1"/>
  <c r="S20" i="20" s="1"/>
  <c r="S26" i="20" s="1"/>
  <c r="S29" i="20" s="1"/>
  <c r="S18" i="11" s="1"/>
  <c r="O35" i="4"/>
  <c r="M13" i="12"/>
  <c r="S20" i="12"/>
  <c r="S26" i="12" s="1"/>
  <c r="P42" i="12"/>
  <c r="M13" i="14"/>
  <c r="Q20" i="14"/>
  <c r="Q26" i="14" s="1"/>
  <c r="S20" i="14"/>
  <c r="S26" i="14" s="1"/>
  <c r="R42" i="12"/>
  <c r="M47" i="14"/>
  <c r="N47" i="14"/>
  <c r="O47" i="14"/>
  <c r="P20" i="12"/>
  <c r="P26" i="12" s="1"/>
  <c r="P47" i="14"/>
  <c r="R20" i="12"/>
  <c r="R26" i="12" s="1"/>
  <c r="O42" i="12"/>
  <c r="R47" i="14"/>
  <c r="Q42" i="12"/>
  <c r="O38" i="4"/>
  <c r="N23" i="4"/>
  <c r="I87" i="26" l="1"/>
  <c r="H91" i="26"/>
  <c r="Q27" i="12"/>
  <c r="Q29" i="12" s="1"/>
  <c r="Q13" i="11" s="1"/>
  <c r="O27" i="12"/>
  <c r="O29" i="12" s="1"/>
  <c r="O13" i="11" s="1"/>
  <c r="S27" i="12"/>
  <c r="S29" i="12" s="1"/>
  <c r="S13" i="11" s="1"/>
  <c r="P27" i="12"/>
  <c r="P29" i="12" s="1"/>
  <c r="P13" i="11" s="1"/>
  <c r="R27" i="12"/>
  <c r="R29" i="12" s="1"/>
  <c r="R13" i="11" s="1"/>
  <c r="I94" i="26"/>
  <c r="S12" i="4" s="1"/>
  <c r="H98" i="26"/>
  <c r="I98" i="26" s="1"/>
  <c r="T12" i="4" s="1"/>
  <c r="M23" i="4"/>
  <c r="N38" i="4"/>
  <c r="I21" i="4"/>
  <c r="I36" i="4" s="1"/>
  <c r="J36" i="4"/>
  <c r="R24" i="4"/>
  <c r="R40" i="4"/>
  <c r="Q25" i="4"/>
  <c r="P33" i="4"/>
  <c r="Q18" i="4"/>
  <c r="Q19" i="4"/>
  <c r="P34" i="4"/>
  <c r="O27" i="6"/>
  <c r="S27" i="6"/>
  <c r="R27" i="6"/>
  <c r="P27" i="6"/>
  <c r="Q27" i="6"/>
  <c r="Q20" i="4"/>
  <c r="P35" i="4"/>
  <c r="Q17" i="4"/>
  <c r="P32" i="4"/>
  <c r="I89" i="26"/>
  <c r="H93" i="26"/>
  <c r="Q37" i="4"/>
  <c r="R22" i="4"/>
  <c r="O48" i="17"/>
  <c r="O20" i="17"/>
  <c r="O26" i="17" s="1"/>
  <c r="O20" i="6"/>
  <c r="O26" i="6" s="1"/>
  <c r="O131" i="6"/>
  <c r="R16" i="4"/>
  <c r="Q31" i="4"/>
  <c r="P39" i="4"/>
  <c r="O24" i="4"/>
  <c r="Q27" i="14"/>
  <c r="Q29" i="14" s="1"/>
  <c r="Q16" i="11" s="1"/>
  <c r="S27" i="14"/>
  <c r="S29" i="14" s="1"/>
  <c r="S16" i="11" s="1"/>
  <c r="P27" i="14"/>
  <c r="P29" i="14" s="1"/>
  <c r="P16" i="11" s="1"/>
  <c r="O27" i="14"/>
  <c r="O29" i="14" s="1"/>
  <c r="O16" i="11" s="1"/>
  <c r="R27" i="14"/>
  <c r="R29" i="14" s="1"/>
  <c r="R16" i="11" s="1"/>
  <c r="L22" i="4"/>
  <c r="M37" i="4"/>
  <c r="I92" i="26"/>
  <c r="H96" i="26"/>
  <c r="I96" i="26" s="1"/>
  <c r="Q38" i="4"/>
  <c r="R23" i="4"/>
  <c r="P36" i="4"/>
  <c r="Q21" i="4"/>
  <c r="M158" i="22"/>
  <c r="M13" i="17"/>
  <c r="M48" i="17"/>
  <c r="M150" i="22"/>
  <c r="M131" i="6"/>
  <c r="M13" i="23"/>
  <c r="M26" i="23" s="1"/>
  <c r="M13" i="15"/>
  <c r="M154" i="22"/>
  <c r="O29" i="6" l="1"/>
  <c r="O14" i="11" s="1"/>
  <c r="T26" i="4"/>
  <c r="T41" i="4" s="1"/>
  <c r="T42" i="4"/>
  <c r="S27" i="4"/>
  <c r="O27" i="17"/>
  <c r="O29" i="17" s="1"/>
  <c r="O19" i="11" s="1"/>
  <c r="S27" i="17"/>
  <c r="R27" i="17"/>
  <c r="P27" i="17"/>
  <c r="Q27" i="17"/>
  <c r="S22" i="4"/>
  <c r="R37" i="4"/>
  <c r="R18" i="4"/>
  <c r="Q33" i="4"/>
  <c r="R26" i="4"/>
  <c r="S41" i="4"/>
  <c r="S25" i="4"/>
  <c r="P20" i="6"/>
  <c r="P26" i="6" s="1"/>
  <c r="P29" i="6" s="1"/>
  <c r="P14" i="11" s="1"/>
  <c r="P48" i="17"/>
  <c r="P131" i="6"/>
  <c r="P20" i="17"/>
  <c r="P26" i="17" s="1"/>
  <c r="L23" i="4"/>
  <c r="M38" i="4"/>
  <c r="R31" i="4"/>
  <c r="S16" i="4"/>
  <c r="S23" i="4"/>
  <c r="R38" i="4"/>
  <c r="R20" i="4"/>
  <c r="Q35" i="4"/>
  <c r="P27" i="15"/>
  <c r="P29" i="15" s="1"/>
  <c r="P17" i="11" s="1"/>
  <c r="Q27" i="15"/>
  <c r="Q29" i="15" s="1"/>
  <c r="Q17" i="11" s="1"/>
  <c r="R27" i="15"/>
  <c r="R29" i="15" s="1"/>
  <c r="R17" i="11" s="1"/>
  <c r="O27" i="15"/>
  <c r="O29" i="15" s="1"/>
  <c r="O17" i="11" s="1"/>
  <c r="S27" i="15"/>
  <c r="S29" i="15" s="1"/>
  <c r="S17" i="11" s="1"/>
  <c r="I93" i="26"/>
  <c r="H97" i="26"/>
  <c r="I97" i="26" s="1"/>
  <c r="P25" i="4"/>
  <c r="Q40" i="4"/>
  <c r="Q36" i="4"/>
  <c r="R21" i="4"/>
  <c r="L158" i="22"/>
  <c r="L37" i="23"/>
  <c r="L154" i="22"/>
  <c r="L150" i="22"/>
  <c r="Q32" i="4"/>
  <c r="R17" i="4"/>
  <c r="R39" i="4"/>
  <c r="S24" i="4"/>
  <c r="L37" i="4"/>
  <c r="K22" i="4"/>
  <c r="N24" i="4"/>
  <c r="O39" i="4"/>
  <c r="R19" i="4"/>
  <c r="Q34" i="4"/>
  <c r="I91" i="26"/>
  <c r="H95" i="26"/>
  <c r="I95" i="26" s="1"/>
  <c r="P29" i="17" l="1"/>
  <c r="P19" i="11" s="1"/>
  <c r="R33" i="4"/>
  <c r="S18" i="4"/>
  <c r="R35" i="4"/>
  <c r="S20" i="4"/>
  <c r="Q131" i="6"/>
  <c r="Q20" i="17"/>
  <c r="Q26" i="17" s="1"/>
  <c r="Q29" i="17" s="1"/>
  <c r="Q19" i="11" s="1"/>
  <c r="Q48" i="17"/>
  <c r="Q20" i="6"/>
  <c r="Q26" i="6" s="1"/>
  <c r="Q29" i="6" s="1"/>
  <c r="Q14" i="11" s="1"/>
  <c r="R32" i="4"/>
  <c r="S17" i="4"/>
  <c r="S37" i="4"/>
  <c r="T22" i="4"/>
  <c r="T37" i="4" s="1"/>
  <c r="Q26" i="4"/>
  <c r="R41" i="4"/>
  <c r="J22" i="4"/>
  <c r="K37" i="4"/>
  <c r="S21" i="4"/>
  <c r="R36" i="4"/>
  <c r="K37" i="23"/>
  <c r="K150" i="22"/>
  <c r="K158" i="22"/>
  <c r="K154" i="22"/>
  <c r="K23" i="4"/>
  <c r="L38" i="4"/>
  <c r="M24" i="4"/>
  <c r="N39" i="4"/>
  <c r="S39" i="4"/>
  <c r="T24" i="4"/>
  <c r="T39" i="4" s="1"/>
  <c r="S31" i="4"/>
  <c r="T16" i="4"/>
  <c r="T31" i="4" s="1"/>
  <c r="T25" i="4"/>
  <c r="T40" i="4" s="1"/>
  <c r="S40" i="4"/>
  <c r="O25" i="4"/>
  <c r="P40" i="4"/>
  <c r="T23" i="4"/>
  <c r="T38" i="4" s="1"/>
  <c r="S38" i="4"/>
  <c r="R34" i="4"/>
  <c r="S19" i="4"/>
  <c r="S42" i="4"/>
  <c r="R27" i="4"/>
  <c r="R20" i="17" l="1"/>
  <c r="R26" i="17" s="1"/>
  <c r="R29" i="17" s="1"/>
  <c r="R19" i="11" s="1"/>
  <c r="R48" i="17"/>
  <c r="R20" i="6"/>
  <c r="R26" i="6" s="1"/>
  <c r="R29" i="6" s="1"/>
  <c r="R14" i="11" s="1"/>
  <c r="R131" i="6"/>
  <c r="J154" i="22"/>
  <c r="J158" i="22"/>
  <c r="J150" i="22"/>
  <c r="J37" i="23"/>
  <c r="I22" i="4"/>
  <c r="I37" i="4" s="1"/>
  <c r="H37" i="23" s="1"/>
  <c r="J37" i="4"/>
  <c r="T18" i="4"/>
  <c r="T33" i="4" s="1"/>
  <c r="S33" i="4"/>
  <c r="T19" i="4"/>
  <c r="T34" i="4" s="1"/>
  <c r="S34" i="4"/>
  <c r="S35" i="4"/>
  <c r="T20" i="4"/>
  <c r="T35" i="4" s="1"/>
  <c r="K38" i="4"/>
  <c r="J23" i="4"/>
  <c r="T21" i="4"/>
  <c r="T36" i="4" s="1"/>
  <c r="S36" i="4"/>
  <c r="S32" i="4"/>
  <c r="T17" i="4"/>
  <c r="T32" i="4" s="1"/>
  <c r="N25" i="4"/>
  <c r="O40" i="4"/>
  <c r="P26" i="4"/>
  <c r="Q41" i="4"/>
  <c r="Q27" i="4"/>
  <c r="R42" i="4"/>
  <c r="L24" i="4"/>
  <c r="M39" i="4"/>
  <c r="S48" i="17"/>
  <c r="S20" i="17"/>
  <c r="S26" i="17" s="1"/>
  <c r="S29" i="17" s="1"/>
  <c r="S19" i="11" s="1"/>
  <c r="S131" i="6"/>
  <c r="S20" i="6"/>
  <c r="S26" i="6" s="1"/>
  <c r="S29" i="6" s="1"/>
  <c r="S14" i="11" s="1"/>
  <c r="P27" i="4" l="1"/>
  <c r="Q42" i="4"/>
  <c r="L39" i="4"/>
  <c r="K24" i="4"/>
  <c r="I37" i="23"/>
  <c r="M39" i="23" s="1"/>
  <c r="M19" i="23" s="1"/>
  <c r="M25" i="23" s="1"/>
  <c r="M28" i="23" s="1"/>
  <c r="M15" i="25" s="1"/>
  <c r="I158" i="22"/>
  <c r="N159" i="22" s="1"/>
  <c r="I154" i="22"/>
  <c r="N155" i="22" s="1"/>
  <c r="M18" i="22" s="1"/>
  <c r="M24" i="22" s="1"/>
  <c r="I150" i="22"/>
  <c r="N151" i="22" s="1"/>
  <c r="M12" i="22" s="1"/>
  <c r="M25" i="22" s="1"/>
  <c r="O26" i="4"/>
  <c r="P41" i="4"/>
  <c r="M25" i="4"/>
  <c r="N40" i="4"/>
  <c r="I23" i="4"/>
  <c r="I38" i="4" s="1"/>
  <c r="J38" i="4"/>
  <c r="M27" i="22" l="1"/>
  <c r="M14" i="25" s="1"/>
  <c r="L25" i="4"/>
  <c r="M40" i="4"/>
  <c r="J24" i="4"/>
  <c r="K39" i="4"/>
  <c r="O27" i="4"/>
  <c r="P42" i="4"/>
  <c r="N26" i="4"/>
  <c r="O41" i="4"/>
  <c r="K25" i="4" l="1"/>
  <c r="L40" i="4"/>
  <c r="I24" i="4"/>
  <c r="I39" i="4" s="1"/>
  <c r="J39" i="4"/>
  <c r="M26" i="4"/>
  <c r="N41" i="4"/>
  <c r="N27" i="4"/>
  <c r="O42" i="4"/>
  <c r="L26" i="4" l="1"/>
  <c r="M41" i="4"/>
  <c r="K40" i="4"/>
  <c r="J25" i="4"/>
  <c r="M27" i="4"/>
  <c r="N42" i="4"/>
  <c r="L27" i="4" l="1"/>
  <c r="M42" i="4"/>
  <c r="L41" i="4"/>
  <c r="K26" i="4"/>
  <c r="I25" i="4"/>
  <c r="I40" i="4" s="1"/>
  <c r="J40" i="4"/>
  <c r="K27" i="4" l="1"/>
  <c r="L42" i="4"/>
  <c r="J26" i="4"/>
  <c r="K41" i="4"/>
  <c r="J27" i="4" l="1"/>
  <c r="K42" i="4"/>
  <c r="I26" i="4"/>
  <c r="I41" i="4" s="1"/>
  <c r="J41" i="4"/>
  <c r="I27" i="4" l="1"/>
  <c r="I42" i="4" s="1"/>
  <c r="J4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<sst xmlns="http://schemas.openxmlformats.org/spreadsheetml/2006/main" count="1615" uniqueCount="384">
  <si>
    <t>Ausgrid Opex step change model</t>
  </si>
  <si>
    <t>Key:</t>
  </si>
  <si>
    <t>Input</t>
  </si>
  <si>
    <t>Internal Link</t>
  </si>
  <si>
    <t>Input | General inputs</t>
  </si>
  <si>
    <t>Inputs</t>
  </si>
  <si>
    <t>Source</t>
  </si>
  <si>
    <t>Value</t>
  </si>
  <si>
    <t>NSP name</t>
  </si>
  <si>
    <t>NSP</t>
  </si>
  <si>
    <t>Ausgrid</t>
  </si>
  <si>
    <t>AER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</si>
  <si>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</si>
  <si>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</si>
  <si>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</si>
  <si>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</si>
  <si>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</si>
  <si>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</si>
  <si>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End</t>
  </si>
  <si>
    <t>Input | General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</si>
  <si>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</si>
  <si>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</si>
  <si>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</si>
  <si>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</si>
  <si>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</si>
  <si>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</si>
  <si>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</si>
  <si>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Input | Inflation</t>
  </si>
  <si>
    <t>Basis</t>
  </si>
  <si>
    <t>Inflation</t>
  </si>
  <si>
    <t>calculated</t>
  </si>
  <si>
    <t>CPI indexes (real to real)</t>
  </si>
  <si>
    <t>CPI indexes (nominal to real)</t>
  </si>
  <si>
    <t>number</t>
  </si>
  <si>
    <t>Per cent</t>
  </si>
  <si>
    <t>Calc | CPI Indexes</t>
  </si>
  <si>
    <t>Input | Estimated base year expenditure</t>
  </si>
  <si>
    <t>$millions</t>
  </si>
  <si>
    <t>Input | Forecast next period</t>
  </si>
  <si>
    <t>Calc | Step change</t>
  </si>
  <si>
    <t>Step change</t>
  </si>
  <si>
    <t>AGD</t>
  </si>
  <si>
    <t>nominal</t>
  </si>
  <si>
    <t>Unit Denominations</t>
  </si>
  <si>
    <t>Ref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</si>
  <si>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</si>
  <si>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</si>
  <si>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</si>
  <si>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</si>
  <si>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</si>
  <si>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</si>
  <si>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</si>
  <si>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</si>
  <si>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</si>
  <si>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</si>
  <si>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</si>
  <si>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</si>
  <si>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</si>
  <si>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</si>
  <si>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</si>
  <si>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</si>
  <si>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</si>
  <si>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</si>
  <si>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</si>
  <si>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</si>
  <si>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</si>
  <si>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</si>
  <si>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</si>
  <si>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</si>
  <si>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</si>
  <si>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</si>
  <si>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</si>
  <si>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</si>
  <si>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</si>
  <si>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</si>
  <si>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</si>
  <si>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</si>
  <si>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</si>
  <si>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</si>
  <si>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</si>
  <si>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</si>
  <si>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</si>
  <si>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</si>
  <si>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</si>
  <si>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</si>
  <si>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</si>
  <si>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Lookup | Tables</t>
  </si>
  <si>
    <t>Base year inputs</t>
  </si>
  <si>
    <t>Nominal dollars</t>
  </si>
  <si>
    <t>Note. The dollar base should be consistent with the post tax revenue model</t>
  </si>
  <si>
    <t>Notes</t>
  </si>
  <si>
    <t>Output | Step Changes</t>
  </si>
  <si>
    <t>Inputs for Opex Model</t>
  </si>
  <si>
    <t>Step Changes</t>
  </si>
  <si>
    <t>Cyber security</t>
  </si>
  <si>
    <t>Insurance premiums</t>
  </si>
  <si>
    <t>Calc | Cyber security</t>
  </si>
  <si>
    <t>Dollar basis of inputs</t>
  </si>
  <si>
    <t>Data | Workings</t>
  </si>
  <si>
    <t>Broker fees</t>
  </si>
  <si>
    <t>Forecast Total Premiums by class of insurance (excl GST)</t>
  </si>
  <si>
    <t>Total nominal</t>
  </si>
  <si>
    <t>Annualised Premiums by class of insurance (excl GST)</t>
  </si>
  <si>
    <t>Line of Business % allocation to SCS</t>
  </si>
  <si>
    <t>Cyber security forecast costs</t>
  </si>
  <si>
    <t>Cyber security opex</t>
  </si>
  <si>
    <t>Total Opex FY25-29</t>
  </si>
  <si>
    <t>Total</t>
  </si>
  <si>
    <t>General Liability (Bushfire) &amp; Professional Indemnity Premium</t>
  </si>
  <si>
    <t>Directors &amp; Officers Liability Premium</t>
  </si>
  <si>
    <t>Industrial Special Risk/Property Premium</t>
  </si>
  <si>
    <t>Cyber Premium</t>
  </si>
  <si>
    <t>NSW Workers Compensation (Self Insured) Premium</t>
  </si>
  <si>
    <t>NSW Workers Compensation (Excess of Loss) Premium</t>
  </si>
  <si>
    <t>PLUS ES NSW Workers Compensation Direct (new) Premium</t>
  </si>
  <si>
    <t>PLUS ES Victorian Workers Compensation Direct (new) Premium</t>
  </si>
  <si>
    <t>Victorian Workers Compensation Direct Premium</t>
  </si>
  <si>
    <t>Motor Vehicle Compulsory Third Party (CTP) Premium</t>
  </si>
  <si>
    <t>Motor Vehicle (including Claims Handling) Premium</t>
  </si>
  <si>
    <t>Crime Premium</t>
  </si>
  <si>
    <t>Corporate Travel Premium</t>
  </si>
  <si>
    <t>Mobile Plant &amp; Equipment Premium</t>
  </si>
  <si>
    <t>Contract Works Material Damage Premium</t>
  </si>
  <si>
    <t>Marine Transit Premium</t>
  </si>
  <si>
    <t>Asbestos Removal Liability Premium</t>
  </si>
  <si>
    <t>Drone Hull &amp; Liability Premium</t>
  </si>
  <si>
    <t>Actual Premiums and Forecast Growth</t>
  </si>
  <si>
    <t>Forecast Growth in Premiums</t>
  </si>
  <si>
    <t>Broker assumption for RAB Growth</t>
  </si>
  <si>
    <t>Apply Broker assumption for RAB Growth?</t>
  </si>
  <si>
    <t>No</t>
  </si>
  <si>
    <t>Assumed increase in Special Risk/Property Premium due to growth</t>
  </si>
  <si>
    <t>Marsh</t>
  </si>
  <si>
    <t>Assumption for Increase in Industrial Special Risk/Property Premium due to growth in RAB</t>
  </si>
  <si>
    <t>Calc | Property Opex</t>
  </si>
  <si>
    <t>Property opex</t>
  </si>
  <si>
    <t>Non-system land</t>
  </si>
  <si>
    <t>Non-system buildings</t>
  </si>
  <si>
    <t>Total property outgoings</t>
  </si>
  <si>
    <t>Property opex allocated to SCS</t>
  </si>
  <si>
    <t>1. Customer Connection Performance &amp; Compliance</t>
  </si>
  <si>
    <t>2a. Customer Connection Assessment/Process</t>
  </si>
  <si>
    <t>2b. Connection maps and modelling</t>
  </si>
  <si>
    <t>2c. Customer education on CER options, benefits</t>
  </si>
  <si>
    <t>3. VPP/DOE Integration (+API, Utility Server)</t>
  </si>
  <si>
    <t>4. Dynamic Pricing</t>
  </si>
  <si>
    <t>5. Billing Engine &amp; basic DNP (prior to ERP upgrades)</t>
  </si>
  <si>
    <t>6. Network Modelling Uplift (Load flow/constraint analysis)</t>
  </si>
  <si>
    <t>7. Multiple Horizon Forecasting (Operational -&gt; DOEs, dynamic prices)</t>
  </si>
  <si>
    <t>8. Hosting services for 1, 3(partial), 4, 5, 6, 7.</t>
  </si>
  <si>
    <t>9. Inter-system integration</t>
  </si>
  <si>
    <t>Ausgrid resourcing (technical/concept development, change management, process improvements)</t>
  </si>
  <si>
    <t>Ausgrid support costs (data cleansing, project management, system administration etc.)</t>
  </si>
  <si>
    <t>Maximum meter take-up</t>
  </si>
  <si>
    <t>Optimised meter take-up</t>
  </si>
  <si>
    <t>Constrained meter take-up</t>
  </si>
  <si>
    <t>Scenario assumed</t>
  </si>
  <si>
    <t>Cyber security forecast opex</t>
  </si>
  <si>
    <t>SaaS implementation opex</t>
  </si>
  <si>
    <t>Assumption for SaaS implementation opex</t>
  </si>
  <si>
    <t>100% Lift and Shift with on-premise integration</t>
  </si>
  <si>
    <t>100% Software as a Service (SaaS)</t>
  </si>
  <si>
    <t>50% SaaS with on-premise integration</t>
  </si>
  <si>
    <t>34% SaaS with on-premise integration</t>
  </si>
  <si>
    <t>25% SaaS with on-premise integration</t>
  </si>
  <si>
    <t>Various</t>
  </si>
  <si>
    <t>Total implementation opex</t>
  </si>
  <si>
    <t>SaaS implementation opex to SCS</t>
  </si>
  <si>
    <t>SaaS opex</t>
  </si>
  <si>
    <t>FY25-FY29 Average</t>
  </si>
  <si>
    <t>Input | Average next period</t>
  </si>
  <si>
    <t>SCS distribution</t>
  </si>
  <si>
    <t>SCS transmission</t>
  </si>
  <si>
    <t>SCS</t>
  </si>
  <si>
    <t>Street lighting</t>
  </si>
  <si>
    <t>Type 5-6 metering</t>
  </si>
  <si>
    <t>ANS metering</t>
  </si>
  <si>
    <t>ANS connections</t>
  </si>
  <si>
    <t>ACS</t>
  </si>
  <si>
    <t>External</t>
  </si>
  <si>
    <t>PLUS ES CSA</t>
  </si>
  <si>
    <t>Unregulated NSP</t>
  </si>
  <si>
    <t>Total NSP</t>
  </si>
  <si>
    <t>PLUS ES</t>
  </si>
  <si>
    <t>Eliminations</t>
  </si>
  <si>
    <t>Total (incl. PLUS ES)</t>
  </si>
  <si>
    <t>Direct</t>
  </si>
  <si>
    <t>Shared</t>
  </si>
  <si>
    <t>FY23 Opex (current CAM)</t>
  </si>
  <si>
    <t>FY23 Opex (based on new CAM)</t>
  </si>
  <si>
    <t>Variance</t>
  </si>
  <si>
    <t>Data | CAM analysis summary</t>
  </si>
  <si>
    <t>Calc | BY Adj SaaS</t>
  </si>
  <si>
    <t xml:space="preserve">Input | Estimated base year expenditure </t>
  </si>
  <si>
    <t>Output | Base Year Adjustments</t>
  </si>
  <si>
    <t>Base Year Adjustments</t>
  </si>
  <si>
    <t>Opex net of storm response opex allowance</t>
  </si>
  <si>
    <t>Data | Historical Nature-induced opex</t>
  </si>
  <si>
    <t>Real time community resilience warnings (Pilot)</t>
  </si>
  <si>
    <t>Real time community resilience warnings (BAU)</t>
  </si>
  <si>
    <t>Research into vulnerability index (Pilot)</t>
  </si>
  <si>
    <t>Research into vulnerability index (BAU)</t>
  </si>
  <si>
    <t>Co-developed community resilience plans (Pilot)</t>
  </si>
  <si>
    <t>Co-developed community resilience plans (BAU)</t>
  </si>
  <si>
    <t>Community Education Campaign (Pilot)</t>
  </si>
  <si>
    <t>Community Education Campaign (BAU)</t>
  </si>
  <si>
    <t>Community Resilience Grants (Pilot)</t>
  </si>
  <si>
    <t>Community Resilience Grants (BAU)</t>
  </si>
  <si>
    <t>Local temporary safety messaging</t>
  </si>
  <si>
    <t>Train ‘surge’ call centre and community liaison workforce</t>
  </si>
  <si>
    <t>Climate Impact Asset Lab Testing</t>
  </si>
  <si>
    <t>Workforce protocols and PPE for extreme heat operations (pilot)</t>
  </si>
  <si>
    <t>Workforce protocols and PPE for extreme heat operations (BAU)</t>
  </si>
  <si>
    <t xml:space="preserve">Climate Impact Assessments </t>
  </si>
  <si>
    <t xml:space="preserve">Strategic Vegetation Management </t>
  </si>
  <si>
    <t>mobile generators/ batteries (including mobile hydrogen unit trials) (BAU)</t>
  </si>
  <si>
    <t>Train surge storm response ‘spotter’ workforce</t>
  </si>
  <si>
    <t>Reactive weather opex/step escalator</t>
  </si>
  <si>
    <t xml:space="preserve">Establish Asset Protection Zones for Substations </t>
  </si>
  <si>
    <t>Program</t>
  </si>
  <si>
    <t>Program Type</t>
  </si>
  <si>
    <t>Community</t>
  </si>
  <si>
    <t>Network</t>
  </si>
  <si>
    <t>FY22 Opex (current CAM)</t>
  </si>
  <si>
    <t>FY22 Opex (based on new CAM)</t>
  </si>
  <si>
    <t>FY23 Opex Budget</t>
  </si>
  <si>
    <t xml:space="preserve">FY22 Actual Opex </t>
  </si>
  <si>
    <t xml:space="preserve">FY21 Actual Opex </t>
  </si>
  <si>
    <t>FY21 Opex (current CAM)</t>
  </si>
  <si>
    <t>FY21 Opex (based on new CAM)</t>
  </si>
  <si>
    <t xml:space="preserve">FY20 Actual Opex </t>
  </si>
  <si>
    <t>FY20 Opex (current CAM)</t>
  </si>
  <si>
    <t>FY20 Opex (based on new CAM)</t>
  </si>
  <si>
    <t>FY19 Opex (current CAM)</t>
  </si>
  <si>
    <t>FY19 Opex (based on new CAM)</t>
  </si>
  <si>
    <t xml:space="preserve">FY19 Actual Opex </t>
  </si>
  <si>
    <t>Opex based on current CAM</t>
  </si>
  <si>
    <t>Opex based on new CAM</t>
  </si>
  <si>
    <t>FY19-FY23 - SCS Opex Variance Summary</t>
  </si>
  <si>
    <t>SCS Opex Variance</t>
  </si>
  <si>
    <t>SCS Opex based on current CAM</t>
  </si>
  <si>
    <t>SCS Opex based on new CAM</t>
  </si>
  <si>
    <t>Average</t>
  </si>
  <si>
    <t>Average annual opex FY19-FY23</t>
  </si>
  <si>
    <t>Average SCS Opex based on current CAM</t>
  </si>
  <si>
    <t>Average SCS Opex based on new CAM</t>
  </si>
  <si>
    <t>Average SCS Opex Variance</t>
  </si>
  <si>
    <t>Less: 2019-20 storm response opex allowance</t>
  </si>
  <si>
    <t>Cyber security opex allocated to SCS</t>
  </si>
  <si>
    <t>Land tax</t>
  </si>
  <si>
    <t>Rates</t>
  </si>
  <si>
    <t>Utilities and maintenance costs</t>
  </si>
  <si>
    <t>Forecast property disposals</t>
  </si>
  <si>
    <t>Back to Index</t>
  </si>
  <si>
    <t>External Link</t>
  </si>
  <si>
    <t>Worksheet check:</t>
  </si>
  <si>
    <t>Overall Check:</t>
  </si>
  <si>
    <t>Forecast annual CPI growth</t>
  </si>
  <si>
    <t>Forecast and actual index value</t>
  </si>
  <si>
    <t>RBA</t>
  </si>
  <si>
    <t>Estimate: RBA, Statement on monetary policy (SoMP), November 2022.</t>
  </si>
  <si>
    <t>Base year opex</t>
  </si>
  <si>
    <t>Forecast period opex</t>
  </si>
  <si>
    <t>Forecast period Cyber security opex</t>
  </si>
  <si>
    <t>Less: Base year Cyber security opex</t>
  </si>
  <si>
    <t>Forecast annual expenditure profile</t>
  </si>
  <si>
    <t>Total DER ICT opex step change</t>
  </si>
  <si>
    <t>Total Climate resilience opex step change</t>
  </si>
  <si>
    <t>Total Cyber security opex step change</t>
  </si>
  <si>
    <t>Total Property disposals opex step change</t>
  </si>
  <si>
    <t>Less: Base year opex for properties forecast for disposal</t>
  </si>
  <si>
    <t>Opex for forecast property disposals</t>
  </si>
  <si>
    <t>Property opex for properties forecast for disposal</t>
  </si>
  <si>
    <t>Property opex after disposal of properties</t>
  </si>
  <si>
    <t>Total Metering data opex step change</t>
  </si>
  <si>
    <t>Add: Difference between Base year and FY25-FY29 Average SaaS opex</t>
  </si>
  <si>
    <t>Input | Estimated expenditure prior to CAM change</t>
  </si>
  <si>
    <t>Input | Estimated expenditure after CAM change</t>
  </si>
  <si>
    <t>Average annual opex based on new CAM</t>
  </si>
  <si>
    <t>Less: Average annual opex based on current CAM</t>
  </si>
  <si>
    <t>Input | Base year expenditure</t>
  </si>
  <si>
    <t>Total Insurance premium opex step change</t>
  </si>
  <si>
    <t>Base year SaaS opex</t>
  </si>
  <si>
    <t>Calc | Base year adjustment</t>
  </si>
  <si>
    <t>Base year adjustment</t>
  </si>
  <si>
    <t xml:space="preserve">FY23 Opex forecast </t>
  </si>
  <si>
    <t xml:space="preserve">SaaS </t>
  </si>
  <si>
    <t>CAM adjustment</t>
  </si>
  <si>
    <t>Calc | BY Adj CAM adjustment</t>
  </si>
  <si>
    <t xml:space="preserve">Total CAM adjustment </t>
  </si>
  <si>
    <t>Total Nature-induced costs</t>
  </si>
  <si>
    <t>Total SaaS adjustment</t>
  </si>
  <si>
    <t>Previous period year -1</t>
  </si>
  <si>
    <t>Index</t>
  </si>
  <si>
    <t>Model index</t>
  </si>
  <si>
    <t>Sheet Description</t>
  </si>
  <si>
    <t>Inputs NSP name, regulatory years for the prior and forecast regulatory control period etc.</t>
  </si>
  <si>
    <t>Inputs inflation data.</t>
  </si>
  <si>
    <t>Includes the lookup tables used within this model.</t>
  </si>
  <si>
    <t>Calculates the opex step change for Insurance premiums from input data.</t>
  </si>
  <si>
    <t>Calculates the opex step change for Cyber security from input data.</t>
  </si>
  <si>
    <t>Calculates the Base year adjustment for SaaS implementation cost from input data.</t>
  </si>
  <si>
    <t>Calculates the Base year adjustment for CAM change from input data.</t>
  </si>
  <si>
    <t>Input|General</t>
  </si>
  <si>
    <t>Input|Inflation</t>
  </si>
  <si>
    <t>Calc|CPI Indexes</t>
  </si>
  <si>
    <t>Calculates CPI escalation indexes based on inflation data.</t>
  </si>
  <si>
    <t>Calc|Cyber security</t>
  </si>
  <si>
    <t>Calc|BY Adj SaaS</t>
  </si>
  <si>
    <t>Output|Step Changes</t>
  </si>
  <si>
    <t>Output|Base Year Adjustments</t>
  </si>
  <si>
    <t>Outputs the forecast needed as opex step changes in the Opex Model.</t>
  </si>
  <si>
    <t>Outputs the forecast needed as Base year adjustments to opex in the Opex Model.</t>
  </si>
  <si>
    <t>Lookup|Tables</t>
  </si>
  <si>
    <t>Ausgrid Opex step changes model</t>
  </si>
  <si>
    <t>Mobile community liaison centers (pilot)</t>
  </si>
  <si>
    <t>Mobile community liaison centers (BAU)</t>
  </si>
  <si>
    <t>Standards, processes, supply chain management to facilitate 'build back smarter'</t>
  </si>
  <si>
    <t>FY25-FY29 forecast for regulatory inflation</t>
  </si>
  <si>
    <t>Community resilience</t>
  </si>
  <si>
    <t>Smart meter data</t>
  </si>
  <si>
    <t>Network innovation program</t>
  </si>
  <si>
    <t>Property</t>
  </si>
  <si>
    <t>ICT enablement for CER integration</t>
  </si>
  <si>
    <t>Forecast period Insurance premiums</t>
  </si>
  <si>
    <t>Less: Base year Insurance premiums</t>
  </si>
  <si>
    <t>Insurance Premiums allocation to SCS</t>
  </si>
  <si>
    <t>Forecast period Community resilience opex</t>
  </si>
  <si>
    <t>Less: Base year Community resilience opex</t>
  </si>
  <si>
    <t>Community resilience annual opex step change</t>
  </si>
  <si>
    <t>Community resilience opex step change</t>
  </si>
  <si>
    <t>Forecast period Smart meter data opex</t>
  </si>
  <si>
    <t>Less: Base year Smart meter data opex</t>
  </si>
  <si>
    <t>Forecast Number of Meters by Smart meter data scenario</t>
  </si>
  <si>
    <t>Forecast Opex by Smart meter data scenario</t>
  </si>
  <si>
    <t xml:space="preserve">Forecast Opex for Smart meter data </t>
  </si>
  <si>
    <t>Calc |Smart meter data</t>
  </si>
  <si>
    <t>Calc |Community resilience</t>
  </si>
  <si>
    <t>Calc | Insurance premiums</t>
  </si>
  <si>
    <t>Calc |Network innovation program</t>
  </si>
  <si>
    <t>Forecast period Network innovation program opex</t>
  </si>
  <si>
    <t>Less: Base year Network innovation program opex</t>
  </si>
  <si>
    <t>Total Network innovation program opex step change</t>
  </si>
  <si>
    <t>Calc |ICT enablement for CER integration</t>
  </si>
  <si>
    <t>ICT enablement for CER integration opex</t>
  </si>
  <si>
    <t>Forecast period ICT enablement for CER integration opex</t>
  </si>
  <si>
    <t>Less: Base year ICT enablement for CER integration opex</t>
  </si>
  <si>
    <t>Forecast for ICT enablement for CER integration opex step change</t>
  </si>
  <si>
    <t>ICT enablement for CER integration opex step changes</t>
  </si>
  <si>
    <t>ICT enablement for CER integration opex step change</t>
  </si>
  <si>
    <t>Calc | BY Adj Nature induced costs</t>
  </si>
  <si>
    <t>Base Year Nature induced costs</t>
  </si>
  <si>
    <t>Historical 5-year average Nature induced costs</t>
  </si>
  <si>
    <t>Historical annual average Nature induced costs</t>
  </si>
  <si>
    <t>Less: Base Year Nature induced costs</t>
  </si>
  <si>
    <t>Annual Nature induced costs</t>
  </si>
  <si>
    <t>Actual nature induced opex</t>
  </si>
  <si>
    <t>Average nature-induced costs</t>
  </si>
  <si>
    <t>Historical average costs</t>
  </si>
  <si>
    <t>Input | Historical annual average Nature-induced costs</t>
  </si>
  <si>
    <t>Nature induced costs</t>
  </si>
  <si>
    <t>Calc|Insurance premiums</t>
  </si>
  <si>
    <t>Calc|Community resilience</t>
  </si>
  <si>
    <t>Calc|Smart meter data</t>
  </si>
  <si>
    <t>Calc|Network innovation program</t>
  </si>
  <si>
    <t>Calc|ICT enablement for CER</t>
  </si>
  <si>
    <t>Calc|Property</t>
  </si>
  <si>
    <t>Calc|BY Adj CAM adjusment</t>
  </si>
  <si>
    <t>Calc|BY Adj Nature induced cost</t>
  </si>
  <si>
    <t>Calculates the opex step change for Community resilience from input data.</t>
  </si>
  <si>
    <t>Calculates the opex step change for Smart meter data from input data.</t>
  </si>
  <si>
    <t>Calculates the opex step change for Network innovation program from input data.</t>
  </si>
  <si>
    <t>Calculates the opex step change for ICT enablement for CER integration from input data.</t>
  </si>
  <si>
    <t>Calculates the opex step change for Property, related to forecast property disposals.</t>
  </si>
  <si>
    <t>Calculates the Base year adjustment for Nature induced costs from input data.</t>
  </si>
  <si>
    <t>AER opex model v2.1</t>
  </si>
  <si>
    <t>Ok</t>
  </si>
  <si>
    <t/>
  </si>
  <si>
    <t xml:space="preserve"> Comment </t>
  </si>
  <si>
    <t xml:space="preserve"> self-insured </t>
  </si>
  <si>
    <t>Start date</t>
  </si>
  <si>
    <t>End/renewal date</t>
  </si>
  <si>
    <t>Ausgrid’s 2024-29 Regulatory Proposal</t>
  </si>
  <si>
    <t>Attachment 6.1.b: Step changes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</si>
</sst>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&quot;$&quot;* #,##0.00_);_(&quot;$&quot;* \(#,##0.00\);_(&quot;$&quot;* &quot;-&quot;??_);_(@_)"/>
    <numFmt numFmtId="167" formatCode="dd\-mmm"/>
    <numFmt numFmtId="168" formatCode="mmmm"/>
    <numFmt numFmtId="169" formatCode="[$-C09]mmm\-yyyy;@"/>
    <numFmt numFmtId="170" formatCode="0.0"/>
    <numFmt numFmtId="171" formatCode="_-* #,##0.0_-;\-* #,##0.0_-;_-* &quot;-&quot;??_-;_-@_-"/>
    <numFmt numFmtId="172" formatCode="mmm\ yyyy"/>
    <numFmt numFmtId="173" formatCode="_(#,##0.00%_);\(#,##0.00%\);_(&quot;-&quot;_)"/>
    <numFmt numFmtId="174" formatCode="_(#,##0_);\(#,##0\);_(&quot;-&quot;_)"/>
    <numFmt numFmtId="175" formatCode="_(#,##0.0000_);\(#,##0.0000\);_(&quot;-&quot;_)"/>
    <numFmt numFmtId="176" formatCode="_(#,##0.000_);\(#,##0.000\);_(&quot;-&quot;_)"/>
    <numFmt numFmtId="177" formatCode="_-* #,##0.0000_-;\-* #,##0.0000_-;_-* &quot;-&quot;??_-;_-@_-"/>
    <numFmt numFmtId="178" formatCode="_(#,##0.00_);\(#,##0.00\);_(&quot;-&quot;_)"/>
    <numFmt numFmtId="179" formatCode="_-* #\ ##0.00_-;\-* #\ ##0.00_-;_-* &quot;-&quot;??_-;_-@_-"/>
    <numFmt numFmtId="180" formatCode="#\ ##0.00;\-#\ ##0.00;&quot;-&quot;"/>
    <numFmt numFmtId="181" formatCode="0.00_ ;\-0.00\ "/>
    <numFmt numFmtId="182" formatCode="0_ ;\-0\ "/>
    <numFmt numFmtId="183" formatCode="d/m/yyyy;@"/>
    <numFmt numFmtId="184" formatCode="0.0%"/>
    <numFmt numFmtId="185" formatCode="####\ ##0.00;\-####\ ##0.00;&quot;-&quot;"/>
    <numFmt numFmtId="186" formatCode="[$-C09]d\ mmmm\ 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color theme="10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i/>
      <u/>
      <sz val="8"/>
      <color theme="10"/>
      <name val="Arial"/>
      <family val="2"/>
    </font>
    <font>
      <sz val="8"/>
      <name val="Calibri"/>
      <family val="2"/>
      <scheme val="minor"/>
    </font>
    <font>
      <u/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5" fillId="0" borderId="6">
      <alignment horizontal="right" vertical="center"/>
      <protection locked="0"/>
    </xf>
    <xf numFmtId="0" fontId="17" fillId="9" borderId="0" applyNumberFormat="0" applyFill="0" applyAlignment="0">
      <alignment horizontal="centerContinuous" wrapText="1"/>
    </xf>
    <xf numFmtId="0" fontId="24" fillId="0" borderId="0" applyNumberFormat="0" applyFill="0" applyBorder="0" applyAlignment="0" applyProtection="0"/>
  </cellStyleXfs>
  <cellXfs count="213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2" fillId="2" borderId="0" xfId="2" applyFill="1" applyAlignment="1">
      <alignment horizontal="right"/>
    </xf>
    <xf numFmtId="0" fontId="4" fillId="3" borderId="0" xfId="2" applyFont="1" applyFill="1" applyAlignment="1">
      <alignment horizontal="center"/>
    </xf>
    <xf numFmtId="0" fontId="4" fillId="4" borderId="0" xfId="2" applyFont="1" applyFill="1"/>
    <xf numFmtId="0" fontId="2" fillId="2" borderId="1" xfId="2" applyFill="1" applyBorder="1"/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left" indent="9"/>
    </xf>
    <xf numFmtId="165" fontId="4" fillId="5" borderId="0" xfId="2" applyNumberFormat="1" applyFont="1" applyFill="1"/>
    <xf numFmtId="165" fontId="8" fillId="5" borderId="0" xfId="2" applyNumberFormat="1" applyFont="1" applyFill="1" applyAlignment="1">
      <alignment horizontal="center"/>
    </xf>
    <xf numFmtId="0" fontId="2" fillId="6" borderId="2" xfId="2" applyFill="1" applyBorder="1"/>
    <xf numFmtId="0" fontId="5" fillId="6" borderId="2" xfId="2" applyFont="1" applyFill="1" applyBorder="1"/>
    <xf numFmtId="0" fontId="9" fillId="6" borderId="2" xfId="2" applyFont="1" applyFill="1" applyBorder="1" applyAlignment="1">
      <alignment vertical="center"/>
    </xf>
    <xf numFmtId="0" fontId="2" fillId="6" borderId="2" xfId="2" applyFill="1" applyBorder="1" applyAlignment="1">
      <alignment wrapText="1"/>
    </xf>
    <xf numFmtId="166" fontId="9" fillId="6" borderId="2" xfId="2" applyNumberFormat="1" applyFont="1" applyFill="1" applyBorder="1" applyAlignment="1">
      <alignment horizontal="center" wrapText="1"/>
    </xf>
    <xf numFmtId="0" fontId="2" fillId="5" borderId="0" xfId="2" applyFill="1" applyAlignment="1">
      <alignment wrapText="1"/>
    </xf>
    <xf numFmtId="0" fontId="2" fillId="5" borderId="0" xfId="2" applyFill="1"/>
    <xf numFmtId="0" fontId="2" fillId="0" borderId="0" xfId="2"/>
    <xf numFmtId="165" fontId="4" fillId="0" borderId="0" xfId="2" applyNumberFormat="1" applyFont="1"/>
    <xf numFmtId="165" fontId="8" fillId="0" borderId="0" xfId="2" applyNumberFormat="1" applyFont="1" applyAlignment="1">
      <alignment horizontal="center"/>
    </xf>
    <xf numFmtId="165" fontId="10" fillId="0" borderId="0" xfId="2" applyNumberFormat="1" applyFont="1"/>
    <xf numFmtId="165" fontId="11" fillId="0" borderId="0" xfId="2" applyNumberFormat="1" applyFont="1" applyAlignment="1">
      <alignment horizontal="center"/>
    </xf>
    <xf numFmtId="165" fontId="12" fillId="0" borderId="0" xfId="2" applyNumberFormat="1" applyFont="1" applyAlignment="1">
      <alignment horizontal="center"/>
    </xf>
    <xf numFmtId="167" fontId="4" fillId="7" borderId="3" xfId="2" applyNumberFormat="1" applyFont="1" applyFill="1" applyBorder="1" applyAlignment="1" applyProtection="1">
      <alignment horizontal="center"/>
      <protection locked="0"/>
    </xf>
    <xf numFmtId="168" fontId="4" fillId="7" borderId="3" xfId="2" applyNumberFormat="1" applyFont="1" applyFill="1" applyBorder="1" applyAlignment="1" applyProtection="1">
      <alignment horizontal="center"/>
      <protection locked="0"/>
    </xf>
    <xf numFmtId="1" fontId="4" fillId="7" borderId="3" xfId="2" applyNumberFormat="1" applyFont="1" applyFill="1" applyBorder="1" applyAlignment="1" applyProtection="1">
      <alignment horizontal="center"/>
      <protection locked="0"/>
    </xf>
    <xf numFmtId="165" fontId="11" fillId="0" borderId="0" xfId="2" applyNumberFormat="1" applyFont="1" applyAlignment="1">
      <alignment horizontal="center" wrapText="1"/>
    </xf>
    <xf numFmtId="165" fontId="12" fillId="0" borderId="0" xfId="2" applyNumberFormat="1" applyFont="1"/>
    <xf numFmtId="165" fontId="8" fillId="0" borderId="0" xfId="2" applyNumberFormat="1" applyFont="1" applyAlignment="1">
      <alignment horizontal="center" wrapText="1"/>
    </xf>
    <xf numFmtId="169" fontId="4" fillId="0" borderId="0" xfId="2" applyNumberFormat="1" applyFont="1" applyAlignment="1">
      <alignment horizontal="left"/>
    </xf>
    <xf numFmtId="170" fontId="4" fillId="7" borderId="3" xfId="2" applyNumberFormat="1" applyFont="1" applyFill="1" applyBorder="1" applyAlignment="1" applyProtection="1">
      <alignment horizontal="center"/>
      <protection locked="0"/>
    </xf>
    <xf numFmtId="171" fontId="4" fillId="0" borderId="0" xfId="2" applyNumberFormat="1" applyFont="1"/>
    <xf numFmtId="10" fontId="4" fillId="0" borderId="0" xfId="4" applyNumberFormat="1" applyFont="1" applyAlignment="1" applyProtection="1">
      <alignment horizontal="center"/>
    </xf>
    <xf numFmtId="171" fontId="4" fillId="0" borderId="0" xfId="2" applyNumberFormat="1" applyFont="1" applyProtection="1">
      <protection locked="0"/>
    </xf>
    <xf numFmtId="171" fontId="12" fillId="0" borderId="0" xfId="2" applyNumberFormat="1" applyFont="1" applyProtection="1">
      <protection locked="0"/>
    </xf>
    <xf numFmtId="165" fontId="4" fillId="0" borderId="0" xfId="2" applyNumberFormat="1" applyFont="1" applyProtection="1">
      <protection locked="0"/>
    </xf>
    <xf numFmtId="0" fontId="5" fillId="2" borderId="4" xfId="2" applyFont="1" applyFill="1" applyBorder="1"/>
    <xf numFmtId="0" fontId="13" fillId="2" borderId="4" xfId="2" applyFont="1" applyFill="1" applyBorder="1" applyAlignment="1">
      <alignment horizontal="center"/>
    </xf>
    <xf numFmtId="172" fontId="13" fillId="2" borderId="4" xfId="2" applyNumberFormat="1" applyFont="1" applyFill="1" applyBorder="1" applyAlignment="1">
      <alignment horizontal="left"/>
    </xf>
    <xf numFmtId="0" fontId="13" fillId="2" borderId="4" xfId="2" applyFont="1" applyFill="1" applyBorder="1" applyAlignment="1">
      <alignment horizontal="center"/>
    </xf>
    <xf numFmtId="0" fontId="13" fillId="2" borderId="4" xfId="2" applyFont="1" applyFill="1" applyBorder="1"/>
    <xf numFmtId="0" fontId="13" fillId="6" borderId="2" xfId="2" applyFont="1" applyFill="1" applyBorder="1"/>
    <xf numFmtId="0" fontId="13" fillId="6" borderId="2" xfId="2" applyFont="1" applyFill="1" applyBorder="1" applyAlignment="1">
      <alignment horizontal="center"/>
    </xf>
    <xf numFmtId="0" fontId="14" fillId="6" borderId="2" xfId="2" applyFont="1" applyFill="1" applyBorder="1" applyAlignment="1">
      <alignment horizontal="center" vertical="center"/>
    </xf>
    <xf numFmtId="0" fontId="14" fillId="6" borderId="2" xfId="2" applyFont="1" applyFill="1" applyBorder="1" applyAlignment="1">
      <alignment vertical="center"/>
    </xf>
    <xf numFmtId="172" fontId="13" fillId="6" borderId="2" xfId="2" applyNumberFormat="1" applyFont="1" applyFill="1" applyBorder="1" applyAlignment="1">
      <alignment horizontal="center" wrapText="1"/>
    </xf>
    <xf numFmtId="0" fontId="13" fillId="6" borderId="2" xfId="2" applyFont="1" applyFill="1" applyBorder="1" applyAlignment="1">
      <alignment wrapText="1"/>
    </xf>
    <xf numFmtId="166" fontId="14" fillId="6" borderId="2" xfId="2" applyNumberFormat="1" applyFont="1" applyFill="1" applyBorder="1" applyAlignment="1">
      <alignment horizontal="center" wrapText="1"/>
    </xf>
    <xf numFmtId="0" fontId="13" fillId="5" borderId="0" xfId="2" applyFont="1" applyFill="1" applyAlignment="1">
      <alignment wrapText="1"/>
    </xf>
    <xf numFmtId="0" fontId="13" fillId="5" borderId="0" xfId="2" applyFont="1" applyFill="1"/>
    <xf numFmtId="0" fontId="13" fillId="0" borderId="0" xfId="2" applyFont="1"/>
    <xf numFmtId="172" fontId="12" fillId="0" borderId="5" xfId="2" applyNumberFormat="1" applyFont="1" applyBorder="1" applyAlignment="1">
      <alignment horizontal="center"/>
    </xf>
    <xf numFmtId="10" fontId="4" fillId="0" borderId="0" xfId="4" applyNumberFormat="1" applyFont="1" applyBorder="1" applyAlignment="1" applyProtection="1">
      <alignment horizontal="center"/>
    </xf>
    <xf numFmtId="165" fontId="4" fillId="0" borderId="0" xfId="2" applyNumberFormat="1" applyFont="1" applyAlignment="1">
      <alignment horizontal="left" indent="1"/>
    </xf>
    <xf numFmtId="165" fontId="8" fillId="0" borderId="0" xfId="5" applyNumberFormat="1" applyFont="1" applyAlignment="1" applyProtection="1">
      <alignment horizontal="center"/>
    </xf>
    <xf numFmtId="173" fontId="15" fillId="0" borderId="0" xfId="4" applyNumberFormat="1" applyFont="1" applyFill="1" applyBorder="1" applyAlignment="1" applyProtection="1">
      <alignment horizontal="center" vertical="center"/>
    </xf>
    <xf numFmtId="175" fontId="15" fillId="0" borderId="0" xfId="6" applyNumberFormat="1" applyBorder="1" applyAlignment="1" applyProtection="1">
      <alignment horizontal="center" vertical="center"/>
    </xf>
    <xf numFmtId="172" fontId="4" fillId="0" borderId="0" xfId="2" applyNumberFormat="1" applyFont="1" applyAlignment="1">
      <alignment horizontal="left" indent="1"/>
    </xf>
    <xf numFmtId="176" fontId="15" fillId="0" borderId="0" xfId="6" applyNumberFormat="1" applyBorder="1" applyAlignment="1" applyProtection="1">
      <alignment horizontal="center" vertical="center"/>
    </xf>
    <xf numFmtId="177" fontId="4" fillId="0" borderId="0" xfId="2" applyNumberFormat="1" applyFont="1"/>
    <xf numFmtId="172" fontId="12" fillId="0" borderId="0" xfId="2" applyNumberFormat="1" applyFont="1" applyAlignment="1">
      <alignment horizontal="center"/>
    </xf>
    <xf numFmtId="178" fontId="10" fillId="0" borderId="0" xfId="6" applyNumberFormat="1" applyFont="1" applyBorder="1" applyAlignment="1" applyProtection="1">
      <alignment horizontal="center" vertical="center"/>
    </xf>
    <xf numFmtId="165" fontId="4" fillId="0" borderId="0" xfId="2" applyNumberFormat="1" applyFont="1" applyAlignment="1">
      <alignment horizontal="center"/>
    </xf>
    <xf numFmtId="0" fontId="13" fillId="2" borderId="7" xfId="2" applyFont="1" applyFill="1" applyBorder="1"/>
    <xf numFmtId="165" fontId="14" fillId="3" borderId="8" xfId="2" applyNumberFormat="1" applyFont="1" applyFill="1" applyBorder="1" applyAlignment="1" applyProtection="1">
      <alignment horizontal="center"/>
      <protection locked="0"/>
    </xf>
    <xf numFmtId="172" fontId="14" fillId="8" borderId="8" xfId="2" applyNumberFormat="1" applyFont="1" applyFill="1" applyBorder="1" applyAlignment="1" applyProtection="1">
      <alignment horizontal="center"/>
      <protection locked="0"/>
    </xf>
    <xf numFmtId="165" fontId="16" fillId="0" borderId="0" xfId="3" applyNumberFormat="1" applyFont="1" applyFill="1" applyAlignment="1" applyProtection="1">
      <alignment horizontal="center"/>
    </xf>
    <xf numFmtId="172" fontId="4" fillId="7" borderId="3" xfId="4" applyNumberFormat="1" applyFont="1" applyFill="1" applyBorder="1" applyAlignment="1" applyProtection="1">
      <alignment horizontal="center"/>
      <protection locked="0"/>
    </xf>
    <xf numFmtId="179" fontId="4" fillId="0" borderId="0" xfId="2" applyNumberFormat="1" applyFont="1" applyAlignment="1">
      <alignment horizontal="center"/>
    </xf>
    <xf numFmtId="172" fontId="8" fillId="0" borderId="0" xfId="2" applyNumberFormat="1" applyFont="1" applyAlignment="1">
      <alignment horizontal="center"/>
    </xf>
    <xf numFmtId="179" fontId="12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left" indent="2"/>
    </xf>
    <xf numFmtId="180" fontId="4" fillId="0" borderId="0" xfId="2" applyNumberFormat="1" applyFont="1" applyAlignment="1">
      <alignment horizontal="center"/>
    </xf>
    <xf numFmtId="165" fontId="12" fillId="0" borderId="9" xfId="2" applyNumberFormat="1" applyFont="1" applyBorder="1" applyAlignment="1">
      <alignment horizontal="left" indent="1"/>
    </xf>
    <xf numFmtId="165" fontId="11" fillId="0" borderId="9" xfId="2" applyNumberFormat="1" applyFont="1" applyBorder="1" applyAlignment="1">
      <alignment horizontal="center"/>
    </xf>
    <xf numFmtId="172" fontId="11" fillId="0" borderId="0" xfId="2" applyNumberFormat="1" applyFont="1" applyAlignment="1">
      <alignment horizontal="center"/>
    </xf>
    <xf numFmtId="180" fontId="12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2" fontId="12" fillId="0" borderId="0" xfId="2" applyNumberFormat="1" applyFont="1" applyAlignment="1">
      <alignment horizontal="center"/>
    </xf>
    <xf numFmtId="2" fontId="4" fillId="7" borderId="0" xfId="2" applyNumberFormat="1" applyFont="1" applyFill="1" applyAlignment="1" applyProtection="1">
      <alignment horizontal="center"/>
      <protection locked="0"/>
    </xf>
    <xf numFmtId="172" fontId="14" fillId="8" borderId="8" xfId="0" applyNumberFormat="1" applyFont="1" applyFill="1" applyBorder="1" applyAlignment="1" applyProtection="1">
      <alignment horizontal="center"/>
      <protection locked="0"/>
    </xf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horizontal="left" indent="9"/>
    </xf>
    <xf numFmtId="0" fontId="2" fillId="5" borderId="9" xfId="2" applyFill="1" applyBorder="1" applyAlignment="1">
      <alignment wrapText="1"/>
    </xf>
    <xf numFmtId="0" fontId="2" fillId="5" borderId="9" xfId="2" applyFill="1" applyBorder="1"/>
    <xf numFmtId="0" fontId="2" fillId="0" borderId="9" xfId="2" applyBorder="1"/>
    <xf numFmtId="165" fontId="8" fillId="5" borderId="0" xfId="2" applyNumberFormat="1" applyFont="1" applyFill="1"/>
    <xf numFmtId="165" fontId="8" fillId="0" borderId="0" xfId="2" applyNumberFormat="1" applyFont="1"/>
    <xf numFmtId="165" fontId="2" fillId="0" borderId="0" xfId="2" applyNumberFormat="1"/>
    <xf numFmtId="172" fontId="4" fillId="0" borderId="3" xfId="2" applyNumberFormat="1" applyFont="1" applyBorder="1" applyAlignment="1" applyProtection="1">
      <alignment horizontal="center"/>
      <protection locked="0"/>
    </xf>
    <xf numFmtId="0" fontId="4" fillId="0" borderId="3" xfId="2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 applyProtection="1">
      <alignment horizontal="center"/>
      <protection locked="0"/>
    </xf>
    <xf numFmtId="1" fontId="4" fillId="0" borderId="0" xfId="2" applyNumberFormat="1" applyFont="1" applyAlignment="1" applyProtection="1">
      <alignment horizontal="center"/>
      <protection locked="0"/>
    </xf>
    <xf numFmtId="172" fontId="4" fillId="0" borderId="0" xfId="2" applyNumberFormat="1" applyFont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0" fontId="4" fillId="3" borderId="0" xfId="0" applyFont="1" applyFill="1" applyAlignment="1">
      <alignment horizontal="center"/>
    </xf>
    <xf numFmtId="0" fontId="4" fillId="4" borderId="0" xfId="0" applyFont="1" applyFill="1"/>
    <xf numFmtId="0" fontId="18" fillId="6" borderId="2" xfId="2" applyFont="1" applyFill="1" applyBorder="1"/>
    <xf numFmtId="165" fontId="12" fillId="0" borderId="5" xfId="2" applyNumberFormat="1" applyFont="1" applyBorder="1"/>
    <xf numFmtId="165" fontId="4" fillId="0" borderId="5" xfId="2" applyNumberFormat="1" applyFont="1" applyBorder="1"/>
    <xf numFmtId="165" fontId="19" fillId="0" borderId="0" xfId="3" applyNumberFormat="1" applyFont="1" applyAlignment="1" applyProtection="1">
      <alignment horizontal="center"/>
    </xf>
    <xf numFmtId="181" fontId="4" fillId="0" borderId="0" xfId="4" applyNumberFormat="1" applyFont="1" applyFill="1" applyBorder="1" applyAlignment="1" applyProtection="1">
      <alignment horizontal="center"/>
    </xf>
    <xf numFmtId="181" fontId="4" fillId="0" borderId="0" xfId="4" quotePrefix="1" applyNumberFormat="1" applyFont="1" applyFill="1" applyBorder="1" applyAlignment="1" applyProtection="1">
      <alignment horizontal="center"/>
    </xf>
    <xf numFmtId="182" fontId="4" fillId="0" borderId="0" xfId="2" applyNumberFormat="1" applyFont="1" applyProtection="1">
      <protection locked="0"/>
    </xf>
    <xf numFmtId="172" fontId="8" fillId="0" borderId="0" xfId="2" applyNumberFormat="1" applyFont="1" applyBorder="1" applyAlignment="1">
      <alignment horizontal="center"/>
    </xf>
    <xf numFmtId="2" fontId="4" fillId="0" borderId="0" xfId="2" applyNumberFormat="1" applyFont="1" applyBorder="1" applyAlignment="1">
      <alignment horizontal="center"/>
    </xf>
    <xf numFmtId="165" fontId="8" fillId="0" borderId="5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left" indent="1"/>
    </xf>
    <xf numFmtId="165" fontId="11" fillId="0" borderId="0" xfId="2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left" indent="1"/>
    </xf>
    <xf numFmtId="178" fontId="15" fillId="0" borderId="0" xfId="6" applyNumberFormat="1" applyFont="1" applyBorder="1" applyAlignment="1" applyProtection="1">
      <alignment horizontal="center" vertical="center"/>
    </xf>
    <xf numFmtId="165" fontId="4" fillId="0" borderId="0" xfId="2" applyNumberFormat="1" applyFont="1" applyBorder="1" applyAlignment="1">
      <alignment horizontal="center"/>
    </xf>
    <xf numFmtId="172" fontId="4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right"/>
    </xf>
    <xf numFmtId="165" fontId="12" fillId="0" borderId="0" xfId="2" applyNumberFormat="1" applyFont="1" applyAlignment="1">
      <alignment horizontal="left" indent="1"/>
    </xf>
    <xf numFmtId="180" fontId="4" fillId="0" borderId="0" xfId="2" applyNumberFormat="1" applyFont="1" applyAlignment="1">
      <alignment horizontal="right"/>
    </xf>
    <xf numFmtId="3" fontId="4" fillId="7" borderId="0" xfId="2" applyNumberFormat="1" applyFont="1" applyFill="1" applyAlignment="1" applyProtection="1">
      <alignment horizontal="right"/>
      <protection locked="0"/>
    </xf>
    <xf numFmtId="172" fontId="12" fillId="0" borderId="0" xfId="2" applyNumberFormat="1" applyFont="1" applyAlignment="1">
      <alignment horizontal="right"/>
    </xf>
    <xf numFmtId="3" fontId="15" fillId="0" borderId="0" xfId="2" applyNumberFormat="1" applyFont="1" applyFill="1" applyAlignment="1" applyProtection="1">
      <alignment horizontal="right"/>
      <protection locked="0"/>
    </xf>
    <xf numFmtId="172" fontId="4" fillId="0" borderId="0" xfId="2" applyNumberFormat="1" applyFont="1" applyBorder="1" applyAlignment="1">
      <alignment horizontal="center"/>
    </xf>
    <xf numFmtId="165" fontId="8" fillId="0" borderId="0" xfId="2" applyNumberFormat="1" applyFont="1" applyBorder="1" applyAlignment="1">
      <alignment horizontal="center"/>
    </xf>
    <xf numFmtId="3" fontId="12" fillId="0" borderId="0" xfId="2" applyNumberFormat="1" applyFont="1" applyAlignment="1">
      <alignment horizontal="right"/>
    </xf>
    <xf numFmtId="3" fontId="4" fillId="7" borderId="5" xfId="2" applyNumberFormat="1" applyFont="1" applyFill="1" applyBorder="1" applyAlignment="1" applyProtection="1">
      <alignment horizontal="right"/>
      <protection locked="0"/>
    </xf>
    <xf numFmtId="2" fontId="4" fillId="0" borderId="0" xfId="2" applyNumberFormat="1" applyFont="1" applyAlignment="1">
      <alignment horizontal="right"/>
    </xf>
    <xf numFmtId="172" fontId="12" fillId="0" borderId="0" xfId="2" applyNumberFormat="1" applyFont="1" applyAlignment="1"/>
    <xf numFmtId="2" fontId="4" fillId="7" borderId="0" xfId="2" applyNumberFormat="1" applyFont="1" applyFill="1" applyAlignment="1">
      <alignment horizontal="right"/>
    </xf>
    <xf numFmtId="0" fontId="13" fillId="2" borderId="4" xfId="2" applyFont="1" applyFill="1" applyBorder="1" applyAlignment="1">
      <alignment horizontal="center"/>
    </xf>
    <xf numFmtId="165" fontId="4" fillId="0" borderId="0" xfId="2" applyNumberFormat="1" applyFont="1" applyAlignment="1"/>
    <xf numFmtId="165" fontId="12" fillId="0" borderId="0" xfId="2" applyNumberFormat="1" applyFont="1" applyAlignment="1">
      <alignment horizontal="left"/>
    </xf>
    <xf numFmtId="180" fontId="12" fillId="0" borderId="0" xfId="2" applyNumberFormat="1" applyFont="1" applyAlignment="1">
      <alignment horizontal="left"/>
    </xf>
    <xf numFmtId="180" fontId="12" fillId="0" borderId="0" xfId="2" applyNumberFormat="1" applyFont="1" applyAlignment="1">
      <alignment horizontal="right"/>
    </xf>
    <xf numFmtId="172" fontId="4" fillId="0" borderId="0" xfId="2" applyNumberFormat="1" applyFont="1" applyBorder="1" applyAlignment="1" applyProtection="1">
      <alignment horizontal="center"/>
      <protection locked="0"/>
    </xf>
    <xf numFmtId="0" fontId="13" fillId="2" borderId="4" xfId="2" applyFont="1" applyFill="1" applyBorder="1" applyAlignment="1">
      <alignment horizontal="center"/>
    </xf>
    <xf numFmtId="172" fontId="12" fillId="7" borderId="3" xfId="4" applyNumberFormat="1" applyFont="1" applyFill="1" applyBorder="1" applyAlignment="1" applyProtection="1">
      <alignment horizontal="center"/>
      <protection locked="0"/>
    </xf>
    <xf numFmtId="4" fontId="4" fillId="7" borderId="0" xfId="2" applyNumberFormat="1" applyFont="1" applyFill="1" applyAlignment="1" applyProtection="1">
      <alignment horizontal="center"/>
      <protection locked="0"/>
    </xf>
    <xf numFmtId="3" fontId="4" fillId="7" borderId="0" xfId="2" applyNumberFormat="1" applyFont="1" applyFill="1" applyAlignment="1" applyProtection="1">
      <alignment horizontal="center"/>
      <protection locked="0"/>
    </xf>
    <xf numFmtId="184" fontId="4" fillId="7" borderId="0" xfId="1" applyNumberFormat="1" applyFont="1" applyFill="1" applyAlignment="1">
      <alignment horizontal="center"/>
    </xf>
    <xf numFmtId="184" fontId="4" fillId="7" borderId="0" xfId="1" applyNumberFormat="1" applyFont="1" applyFill="1" applyAlignment="1">
      <alignment horizontal="right"/>
    </xf>
    <xf numFmtId="9" fontId="4" fillId="7" borderId="0" xfId="1" applyNumberFormat="1" applyFont="1" applyFill="1" applyAlignment="1">
      <alignment horizontal="right"/>
    </xf>
    <xf numFmtId="0" fontId="13" fillId="2" borderId="4" xfId="2" applyFont="1" applyFill="1" applyBorder="1" applyAlignment="1">
      <alignment horizontal="center"/>
    </xf>
    <xf numFmtId="1" fontId="4" fillId="0" borderId="0" xfId="2" applyNumberFormat="1" applyFont="1" applyAlignment="1">
      <alignment horizontal="center"/>
    </xf>
    <xf numFmtId="185" fontId="4" fillId="0" borderId="0" xfId="2" applyNumberFormat="1" applyFont="1" applyAlignment="1">
      <alignment horizontal="right"/>
    </xf>
    <xf numFmtId="178" fontId="15" fillId="0" borderId="0" xfId="6" applyNumberFormat="1" applyBorder="1" applyAlignment="1" applyProtection="1">
      <alignment horizontal="center" vertical="center"/>
    </xf>
    <xf numFmtId="43" fontId="4" fillId="0" borderId="0" xfId="2" applyNumberFormat="1" applyFont="1"/>
    <xf numFmtId="165" fontId="12" fillId="0" borderId="0" xfId="2" applyNumberFormat="1" applyFont="1" applyAlignment="1">
      <alignment horizontal="right"/>
    </xf>
    <xf numFmtId="172" fontId="12" fillId="0" borderId="0" xfId="2" applyNumberFormat="1" applyFont="1" applyAlignment="1">
      <alignment horizontal="left"/>
    </xf>
    <xf numFmtId="2" fontId="4" fillId="7" borderId="0" xfId="2" applyNumberFormat="1" applyFont="1" applyFill="1" applyAlignment="1" applyProtection="1">
      <alignment horizontal="right"/>
      <protection locked="0"/>
    </xf>
    <xf numFmtId="165" fontId="12" fillId="0" borderId="0" xfId="2" applyNumberFormat="1" applyFont="1" applyAlignment="1">
      <alignment horizontal="center"/>
    </xf>
    <xf numFmtId="43" fontId="4" fillId="0" borderId="0" xfId="2" applyNumberFormat="1" applyFont="1" applyAlignment="1">
      <alignment horizontal="center"/>
    </xf>
    <xf numFmtId="2" fontId="4" fillId="0" borderId="0" xfId="2" applyNumberFormat="1" applyFont="1" applyFill="1" applyAlignment="1" applyProtection="1">
      <alignment horizontal="right"/>
      <protection locked="0"/>
    </xf>
    <xf numFmtId="0" fontId="21" fillId="2" borderId="0" xfId="2" applyFont="1" applyFill="1"/>
    <xf numFmtId="0" fontId="4" fillId="10" borderId="0" xfId="2" applyFont="1" applyFill="1"/>
    <xf numFmtId="164" fontId="5" fillId="2" borderId="0" xfId="2" applyNumberFormat="1" applyFont="1" applyFill="1" applyAlignment="1">
      <alignment horizontal="center"/>
    </xf>
    <xf numFmtId="0" fontId="6" fillId="2" borderId="0" xfId="3" applyFill="1" applyBorder="1" applyAlignment="1" applyProtection="1">
      <alignment horizontal="right"/>
    </xf>
    <xf numFmtId="164" fontId="10" fillId="0" borderId="3" xfId="2" applyNumberFormat="1" applyFont="1" applyBorder="1" applyAlignment="1">
      <alignment horizontal="center"/>
    </xf>
    <xf numFmtId="170" fontId="4" fillId="0" borderId="0" xfId="2" applyNumberFormat="1" applyFont="1" applyAlignment="1" applyProtection="1">
      <alignment horizontal="center"/>
      <protection locked="0"/>
    </xf>
    <xf numFmtId="170" fontId="15" fillId="7" borderId="3" xfId="2" applyNumberFormat="1" applyFont="1" applyFill="1" applyBorder="1" applyAlignment="1" applyProtection="1">
      <alignment horizontal="center"/>
      <protection locked="0"/>
    </xf>
    <xf numFmtId="171" fontId="6" fillId="0" borderId="0" xfId="3" applyNumberFormat="1" applyProtection="1">
      <protection locked="0"/>
    </xf>
    <xf numFmtId="170" fontId="2" fillId="7" borderId="3" xfId="2" applyNumberFormat="1" applyFill="1" applyBorder="1" applyAlignment="1" applyProtection="1">
      <alignment horizontal="center"/>
      <protection locked="0"/>
    </xf>
    <xf numFmtId="171" fontId="22" fillId="0" borderId="0" xfId="2" applyNumberFormat="1" applyFont="1" applyProtection="1">
      <protection locked="0"/>
    </xf>
    <xf numFmtId="10" fontId="4" fillId="0" borderId="0" xfId="4" applyNumberFormat="1" applyFont="1" applyFill="1" applyBorder="1" applyAlignment="1" applyProtection="1">
      <alignment horizontal="center"/>
      <protection locked="0"/>
    </xf>
    <xf numFmtId="10" fontId="4" fillId="0" borderId="0" xfId="2" applyNumberFormat="1" applyFont="1" applyAlignment="1" applyProtection="1">
      <alignment horizontal="center"/>
      <protection locked="0"/>
    </xf>
    <xf numFmtId="164" fontId="10" fillId="0" borderId="0" xfId="2" applyNumberFormat="1" applyFont="1" applyAlignment="1">
      <alignment horizontal="center"/>
    </xf>
    <xf numFmtId="164" fontId="10" fillId="0" borderId="0" xfId="2" applyNumberFormat="1" applyFont="1" applyBorder="1" applyAlignment="1">
      <alignment horizontal="center"/>
    </xf>
    <xf numFmtId="10" fontId="4" fillId="0" borderId="0" xfId="1" applyNumberFormat="1" applyFont="1" applyAlignment="1" applyProtection="1">
      <alignment horizontal="center"/>
      <protection locked="0"/>
    </xf>
    <xf numFmtId="165" fontId="23" fillId="0" borderId="0" xfId="3" applyNumberFormat="1" applyFont="1" applyFill="1" applyAlignment="1" applyProtection="1">
      <alignment horizontal="center"/>
    </xf>
    <xf numFmtId="165" fontId="12" fillId="0" borderId="0" xfId="2" applyNumberFormat="1" applyFont="1" applyAlignment="1">
      <alignment horizontal="center"/>
    </xf>
    <xf numFmtId="0" fontId="4" fillId="0" borderId="3" xfId="2" quotePrefix="1" applyFont="1" applyBorder="1" applyAlignment="1" applyProtection="1">
      <alignment horizontal="center"/>
      <protection locked="0"/>
    </xf>
    <xf numFmtId="172" fontId="4" fillId="0" borderId="3" xfId="2" quotePrefix="1" applyNumberFormat="1" applyFont="1" applyBorder="1" applyAlignment="1" applyProtection="1">
      <alignment horizontal="center"/>
      <protection locked="0"/>
    </xf>
    <xf numFmtId="165" fontId="8" fillId="0" borderId="0" xfId="0" applyNumberFormat="1" applyFont="1"/>
    <xf numFmtId="0" fontId="2" fillId="0" borderId="0" xfId="0" applyFont="1"/>
    <xf numFmtId="0" fontId="24" fillId="0" borderId="0" xfId="8"/>
    <xf numFmtId="171" fontId="15" fillId="0" borderId="0" xfId="2" applyNumberFormat="1" applyFont="1" applyProtection="1">
      <protection locked="0"/>
    </xf>
    <xf numFmtId="172" fontId="12" fillId="0" borderId="0" xfId="0" quotePrefix="1" applyNumberFormat="1" applyFont="1" applyAlignment="1">
      <alignment horizontal="center"/>
    </xf>
    <xf numFmtId="165" fontId="4" fillId="0" borderId="0" xfId="2" applyNumberFormat="1" applyFont="1" applyBorder="1"/>
    <xf numFmtId="9" fontId="4" fillId="0" borderId="0" xfId="1" applyFont="1" applyFill="1" applyAlignment="1" applyProtection="1">
      <alignment horizontal="right"/>
      <protection locked="0"/>
    </xf>
    <xf numFmtId="165" fontId="11" fillId="0" borderId="0" xfId="2" applyNumberFormat="1" applyFont="1" applyFill="1"/>
    <xf numFmtId="165" fontId="8" fillId="0" borderId="0" xfId="2" applyNumberFormat="1" applyFont="1" applyFill="1" applyAlignment="1">
      <alignment horizontal="center"/>
    </xf>
    <xf numFmtId="165" fontId="12" fillId="0" borderId="0" xfId="2" applyNumberFormat="1" applyFont="1" applyFill="1"/>
    <xf numFmtId="165" fontId="11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left" indent="1"/>
    </xf>
    <xf numFmtId="165" fontId="8" fillId="0" borderId="0" xfId="2" applyNumberFormat="1" applyFont="1" applyFill="1" applyBorder="1" applyAlignment="1">
      <alignment horizontal="center"/>
    </xf>
    <xf numFmtId="172" fontId="4" fillId="0" borderId="3" xfId="4" applyNumberFormat="1" applyFont="1" applyFill="1" applyBorder="1" applyAlignment="1" applyProtection="1">
      <alignment horizontal="center"/>
      <protection locked="0"/>
    </xf>
    <xf numFmtId="165" fontId="4" fillId="0" borderId="0" xfId="2" applyNumberFormat="1" applyFont="1" applyFill="1" applyBorder="1" applyAlignment="1">
      <alignment horizontal="left" indent="1"/>
    </xf>
    <xf numFmtId="165" fontId="12" fillId="0" borderId="0" xfId="2" applyNumberFormat="1" applyFont="1" applyFill="1" applyAlignment="1">
      <alignment horizontal="left" indent="1"/>
    </xf>
    <xf numFmtId="172" fontId="4" fillId="0" borderId="0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165" fontId="4" fillId="0" borderId="0" xfId="2" applyNumberFormat="1" applyFont="1" applyFill="1" applyBorder="1" applyAlignment="1">
      <alignment horizontal="center"/>
    </xf>
    <xf numFmtId="172" fontId="4" fillId="0" borderId="0" xfId="2" applyNumberFormat="1" applyFont="1" applyFill="1" applyAlignment="1">
      <alignment horizontal="center"/>
    </xf>
    <xf numFmtId="172" fontId="12" fillId="0" borderId="3" xfId="4" applyNumberFormat="1" applyFont="1" applyFill="1" applyBorder="1" applyAlignment="1" applyProtection="1">
      <alignment horizontal="center"/>
      <protection locked="0"/>
    </xf>
    <xf numFmtId="172" fontId="8" fillId="0" borderId="0" xfId="2" applyNumberFormat="1" applyFont="1" applyFill="1" applyBorder="1" applyAlignment="1">
      <alignment horizontal="center"/>
    </xf>
    <xf numFmtId="3" fontId="4" fillId="0" borderId="0" xfId="2" applyNumberFormat="1" applyFont="1" applyFill="1" applyAlignment="1" applyProtection="1">
      <alignment horizontal="right"/>
      <protection locked="0"/>
    </xf>
    <xf numFmtId="172" fontId="12" fillId="0" borderId="0" xfId="0" quotePrefix="1" applyNumberFormat="1" applyFont="1" applyFill="1" applyAlignment="1">
      <alignment horizontal="center"/>
    </xf>
    <xf numFmtId="10" fontId="4" fillId="0" borderId="0" xfId="1" applyNumberFormat="1" applyFont="1" applyFill="1" applyAlignment="1" applyProtection="1">
      <alignment horizontal="right"/>
      <protection locked="0"/>
    </xf>
    <xf numFmtId="180" fontId="4" fillId="0" borderId="0" xfId="2" applyNumberFormat="1" applyFont="1" applyFill="1" applyAlignment="1">
      <alignment horizontal="center"/>
    </xf>
    <xf numFmtId="10" fontId="12" fillId="0" borderId="0" xfId="1" applyNumberFormat="1" applyFont="1" applyFill="1" applyAlignment="1">
      <alignment horizontal="right"/>
    </xf>
    <xf numFmtId="3" fontId="4" fillId="11" borderId="0" xfId="2" applyNumberFormat="1" applyFont="1" applyFill="1" applyAlignment="1" applyProtection="1">
      <alignment horizontal="right"/>
      <protection locked="0"/>
    </xf>
    <xf numFmtId="3" fontId="4" fillId="11" borderId="5" xfId="2" applyNumberFormat="1" applyFont="1" applyFill="1" applyBorder="1" applyAlignment="1" applyProtection="1">
      <alignment horizontal="right"/>
      <protection locked="0"/>
    </xf>
    <xf numFmtId="3" fontId="4" fillId="11" borderId="0" xfId="2" applyNumberFormat="1" applyFont="1" applyFill="1" applyAlignment="1">
      <alignment horizontal="right"/>
    </xf>
    <xf numFmtId="165" fontId="4" fillId="11" borderId="0" xfId="2" applyNumberFormat="1" applyFont="1" applyFill="1" applyAlignment="1">
      <alignment horizontal="center"/>
    </xf>
    <xf numFmtId="183" fontId="4" fillId="11" borderId="0" xfId="2" applyNumberFormat="1" applyFont="1" applyFill="1" applyAlignment="1">
      <alignment horizontal="right"/>
    </xf>
    <xf numFmtId="180" fontId="4" fillId="11" borderId="0" xfId="2" applyNumberFormat="1" applyFont="1" applyFill="1" applyAlignment="1">
      <alignment horizontal="center"/>
    </xf>
    <xf numFmtId="1" fontId="4" fillId="11" borderId="0" xfId="2" applyNumberFormat="1" applyFont="1" applyFill="1" applyAlignment="1">
      <alignment horizontal="right"/>
    </xf>
    <xf numFmtId="3" fontId="15" fillId="11" borderId="0" xfId="2" applyNumberFormat="1" applyFont="1" applyFill="1" applyAlignment="1" applyProtection="1">
      <alignment horizontal="right"/>
      <protection locked="0"/>
    </xf>
    <xf numFmtId="3" fontId="4" fillId="11" borderId="5" xfId="2" applyNumberFormat="1" applyFont="1" applyFill="1" applyBorder="1" applyAlignment="1">
      <alignment horizontal="right"/>
    </xf>
    <xf numFmtId="0" fontId="27" fillId="0" borderId="0" xfId="0" applyFont="1"/>
    <xf numFmtId="186" fontId="25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13" fillId="2" borderId="7" xfId="2" applyFont="1" applyFill="1" applyBorder="1" applyAlignment="1">
      <alignment horizontal="center"/>
    </xf>
    <xf numFmtId="0" fontId="13" fillId="2" borderId="4" xfId="2" applyFont="1" applyFill="1" applyBorder="1" applyAlignment="1">
      <alignment horizontal="center"/>
    </xf>
    <xf numFmtId="165" fontId="12" fillId="0" borderId="0" xfId="2" applyNumberFormat="1" applyFont="1" applyAlignment="1">
      <alignment horizontal="center"/>
    </xf>
  </cellXfs>
  <cellStyles count="9">
    <cellStyle name="Assumptions Right Number" xfId="6" xr:uid="{E9E8A6FD-FB04-4859-9F06-71265B4D5485}"/>
    <cellStyle name="Comma 2" xfId="5" xr:uid="{DDDFA052-4744-498B-A090-FA03FDD56111}"/>
    <cellStyle name="Hyperlink" xfId="8" builtinId="8"/>
    <cellStyle name="Hyperlink 2" xfId="3" xr:uid="{BFB87E77-F23D-4B88-85F7-4CB7C01354DC}"/>
    <cellStyle name="Normal" xfId="0" builtinId="0"/>
    <cellStyle name="Normal 2" xfId="2" xr:uid="{4A403F20-3DE3-45F2-AEA9-B2AEAA90E6A3}"/>
    <cellStyle name="Percent" xfId="1" builtinId="5"/>
    <cellStyle name="Percent 2" xfId="4" xr:uid="{AD5BCFD9-8CD3-409F-B17D-51C97B950A5D}"/>
    <cellStyle name="Sub Header" xfId="7" xr:uid="{670481B5-456B-4C24-93DC-C2E5D14F5C59}"/>
  </cellStyles>
  <dxfs count="5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3366FF"/>
      <color rgb="FF0066FF"/>
      <color rgb="FFDAEEF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359409</xdr:colOff>
      <xdr:row>25</xdr:row>
      <xdr:rowOff>169882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B81989FD-9431-45CD-A1E0-DF5AFF25A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9504" cy="46885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38</xdr:row>
      <xdr:rowOff>125189</xdr:rowOff>
    </xdr:from>
    <xdr:to>
      <xdr:col>8</xdr:col>
      <xdr:colOff>381635</xdr:colOff>
      <xdr:row>39</xdr:row>
      <xdr:rowOff>15875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EC58D7A-AD0C-4C2C-944F-A47DC53B7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7112729"/>
          <a:ext cx="4932680" cy="64041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26035</xdr:rowOff>
    </xdr:from>
    <xdr:to>
      <xdr:col>8</xdr:col>
      <xdr:colOff>199390</xdr:colOff>
      <xdr:row>37</xdr:row>
      <xdr:rowOff>173355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E199F45-F92E-4752-A52F-9626A02368FE}"/>
            </a:ext>
          </a:extLst>
        </xdr:cNvPr>
        <xdr:cNvGrpSpPr>
          <a:grpSpLocks/>
        </xdr:cNvGrpSpPr>
      </xdr:nvGrpSpPr>
      <xdr:grpSpPr bwMode="auto">
        <a:xfrm>
          <a:off x="3583940" y="6582410"/>
          <a:ext cx="1190625" cy="325120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E8F1917F-2BAB-EC0A-D0AD-73D45ADBC0DC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5E91857E-AAE5-6B6C-6DDA-8C6406A168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C157F93-0ECD-4935-A12D-49B9B2EC9C2C}"/>
            </a:ext>
          </a:extLst>
        </xdr:cNvPr>
        <xdr:cNvSpPr txBox="1"/>
      </xdr:nvSpPr>
      <xdr:spPr>
        <a:xfrm>
          <a:off x="215900" y="6640831"/>
          <a:ext cx="2249805" cy="38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26402</xdr:colOff>
      <xdr:row>32</xdr:row>
      <xdr:rowOff>134753</xdr:rowOff>
    </xdr:from>
    <xdr:to>
      <xdr:col>2</xdr:col>
      <xdr:colOff>278177</xdr:colOff>
      <xdr:row>32</xdr:row>
      <xdr:rowOff>182878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298AB09-A7A8-46CE-B079-675A8F62930F}"/>
            </a:ext>
          </a:extLst>
        </xdr:cNvPr>
        <xdr:cNvSpPr/>
      </xdr:nvSpPr>
      <xdr:spPr>
        <a:xfrm flipH="1" flipV="1">
          <a:off x="323582" y="5986913"/>
          <a:ext cx="861375" cy="48125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2/nov/forecasts.html" TargetMode="External"/><Relationship Id="rId2" Type="http://schemas.openxmlformats.org/officeDocument/2006/relationships/hyperlink" Target="https://www.rba.gov.au/publications/smp/2022/nov/forecasts.html" TargetMode="External"/><Relationship Id="rId1" Type="http://schemas.openxmlformats.org/officeDocument/2006/relationships/hyperlink" Target="https://www.rba.gov.au/publications/smp/2022/nov/forecasts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rba.gov.au/publications/smp/2022/nov/forecasts.html" TargetMode="External"/><Relationship Id="rId4" Type="http://schemas.openxmlformats.org/officeDocument/2006/relationships/hyperlink" Target="https://www.rba.gov.au/publications/smp/2022/nov/forecasts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6C88-60CC-4A41-A563-27544C16468E}">
  <dimension ref="B27:H34"/>
  <sheetViews>
    <sheetView showGridLines="0" tabSelected="1" workbookViewId="0">
      <selection activeCell="L12" sqref="L12"/>
    </sheetView>
  </sheetViews>
  <sheetFormatPr defaultRowHeight="14.5" x14ac:dyDescent="0.35"/>
  <cols>
    <col min="1" max="1" width="4.36328125" customWidth="1"/>
  </cols>
  <sheetData>
    <row r="27" spans="2:8" x14ac:dyDescent="0.35">
      <c r="B27" s="208">
        <v>44957</v>
      </c>
      <c r="C27" s="208"/>
    </row>
    <row r="30" spans="2:8" ht="14.4" customHeight="1" x14ac:dyDescent="0.35">
      <c r="B30" s="209" t="s">
        <v>383</v>
      </c>
      <c r="C30" s="209"/>
      <c r="D30" s="209"/>
      <c r="E30" s="209"/>
      <c r="F30" s="209"/>
      <c r="G30" s="209"/>
      <c r="H30" s="209"/>
    </row>
    <row r="31" spans="2:8" ht="14.4" customHeight="1" x14ac:dyDescent="0.35">
      <c r="B31" s="209"/>
      <c r="C31" s="209"/>
      <c r="D31" s="209"/>
      <c r="E31" s="209"/>
      <c r="F31" s="209"/>
      <c r="G31" s="209"/>
      <c r="H31" s="209"/>
    </row>
    <row r="32" spans="2:8" ht="14.4" customHeight="1" x14ac:dyDescent="0.35">
      <c r="B32" s="209"/>
      <c r="C32" s="209"/>
      <c r="D32" s="209"/>
      <c r="E32" s="209"/>
      <c r="F32" s="209"/>
      <c r="G32" s="209"/>
      <c r="H32" s="209"/>
    </row>
    <row r="33" spans="2:8" ht="14.4" customHeight="1" x14ac:dyDescent="0.35">
      <c r="B33" s="209"/>
      <c r="C33" s="209"/>
      <c r="D33" s="209"/>
      <c r="E33" s="209"/>
      <c r="F33" s="209"/>
      <c r="G33" s="209"/>
      <c r="H33" s="209"/>
    </row>
    <row r="34" spans="2:8" ht="17.5" x14ac:dyDescent="0.35">
      <c r="B34" s="207" t="s">
        <v>382</v>
      </c>
    </row>
  </sheetData>
  <sheetProtection selectLockedCells="1"/>
  <mergeCells count="2">
    <mergeCell ref="B27:C27"/>
    <mergeCell ref="B30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6CD9-62E3-476A-97F5-3A1B48BC0245}">
  <sheetPr>
    <tabColor theme="1"/>
  </sheetPr>
  <dimension ref="A1:AL25"/>
  <sheetViews>
    <sheetView showGridLines="0" zoomScale="75" zoomScaleNormal="75" workbookViewId="0"/>
  </sheetViews>
  <sheetFormatPr defaultColWidth="0" defaultRowHeight="14.5" zeroHeight="1" x14ac:dyDescent="0.35"/>
  <cols>
    <col min="1" max="2" width="1.1796875" customWidth="1"/>
    <col min="3" max="3" width="30.54296875" bestFit="1" customWidth="1"/>
    <col min="4" max="4" width="113.08984375" customWidth="1"/>
    <col min="5" max="5" width="4.453125" customWidth="1"/>
    <col min="6" max="38" width="0" hidden="1" customWidth="1"/>
    <col min="39" max="16384" width="8.81640625" hidden="1"/>
  </cols>
  <sheetData>
    <row r="1" spans="1:30" s="1" customFormat="1" ht="15.5" x14ac:dyDescent="0.35">
      <c r="B1" s="2" t="s">
        <v>314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30" s="7" customFormat="1" ht="13.5" thickBot="1" x14ac:dyDescent="0.35">
      <c r="B2" s="8" t="s">
        <v>293</v>
      </c>
      <c r="C2" s="8"/>
      <c r="D2" s="8"/>
      <c r="E2" s="8"/>
      <c r="F2" s="9"/>
      <c r="G2" s="9"/>
      <c r="H2" s="9"/>
      <c r="I2" s="9"/>
    </row>
    <row r="3" spans="1:30" s="10" customFormat="1" ht="3" customHeight="1" thickBot="1" x14ac:dyDescent="0.35">
      <c r="D3" s="11"/>
      <c r="E3" s="11"/>
      <c r="F3" s="9"/>
      <c r="G3" s="9"/>
      <c r="H3" s="9"/>
      <c r="I3" s="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30" s="19" customFormat="1" ht="13.5" thickBot="1" x14ac:dyDescent="0.35">
      <c r="A4" s="12"/>
      <c r="B4" s="13" t="s">
        <v>294</v>
      </c>
      <c r="C4" s="12"/>
      <c r="D4" s="12"/>
      <c r="E4" s="12"/>
      <c r="F4" s="9"/>
      <c r="G4" s="9"/>
      <c r="H4" s="9"/>
      <c r="I4" s="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7"/>
      <c r="Y4" s="17"/>
      <c r="Z4" s="17"/>
      <c r="AA4" s="17"/>
      <c r="AB4" s="17"/>
      <c r="AC4" s="18"/>
      <c r="AD4" s="18"/>
    </row>
    <row r="5" spans="1:30" x14ac:dyDescent="0.35"/>
    <row r="6" spans="1:30" x14ac:dyDescent="0.35">
      <c r="B6" s="22"/>
      <c r="C6" s="22" t="s">
        <v>5</v>
      </c>
      <c r="D6" s="130" t="s">
        <v>295</v>
      </c>
    </row>
    <row r="7" spans="1:30" x14ac:dyDescent="0.35">
      <c r="C7" s="173" t="s">
        <v>303</v>
      </c>
      <c r="D7" s="171" t="s">
        <v>296</v>
      </c>
    </row>
    <row r="8" spans="1:30" x14ac:dyDescent="0.35">
      <c r="C8" s="173" t="s">
        <v>304</v>
      </c>
      <c r="D8" s="171" t="s">
        <v>297</v>
      </c>
    </row>
    <row r="9" spans="1:30" x14ac:dyDescent="0.35">
      <c r="C9" s="173" t="s">
        <v>305</v>
      </c>
      <c r="D9" s="171" t="s">
        <v>306</v>
      </c>
    </row>
    <row r="10" spans="1:30" x14ac:dyDescent="0.35">
      <c r="C10" s="173" t="s">
        <v>307</v>
      </c>
      <c r="D10" s="171" t="s">
        <v>300</v>
      </c>
    </row>
    <row r="11" spans="1:30" x14ac:dyDescent="0.35">
      <c r="C11" s="173" t="s">
        <v>361</v>
      </c>
      <c r="D11" s="171" t="s">
        <v>299</v>
      </c>
    </row>
    <row r="12" spans="1:30" x14ac:dyDescent="0.35">
      <c r="C12" s="173" t="s">
        <v>362</v>
      </c>
      <c r="D12" s="171" t="s">
        <v>369</v>
      </c>
    </row>
    <row r="13" spans="1:30" x14ac:dyDescent="0.35">
      <c r="C13" s="173" t="s">
        <v>363</v>
      </c>
      <c r="D13" s="171" t="s">
        <v>370</v>
      </c>
    </row>
    <row r="14" spans="1:30" x14ac:dyDescent="0.35">
      <c r="C14" s="173" t="s">
        <v>364</v>
      </c>
      <c r="D14" s="171" t="s">
        <v>371</v>
      </c>
    </row>
    <row r="15" spans="1:30" x14ac:dyDescent="0.35">
      <c r="C15" s="173" t="s">
        <v>365</v>
      </c>
      <c r="D15" s="171" t="s">
        <v>372</v>
      </c>
    </row>
    <row r="16" spans="1:30" x14ac:dyDescent="0.35">
      <c r="C16" s="173" t="s">
        <v>366</v>
      </c>
      <c r="D16" s="171" t="s">
        <v>373</v>
      </c>
    </row>
    <row r="17" spans="1:30" x14ac:dyDescent="0.35">
      <c r="C17" s="173" t="s">
        <v>308</v>
      </c>
      <c r="D17" s="171" t="s">
        <v>301</v>
      </c>
    </row>
    <row r="18" spans="1:30" x14ac:dyDescent="0.35">
      <c r="C18" s="173" t="s">
        <v>367</v>
      </c>
      <c r="D18" s="171" t="s">
        <v>302</v>
      </c>
    </row>
    <row r="19" spans="1:30" x14ac:dyDescent="0.35">
      <c r="C19" s="173" t="s">
        <v>368</v>
      </c>
      <c r="D19" s="171" t="s">
        <v>374</v>
      </c>
    </row>
    <row r="20" spans="1:30" x14ac:dyDescent="0.35">
      <c r="C20" s="173" t="s">
        <v>309</v>
      </c>
      <c r="D20" s="171" t="s">
        <v>311</v>
      </c>
    </row>
    <row r="21" spans="1:30" x14ac:dyDescent="0.35">
      <c r="C21" s="173" t="s">
        <v>310</v>
      </c>
      <c r="D21" s="171" t="s">
        <v>312</v>
      </c>
    </row>
    <row r="22" spans="1:30" x14ac:dyDescent="0.35">
      <c r="C22" s="173" t="s">
        <v>313</v>
      </c>
      <c r="D22" s="171" t="s">
        <v>298</v>
      </c>
    </row>
    <row r="23" spans="1:30" x14ac:dyDescent="0.35">
      <c r="C23" s="172"/>
      <c r="D23" s="172"/>
    </row>
    <row r="24" spans="1:30" x14ac:dyDescent="0.35">
      <c r="C24" s="172"/>
      <c r="D24" s="172"/>
    </row>
    <row r="25" spans="1:30" s="19" customFormat="1" ht="13.5" thickBot="1" x14ac:dyDescent="0.35">
      <c r="A25" s="12"/>
      <c r="B25" s="13" t="s">
        <v>18</v>
      </c>
      <c r="C25" s="12"/>
      <c r="D25" s="12"/>
      <c r="E25" s="12"/>
      <c r="F25" s="9"/>
      <c r="G25" s="9"/>
      <c r="H25" s="9"/>
      <c r="I25" s="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7"/>
      <c r="Y25" s="17"/>
      <c r="Z25" s="17"/>
      <c r="AA25" s="17"/>
      <c r="AB25" s="17"/>
      <c r="AC25" s="18"/>
      <c r="AD25" s="18"/>
    </row>
  </sheetData>
  <hyperlinks>
    <hyperlink ref="C7" location="'Input|General'!A1" display="Input|General" xr:uid="{83CA5FE6-277E-4225-8EF8-CDADF586A360}"/>
    <hyperlink ref="C8" location="'Input|Inflation'!A1" display="Input|Inflation" xr:uid="{8D72E32A-CFD1-4E63-A97D-27DC39939D5C}"/>
    <hyperlink ref="C9" location="'Calc|CPI Indexes'!A1" display="Calc|CPI Indexes" xr:uid="{58709D29-E539-4944-AD09-6A636DFB3FD0}"/>
    <hyperlink ref="C10" location="'Calc|Cyber security'!A1" display="Calc|Cyber security" xr:uid="{725052C2-2C77-4A18-8548-9EE1A8C276E4}"/>
    <hyperlink ref="C11" location="'Calc|Insurance premiums'!A1" display="Calc|Insurance premiums" xr:uid="{7A1BE8A5-9D6C-449C-BADB-794EFCBFD43C}"/>
    <hyperlink ref="C12" location="'Calc|Community resilience'!A1" display="Calc|Community resilience" xr:uid="{27A55697-6263-487C-813C-3AF4FDBA0A87}"/>
    <hyperlink ref="C13" location="'Calc|Smart meter data'!A1" display="Calc|Smart meter data" xr:uid="{087CF4A7-0699-4753-AE05-607F96721020}"/>
    <hyperlink ref="C14" location="'Calc|Network innovation program'!A1" display="Calc|Network innovation program" xr:uid="{30FBBC26-A043-4A45-9760-8FFC68D0B2F3}"/>
    <hyperlink ref="C15" location="'Calc|ICT enablement for CER'!A1" display="Calc|ICT enablement for CER" xr:uid="{E210386D-0FAC-4A32-927A-BFD25670B9B4}"/>
    <hyperlink ref="C16" location="'Calc|Property'!A1" display="Calc|Property" xr:uid="{9FBE3E7D-2FCE-46AB-AB1D-24D3DA5FFD51}"/>
    <hyperlink ref="C17" location="'Calc|BY Adj SaaS'!A1" display="Calc|BY Adj SaaS" xr:uid="{0EC67B1A-2CD8-4BCB-9F5E-A31D48312CCE}"/>
    <hyperlink ref="C18" location="'Calc|BY Adj CAM adjustment'!A1" display="Calc|BY Adj CAM adjusment" xr:uid="{26F24909-8838-43EB-B09A-C68BCF3D26FB}"/>
    <hyperlink ref="C19" location="'Calc|BY Adj Nature induced cost'!A1" display="Calc|BY Adj Nature induced cost" xr:uid="{F2E7F137-09C2-4BB1-8B4F-F0B7F2091A12}"/>
    <hyperlink ref="C20" location="'Output|Step Changes'!A1" display="Output|Step Changes" xr:uid="{99617480-6FEA-4281-8224-7BFDA0B679C0}"/>
    <hyperlink ref="C21" location="'Output|Base Year Adjustments'!A1" display="Output|Base Year Adjustments" xr:uid="{9E5FCA44-786F-4E66-9F9C-E623D514CE8D}"/>
    <hyperlink ref="C22" location="'Lookup|Tables'!A1" display="Lookup|Tables" xr:uid="{AA158C70-18E5-4E2F-BEB1-050E01178F9C}"/>
  </hyperlink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9520-3D40-4818-A5FE-833858807C9D}">
  <sheetPr>
    <tabColor rgb="FFFFFF99"/>
  </sheetPr>
  <dimension ref="A1:AD26"/>
  <sheetViews>
    <sheetView showGridLines="0" zoomScale="75" zoomScaleNormal="75" workbookViewId="0"/>
  </sheetViews>
  <sheetFormatPr defaultColWidth="0" defaultRowHeight="10" customHeight="1" zeroHeight="1" x14ac:dyDescent="0.2"/>
  <cols>
    <col min="1" max="2" width="1.1796875" style="20" customWidth="1"/>
    <col min="3" max="3" width="34.453125" style="20" customWidth="1"/>
    <col min="4" max="4" width="9.1796875" style="21" customWidth="1"/>
    <col min="5" max="6" width="2.81640625" style="21" customWidth="1"/>
    <col min="7" max="7" width="13.1796875" style="21" bestFit="1" customWidth="1"/>
    <col min="8" max="9" width="2.81640625" style="21" customWidth="1"/>
    <col min="10" max="23" width="8.81640625" style="20" customWidth="1"/>
    <col min="24" max="38" width="8.54296875" style="20" hidden="1" customWidth="1"/>
    <col min="39" max="16384" width="8.54296875" style="20" hidden="1"/>
  </cols>
  <sheetData>
    <row r="1" spans="1:30" s="1" customFormat="1" ht="15.5" x14ac:dyDescent="0.35">
      <c r="B1" s="2" t="s">
        <v>0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30" s="7" customFormat="1" ht="13.5" thickBot="1" x14ac:dyDescent="0.35">
      <c r="B2" s="8" t="s">
        <v>19</v>
      </c>
      <c r="C2" s="8"/>
      <c r="D2" s="8"/>
      <c r="E2" s="8"/>
      <c r="F2" s="9"/>
      <c r="G2" s="9"/>
      <c r="H2" s="9"/>
      <c r="I2" s="9"/>
    </row>
    <row r="3" spans="1:30" s="10" customFormat="1" ht="3" customHeight="1" x14ac:dyDescent="0.2">
      <c r="D3" s="11"/>
      <c r="E3" s="11"/>
      <c r="F3" s="11"/>
      <c r="G3" s="11"/>
      <c r="H3" s="11"/>
      <c r="I3" s="11"/>
    </row>
    <row r="4" spans="1:30" s="19" customFormat="1" ht="13" x14ac:dyDescent="0.3">
      <c r="A4" s="12"/>
      <c r="B4" s="13" t="s">
        <v>4</v>
      </c>
      <c r="C4" s="12"/>
      <c r="D4" s="12"/>
      <c r="E4" s="12"/>
      <c r="F4" s="14"/>
      <c r="G4" s="14"/>
      <c r="H4" s="14"/>
      <c r="I4" s="14"/>
      <c r="J4" s="15"/>
      <c r="K4" s="16"/>
      <c r="L4" s="15"/>
      <c r="M4" s="16"/>
      <c r="N4" s="15"/>
      <c r="O4" s="15"/>
      <c r="P4" s="15"/>
      <c r="Q4" s="15"/>
      <c r="R4" s="15"/>
      <c r="S4" s="15"/>
      <c r="T4" s="15"/>
      <c r="U4" s="15"/>
      <c r="V4" s="16"/>
      <c r="W4" s="16"/>
      <c r="X4" s="17"/>
      <c r="Y4" s="17"/>
      <c r="Z4" s="17"/>
      <c r="AA4" s="17"/>
      <c r="AB4" s="17"/>
      <c r="AC4" s="18"/>
      <c r="AD4" s="18"/>
    </row>
    <row r="5" spans="1:30" x14ac:dyDescent="0.2"/>
    <row r="6" spans="1:30" x14ac:dyDescent="0.2"/>
    <row r="7" spans="1:30" ht="10.5" x14ac:dyDescent="0.25">
      <c r="C7" s="22" t="s">
        <v>5</v>
      </c>
      <c r="D7" s="23" t="s">
        <v>6</v>
      </c>
      <c r="E7" s="23"/>
      <c r="F7" s="24"/>
      <c r="G7" s="24" t="s">
        <v>7</v>
      </c>
      <c r="H7" s="24"/>
      <c r="I7" s="20"/>
    </row>
    <row r="8" spans="1:30" x14ac:dyDescent="0.2">
      <c r="C8" s="20" t="s">
        <v>8</v>
      </c>
      <c r="D8" s="21" t="s">
        <v>9</v>
      </c>
      <c r="E8" s="20"/>
      <c r="F8" s="20"/>
      <c r="G8" s="25" t="s">
        <v>10</v>
      </c>
      <c r="H8" s="20"/>
      <c r="I8" s="20"/>
    </row>
    <row r="9" spans="1:30" x14ac:dyDescent="0.2">
      <c r="C9" s="20" t="s">
        <v>12</v>
      </c>
      <c r="D9" s="21" t="s">
        <v>9</v>
      </c>
      <c r="E9" s="20"/>
      <c r="F9" s="20"/>
      <c r="G9" s="26">
        <v>36678</v>
      </c>
      <c r="H9" s="20"/>
      <c r="I9" s="20"/>
    </row>
    <row r="10" spans="1:30" x14ac:dyDescent="0.2">
      <c r="C10" s="20" t="s">
        <v>13</v>
      </c>
      <c r="D10" s="21" t="s">
        <v>9</v>
      </c>
      <c r="E10" s="20"/>
      <c r="F10" s="20"/>
      <c r="G10" s="27">
        <v>2020</v>
      </c>
      <c r="H10" s="20"/>
      <c r="I10" s="20"/>
    </row>
    <row r="11" spans="1:30" x14ac:dyDescent="0.2">
      <c r="C11" s="20" t="s">
        <v>14</v>
      </c>
      <c r="D11" s="21" t="s">
        <v>9</v>
      </c>
      <c r="E11" s="20"/>
      <c r="F11" s="20"/>
      <c r="G11" s="27">
        <v>2023</v>
      </c>
      <c r="H11" s="20"/>
      <c r="I11" s="20"/>
    </row>
    <row r="12" spans="1:30" x14ac:dyDescent="0.2">
      <c r="C12" s="20" t="s">
        <v>15</v>
      </c>
      <c r="D12" s="21" t="s">
        <v>9</v>
      </c>
      <c r="E12" s="20"/>
      <c r="F12" s="20"/>
      <c r="G12" s="27">
        <v>2024</v>
      </c>
      <c r="H12" s="20"/>
      <c r="I12" s="20"/>
    </row>
    <row r="13" spans="1:30" x14ac:dyDescent="0.2">
      <c r="C13" s="20" t="s">
        <v>16</v>
      </c>
      <c r="D13" s="21" t="s">
        <v>9</v>
      </c>
      <c r="E13" s="20"/>
      <c r="F13" s="20"/>
      <c r="G13" s="27">
        <v>2025</v>
      </c>
      <c r="H13" s="20"/>
      <c r="I13" s="20"/>
    </row>
    <row r="14" spans="1:30" x14ac:dyDescent="0.2">
      <c r="C14" s="20" t="s">
        <v>17</v>
      </c>
      <c r="D14" s="21" t="s">
        <v>9</v>
      </c>
      <c r="E14" s="20"/>
      <c r="F14" s="20"/>
      <c r="G14" s="27">
        <v>2029</v>
      </c>
      <c r="H14" s="20"/>
      <c r="I14" s="20"/>
    </row>
    <row r="15" spans="1:30" x14ac:dyDescent="0.2">
      <c r="D15" s="20"/>
      <c r="E15" s="20"/>
      <c r="F15" s="20"/>
      <c r="G15" s="20"/>
      <c r="H15" s="20"/>
      <c r="I15" s="20"/>
    </row>
    <row r="16" spans="1:30" s="19" customFormat="1" ht="13" x14ac:dyDescent="0.3">
      <c r="A16" s="12"/>
      <c r="B16" s="13" t="s">
        <v>18</v>
      </c>
      <c r="C16" s="12"/>
      <c r="D16" s="12"/>
      <c r="E16" s="12"/>
      <c r="F16" s="14"/>
      <c r="G16" s="14"/>
      <c r="H16" s="14"/>
      <c r="I16" s="14"/>
      <c r="J16" s="15"/>
      <c r="K16" s="16"/>
      <c r="L16" s="15"/>
      <c r="M16" s="16"/>
      <c r="N16" s="15"/>
      <c r="O16" s="15"/>
      <c r="P16" s="15"/>
      <c r="Q16" s="15"/>
      <c r="R16" s="15"/>
      <c r="S16" s="15"/>
      <c r="T16" s="15"/>
      <c r="U16" s="15"/>
      <c r="V16" s="16"/>
      <c r="W16" s="16"/>
      <c r="X16" s="17"/>
      <c r="Y16" s="17"/>
      <c r="Z16" s="17"/>
      <c r="AA16" s="17"/>
      <c r="AB16" s="17"/>
      <c r="AC16" s="18"/>
      <c r="AD16" s="18"/>
    </row>
    <row r="17" spans="7:8" hidden="1" x14ac:dyDescent="0.2">
      <c r="G17" s="23"/>
      <c r="H17" s="23"/>
    </row>
    <row r="18" spans="7:8" hidden="1" x14ac:dyDescent="0.2">
      <c r="G18" s="23"/>
      <c r="H18" s="23"/>
    </row>
    <row r="19" spans="7:8" hidden="1" x14ac:dyDescent="0.2">
      <c r="G19" s="23"/>
      <c r="H19" s="23"/>
    </row>
    <row r="20" spans="7:8" hidden="1" x14ac:dyDescent="0.2">
      <c r="G20" s="23"/>
      <c r="H20" s="23"/>
    </row>
    <row r="21" spans="7:8" hidden="1" x14ac:dyDescent="0.2">
      <c r="G21" s="23"/>
      <c r="H21" s="23"/>
    </row>
    <row r="22" spans="7:8" hidden="1" x14ac:dyDescent="0.2">
      <c r="G22" s="23"/>
      <c r="H22" s="23"/>
    </row>
    <row r="23" spans="7:8" hidden="1" x14ac:dyDescent="0.2">
      <c r="G23" s="23"/>
      <c r="H23" s="23"/>
    </row>
    <row r="24" spans="7:8" hidden="1" x14ac:dyDescent="0.2">
      <c r="G24" s="23"/>
      <c r="H24" s="23"/>
    </row>
    <row r="25" spans="7:8" hidden="1" x14ac:dyDescent="0.2">
      <c r="G25" s="23"/>
      <c r="H25" s="23"/>
    </row>
    <row r="26" spans="7:8" hidden="1" x14ac:dyDescent="0.2">
      <c r="G26" s="23"/>
      <c r="H26" s="23"/>
    </row>
  </sheetData>
  <dataConsolidate/>
  <dataValidations count="3">
    <dataValidation type="list" allowBlank="1" showInputMessage="1" showErrorMessage="1" sqref="F12:F13" xr:uid="{49373D6D-2DBB-4722-904F-411DDF613558}">
      <formula1>#REF!</formula1>
    </dataValidation>
    <dataValidation type="list" allowBlank="1" showInputMessage="1" showErrorMessage="1" sqref="I12:I15" xr:uid="{DD869FC6-40A9-4308-9719-5CE0092730B5}">
      <formula1>#REF!</formula1>
    </dataValidation>
    <dataValidation type="list" allowBlank="1" showInputMessage="1" showErrorMessage="1" sqref="F14:F15" xr:uid="{A0F2E6C6-275C-411E-9726-7389381C6647}">
      <formula1>"Real 2010,Real 2011,Real 2012,Real 2013,Real 2014,Real 2015,Nominal"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5BD0-2414-4431-827A-A8C1453D454C}">
  <sheetPr codeName="Sheet5">
    <tabColor rgb="FFFFFF99"/>
  </sheetPr>
  <dimension ref="A1:AX110"/>
  <sheetViews>
    <sheetView showGridLines="0" zoomScale="75" zoomScaleNormal="75" workbookViewId="0"/>
  </sheetViews>
  <sheetFormatPr defaultColWidth="0" defaultRowHeight="10" zeroHeight="1" x14ac:dyDescent="0.2"/>
  <cols>
    <col min="1" max="2" width="1.1796875" style="20" customWidth="1"/>
    <col min="3" max="3" width="9.54296875" style="20" bestFit="1" customWidth="1"/>
    <col min="4" max="4" width="17.54296875" style="21" bestFit="1" customWidth="1"/>
    <col min="5" max="5" width="17.54296875" style="21" customWidth="1"/>
    <col min="6" max="9" width="12.1796875" style="21" customWidth="1"/>
    <col min="10" max="12" width="2.81640625" style="21" customWidth="1"/>
    <col min="13" max="26" width="8.81640625" style="20" customWidth="1"/>
    <col min="27" max="41" width="8.54296875" style="20" hidden="1" customWidth="1"/>
    <col min="42" max="16384" width="8.54296875" style="20" hidden="1"/>
  </cols>
  <sheetData>
    <row r="1" spans="1:33" s="1" customFormat="1" ht="15.5" x14ac:dyDescent="0.35">
      <c r="B1" s="2" t="s">
        <v>375</v>
      </c>
      <c r="C1" s="2"/>
      <c r="D1" s="2"/>
      <c r="E1" s="2"/>
      <c r="F1" s="2"/>
      <c r="G1" s="2"/>
      <c r="H1" s="2"/>
      <c r="I1" s="3"/>
      <c r="J1" s="3"/>
      <c r="K1" s="3"/>
      <c r="L1" s="3"/>
      <c r="M1" s="152" t="s">
        <v>253</v>
      </c>
      <c r="O1" s="4" t="s">
        <v>1</v>
      </c>
      <c r="P1" s="5" t="s">
        <v>2</v>
      </c>
      <c r="Q1" s="153" t="s">
        <v>254</v>
      </c>
      <c r="R1" s="6" t="s">
        <v>3</v>
      </c>
      <c r="U1" s="4" t="s">
        <v>255</v>
      </c>
      <c r="V1" s="154" t="str">
        <f>IF(COUNTA($V$5:$V$99)=COUNTIF($V5:$V100,"OK"),"OK","Check")</f>
        <v>OK</v>
      </c>
      <c r="X1" s="155" t="s">
        <v>256</v>
      </c>
      <c r="Y1" s="154" t="s">
        <v>376</v>
      </c>
    </row>
    <row r="2" spans="1:33" s="7" customFormat="1" ht="13.5" thickBot="1" x14ac:dyDescent="0.35">
      <c r="B2" s="8" t="s">
        <v>19</v>
      </c>
      <c r="C2" s="8"/>
      <c r="D2" s="8"/>
      <c r="E2" s="8"/>
      <c r="F2" s="8"/>
      <c r="G2" s="8"/>
      <c r="H2" s="8"/>
      <c r="I2" s="9"/>
      <c r="J2" s="9"/>
      <c r="K2" s="9"/>
      <c r="L2" s="9"/>
    </row>
    <row r="3" spans="1:33" s="10" customFormat="1" ht="3" customHeight="1" x14ac:dyDescent="0.2">
      <c r="D3" s="11"/>
      <c r="E3" s="11"/>
      <c r="F3" s="11"/>
      <c r="G3" s="11"/>
      <c r="H3" s="11"/>
      <c r="I3" s="11"/>
      <c r="J3" s="11"/>
      <c r="K3" s="11"/>
      <c r="L3" s="11"/>
    </row>
    <row r="4" spans="1:33" s="19" customFormat="1" ht="13" x14ac:dyDescent="0.3">
      <c r="A4" s="12"/>
      <c r="B4" s="13" t="s">
        <v>4</v>
      </c>
      <c r="C4" s="12"/>
      <c r="D4" s="12"/>
      <c r="E4" s="12"/>
      <c r="F4" s="12"/>
      <c r="G4" s="12"/>
      <c r="H4" s="12"/>
      <c r="I4" s="14"/>
      <c r="J4" s="14"/>
      <c r="K4" s="14"/>
      <c r="L4" s="14"/>
      <c r="M4" s="15"/>
      <c r="N4" s="16"/>
      <c r="O4" s="15"/>
      <c r="P4" s="16"/>
      <c r="Q4" s="15"/>
      <c r="R4" s="15"/>
      <c r="S4" s="15"/>
      <c r="T4" s="15"/>
      <c r="U4" s="15"/>
      <c r="V4" s="15"/>
      <c r="W4" s="15"/>
      <c r="X4" s="15"/>
      <c r="Y4" s="16"/>
      <c r="Z4" s="16"/>
      <c r="AA4" s="17"/>
      <c r="AB4" s="17"/>
      <c r="AC4" s="17"/>
      <c r="AD4" s="17"/>
      <c r="AE4" s="17"/>
      <c r="AF4" s="18"/>
      <c r="AG4" s="18"/>
    </row>
    <row r="5" spans="1:33" ht="11.25" customHeight="1" x14ac:dyDescent="0.2"/>
    <row r="6" spans="1:33" ht="50" x14ac:dyDescent="0.2">
      <c r="D6" s="28" t="s">
        <v>20</v>
      </c>
      <c r="E6" s="28" t="s">
        <v>21</v>
      </c>
      <c r="F6" s="28" t="s">
        <v>20</v>
      </c>
      <c r="G6" s="28" t="s">
        <v>257</v>
      </c>
      <c r="H6" s="28" t="s">
        <v>258</v>
      </c>
      <c r="I6" s="28" t="s">
        <v>21</v>
      </c>
      <c r="J6" s="28"/>
      <c r="K6" s="20"/>
      <c r="L6" s="20"/>
    </row>
    <row r="7" spans="1:33" ht="10.5" x14ac:dyDescent="0.25">
      <c r="C7" s="29" t="s">
        <v>6</v>
      </c>
      <c r="D7" s="30" t="s">
        <v>22</v>
      </c>
      <c r="E7" s="30" t="s">
        <v>23</v>
      </c>
      <c r="F7" s="30" t="s">
        <v>22</v>
      </c>
      <c r="G7" s="30" t="s">
        <v>259</v>
      </c>
      <c r="H7" s="30" t="s">
        <v>23</v>
      </c>
      <c r="I7" s="30" t="s">
        <v>23</v>
      </c>
      <c r="J7" s="30"/>
      <c r="K7" s="20"/>
      <c r="L7" s="20"/>
    </row>
    <row r="8" spans="1:33" ht="10.5" x14ac:dyDescent="0.25">
      <c r="C8" s="29" t="s">
        <v>24</v>
      </c>
      <c r="D8" s="30" t="s">
        <v>25</v>
      </c>
      <c r="E8" s="30" t="s">
        <v>26</v>
      </c>
      <c r="F8" s="30" t="s">
        <v>25</v>
      </c>
      <c r="G8" s="30" t="s">
        <v>26</v>
      </c>
      <c r="H8" s="30" t="s">
        <v>25</v>
      </c>
      <c r="I8" s="30" t="s">
        <v>26</v>
      </c>
      <c r="J8" s="30"/>
      <c r="K8" s="20"/>
      <c r="L8" s="20"/>
    </row>
    <row r="9" spans="1:33" ht="10.5" x14ac:dyDescent="0.25">
      <c r="C9" s="31">
        <v>39172</v>
      </c>
      <c r="D9" s="32">
        <v>155.6</v>
      </c>
      <c r="E9" s="20"/>
      <c r="F9" s="20"/>
      <c r="G9" s="20"/>
      <c r="H9" s="20"/>
      <c r="I9" s="20"/>
      <c r="J9" s="20"/>
      <c r="K9" s="20"/>
      <c r="L9" s="20"/>
      <c r="V9" s="156" t="s">
        <v>376</v>
      </c>
    </row>
    <row r="10" spans="1:33" ht="10.5" x14ac:dyDescent="0.25">
      <c r="C10" s="31">
        <v>39263</v>
      </c>
      <c r="D10" s="32">
        <v>157.5</v>
      </c>
      <c r="E10" s="20"/>
      <c r="F10" s="20"/>
      <c r="G10" s="20"/>
      <c r="H10" s="20"/>
      <c r="I10" s="20"/>
      <c r="J10" s="20"/>
      <c r="K10" s="20"/>
      <c r="L10" s="20"/>
      <c r="V10" s="156" t="s">
        <v>376</v>
      </c>
    </row>
    <row r="11" spans="1:33" ht="10.5" x14ac:dyDescent="0.25">
      <c r="C11" s="31">
        <v>39355</v>
      </c>
      <c r="D11" s="32">
        <v>158.6</v>
      </c>
      <c r="E11" s="20"/>
      <c r="F11" s="20"/>
      <c r="G11" s="20"/>
      <c r="H11" s="20"/>
      <c r="I11" s="20"/>
      <c r="J11" s="20"/>
      <c r="K11" s="20"/>
      <c r="L11" s="20"/>
      <c r="V11" s="156" t="s">
        <v>376</v>
      </c>
    </row>
    <row r="12" spans="1:33" ht="10.5" x14ac:dyDescent="0.25">
      <c r="C12" s="31">
        <v>39447</v>
      </c>
      <c r="D12" s="32">
        <v>160.1</v>
      </c>
      <c r="E12" s="20"/>
      <c r="F12" s="20"/>
      <c r="G12" s="20"/>
      <c r="H12" s="20"/>
      <c r="I12" s="33"/>
      <c r="J12" s="20"/>
      <c r="K12" s="20"/>
      <c r="L12" s="20"/>
      <c r="V12" s="156" t="s">
        <v>376</v>
      </c>
    </row>
    <row r="13" spans="1:33" ht="10.5" x14ac:dyDescent="0.25">
      <c r="C13" s="31">
        <v>39538</v>
      </c>
      <c r="D13" s="32">
        <v>162.19999999999999</v>
      </c>
      <c r="E13" s="34">
        <f>D13/D9-1</f>
        <v>4.2416452442159303E-2</v>
      </c>
      <c r="F13" s="20"/>
      <c r="G13" s="20"/>
      <c r="H13" s="20"/>
      <c r="I13" s="33"/>
      <c r="J13" s="20"/>
      <c r="K13" s="20"/>
      <c r="L13" s="20"/>
      <c r="V13" s="156" t="s">
        <v>376</v>
      </c>
    </row>
    <row r="14" spans="1:33" ht="10.5" x14ac:dyDescent="0.25">
      <c r="C14" s="31">
        <v>39629</v>
      </c>
      <c r="D14" s="32">
        <v>164.6</v>
      </c>
      <c r="E14" s="34">
        <f t="shared" ref="E14:E29" si="0">D14/D10-1</f>
        <v>4.5079365079365052E-2</v>
      </c>
      <c r="F14" s="20"/>
      <c r="G14" s="20"/>
      <c r="H14" s="20"/>
      <c r="I14" s="33"/>
      <c r="J14" s="20"/>
      <c r="K14" s="20"/>
      <c r="L14" s="20"/>
      <c r="V14" s="156" t="s">
        <v>376</v>
      </c>
    </row>
    <row r="15" spans="1:33" ht="10.5" x14ac:dyDescent="0.25">
      <c r="C15" s="31">
        <v>39721</v>
      </c>
      <c r="D15" s="32">
        <v>166.5</v>
      </c>
      <c r="E15" s="34">
        <f t="shared" si="0"/>
        <v>4.9810844892812067E-2</v>
      </c>
      <c r="F15" s="20"/>
      <c r="G15" s="20"/>
      <c r="H15" s="20"/>
      <c r="I15" s="33"/>
      <c r="J15" s="20"/>
      <c r="K15" s="20"/>
      <c r="L15" s="20"/>
      <c r="V15" s="156" t="s">
        <v>376</v>
      </c>
    </row>
    <row r="16" spans="1:33" ht="10.5" x14ac:dyDescent="0.25">
      <c r="C16" s="31">
        <v>39813</v>
      </c>
      <c r="D16" s="32">
        <v>166</v>
      </c>
      <c r="E16" s="34">
        <f t="shared" si="0"/>
        <v>3.6851967520299844E-2</v>
      </c>
      <c r="F16" s="20"/>
      <c r="G16" s="20"/>
      <c r="H16" s="20"/>
      <c r="I16" s="33"/>
      <c r="J16" s="20"/>
      <c r="K16" s="20"/>
      <c r="L16" s="20"/>
      <c r="V16" s="156" t="s">
        <v>376</v>
      </c>
    </row>
    <row r="17" spans="3:22" ht="10.5" x14ac:dyDescent="0.25">
      <c r="C17" s="31">
        <v>39903</v>
      </c>
      <c r="D17" s="32">
        <v>166.2</v>
      </c>
      <c r="E17" s="34">
        <f t="shared" si="0"/>
        <v>2.4660912453760897E-2</v>
      </c>
      <c r="F17" s="20"/>
      <c r="G17" s="20"/>
      <c r="H17" s="20"/>
      <c r="I17" s="33"/>
      <c r="J17" s="20"/>
      <c r="K17" s="20"/>
      <c r="L17" s="20"/>
      <c r="V17" s="156" t="s">
        <v>376</v>
      </c>
    </row>
    <row r="18" spans="3:22" ht="10.5" x14ac:dyDescent="0.25">
      <c r="C18" s="31">
        <v>39994</v>
      </c>
      <c r="D18" s="32">
        <v>167</v>
      </c>
      <c r="E18" s="34">
        <f t="shared" si="0"/>
        <v>1.4580801944106936E-2</v>
      </c>
      <c r="F18" s="20"/>
      <c r="G18" s="20"/>
      <c r="H18" s="20"/>
      <c r="I18" s="33"/>
      <c r="J18" s="20"/>
      <c r="K18" s="20"/>
      <c r="L18" s="20"/>
      <c r="V18" s="156" t="s">
        <v>376</v>
      </c>
    </row>
    <row r="19" spans="3:22" ht="10.5" x14ac:dyDescent="0.25">
      <c r="C19" s="31">
        <v>40086</v>
      </c>
      <c r="D19" s="32">
        <v>168.6</v>
      </c>
      <c r="E19" s="34">
        <f t="shared" si="0"/>
        <v>1.2612612612612484E-2</v>
      </c>
      <c r="F19" s="20"/>
      <c r="G19" s="20"/>
      <c r="H19" s="20"/>
      <c r="I19" s="33"/>
      <c r="J19" s="20"/>
      <c r="K19" s="20"/>
      <c r="L19" s="20"/>
      <c r="V19" s="156" t="s">
        <v>376</v>
      </c>
    </row>
    <row r="20" spans="3:22" ht="10.5" x14ac:dyDescent="0.25">
      <c r="C20" s="31">
        <v>40178</v>
      </c>
      <c r="D20" s="32">
        <v>169.5</v>
      </c>
      <c r="E20" s="34">
        <f t="shared" si="0"/>
        <v>2.108433734939763E-2</v>
      </c>
      <c r="F20" s="20"/>
      <c r="G20" s="20"/>
      <c r="H20" s="20"/>
      <c r="I20" s="33"/>
      <c r="J20" s="20"/>
      <c r="K20" s="20"/>
      <c r="L20" s="20"/>
      <c r="V20" s="156" t="s">
        <v>376</v>
      </c>
    </row>
    <row r="21" spans="3:22" ht="10.5" x14ac:dyDescent="0.25">
      <c r="C21" s="31">
        <v>40268</v>
      </c>
      <c r="D21" s="32">
        <v>171</v>
      </c>
      <c r="E21" s="34">
        <f t="shared" si="0"/>
        <v>2.8880866425992746E-2</v>
      </c>
      <c r="F21" s="32">
        <v>95.2</v>
      </c>
      <c r="G21" s="157"/>
      <c r="H21" s="157">
        <f>IF(ISBLANK(F21),IF(COUNT(G21:G$84)=0,"",IF(ISBLANK(G21),AVERAGE(H20,H22),(1+G21)*H17)),F21)</f>
        <v>95.2</v>
      </c>
      <c r="I21" s="33"/>
      <c r="J21" s="35"/>
      <c r="K21" s="20"/>
      <c r="L21" s="20"/>
      <c r="V21" s="156" t="s">
        <v>376</v>
      </c>
    </row>
    <row r="22" spans="3:22" ht="10.5" x14ac:dyDescent="0.25">
      <c r="C22" s="31">
        <v>40359</v>
      </c>
      <c r="D22" s="32">
        <v>172.1</v>
      </c>
      <c r="E22" s="34">
        <f t="shared" si="0"/>
        <v>3.0538922155688653E-2</v>
      </c>
      <c r="F22" s="32">
        <v>95.8</v>
      </c>
      <c r="G22" s="157"/>
      <c r="H22" s="157">
        <f>IF(ISBLANK(F22),IF(COUNT(G22:G$84)=0,"",IF(ISBLANK(G22),AVERAGE(H21,H23),(1+G22)*H18)),F22)</f>
        <v>95.8</v>
      </c>
      <c r="I22" s="33"/>
      <c r="J22" s="35"/>
      <c r="K22" s="20"/>
      <c r="L22" s="20"/>
      <c r="V22" s="156" t="s">
        <v>376</v>
      </c>
    </row>
    <row r="23" spans="3:22" ht="10.5" x14ac:dyDescent="0.25">
      <c r="C23" s="31">
        <v>40451</v>
      </c>
      <c r="D23" s="32">
        <v>173.3</v>
      </c>
      <c r="E23" s="34">
        <f t="shared" si="0"/>
        <v>2.7876631079478242E-2</v>
      </c>
      <c r="F23" s="32">
        <v>96.5</v>
      </c>
      <c r="G23" s="157"/>
      <c r="H23" s="157">
        <f>IF(ISBLANK(F23),IF(COUNT(G23:G$84)=0,"",IF(ISBLANK(G23),AVERAGE(H22,H24),(1+G23)*H19)),F23)</f>
        <v>96.5</v>
      </c>
      <c r="I23" s="33"/>
      <c r="J23" s="35"/>
      <c r="K23" s="20"/>
      <c r="L23" s="20"/>
      <c r="V23" s="156" t="s">
        <v>376</v>
      </c>
    </row>
    <row r="24" spans="3:22" ht="10.5" x14ac:dyDescent="0.25">
      <c r="C24" s="31">
        <v>40543</v>
      </c>
      <c r="D24" s="32">
        <v>174</v>
      </c>
      <c r="E24" s="34">
        <f t="shared" si="0"/>
        <v>2.6548672566371723E-2</v>
      </c>
      <c r="F24" s="32">
        <v>96.9</v>
      </c>
      <c r="G24" s="157"/>
      <c r="H24" s="157">
        <f>IF(ISBLANK(F24),IF(COUNT(G24:G$84)=0,"",IF(ISBLANK(G24),AVERAGE(H23,H25),(1+G24)*H20)),F24)</f>
        <v>96.9</v>
      </c>
      <c r="I24" s="33"/>
      <c r="J24" s="35"/>
      <c r="K24" s="20"/>
      <c r="L24" s="20"/>
      <c r="V24" s="156" t="s">
        <v>376</v>
      </c>
    </row>
    <row r="25" spans="3:22" ht="10.5" x14ac:dyDescent="0.25">
      <c r="C25" s="31">
        <v>40633</v>
      </c>
      <c r="D25" s="32">
        <v>176.7</v>
      </c>
      <c r="E25" s="34">
        <f t="shared" si="0"/>
        <v>3.3333333333333215E-2</v>
      </c>
      <c r="F25" s="32">
        <v>98.3</v>
      </c>
      <c r="G25" s="157"/>
      <c r="H25" s="157">
        <f>IF(ISBLANK(F25),IF(COUNT(G25:G$84)=0,"",IF(ISBLANK(G25),AVERAGE(H24,H26),(1+G25)*H21)),F25)</f>
        <v>98.3</v>
      </c>
      <c r="I25" s="34">
        <f t="shared" ref="I25:I78" si="1">IF(H25="","",H25/H21-1)</f>
        <v>3.2563025210083918E-2</v>
      </c>
      <c r="J25" s="35"/>
      <c r="K25" s="20"/>
      <c r="L25" s="20"/>
      <c r="V25" s="156" t="s">
        <v>376</v>
      </c>
    </row>
    <row r="26" spans="3:22" ht="10.5" x14ac:dyDescent="0.25">
      <c r="C26" s="31">
        <v>40724</v>
      </c>
      <c r="D26" s="32">
        <v>178.3</v>
      </c>
      <c r="E26" s="34">
        <f t="shared" si="0"/>
        <v>3.6025566531086683E-2</v>
      </c>
      <c r="F26" s="32">
        <v>99.2</v>
      </c>
      <c r="G26" s="157"/>
      <c r="H26" s="157">
        <f>IF(ISBLANK(F26),IF(COUNT(G26:G$84)=0,"",IF(ISBLANK(G26),AVERAGE(H25,H27),(1+G26)*H22)),F26)</f>
        <v>99.2</v>
      </c>
      <c r="I26" s="34">
        <f t="shared" si="1"/>
        <v>3.5490605427975108E-2</v>
      </c>
      <c r="J26" s="35"/>
      <c r="K26" s="20"/>
      <c r="L26" s="20"/>
      <c r="V26" s="156" t="s">
        <v>376</v>
      </c>
    </row>
    <row r="27" spans="3:22" ht="10.5" x14ac:dyDescent="0.25">
      <c r="C27" s="31">
        <v>40816</v>
      </c>
      <c r="D27" s="32">
        <v>179.4</v>
      </c>
      <c r="E27" s="34">
        <f t="shared" si="0"/>
        <v>3.5199076745527913E-2</v>
      </c>
      <c r="F27" s="32">
        <v>99.8</v>
      </c>
      <c r="G27" s="157"/>
      <c r="H27" s="157">
        <f>IF(ISBLANK(F27),IF(COUNT(G27:G$84)=0,"",IF(ISBLANK(G27),AVERAGE(H26,H28),(1+G27)*H23)),F27)</f>
        <v>99.8</v>
      </c>
      <c r="I27" s="34">
        <f t="shared" si="1"/>
        <v>3.4196891191709877E-2</v>
      </c>
      <c r="J27" s="35"/>
      <c r="K27" s="20"/>
      <c r="L27" s="20"/>
      <c r="V27" s="156" t="s">
        <v>376</v>
      </c>
    </row>
    <row r="28" spans="3:22" ht="10.5" x14ac:dyDescent="0.25">
      <c r="C28" s="31">
        <v>40908</v>
      </c>
      <c r="D28" s="32">
        <v>179.4</v>
      </c>
      <c r="E28" s="34">
        <f t="shared" si="0"/>
        <v>3.1034482758620641E-2</v>
      </c>
      <c r="F28" s="32">
        <v>99.8</v>
      </c>
      <c r="G28" s="157"/>
      <c r="H28" s="157">
        <f>IF(ISBLANK(F28),IF(COUNT(G28:G$84)=0,"",IF(ISBLANK(G28),AVERAGE(H27,H29),(1+G28)*H24)),F28)</f>
        <v>99.8</v>
      </c>
      <c r="I28" s="34">
        <f t="shared" si="1"/>
        <v>2.9927760577915352E-2</v>
      </c>
      <c r="J28" s="35"/>
      <c r="K28" s="20"/>
      <c r="L28" s="20"/>
      <c r="V28" s="156" t="s">
        <v>376</v>
      </c>
    </row>
    <row r="29" spans="3:22" ht="10.5" x14ac:dyDescent="0.25">
      <c r="C29" s="31">
        <v>40999</v>
      </c>
      <c r="D29" s="32">
        <v>179.5</v>
      </c>
      <c r="E29" s="34">
        <f t="shared" si="0"/>
        <v>1.5846066779853007E-2</v>
      </c>
      <c r="F29" s="32">
        <v>99.9</v>
      </c>
      <c r="G29" s="157"/>
      <c r="H29" s="157">
        <f>IF(ISBLANK(F29),IF(COUNT(G29:G$84)=0,"",IF(ISBLANK(G29),AVERAGE(H28,H30),(1+G29)*H25)),F29)</f>
        <v>99.9</v>
      </c>
      <c r="I29" s="34">
        <f t="shared" si="1"/>
        <v>1.6276703967446737E-2</v>
      </c>
      <c r="J29" s="35"/>
      <c r="K29" s="20"/>
      <c r="L29" s="20"/>
      <c r="V29" s="156" t="s">
        <v>376</v>
      </c>
    </row>
    <row r="30" spans="3:22" ht="10.5" x14ac:dyDescent="0.25">
      <c r="C30" s="31">
        <v>41090</v>
      </c>
      <c r="D30" s="20"/>
      <c r="E30" s="20"/>
      <c r="F30" s="32">
        <v>100.4</v>
      </c>
      <c r="G30" s="157"/>
      <c r="H30" s="157">
        <f>IF(ISBLANK(F30),IF(COUNT(G30:G$84)=0,"",IF(ISBLANK(G30),AVERAGE(H29,H31),(1+G30)*H26)),F30)</f>
        <v>100.4</v>
      </c>
      <c r="I30" s="34">
        <f t="shared" si="1"/>
        <v>1.2096774193548487E-2</v>
      </c>
      <c r="J30" s="35"/>
      <c r="K30" s="20"/>
      <c r="L30" s="20"/>
      <c r="V30" s="156" t="s">
        <v>376</v>
      </c>
    </row>
    <row r="31" spans="3:22" ht="10.5" x14ac:dyDescent="0.25">
      <c r="C31" s="31">
        <v>41182</v>
      </c>
      <c r="D31" s="20"/>
      <c r="E31" s="20"/>
      <c r="F31" s="32">
        <v>101.8</v>
      </c>
      <c r="G31" s="157"/>
      <c r="H31" s="157">
        <f>IF(ISBLANK(F31),IF(COUNT(G31:G$84)=0,"",IF(ISBLANK(G31),AVERAGE(H30,H32),(1+G31)*H27)),F31)</f>
        <v>101.8</v>
      </c>
      <c r="I31" s="34">
        <f t="shared" si="1"/>
        <v>2.0040080160320661E-2</v>
      </c>
      <c r="J31" s="35"/>
      <c r="K31" s="20"/>
      <c r="L31" s="20"/>
      <c r="V31" s="156" t="s">
        <v>376</v>
      </c>
    </row>
    <row r="32" spans="3:22" ht="10.5" x14ac:dyDescent="0.25">
      <c r="C32" s="31">
        <v>41274</v>
      </c>
      <c r="D32" s="20"/>
      <c r="E32" s="20"/>
      <c r="F32" s="32">
        <v>102</v>
      </c>
      <c r="G32" s="157"/>
      <c r="H32" s="157">
        <f>IF(ISBLANK(F32),IF(COUNT(G32:G$84)=0,"",IF(ISBLANK(G32),AVERAGE(H31,H33),(1+G32)*H28)),F32)</f>
        <v>102</v>
      </c>
      <c r="I32" s="34">
        <f t="shared" si="1"/>
        <v>2.2044088176352838E-2</v>
      </c>
      <c r="J32" s="35"/>
      <c r="K32" s="20"/>
      <c r="L32" s="20"/>
      <c r="V32" s="156" t="s">
        <v>376</v>
      </c>
    </row>
    <row r="33" spans="3:22" ht="10.5" x14ac:dyDescent="0.25">
      <c r="C33" s="31">
        <v>41364</v>
      </c>
      <c r="D33" s="20"/>
      <c r="E33" s="20"/>
      <c r="F33" s="32">
        <v>102.4</v>
      </c>
      <c r="G33" s="157"/>
      <c r="H33" s="157">
        <f>IF(ISBLANK(F33),IF(COUNT(G33:G$84)=0,"",IF(ISBLANK(G33),AVERAGE(H32,H34),(1+G33)*H29)),F33)</f>
        <v>102.4</v>
      </c>
      <c r="I33" s="34">
        <f t="shared" si="1"/>
        <v>2.5025025025025016E-2</v>
      </c>
      <c r="J33" s="35"/>
      <c r="K33" s="20"/>
      <c r="L33" s="20"/>
      <c r="V33" s="156" t="s">
        <v>376</v>
      </c>
    </row>
    <row r="34" spans="3:22" ht="10.5" x14ac:dyDescent="0.25">
      <c r="C34" s="31">
        <v>41455</v>
      </c>
      <c r="D34" s="20"/>
      <c r="E34" s="20"/>
      <c r="F34" s="32">
        <v>102.8</v>
      </c>
      <c r="G34" s="157"/>
      <c r="H34" s="157">
        <f>IF(ISBLANK(F34),IF(COUNT(G34:G$84)=0,"",IF(ISBLANK(G34),AVERAGE(H33,H35),(1+G34)*H30)),F34)</f>
        <v>102.8</v>
      </c>
      <c r="I34" s="34">
        <f t="shared" si="1"/>
        <v>2.3904382470119501E-2</v>
      </c>
      <c r="J34" s="35"/>
      <c r="K34" s="20"/>
      <c r="L34" s="20"/>
      <c r="V34" s="156" t="s">
        <v>376</v>
      </c>
    </row>
    <row r="35" spans="3:22" ht="10.5" x14ac:dyDescent="0.25">
      <c r="C35" s="31">
        <v>41547</v>
      </c>
      <c r="D35" s="20"/>
      <c r="E35" s="20"/>
      <c r="F35" s="32">
        <v>104</v>
      </c>
      <c r="G35" s="157"/>
      <c r="H35" s="157">
        <f>IF(ISBLANK(F35),IF(COUNT(G35:G$84)=0,"",IF(ISBLANK(G35),AVERAGE(H34,H36),(1+G35)*H31)),F35)</f>
        <v>104</v>
      </c>
      <c r="I35" s="34">
        <f t="shared" si="1"/>
        <v>2.16110019646365E-2</v>
      </c>
      <c r="J35" s="35"/>
      <c r="K35" s="20"/>
      <c r="L35" s="20"/>
      <c r="V35" s="156" t="s">
        <v>376</v>
      </c>
    </row>
    <row r="36" spans="3:22" ht="10.5" x14ac:dyDescent="0.25">
      <c r="C36" s="31">
        <v>41639</v>
      </c>
      <c r="D36" s="20"/>
      <c r="E36" s="20"/>
      <c r="F36" s="32">
        <v>104.8</v>
      </c>
      <c r="G36" s="157"/>
      <c r="H36" s="157">
        <f>IF(ISBLANK(F36),IF(COUNT(G36:G$84)=0,"",IF(ISBLANK(G36),AVERAGE(H35,H37),(1+G36)*H32)),F36)</f>
        <v>104.8</v>
      </c>
      <c r="I36" s="34">
        <f t="shared" si="1"/>
        <v>2.7450980392156765E-2</v>
      </c>
      <c r="J36" s="35"/>
      <c r="K36" s="20"/>
      <c r="L36" s="20"/>
      <c r="V36" s="156" t="s">
        <v>376</v>
      </c>
    </row>
    <row r="37" spans="3:22" ht="10.5" x14ac:dyDescent="0.25">
      <c r="C37" s="31">
        <v>41729</v>
      </c>
      <c r="D37" s="20"/>
      <c r="E37" s="20"/>
      <c r="F37" s="32">
        <v>105.4</v>
      </c>
      <c r="G37" s="157"/>
      <c r="H37" s="157">
        <f>IF(ISBLANK(F37),IF(COUNT(G37:G$84)=0,"",IF(ISBLANK(G37),AVERAGE(H36,H38),(1+G37)*H33)),F37)</f>
        <v>105.4</v>
      </c>
      <c r="I37" s="34">
        <f t="shared" si="1"/>
        <v>2.9296875E-2</v>
      </c>
      <c r="J37" s="35"/>
      <c r="K37" s="20"/>
      <c r="L37" s="20"/>
      <c r="V37" s="156" t="s">
        <v>376</v>
      </c>
    </row>
    <row r="38" spans="3:22" ht="10.5" x14ac:dyDescent="0.25">
      <c r="C38" s="31">
        <v>41820</v>
      </c>
      <c r="D38" s="20"/>
      <c r="E38" s="20"/>
      <c r="F38" s="32">
        <v>105.9</v>
      </c>
      <c r="G38" s="157"/>
      <c r="H38" s="157">
        <f>IF(ISBLANK(F38),IF(COUNT(G38:G$84)=0,"",IF(ISBLANK(G38),AVERAGE(H37,H39),(1+G38)*H34)),F38)</f>
        <v>105.9</v>
      </c>
      <c r="I38" s="34">
        <f t="shared" si="1"/>
        <v>3.0155642023346418E-2</v>
      </c>
      <c r="J38" s="35"/>
      <c r="K38" s="20"/>
      <c r="L38" s="20"/>
      <c r="V38" s="156" t="s">
        <v>376</v>
      </c>
    </row>
    <row r="39" spans="3:22" ht="10.5" x14ac:dyDescent="0.25">
      <c r="C39" s="31">
        <v>41912</v>
      </c>
      <c r="D39" s="20"/>
      <c r="E39" s="20"/>
      <c r="F39" s="32">
        <v>106.4</v>
      </c>
      <c r="G39" s="157"/>
      <c r="H39" s="157">
        <f>IF(ISBLANK(F39),IF(COUNT(G39:G$84)=0,"",IF(ISBLANK(G39),AVERAGE(H38,H40),(1+G39)*H35)),F39)</f>
        <v>106.4</v>
      </c>
      <c r="I39" s="34">
        <f t="shared" si="1"/>
        <v>2.3076923076923217E-2</v>
      </c>
      <c r="J39" s="35"/>
      <c r="K39" s="20"/>
      <c r="L39" s="20"/>
      <c r="V39" s="156" t="s">
        <v>376</v>
      </c>
    </row>
    <row r="40" spans="3:22" ht="10.5" x14ac:dyDescent="0.25">
      <c r="C40" s="31">
        <v>42004</v>
      </c>
      <c r="D40" s="20"/>
      <c r="E40" s="20"/>
      <c r="F40" s="32">
        <v>106.6</v>
      </c>
      <c r="G40" s="157"/>
      <c r="H40" s="157">
        <f>IF(ISBLANK(F40),IF(COUNT(G40:G$84)=0,"",IF(ISBLANK(G40),AVERAGE(H39,H41),(1+G40)*H36)),F40)</f>
        <v>106.6</v>
      </c>
      <c r="I40" s="34">
        <f t="shared" si="1"/>
        <v>1.7175572519083859E-2</v>
      </c>
      <c r="J40" s="35"/>
      <c r="K40" s="20"/>
      <c r="L40" s="20"/>
      <c r="V40" s="156" t="s">
        <v>376</v>
      </c>
    </row>
    <row r="41" spans="3:22" ht="10.5" x14ac:dyDescent="0.25">
      <c r="C41" s="31">
        <v>42094</v>
      </c>
      <c r="D41" s="20"/>
      <c r="E41" s="20"/>
      <c r="F41" s="32">
        <v>106.8</v>
      </c>
      <c r="G41" s="157"/>
      <c r="H41" s="157">
        <f>IF(ISBLANK(F41),IF(COUNT(G41:G$84)=0,"",IF(ISBLANK(G41),AVERAGE(H40,H42),(1+G41)*H37)),F41)</f>
        <v>106.8</v>
      </c>
      <c r="I41" s="34">
        <f t="shared" si="1"/>
        <v>1.3282732447817747E-2</v>
      </c>
      <c r="J41" s="35"/>
      <c r="K41" s="20"/>
      <c r="L41" s="20"/>
      <c r="V41" s="156" t="s">
        <v>376</v>
      </c>
    </row>
    <row r="42" spans="3:22" ht="10.5" x14ac:dyDescent="0.25">
      <c r="C42" s="31">
        <v>42185</v>
      </c>
      <c r="D42" s="20"/>
      <c r="E42" s="20"/>
      <c r="F42" s="32">
        <v>107.5</v>
      </c>
      <c r="G42" s="157"/>
      <c r="H42" s="157">
        <f>IF(ISBLANK(F42),IF(COUNT(G42:G$84)=0,"",IF(ISBLANK(G42),AVERAGE(H41,H43),(1+G42)*H38)),F42)</f>
        <v>107.5</v>
      </c>
      <c r="I42" s="34">
        <f t="shared" si="1"/>
        <v>1.5108593012275628E-2</v>
      </c>
      <c r="J42" s="35"/>
      <c r="K42" s="20"/>
      <c r="L42" s="20"/>
      <c r="V42" s="156" t="s">
        <v>376</v>
      </c>
    </row>
    <row r="43" spans="3:22" ht="10.5" x14ac:dyDescent="0.25">
      <c r="C43" s="31">
        <v>42277</v>
      </c>
      <c r="D43" s="20"/>
      <c r="E43" s="20"/>
      <c r="F43" s="32">
        <v>108</v>
      </c>
      <c r="G43" s="157"/>
      <c r="H43" s="157">
        <f>IF(ISBLANK(F43),IF(COUNT(G43:G$84)=0,"",IF(ISBLANK(G43),AVERAGE(H42,H44),(1+G43)*H39)),F43)</f>
        <v>108</v>
      </c>
      <c r="I43" s="34">
        <f t="shared" si="1"/>
        <v>1.5037593984962294E-2</v>
      </c>
      <c r="J43" s="35"/>
      <c r="K43" s="20"/>
      <c r="L43" s="20"/>
      <c r="V43" s="156" t="s">
        <v>376</v>
      </c>
    </row>
    <row r="44" spans="3:22" ht="10.5" x14ac:dyDescent="0.25">
      <c r="C44" s="31">
        <v>42369</v>
      </c>
      <c r="D44" s="20"/>
      <c r="E44" s="20"/>
      <c r="F44" s="32">
        <v>108.4</v>
      </c>
      <c r="G44" s="157"/>
      <c r="H44" s="157">
        <f>IF(ISBLANK(F44),IF(COUNT(G44:G$84)=0,"",IF(ISBLANK(G44),AVERAGE(H43,H45),(1+G44)*H40)),F44)</f>
        <v>108.4</v>
      </c>
      <c r="I44" s="34">
        <f t="shared" si="1"/>
        <v>1.6885553470919357E-2</v>
      </c>
      <c r="J44" s="35"/>
      <c r="K44" s="20"/>
      <c r="L44" s="20"/>
      <c r="V44" s="156" t="s">
        <v>376</v>
      </c>
    </row>
    <row r="45" spans="3:22" ht="10.5" x14ac:dyDescent="0.25">
      <c r="C45" s="31">
        <v>42460</v>
      </c>
      <c r="D45" s="20"/>
      <c r="E45" s="20"/>
      <c r="F45" s="32">
        <v>108.2</v>
      </c>
      <c r="G45" s="157"/>
      <c r="H45" s="157">
        <f>IF(ISBLANK(F45),IF(COUNT(G45:G$84)=0,"",IF(ISBLANK(G45),AVERAGE(H44,H46),(1+G45)*H41)),F45)</f>
        <v>108.2</v>
      </c>
      <c r="I45" s="34">
        <f t="shared" si="1"/>
        <v>1.3108614232209881E-2</v>
      </c>
      <c r="J45" s="35"/>
      <c r="K45" s="20"/>
      <c r="L45" s="20"/>
      <c r="V45" s="156" t="s">
        <v>376</v>
      </c>
    </row>
    <row r="46" spans="3:22" ht="10.5" x14ac:dyDescent="0.25">
      <c r="C46" s="31">
        <v>42551</v>
      </c>
      <c r="D46" s="20"/>
      <c r="E46" s="20"/>
      <c r="F46" s="32">
        <v>108.6</v>
      </c>
      <c r="G46" s="157"/>
      <c r="H46" s="157">
        <f>IF(ISBLANK(F46),IF(COUNT(G46:G$84)=0,"",IF(ISBLANK(G46),AVERAGE(H45,H47),(1+G46)*H42)),F46)</f>
        <v>108.6</v>
      </c>
      <c r="I46" s="34">
        <f t="shared" si="1"/>
        <v>1.0232558139534831E-2</v>
      </c>
      <c r="J46" s="35"/>
      <c r="K46" s="20"/>
      <c r="L46" s="20"/>
      <c r="V46" s="156" t="s">
        <v>376</v>
      </c>
    </row>
    <row r="47" spans="3:22" ht="10.5" x14ac:dyDescent="0.25">
      <c r="C47" s="31">
        <v>42643</v>
      </c>
      <c r="D47" s="20"/>
      <c r="E47" s="20"/>
      <c r="F47" s="32">
        <v>109.4</v>
      </c>
      <c r="G47" s="157"/>
      <c r="H47" s="157">
        <f>IF(ISBLANK(F47),IF(COUNT(G47:G$84)=0,"",IF(ISBLANK(G47),AVERAGE(H46,H48),(1+G47)*H43)),F47)</f>
        <v>109.4</v>
      </c>
      <c r="I47" s="34">
        <f t="shared" si="1"/>
        <v>1.2962962962963065E-2</v>
      </c>
      <c r="J47" s="35"/>
      <c r="K47" s="20"/>
      <c r="L47" s="20"/>
      <c r="V47" s="156" t="s">
        <v>376</v>
      </c>
    </row>
    <row r="48" spans="3:22" ht="10.5" x14ac:dyDescent="0.25">
      <c r="C48" s="31">
        <v>42735</v>
      </c>
      <c r="D48" s="20"/>
      <c r="E48" s="20"/>
      <c r="F48" s="32">
        <v>110</v>
      </c>
      <c r="G48" s="157"/>
      <c r="H48" s="157">
        <f>IF(ISBLANK(F48),IF(COUNT(G48:G$84)=0,"",IF(ISBLANK(G48),AVERAGE(H47,H49),(1+G48)*H44)),F48)</f>
        <v>110</v>
      </c>
      <c r="I48" s="34">
        <f t="shared" si="1"/>
        <v>1.4760147601476037E-2</v>
      </c>
      <c r="J48" s="35"/>
      <c r="K48" s="20"/>
      <c r="L48" s="20"/>
      <c r="V48" s="156" t="s">
        <v>376</v>
      </c>
    </row>
    <row r="49" spans="3:22" ht="10.5" x14ac:dyDescent="0.25">
      <c r="C49" s="31">
        <v>42825</v>
      </c>
      <c r="D49" s="20"/>
      <c r="E49" s="20"/>
      <c r="F49" s="32">
        <v>110.5</v>
      </c>
      <c r="G49" s="157"/>
      <c r="H49" s="157">
        <f>IF(ISBLANK(F49),IF(COUNT(G49:G$84)=0,"",IF(ISBLANK(G49),AVERAGE(H48,H50),(1+G49)*H45)),F49)</f>
        <v>110.5</v>
      </c>
      <c r="I49" s="34">
        <f t="shared" si="1"/>
        <v>2.1256931608133023E-2</v>
      </c>
      <c r="J49" s="35"/>
      <c r="K49" s="20"/>
      <c r="L49" s="20"/>
      <c r="V49" s="156" t="s">
        <v>376</v>
      </c>
    </row>
    <row r="50" spans="3:22" ht="10.5" x14ac:dyDescent="0.25">
      <c r="C50" s="31">
        <v>42916</v>
      </c>
      <c r="D50" s="20"/>
      <c r="E50" s="20"/>
      <c r="F50" s="32">
        <v>110.7</v>
      </c>
      <c r="G50" s="157"/>
      <c r="H50" s="157">
        <f>IF(ISBLANK(F50),IF(COUNT(G50:G$84)=0,"",IF(ISBLANK(G50),AVERAGE(H49,H51),(1+G50)*H46)),F50)</f>
        <v>110.7</v>
      </c>
      <c r="I50" s="34">
        <f t="shared" si="1"/>
        <v>1.9337016574585641E-2</v>
      </c>
      <c r="J50" s="36"/>
      <c r="K50" s="20"/>
      <c r="L50" s="20"/>
      <c r="V50" s="156" t="s">
        <v>376</v>
      </c>
    </row>
    <row r="51" spans="3:22" ht="10.5" x14ac:dyDescent="0.25">
      <c r="C51" s="31">
        <v>43008</v>
      </c>
      <c r="D51" s="20"/>
      <c r="E51" s="20"/>
      <c r="F51" s="32">
        <v>111.4</v>
      </c>
      <c r="G51" s="157"/>
      <c r="H51" s="157">
        <f>IF(ISBLANK(F51),IF(COUNT(G51:G$84)=0,"",IF(ISBLANK(G51),AVERAGE(H50,H52),(1+G51)*H47)),F51)</f>
        <v>111.4</v>
      </c>
      <c r="I51" s="34">
        <f t="shared" si="1"/>
        <v>1.8281535648994485E-2</v>
      </c>
      <c r="J51" s="35"/>
      <c r="K51" s="20"/>
      <c r="L51" s="20"/>
      <c r="V51" s="156" t="s">
        <v>376</v>
      </c>
    </row>
    <row r="52" spans="3:22" ht="10.5" x14ac:dyDescent="0.25">
      <c r="C52" s="31">
        <v>43100</v>
      </c>
      <c r="D52" s="20"/>
      <c r="E52" s="20"/>
      <c r="F52" s="32">
        <v>112.1</v>
      </c>
      <c r="G52" s="157"/>
      <c r="H52" s="157">
        <f>IF(ISBLANK(F52),IF(COUNT(G52:G$84)=0,"",IF(ISBLANK(G52),AVERAGE(H51,H53),(1+G52)*H48)),F52)</f>
        <v>112.1</v>
      </c>
      <c r="I52" s="34">
        <f t="shared" si="1"/>
        <v>1.9090909090909047E-2</v>
      </c>
      <c r="J52" s="35"/>
      <c r="K52" s="20"/>
      <c r="L52" s="20"/>
      <c r="V52" s="156" t="s">
        <v>376</v>
      </c>
    </row>
    <row r="53" spans="3:22" ht="10.5" x14ac:dyDescent="0.25">
      <c r="C53" s="31">
        <v>43190</v>
      </c>
      <c r="D53" s="20"/>
      <c r="E53" s="20"/>
      <c r="F53" s="32">
        <v>112.6</v>
      </c>
      <c r="G53" s="157"/>
      <c r="H53" s="157">
        <f>IF(ISBLANK(F53),IF(COUNT(G53:G$84)=0,"",IF(ISBLANK(G53),AVERAGE(H52,H54),(1+G53)*H49)),F53)</f>
        <v>112.6</v>
      </c>
      <c r="I53" s="34">
        <f t="shared" si="1"/>
        <v>1.9004524886877761E-2</v>
      </c>
      <c r="J53" s="35"/>
      <c r="K53" s="20"/>
      <c r="L53" s="20"/>
      <c r="V53" s="156" t="s">
        <v>376</v>
      </c>
    </row>
    <row r="54" spans="3:22" ht="10.5" x14ac:dyDescent="0.25">
      <c r="C54" s="31">
        <v>43281</v>
      </c>
      <c r="D54" s="20"/>
      <c r="E54" s="20"/>
      <c r="F54" s="32">
        <v>113</v>
      </c>
      <c r="G54" s="157"/>
      <c r="H54" s="157">
        <f>IF(ISBLANK(F54),IF(COUNT(G54:G$84)=0,"",IF(ISBLANK(G54),AVERAGE(H53,H55),(1+G54)*H50)),F54)</f>
        <v>113</v>
      </c>
      <c r="I54" s="34">
        <f t="shared" si="1"/>
        <v>2.0776874435411097E-2</v>
      </c>
      <c r="J54" s="35"/>
      <c r="K54" s="20"/>
      <c r="L54" s="20"/>
      <c r="V54" s="156" t="s">
        <v>376</v>
      </c>
    </row>
    <row r="55" spans="3:22" ht="10.5" x14ac:dyDescent="0.25">
      <c r="C55" s="31">
        <v>43373</v>
      </c>
      <c r="D55" s="20"/>
      <c r="E55" s="20"/>
      <c r="F55" s="32">
        <v>113.5</v>
      </c>
      <c r="G55" s="157"/>
      <c r="H55" s="157">
        <f>IF(ISBLANK(F55),IF(COUNT(G55:G$84)=0,"",IF(ISBLANK(G55),AVERAGE(H54,H56),(1+G55)*H51)),F55)</f>
        <v>113.5</v>
      </c>
      <c r="I55" s="34">
        <f t="shared" si="1"/>
        <v>1.8850987432674993E-2</v>
      </c>
      <c r="J55" s="35"/>
      <c r="K55" s="20"/>
      <c r="L55" s="20"/>
      <c r="V55" s="156" t="s">
        <v>376</v>
      </c>
    </row>
    <row r="56" spans="3:22" ht="10.5" x14ac:dyDescent="0.25">
      <c r="C56" s="31">
        <v>43465</v>
      </c>
      <c r="D56" s="20"/>
      <c r="E56" s="20"/>
      <c r="F56" s="32">
        <v>114.1</v>
      </c>
      <c r="G56" s="157"/>
      <c r="H56" s="157">
        <f>IF(ISBLANK(F56),IF(COUNT(G56:G$84)=0,"",IF(ISBLANK(G56),AVERAGE(H55,H57),(1+G56)*H52)),F56)</f>
        <v>114.1</v>
      </c>
      <c r="I56" s="34">
        <f t="shared" si="1"/>
        <v>1.7841213202497874E-2</v>
      </c>
      <c r="J56" s="35"/>
      <c r="K56" s="20"/>
      <c r="L56" s="20"/>
      <c r="V56" s="156" t="s">
        <v>376</v>
      </c>
    </row>
    <row r="57" spans="3:22" ht="10.5" x14ac:dyDescent="0.25">
      <c r="C57" s="31">
        <v>43555</v>
      </c>
      <c r="D57" s="20"/>
      <c r="E57" s="20"/>
      <c r="F57" s="32">
        <v>114.1</v>
      </c>
      <c r="G57" s="157"/>
      <c r="H57" s="157">
        <f>IF(ISBLANK(F57),IF(COUNT(G57:G$84)=0,"",IF(ISBLANK(G57),AVERAGE(H56,H58),(1+G57)*H53)),F57)</f>
        <v>114.1</v>
      </c>
      <c r="I57" s="34">
        <f t="shared" si="1"/>
        <v>1.3321492007104752E-2</v>
      </c>
      <c r="J57" s="35"/>
      <c r="K57" s="20"/>
      <c r="L57" s="20"/>
      <c r="V57" s="156" t="s">
        <v>376</v>
      </c>
    </row>
    <row r="58" spans="3:22" ht="10.5" x14ac:dyDescent="0.25">
      <c r="C58" s="31">
        <v>43646</v>
      </c>
      <c r="D58" s="20"/>
      <c r="E58" s="20"/>
      <c r="F58" s="32">
        <v>114.8</v>
      </c>
      <c r="G58" s="157"/>
      <c r="H58" s="157">
        <f>IF(ISBLANK(F58),IF(COUNT(G58:G$84)=0,"",IF(ISBLANK(G58),AVERAGE(H57,H59),(1+G58)*H54)),F58)</f>
        <v>114.8</v>
      </c>
      <c r="I58" s="34">
        <f t="shared" si="1"/>
        <v>1.5929203539823078E-2</v>
      </c>
      <c r="J58" s="35"/>
      <c r="K58" s="20"/>
      <c r="L58" s="20"/>
      <c r="V58" s="156" t="s">
        <v>376</v>
      </c>
    </row>
    <row r="59" spans="3:22" ht="10.5" x14ac:dyDescent="0.25">
      <c r="C59" s="31">
        <v>43738</v>
      </c>
      <c r="D59" s="20"/>
      <c r="E59" s="20"/>
      <c r="F59" s="32">
        <v>115.4</v>
      </c>
      <c r="G59" s="157"/>
      <c r="H59" s="157">
        <f>IF(ISBLANK(F59),IF(COUNT(G59:G$84)=0,"",IF(ISBLANK(G59),AVERAGE(H58,H60),(1+G59)*H55)),F59)</f>
        <v>115.4</v>
      </c>
      <c r="I59" s="34">
        <f t="shared" si="1"/>
        <v>1.6740088105726914E-2</v>
      </c>
      <c r="J59" s="35"/>
      <c r="K59" s="20"/>
      <c r="L59" s="20"/>
      <c r="V59" s="156" t="s">
        <v>376</v>
      </c>
    </row>
    <row r="60" spans="3:22" ht="10.5" x14ac:dyDescent="0.25">
      <c r="C60" s="31">
        <v>43830</v>
      </c>
      <c r="D60" s="20"/>
      <c r="E60" s="20"/>
      <c r="F60" s="32">
        <v>116.2</v>
      </c>
      <c r="G60" s="157"/>
      <c r="H60" s="157">
        <f>IF(ISBLANK(F60),IF(COUNT(G60:G$84)=0,"",IF(ISBLANK(G60),AVERAGE(H59,H61),(1+G60)*H56)),F60)</f>
        <v>116.2</v>
      </c>
      <c r="I60" s="34">
        <f t="shared" si="1"/>
        <v>1.8404907975460238E-2</v>
      </c>
      <c r="J60" s="35"/>
      <c r="K60" s="20"/>
      <c r="L60" s="20"/>
      <c r="V60" s="156" t="s">
        <v>376</v>
      </c>
    </row>
    <row r="61" spans="3:22" ht="10.5" x14ac:dyDescent="0.25">
      <c r="C61" s="31">
        <v>43921</v>
      </c>
      <c r="D61" s="20"/>
      <c r="E61" s="20"/>
      <c r="F61" s="32">
        <v>116.6</v>
      </c>
      <c r="G61" s="157"/>
      <c r="H61" s="157">
        <f>IF(ISBLANK(F61),IF(COUNT(G61:G$84)=0,"",IF(ISBLANK(G61),AVERAGE(H60,H62),(1+G61)*H57)),F61)</f>
        <v>116.6</v>
      </c>
      <c r="I61" s="34">
        <f t="shared" si="1"/>
        <v>2.1910604732690686E-2</v>
      </c>
      <c r="J61" s="35"/>
      <c r="K61" s="20"/>
      <c r="L61" s="20"/>
      <c r="V61" s="156" t="s">
        <v>376</v>
      </c>
    </row>
    <row r="62" spans="3:22" ht="10.5" x14ac:dyDescent="0.25">
      <c r="C62" s="31">
        <v>44012</v>
      </c>
      <c r="D62" s="20"/>
      <c r="E62" s="20"/>
      <c r="F62" s="32">
        <v>114.4</v>
      </c>
      <c r="G62" s="157"/>
      <c r="H62" s="157">
        <f>IF(ISBLANK(F62),IF(COUNT(G62:G$84)=0,"",IF(ISBLANK(G62),AVERAGE(H61,H63),(1+G62)*H58)),F62)</f>
        <v>114.4</v>
      </c>
      <c r="I62" s="34">
        <f t="shared" si="1"/>
        <v>-3.4843205574912606E-3</v>
      </c>
      <c r="J62" s="35"/>
      <c r="K62" s="20"/>
      <c r="L62" s="20"/>
      <c r="V62" s="156" t="s">
        <v>376</v>
      </c>
    </row>
    <row r="63" spans="3:22" ht="10.5" x14ac:dyDescent="0.25">
      <c r="C63" s="31">
        <v>44104</v>
      </c>
      <c r="D63" s="20"/>
      <c r="E63" s="20"/>
      <c r="F63" s="32">
        <v>116.2</v>
      </c>
      <c r="G63" s="157"/>
      <c r="H63" s="157">
        <f>IF(ISBLANK(F63),IF(COUNT(G63:G$84)=0,"",IF(ISBLANK(G63),AVERAGE(H62,H64),(1+G63)*H59)),F63)</f>
        <v>116.2</v>
      </c>
      <c r="I63" s="34">
        <f t="shared" si="1"/>
        <v>6.9324090121316573E-3</v>
      </c>
      <c r="J63" s="35"/>
      <c r="K63" s="20"/>
      <c r="L63" s="20"/>
      <c r="V63" s="156" t="s">
        <v>376</v>
      </c>
    </row>
    <row r="64" spans="3:22" ht="10.5" x14ac:dyDescent="0.25">
      <c r="C64" s="31">
        <v>44196</v>
      </c>
      <c r="D64" s="20"/>
      <c r="E64" s="20"/>
      <c r="F64" s="32">
        <v>117.2</v>
      </c>
      <c r="G64" s="157"/>
      <c r="H64" s="157">
        <f>IF(ISBLANK(F64),IF(COUNT(G64:G$84)=0,"",IF(ISBLANK(G64),AVERAGE(H63,H65),(1+G64)*H60)),F64)</f>
        <v>117.2</v>
      </c>
      <c r="I64" s="34">
        <f t="shared" si="1"/>
        <v>8.6058519793459354E-3</v>
      </c>
      <c r="J64" s="35"/>
      <c r="K64" s="20"/>
      <c r="L64" s="20"/>
      <c r="V64" s="156" t="s">
        <v>376</v>
      </c>
    </row>
    <row r="65" spans="3:22" ht="10.5" x14ac:dyDescent="0.25">
      <c r="C65" s="31">
        <v>44286</v>
      </c>
      <c r="D65" s="20"/>
      <c r="E65" s="20"/>
      <c r="F65" s="32">
        <v>117.9</v>
      </c>
      <c r="G65" s="157"/>
      <c r="H65" s="157">
        <f>IF(ISBLANK(F65),IF(COUNT(G65:G$84)=0,"",IF(ISBLANK(G65),AVERAGE(H64,H66),(1+G65)*H61)),F65)</f>
        <v>117.9</v>
      </c>
      <c r="I65" s="34">
        <f t="shared" si="1"/>
        <v>1.1149228130360234E-2</v>
      </c>
      <c r="J65" s="35"/>
      <c r="K65" s="20"/>
      <c r="L65" s="20"/>
      <c r="V65" s="156" t="s">
        <v>376</v>
      </c>
    </row>
    <row r="66" spans="3:22" ht="10.5" x14ac:dyDescent="0.25">
      <c r="C66" s="31">
        <v>44377</v>
      </c>
      <c r="D66" s="20"/>
      <c r="E66" s="20"/>
      <c r="F66" s="32">
        <v>118.8</v>
      </c>
      <c r="G66" s="157"/>
      <c r="H66" s="157">
        <f>IF(ISBLANK(F66),IF(COUNT(G66:G$84)=0,"",IF(ISBLANK(G66),AVERAGE(H65,H67),(1+G66)*H62)),F66)</f>
        <v>118.8</v>
      </c>
      <c r="I66" s="34">
        <f t="shared" si="1"/>
        <v>3.8461538461538325E-2</v>
      </c>
      <c r="J66" s="35"/>
      <c r="K66" s="20"/>
      <c r="L66" s="20"/>
      <c r="V66" s="156" t="s">
        <v>376</v>
      </c>
    </row>
    <row r="67" spans="3:22" ht="10.5" x14ac:dyDescent="0.25">
      <c r="C67" s="31">
        <v>44469</v>
      </c>
      <c r="D67" s="20"/>
      <c r="E67" s="20"/>
      <c r="F67" s="32">
        <v>119.7</v>
      </c>
      <c r="G67" s="157"/>
      <c r="H67" s="157">
        <f>IF(ISBLANK(F67),IF(COUNT(G67:G$84)=0,"",IF(ISBLANK(G67),AVERAGE(H66,H68),(1+G67)*H63)),F67)</f>
        <v>119.7</v>
      </c>
      <c r="I67" s="34">
        <f t="shared" si="1"/>
        <v>3.0120481927710774E-2</v>
      </c>
      <c r="J67" s="35"/>
      <c r="K67" s="20"/>
      <c r="L67" s="20"/>
      <c r="V67" s="156" t="s">
        <v>376</v>
      </c>
    </row>
    <row r="68" spans="3:22" ht="10.5" x14ac:dyDescent="0.25">
      <c r="C68" s="31">
        <v>44561</v>
      </c>
      <c r="D68" s="20"/>
      <c r="E68" s="20"/>
      <c r="F68" s="32">
        <v>121.3</v>
      </c>
      <c r="G68" s="157"/>
      <c r="H68" s="157">
        <f>IF(ISBLANK(F68),IF(COUNT(G68:G$84)=0,"",IF(ISBLANK(G68),AVERAGE(H67,H69),(1+G68)*H64)),F68)</f>
        <v>121.3</v>
      </c>
      <c r="I68" s="34">
        <f t="shared" si="1"/>
        <v>3.4982935153583528E-2</v>
      </c>
      <c r="J68" s="35"/>
      <c r="K68" s="20"/>
      <c r="L68" s="20"/>
      <c r="V68" s="156" t="s">
        <v>376</v>
      </c>
    </row>
    <row r="69" spans="3:22" ht="10.5" x14ac:dyDescent="0.25">
      <c r="C69" s="31">
        <v>44651</v>
      </c>
      <c r="D69" s="20"/>
      <c r="E69" s="20"/>
      <c r="F69" s="32">
        <v>123.9</v>
      </c>
      <c r="G69" s="157"/>
      <c r="H69" s="157">
        <f>IF(ISBLANK(F69),IF(COUNT(G69:G$84)=0,"",IF(ISBLANK(G69),AVERAGE(H68,H70),(1+G69)*H65)),F69)</f>
        <v>123.9</v>
      </c>
      <c r="I69" s="34">
        <f t="shared" si="1"/>
        <v>5.0890585241730291E-2</v>
      </c>
      <c r="J69" s="35"/>
      <c r="K69" s="20"/>
      <c r="L69" s="20"/>
      <c r="V69" s="156" t="s">
        <v>376</v>
      </c>
    </row>
    <row r="70" spans="3:22" ht="10.5" x14ac:dyDescent="0.25">
      <c r="C70" s="31">
        <v>44742</v>
      </c>
      <c r="D70" s="20"/>
      <c r="E70" s="20"/>
      <c r="F70" s="158">
        <v>126.1</v>
      </c>
      <c r="G70" s="157"/>
      <c r="H70" s="157">
        <f>IF(ISBLANK(F70),IF(COUNT(G70:G$84)=0,"",IF(ISBLANK(G70),AVERAGE(H69,H71),(1+G70)*H66)),F70)</f>
        <v>126.1</v>
      </c>
      <c r="I70" s="34">
        <f t="shared" si="1"/>
        <v>6.1447811447811418E-2</v>
      </c>
      <c r="J70" s="159"/>
      <c r="K70" s="20"/>
      <c r="L70" s="20"/>
      <c r="V70" s="156" t="s">
        <v>376</v>
      </c>
    </row>
    <row r="71" spans="3:22" ht="10.5" x14ac:dyDescent="0.25">
      <c r="C71" s="31">
        <v>44834</v>
      </c>
      <c r="D71" s="20"/>
      <c r="E71" s="20"/>
      <c r="F71" s="160">
        <v>128.4</v>
      </c>
      <c r="G71" s="157"/>
      <c r="H71" s="157">
        <f>IF(ISBLANK(F71),IF(COUNT(G71:G$84)=0,"",IF(ISBLANK(G71),AVERAGE(H70,H72),(1+G71)*H67)),F71)</f>
        <v>128.4</v>
      </c>
      <c r="I71" s="34">
        <f t="shared" si="1"/>
        <v>7.268170426065157E-2</v>
      </c>
      <c r="J71" s="161"/>
      <c r="K71" s="20"/>
      <c r="L71" s="20"/>
      <c r="V71" s="156" t="s">
        <v>376</v>
      </c>
    </row>
    <row r="72" spans="3:22" ht="10.5" x14ac:dyDescent="0.25">
      <c r="C72" s="31">
        <v>44926</v>
      </c>
      <c r="D72" s="20"/>
      <c r="E72" s="20"/>
      <c r="F72" s="160"/>
      <c r="G72" s="162">
        <v>0.08</v>
      </c>
      <c r="H72" s="157">
        <f>IF(ISBLANK(F72),IF(COUNT(G72:G$84)=0,"",IF(ISBLANK(G72),AVERAGE(H71,H73),(1+G72)*H68)),F72)</f>
        <v>131.00400000000002</v>
      </c>
      <c r="I72" s="34">
        <f t="shared" si="1"/>
        <v>8.0000000000000293E-2</v>
      </c>
      <c r="J72" s="159" t="s">
        <v>260</v>
      </c>
      <c r="K72" s="20"/>
      <c r="L72" s="20"/>
      <c r="V72" s="156" t="s">
        <v>376</v>
      </c>
    </row>
    <row r="73" spans="3:22" ht="10.5" x14ac:dyDescent="0.25">
      <c r="C73" s="31">
        <v>45016</v>
      </c>
      <c r="D73" s="20"/>
      <c r="E73" s="20"/>
      <c r="F73" s="160"/>
      <c r="G73" s="163"/>
      <c r="H73" s="157">
        <f>IF(ISBLANK(F73),IF(COUNT(G73:G$84)=0,"",IF(ISBLANK(G73),AVERAGE(H72,H74),(1+G73)*H69)),F73)</f>
        <v>132.52415000000002</v>
      </c>
      <c r="I73" s="34">
        <f t="shared" si="1"/>
        <v>6.9605730427764412E-2</v>
      </c>
      <c r="J73" s="35"/>
      <c r="K73" s="20"/>
      <c r="L73" s="20"/>
      <c r="V73" s="156" t="s">
        <v>376</v>
      </c>
    </row>
    <row r="74" spans="3:22" ht="10.5" x14ac:dyDescent="0.25">
      <c r="C74" s="31">
        <v>45107</v>
      </c>
      <c r="D74" s="20"/>
      <c r="E74" s="20"/>
      <c r="F74" s="160"/>
      <c r="G74" s="162">
        <v>6.3E-2</v>
      </c>
      <c r="H74" s="157">
        <f>IF(ISBLANK(F74),IF(COUNT(G74:G$84)=0,"",IF(ISBLANK(G74),AVERAGE(H73,H75),(1+G74)*H70)),F74)</f>
        <v>134.04429999999999</v>
      </c>
      <c r="I74" s="34">
        <f t="shared" si="1"/>
        <v>6.2999999999999945E-2</v>
      </c>
      <c r="J74" s="159" t="s">
        <v>260</v>
      </c>
      <c r="K74" s="20"/>
      <c r="L74" s="20"/>
      <c r="V74" s="156" t="s">
        <v>376</v>
      </c>
    </row>
    <row r="75" spans="3:22" ht="10.5" x14ac:dyDescent="0.25">
      <c r="C75" s="31">
        <v>45199</v>
      </c>
      <c r="D75" s="20"/>
      <c r="E75" s="20"/>
      <c r="F75" s="160"/>
      <c r="G75" s="163"/>
      <c r="H75" s="157">
        <f>IF(ISBLANK(F75),IF(COUNT(G75:G$84)=0,"",IF(ISBLANK(G75),AVERAGE(H74,H76),(1+G75)*H71)),F75)</f>
        <v>135.63549499999999</v>
      </c>
      <c r="I75" s="34">
        <f t="shared" si="1"/>
        <v>5.6351207165108885E-2</v>
      </c>
      <c r="J75" s="35"/>
      <c r="K75" s="20"/>
      <c r="L75" s="20"/>
      <c r="V75" s="156" t="s">
        <v>376</v>
      </c>
    </row>
    <row r="76" spans="3:22" ht="10.5" x14ac:dyDescent="0.25">
      <c r="C76" s="31">
        <v>45291</v>
      </c>
      <c r="D76" s="20"/>
      <c r="E76" s="20"/>
      <c r="F76" s="160"/>
      <c r="G76" s="162">
        <v>4.7500000000000001E-2</v>
      </c>
      <c r="H76" s="157">
        <f>IF(ISBLANK(F76),IF(COUNT(G76:G$84)=0,"",IF(ISBLANK(G76),AVERAGE(H75,H77),(1+G76)*H72)),F76)</f>
        <v>137.22669000000002</v>
      </c>
      <c r="I76" s="34">
        <f t="shared" si="1"/>
        <v>4.7500000000000098E-2</v>
      </c>
      <c r="J76" s="159" t="s">
        <v>260</v>
      </c>
      <c r="K76" s="20"/>
      <c r="L76" s="20"/>
      <c r="V76" s="156" t="s">
        <v>376</v>
      </c>
    </row>
    <row r="77" spans="3:22" ht="10.5" x14ac:dyDescent="0.25">
      <c r="C77" s="31">
        <v>45382</v>
      </c>
      <c r="D77" s="20"/>
      <c r="E77" s="20"/>
      <c r="F77" s="160"/>
      <c r="G77" s="163"/>
      <c r="H77" s="157">
        <f>IF(ISBLANK(F77),IF(COUNT(G77:G$84)=0,"",IF(ISBLANK(G77),AVERAGE(H76,H78),(1+G77)*H73)),F77)</f>
        <v>138.45042530000001</v>
      </c>
      <c r="I77" s="34">
        <f t="shared" si="1"/>
        <v>4.4718455466418616E-2</v>
      </c>
      <c r="J77" s="35"/>
      <c r="K77" s="20"/>
      <c r="L77" s="20"/>
      <c r="V77" s="156" t="s">
        <v>376</v>
      </c>
    </row>
    <row r="78" spans="3:22" ht="10.5" x14ac:dyDescent="0.25">
      <c r="C78" s="31">
        <v>45473</v>
      </c>
      <c r="D78" s="20"/>
      <c r="E78" s="20"/>
      <c r="F78" s="160"/>
      <c r="G78" s="162">
        <v>4.2000000000000003E-2</v>
      </c>
      <c r="H78" s="157">
        <f>IF(ISBLANK(F78),IF(COUNT(G78:G$84)=0,"",IF(ISBLANK(G78),AVERAGE(H77,H79),(1+G78)*H74)),F78)</f>
        <v>139.67416059999999</v>
      </c>
      <c r="I78" s="34">
        <f t="shared" si="1"/>
        <v>4.2000000000000037E-2</v>
      </c>
      <c r="J78" s="159" t="s">
        <v>260</v>
      </c>
      <c r="K78" s="20"/>
      <c r="L78" s="20"/>
      <c r="V78" s="156" t="s">
        <v>376</v>
      </c>
    </row>
    <row r="79" spans="3:22" ht="10.5" x14ac:dyDescent="0.25">
      <c r="C79" s="31">
        <v>45565</v>
      </c>
      <c r="D79" s="20"/>
      <c r="E79" s="20"/>
      <c r="F79" s="160"/>
      <c r="G79" s="163"/>
      <c r="H79" s="157">
        <f>IF(ISBLANK(F79),IF(COUNT(G79:G$84)=0,"",IF(ISBLANK(G79),AVERAGE(H78,H80),(1+G79)*H75)),F79)</f>
        <v>140.68035901249999</v>
      </c>
      <c r="I79" s="34">
        <f>IF(H79="","",H79/H75-1)</f>
        <v>3.7194275823596135E-2</v>
      </c>
      <c r="J79" s="159"/>
      <c r="K79" s="20"/>
      <c r="L79" s="20"/>
      <c r="V79" s="156" t="s">
        <v>376</v>
      </c>
    </row>
    <row r="80" spans="3:22" ht="10.5" x14ac:dyDescent="0.25">
      <c r="C80" s="31">
        <v>45657</v>
      </c>
      <c r="D80" s="20"/>
      <c r="E80" s="20"/>
      <c r="F80" s="160"/>
      <c r="G80" s="162">
        <v>3.2500000000000001E-2</v>
      </c>
      <c r="H80" s="157">
        <f>IF(ISBLANK(F80),IF(COUNT(G80:G$84)=0,"",IF(ISBLANK(G80),AVERAGE(H79,H81),(1+G80)*H76)),F80)</f>
        <v>141.68655742500002</v>
      </c>
      <c r="I80" s="34">
        <f t="shared" ref="I80:I84" si="2">IF(H80="","",H80/H76-1)</f>
        <v>3.2499999999999973E-2</v>
      </c>
      <c r="J80" s="159" t="s">
        <v>260</v>
      </c>
      <c r="K80" s="20"/>
      <c r="L80" s="20"/>
      <c r="V80" s="156" t="s">
        <v>376</v>
      </c>
    </row>
    <row r="81" spans="3:22" ht="10.5" x14ac:dyDescent="0.25">
      <c r="C81" s="31">
        <v>45747</v>
      </c>
      <c r="D81" s="20"/>
      <c r="E81" s="20"/>
      <c r="F81" s="160"/>
      <c r="G81" s="157"/>
      <c r="H81" s="157">
        <f>IF(ISBLANK(F81),IF(COUNT(G81:G$84)=0,"",IF(ISBLANK(G81),AVERAGE(H80,H82),(1+G81)*H77)),F81)</f>
        <v>142.68793641064951</v>
      </c>
      <c r="I81" s="34">
        <f t="shared" si="2"/>
        <v>3.0606703456977469E-2</v>
      </c>
      <c r="J81" s="35"/>
      <c r="K81" s="20"/>
      <c r="L81" s="20"/>
      <c r="V81" s="156" t="s">
        <v>376</v>
      </c>
    </row>
    <row r="82" spans="3:22" ht="10.5" x14ac:dyDescent="0.25">
      <c r="C82" s="31">
        <v>45838</v>
      </c>
      <c r="D82" s="20"/>
      <c r="E82" s="20"/>
      <c r="F82" s="160"/>
      <c r="G82" s="162">
        <v>2.8746582610921667E-2</v>
      </c>
      <c r="H82" s="157">
        <f>IF(ISBLANK(F82),IF(COUNT(G82:G$84)=0,"",IF(ISBLANK(G82),AVERAGE(H81,H83),(1+G82)*H78)),F82)</f>
        <v>143.68931539629904</v>
      </c>
      <c r="I82" s="34">
        <f t="shared" si="2"/>
        <v>2.8746582610921667E-2</v>
      </c>
      <c r="J82" s="174" t="s">
        <v>318</v>
      </c>
      <c r="K82" s="20"/>
      <c r="L82" s="20"/>
      <c r="V82" s="156" t="s">
        <v>376</v>
      </c>
    </row>
    <row r="83" spans="3:22" ht="10.5" x14ac:dyDescent="0.25">
      <c r="C83" s="31">
        <v>45930</v>
      </c>
      <c r="D83" s="20"/>
      <c r="E83" s="20"/>
      <c r="F83" s="160"/>
      <c r="G83" s="166">
        <f>$G$82</f>
        <v>2.8746582610921667E-2</v>
      </c>
      <c r="H83" s="157">
        <f>IF(ISBLANK(F83),IF(COUNT(G83:G$84)=0,"",IF(ISBLANK(G83),AVERAGE(H82,H84),(1+G83)*H79)),F83)</f>
        <v>144.72443857458694</v>
      </c>
      <c r="I83" s="34">
        <f t="shared" si="2"/>
        <v>2.8746582610921667E-2</v>
      </c>
      <c r="J83" s="35"/>
      <c r="K83" s="20"/>
      <c r="L83" s="20"/>
      <c r="V83" s="156" t="s">
        <v>376</v>
      </c>
    </row>
    <row r="84" spans="3:22" ht="10.5" x14ac:dyDescent="0.25">
      <c r="C84" s="31">
        <v>46022</v>
      </c>
      <c r="D84" s="20"/>
      <c r="E84" s="20"/>
      <c r="F84" s="160"/>
      <c r="G84" s="166">
        <f t="shared" ref="G84:G98" si="3">$G$82</f>
        <v>2.8746582610921667E-2</v>
      </c>
      <c r="H84" s="157">
        <f>IF(ISBLANK(F84),IF(COUNT(G84:G$84)=0,"",IF(ISBLANK(G84),AVERAGE(H83,H99),(1+G84)*H80)),F84)</f>
        <v>145.75956175287487</v>
      </c>
      <c r="I84" s="34">
        <f t="shared" si="2"/>
        <v>2.8746582610921667E-2</v>
      </c>
      <c r="J84" s="35"/>
      <c r="K84" s="20"/>
      <c r="L84" s="20"/>
      <c r="V84" s="156" t="s">
        <v>376</v>
      </c>
    </row>
    <row r="85" spans="3:22" ht="10.5" x14ac:dyDescent="0.25">
      <c r="C85" s="31">
        <v>46112</v>
      </c>
      <c r="D85" s="20"/>
      <c r="E85" s="20"/>
      <c r="F85" s="160"/>
      <c r="G85" s="166">
        <f t="shared" si="3"/>
        <v>2.8746582610921667E-2</v>
      </c>
      <c r="H85" s="157">
        <f>IF(ISBLANK(F85),IF(COUNT(G$84:G85)=0,"",IF(ISBLANK(G85),AVERAGE(H84,H100),(1+G85)*H81)),F85)</f>
        <v>146.78972696226018</v>
      </c>
      <c r="I85" s="34">
        <f t="shared" ref="I85:I98" si="4">IF(H85="","",H85/H81-1)</f>
        <v>2.8746582610921667E-2</v>
      </c>
      <c r="J85" s="35"/>
      <c r="K85" s="20"/>
      <c r="L85" s="20"/>
      <c r="V85" s="165"/>
    </row>
    <row r="86" spans="3:22" ht="10.5" x14ac:dyDescent="0.25">
      <c r="C86" s="31">
        <v>46203</v>
      </c>
      <c r="D86" s="20"/>
      <c r="E86" s="20"/>
      <c r="F86" s="160"/>
      <c r="G86" s="166">
        <f t="shared" si="3"/>
        <v>2.8746582610921667E-2</v>
      </c>
      <c r="H86" s="157">
        <f>IF(ISBLANK(F86),IF(COUNT(G$84:G86)=0,"",IF(ISBLANK(G86),AVERAGE(H85,H101),(1+G86)*H82)),F86)</f>
        <v>147.81989217164553</v>
      </c>
      <c r="I86" s="34">
        <f t="shared" si="4"/>
        <v>2.8746582610921667E-2</v>
      </c>
      <c r="J86" s="35"/>
      <c r="K86" s="20"/>
      <c r="L86" s="20"/>
      <c r="V86" s="165"/>
    </row>
    <row r="87" spans="3:22" ht="10.5" x14ac:dyDescent="0.25">
      <c r="C87" s="31">
        <v>46295</v>
      </c>
      <c r="D87" s="20"/>
      <c r="E87" s="20"/>
      <c r="F87" s="160"/>
      <c r="G87" s="166">
        <f t="shared" si="3"/>
        <v>2.8746582610921667E-2</v>
      </c>
      <c r="H87" s="157">
        <f>IF(ISBLANK(F87),IF(COUNT(G$84:G87)=0,"",IF(ISBLANK(G87),AVERAGE(H86,H102),(1+G87)*H83)),F87)</f>
        <v>148.88477160389056</v>
      </c>
      <c r="I87" s="34">
        <f t="shared" si="4"/>
        <v>2.8746582610921667E-2</v>
      </c>
      <c r="J87" s="35"/>
      <c r="K87" s="20"/>
      <c r="L87" s="20"/>
      <c r="V87" s="165"/>
    </row>
    <row r="88" spans="3:22" ht="10.5" x14ac:dyDescent="0.25">
      <c r="C88" s="31">
        <v>46387</v>
      </c>
      <c r="D88" s="20"/>
      <c r="E88" s="20"/>
      <c r="F88" s="160"/>
      <c r="G88" s="166">
        <f t="shared" si="3"/>
        <v>2.8746582610921667E-2</v>
      </c>
      <c r="H88" s="157">
        <f>IF(ISBLANK(F88),IF(COUNT(G$84:G88)=0,"",IF(ISBLANK(G88),AVERAGE(H87,H103),(1+G88)*H84)),F88)</f>
        <v>149.94965103613563</v>
      </c>
      <c r="I88" s="34">
        <f t="shared" si="4"/>
        <v>2.8746582610921667E-2</v>
      </c>
      <c r="J88" s="35"/>
      <c r="K88" s="20"/>
      <c r="L88" s="20"/>
      <c r="V88" s="165"/>
    </row>
    <row r="89" spans="3:22" ht="10.5" x14ac:dyDescent="0.25">
      <c r="C89" s="31">
        <v>46477</v>
      </c>
      <c r="D89" s="20"/>
      <c r="E89" s="20"/>
      <c r="F89" s="160"/>
      <c r="G89" s="166">
        <f t="shared" si="3"/>
        <v>2.8746582610921667E-2</v>
      </c>
      <c r="H89" s="157">
        <f>IF(ISBLANK(F89),IF(COUNT(G$84:G89)=0,"",IF(ISBLANK(G89),AVERAGE(H88,H104),(1+G89)*H85)),F89)</f>
        <v>151.00942997481542</v>
      </c>
      <c r="I89" s="34">
        <f t="shared" si="4"/>
        <v>2.8746582610921667E-2</v>
      </c>
      <c r="J89" s="35"/>
      <c r="K89" s="20"/>
      <c r="L89" s="20"/>
      <c r="V89" s="165"/>
    </row>
    <row r="90" spans="3:22" ht="10.5" x14ac:dyDescent="0.25">
      <c r="C90" s="31">
        <v>46568</v>
      </c>
      <c r="D90" s="20"/>
      <c r="E90" s="20"/>
      <c r="F90" s="160"/>
      <c r="G90" s="166">
        <f t="shared" si="3"/>
        <v>2.8746582610921667E-2</v>
      </c>
      <c r="H90" s="157">
        <f>IF(ISBLANK(F90),IF(COUNT(G$84:G90)=0,"",IF(ISBLANK(G90),AVERAGE(H89,H105),(1+G90)*H86)),F90)</f>
        <v>152.06920891349529</v>
      </c>
      <c r="I90" s="34">
        <f t="shared" si="4"/>
        <v>2.8746582610921667E-2</v>
      </c>
      <c r="J90" s="35"/>
      <c r="K90" s="20"/>
      <c r="L90" s="20"/>
      <c r="V90" s="165"/>
    </row>
    <row r="91" spans="3:22" ht="10.5" x14ac:dyDescent="0.25">
      <c r="C91" s="31">
        <v>46660</v>
      </c>
      <c r="D91" s="20"/>
      <c r="E91" s="20"/>
      <c r="F91" s="160"/>
      <c r="G91" s="166">
        <f t="shared" si="3"/>
        <v>2.8746582610921667E-2</v>
      </c>
      <c r="H91" s="157">
        <f>IF(ISBLANK(F91),IF(COUNT(G$84:G91)=0,"",IF(ISBLANK(G91),AVERAGE(H90,H106),(1+G91)*H87)),F91)</f>
        <v>153.16469999031</v>
      </c>
      <c r="I91" s="34">
        <f t="shared" si="4"/>
        <v>2.8746582610921667E-2</v>
      </c>
      <c r="J91" s="35"/>
      <c r="K91" s="20"/>
      <c r="L91" s="20"/>
      <c r="V91" s="165"/>
    </row>
    <row r="92" spans="3:22" ht="10.5" x14ac:dyDescent="0.25">
      <c r="C92" s="31">
        <v>46752</v>
      </c>
      <c r="D92" s="20"/>
      <c r="E92" s="20"/>
      <c r="F92" s="160"/>
      <c r="G92" s="166">
        <f t="shared" si="3"/>
        <v>2.8746582610921667E-2</v>
      </c>
      <c r="H92" s="157">
        <f>IF(ISBLANK(F92),IF(COUNT(G$84:G92)=0,"",IF(ISBLANK(G92),AVERAGE(H91,H107),(1+G92)*H88)),F92)</f>
        <v>154.26019106712479</v>
      </c>
      <c r="I92" s="34">
        <f t="shared" si="4"/>
        <v>2.8746582610921667E-2</v>
      </c>
      <c r="J92" s="35"/>
      <c r="K92" s="20"/>
      <c r="L92" s="20"/>
      <c r="V92" s="165"/>
    </row>
    <row r="93" spans="3:22" ht="10.5" x14ac:dyDescent="0.25">
      <c r="C93" s="31">
        <v>46843</v>
      </c>
      <c r="D93" s="20"/>
      <c r="E93" s="20"/>
      <c r="F93" s="160"/>
      <c r="G93" s="166">
        <f t="shared" si="3"/>
        <v>2.8746582610921667E-2</v>
      </c>
      <c r="H93" s="157">
        <f>IF(ISBLANK(F93),IF(COUNT(G$84:G93)=0,"",IF(ISBLANK(G93),AVERAGE(H92,H108),(1+G93)*H89)),F93)</f>
        <v>155.35043502861464</v>
      </c>
      <c r="I93" s="34">
        <f t="shared" si="4"/>
        <v>2.8746582610921667E-2</v>
      </c>
      <c r="J93" s="35"/>
      <c r="K93" s="20"/>
      <c r="L93" s="20"/>
      <c r="V93" s="165"/>
    </row>
    <row r="94" spans="3:22" ht="10.5" x14ac:dyDescent="0.25">
      <c r="C94" s="31">
        <v>46934</v>
      </c>
      <c r="D94" s="20"/>
      <c r="E94" s="20"/>
      <c r="F94" s="160"/>
      <c r="G94" s="166">
        <f t="shared" si="3"/>
        <v>2.8746582610921667E-2</v>
      </c>
      <c r="H94" s="157">
        <f>IF(ISBLANK(F94),IF(COUNT(G$84:G94)=0,"",IF(ISBLANK(G94),AVERAGE(H93,H109),(1+G94)*H90)),F94)</f>
        <v>156.44067899010457</v>
      </c>
      <c r="I94" s="34">
        <f t="shared" si="4"/>
        <v>2.8746582610921667E-2</v>
      </c>
      <c r="J94" s="35"/>
      <c r="K94" s="20"/>
      <c r="L94" s="20"/>
      <c r="V94" s="165"/>
    </row>
    <row r="95" spans="3:22" ht="10.5" x14ac:dyDescent="0.25">
      <c r="C95" s="31">
        <v>47026</v>
      </c>
      <c r="D95" s="20"/>
      <c r="E95" s="20"/>
      <c r="F95" s="160"/>
      <c r="G95" s="166">
        <f t="shared" si="3"/>
        <v>2.8746582610921667E-2</v>
      </c>
      <c r="H95" s="157">
        <f>IF(ISBLANK(F95),IF(COUNT(G$84:G95)=0,"",IF(ISBLANK(G95),AVERAGE(H94,H110),(1+G95)*H91)),F95)</f>
        <v>157.56766169165849</v>
      </c>
      <c r="I95" s="34">
        <f t="shared" si="4"/>
        <v>2.8746582610921667E-2</v>
      </c>
      <c r="J95" s="35"/>
      <c r="K95" s="20"/>
      <c r="L95" s="20"/>
      <c r="V95" s="165"/>
    </row>
    <row r="96" spans="3:22" ht="10.5" x14ac:dyDescent="0.25">
      <c r="C96" s="31">
        <v>47118</v>
      </c>
      <c r="D96" s="20"/>
      <c r="E96" s="20"/>
      <c r="F96" s="160"/>
      <c r="G96" s="166">
        <f t="shared" si="3"/>
        <v>2.8746582610921667E-2</v>
      </c>
      <c r="H96" s="157">
        <f>IF(ISBLANK(F96),IF(COUNT(G$84:G96)=0,"",IF(ISBLANK(G96),AVERAGE(H95,H111),(1+G96)*H92)),F96)</f>
        <v>158.69464439321246</v>
      </c>
      <c r="I96" s="34">
        <f t="shared" si="4"/>
        <v>2.8746582610921667E-2</v>
      </c>
      <c r="J96" s="35"/>
      <c r="K96" s="20"/>
      <c r="L96" s="20"/>
      <c r="V96" s="165"/>
    </row>
    <row r="97" spans="1:50" ht="10.5" x14ac:dyDescent="0.25">
      <c r="C97" s="31">
        <v>47208</v>
      </c>
      <c r="D97" s="20"/>
      <c r="E97" s="20"/>
      <c r="F97" s="160"/>
      <c r="G97" s="166">
        <f t="shared" si="3"/>
        <v>2.8746582610921667E-2</v>
      </c>
      <c r="H97" s="157">
        <f>IF(ISBLANK(F97),IF(COUNT(G$84:G97)=0,"",IF(ISBLANK(G97),AVERAGE(H96,H112),(1+G97)*H93)),F97)</f>
        <v>159.81622914280734</v>
      </c>
      <c r="I97" s="34">
        <f t="shared" si="4"/>
        <v>2.8746582610921667E-2</v>
      </c>
      <c r="J97" s="35"/>
      <c r="K97" s="20"/>
      <c r="L97" s="20"/>
      <c r="V97" s="165"/>
    </row>
    <row r="98" spans="1:50" ht="10.5" x14ac:dyDescent="0.25">
      <c r="C98" s="31">
        <v>47299</v>
      </c>
      <c r="D98" s="20"/>
      <c r="E98" s="20"/>
      <c r="F98" s="160"/>
      <c r="G98" s="166">
        <f t="shared" si="3"/>
        <v>2.8746582610921667E-2</v>
      </c>
      <c r="H98" s="157">
        <f>IF(ISBLANK(F98),IF(COUNT(G$84:G98)=0,"",IF(ISBLANK(G98),AVERAGE(H97,H113),(1+G98)*H94)),F98)</f>
        <v>160.93781389240229</v>
      </c>
      <c r="I98" s="34">
        <f t="shared" si="4"/>
        <v>2.8746582610921667E-2</v>
      </c>
      <c r="J98" s="35"/>
      <c r="K98" s="20"/>
      <c r="L98" s="20"/>
      <c r="V98" s="165"/>
    </row>
    <row r="99" spans="1:50" ht="10.5" x14ac:dyDescent="0.25">
      <c r="F99" s="20"/>
      <c r="G99" s="20"/>
      <c r="H99" s="20"/>
      <c r="I99" s="20"/>
      <c r="J99" s="20"/>
      <c r="K99" s="20"/>
      <c r="L99" s="20"/>
      <c r="V99" s="164"/>
    </row>
    <row r="100" spans="1:50" s="19" customFormat="1" ht="13" x14ac:dyDescent="0.3">
      <c r="A100" s="12"/>
      <c r="B100" s="13" t="s">
        <v>18</v>
      </c>
      <c r="C100" s="12"/>
      <c r="D100" s="12"/>
      <c r="E100" s="12"/>
      <c r="F100" s="12"/>
      <c r="G100" s="12"/>
      <c r="H100" s="12"/>
      <c r="I100" s="14"/>
      <c r="J100" s="14"/>
      <c r="K100" s="14"/>
      <c r="L100" s="14"/>
      <c r="M100" s="15"/>
      <c r="N100" s="16"/>
      <c r="O100" s="15"/>
      <c r="P100" s="16"/>
      <c r="Q100" s="15"/>
      <c r="R100" s="15"/>
      <c r="S100" s="15"/>
      <c r="T100" s="15"/>
      <c r="U100" s="15"/>
      <c r="V100" s="15"/>
      <c r="W100" s="15"/>
      <c r="X100" s="15"/>
      <c r="Y100" s="16"/>
      <c r="Z100" s="16"/>
      <c r="AA100" s="17"/>
      <c r="AB100" s="17"/>
      <c r="AC100" s="17"/>
      <c r="AD100" s="17"/>
      <c r="AE100" s="17"/>
      <c r="AF100" s="18"/>
      <c r="AG100" s="18"/>
    </row>
    <row r="101" spans="1:50" hidden="1" x14ac:dyDescent="0.2">
      <c r="J101" s="23"/>
      <c r="K101" s="23"/>
    </row>
    <row r="102" spans="1:50" hidden="1" x14ac:dyDescent="0.2">
      <c r="J102" s="23"/>
      <c r="K102" s="23"/>
    </row>
    <row r="103" spans="1:50" s="21" customFormat="1" hidden="1" x14ac:dyDescent="0.2">
      <c r="A103" s="20"/>
      <c r="B103" s="20"/>
      <c r="C103" s="20"/>
      <c r="J103" s="23"/>
      <c r="K103" s="23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 spans="1:50" s="21" customFormat="1" hidden="1" x14ac:dyDescent="0.2">
      <c r="A104" s="20"/>
      <c r="B104" s="20"/>
      <c r="C104" s="20"/>
      <c r="J104" s="23"/>
      <c r="K104" s="23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 spans="1:50" s="21" customFormat="1" hidden="1" x14ac:dyDescent="0.2">
      <c r="A105" s="20"/>
      <c r="B105" s="20"/>
      <c r="C105" s="20"/>
      <c r="J105" s="23"/>
      <c r="K105" s="23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 spans="1:50" s="21" customFormat="1" hidden="1" x14ac:dyDescent="0.2">
      <c r="A106" s="20"/>
      <c r="B106" s="20"/>
      <c r="C106" s="20"/>
      <c r="J106" s="23"/>
      <c r="K106" s="23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 spans="1:50" s="21" customFormat="1" hidden="1" x14ac:dyDescent="0.2">
      <c r="A107" s="20"/>
      <c r="B107" s="20"/>
      <c r="C107" s="20"/>
      <c r="J107" s="23"/>
      <c r="K107" s="23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spans="1:50" s="21" customFormat="1" hidden="1" x14ac:dyDescent="0.2">
      <c r="A108" s="20"/>
      <c r="B108" s="20"/>
      <c r="C108" s="20"/>
      <c r="J108" s="23"/>
      <c r="K108" s="23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spans="1:50" s="21" customFormat="1" hidden="1" x14ac:dyDescent="0.2">
      <c r="A109" s="20"/>
      <c r="B109" s="20"/>
      <c r="C109" s="20"/>
      <c r="J109" s="23"/>
      <c r="K109" s="23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spans="1:50" s="21" customFormat="1" hidden="1" x14ac:dyDescent="0.2">
      <c r="A110" s="20"/>
      <c r="B110" s="20"/>
      <c r="C110" s="20"/>
      <c r="J110" s="23"/>
      <c r="K110" s="23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</sheetData>
  <conditionalFormatting sqref="Z14:Z50 V99 Z63:Z99">
    <cfRule type="cellIs" dxfId="51" priority="10" operator="equal">
      <formula>"Check"</formula>
    </cfRule>
    <cfRule type="cellIs" dxfId="50" priority="11" operator="equal">
      <formula>"Ok"</formula>
    </cfRule>
  </conditionalFormatting>
  <conditionalFormatting sqref="Y1">
    <cfRule type="cellIs" dxfId="49" priority="8" operator="equal">
      <formula>"Check"</formula>
    </cfRule>
    <cfRule type="cellIs" dxfId="48" priority="9" operator="equal">
      <formula>"Ok"</formula>
    </cfRule>
  </conditionalFormatting>
  <conditionalFormatting sqref="V1">
    <cfRule type="cellIs" dxfId="47" priority="6" operator="equal">
      <formula>"Check"</formula>
    </cfRule>
    <cfRule type="cellIs" dxfId="46" priority="7" operator="equal">
      <formula>"Ok"</formula>
    </cfRule>
  </conditionalFormatting>
  <conditionalFormatting sqref="Z51:Z57">
    <cfRule type="cellIs" dxfId="45" priority="4" operator="equal">
      <formula>"Check"</formula>
    </cfRule>
    <cfRule type="cellIs" dxfId="44" priority="5" operator="equal">
      <formula>"Ok"</formula>
    </cfRule>
  </conditionalFormatting>
  <conditionalFormatting sqref="Z58:Z62 V9:V98">
    <cfRule type="cellIs" dxfId="43" priority="2" operator="equal">
      <formula>"Check"</formula>
    </cfRule>
    <cfRule type="cellIs" dxfId="42" priority="3" operator="equal">
      <formula>"Ok"</formula>
    </cfRule>
  </conditionalFormatting>
  <conditionalFormatting sqref="G21:G98">
    <cfRule type="expression" dxfId="41" priority="1">
      <formula>ISBLANK(F21)</formula>
    </cfRule>
  </conditionalFormatting>
  <dataValidations count="2">
    <dataValidation type="list" allowBlank="1" showInputMessage="1" showErrorMessage="1" sqref="I99" xr:uid="{CE82F3F6-50DA-4E09-9330-6BC7402200E7}">
      <formula1>"Real 2010,Real 2011,Real 2012,Real 2013,Real 2014,Real 2015,Nominal"</formula1>
    </dataValidation>
    <dataValidation type="list" allowBlank="1" showInputMessage="1" showErrorMessage="1" sqref="L12:L99" xr:uid="{F4132CF8-672E-4BB8-883E-FAF79E7E843E}">
      <formula1>#REF!</formula1>
    </dataValidation>
  </dataValidations>
  <hyperlinks>
    <hyperlink ref="M1" location="Index!A1" display="Back to Index" xr:uid="{D0F45E46-CD43-4AD6-B029-90460D0B8E5B}"/>
    <hyperlink ref="X1" location="'Check|List'!A1" display="Overall Check:" xr:uid="{F964E591-0BA6-423A-9762-BB93D7CFA533}"/>
    <hyperlink ref="J72" r:id="rId1" xr:uid="{43F9A554-20FA-4325-99C4-71BEEDDF058C}"/>
    <hyperlink ref="J74" r:id="rId2" xr:uid="{67798063-01C0-468E-B799-F0AA5F8BE5EE}"/>
    <hyperlink ref="J76" r:id="rId3" xr:uid="{11B0B6C5-6539-40E7-967A-3CC7403AE1D9}"/>
    <hyperlink ref="J78" r:id="rId4" xr:uid="{36E7A4CD-6698-41B3-B5C4-A228077673E7}"/>
    <hyperlink ref="J80" r:id="rId5" xr:uid="{B453B222-BCD9-4616-B1D5-E459A3713658}"/>
  </hyperlinks>
  <pageMargins left="0.7" right="0.7" top="0.75" bottom="0.75" header="0.3" footer="0.3"/>
  <pageSetup paperSize="9" orientation="portrait" verticalDpi="4" r:id="rId6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B857-70FF-423C-AD4E-8B44C9D22BEC}">
  <sheetPr>
    <tabColor rgb="FFCCFFCC"/>
  </sheetPr>
  <dimension ref="A1:AG44"/>
  <sheetViews>
    <sheetView showGridLines="0" zoomScale="96" zoomScaleNormal="96" workbookViewId="0"/>
  </sheetViews>
  <sheetFormatPr defaultColWidth="0" defaultRowHeight="10" zeroHeight="1" x14ac:dyDescent="0.2"/>
  <cols>
    <col min="1" max="2" width="1.1796875" style="20" customWidth="1"/>
    <col min="3" max="3" width="47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8" width="2.81640625" style="21" customWidth="1"/>
    <col min="9" max="9" width="7.90625" style="21" bestFit="1" customWidth="1"/>
    <col min="10" max="10" width="9.81640625" style="21" customWidth="1"/>
    <col min="11" max="23" width="8.81640625" style="20" customWidth="1"/>
    <col min="24" max="16384" width="8.54296875" style="20" hidden="1"/>
  </cols>
  <sheetData>
    <row r="1" spans="1:33" s="1" customFormat="1" ht="15.5" x14ac:dyDescent="0.35">
      <c r="B1" s="2" t="s">
        <v>0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3" s="7" customFormat="1" ht="13.5" thickBot="1" x14ac:dyDescent="0.35">
      <c r="B2" s="8" t="s">
        <v>35</v>
      </c>
      <c r="C2" s="8"/>
      <c r="D2" s="8"/>
      <c r="E2" s="8"/>
      <c r="F2" s="9"/>
      <c r="G2" s="9"/>
      <c r="H2" s="9"/>
      <c r="I2" s="9"/>
      <c r="J2" s="9"/>
    </row>
    <row r="3" spans="1:33" s="38" customFormat="1" ht="14.5" customHeight="1" x14ac:dyDescent="0.25">
      <c r="D3" s="39"/>
      <c r="E3" s="39"/>
      <c r="F3" s="39"/>
      <c r="G3" s="39"/>
      <c r="H3" s="39"/>
      <c r="I3" s="40" t="s">
        <v>12</v>
      </c>
      <c r="J3" s="40"/>
      <c r="K3" s="210"/>
      <c r="L3" s="210"/>
      <c r="M3" s="210"/>
      <c r="N3" s="39"/>
      <c r="O3" s="210"/>
      <c r="P3" s="210"/>
      <c r="Q3" s="210"/>
      <c r="R3" s="210"/>
      <c r="S3" s="210"/>
      <c r="T3" s="210"/>
      <c r="U3" s="42"/>
      <c r="V3" s="42"/>
      <c r="W3" s="42"/>
      <c r="X3" s="42"/>
      <c r="Y3" s="42"/>
      <c r="Z3" s="42"/>
      <c r="AA3" s="42"/>
      <c r="AB3" s="42"/>
      <c r="AC3" s="42"/>
    </row>
    <row r="4" spans="1:33" s="52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7">
        <f>DATE(PPFirstYear-2,MONTH('Input|General'!$G$9),1)</f>
        <v>43252</v>
      </c>
      <c r="J4" s="47">
        <f>DATE(PPFirstYear-1,MONTH('Input|General'!$G$9),1)</f>
        <v>43617</v>
      </c>
      <c r="K4" s="47">
        <f>DATE(PPFirstYear,MONTH('Input|General'!$G$9),1)</f>
        <v>43983</v>
      </c>
      <c r="L4" s="47">
        <f>DATE(PPFirstYear+1,MONTH('Input|General'!$G$9),1)</f>
        <v>44348</v>
      </c>
      <c r="M4" s="47">
        <f>DATE(PPFirstYear+2,MONTH('Input|General'!$G$9),1)</f>
        <v>44713</v>
      </c>
      <c r="N4" s="47">
        <f>DATE(PPFirstYear+3,MONTH('Input|General'!$G$9),1)</f>
        <v>45078</v>
      </c>
      <c r="O4" s="47">
        <f>DATE(PPFirstYear+4,MONTH('Input|General'!$G$9),1)</f>
        <v>45444</v>
      </c>
      <c r="P4" s="47">
        <f>DATE(PPFirstYear+5,MONTH('Input|General'!$G$9),1)</f>
        <v>45809</v>
      </c>
      <c r="Q4" s="47">
        <f>DATE(PPFirstYear+6,MONTH('Input|General'!$G$9),1)</f>
        <v>46174</v>
      </c>
      <c r="R4" s="47">
        <f>DATE(PPFirstYear+7,MONTH('Input|General'!$G$9),1)</f>
        <v>46539</v>
      </c>
      <c r="S4" s="47">
        <f>DATE(PPFirstYear+8,MONTH('Input|General'!$G$9),1)</f>
        <v>46905</v>
      </c>
      <c r="T4" s="47">
        <f>DATE(PPFirstYear+9,MONTH('Input|General'!$G$9),1)</f>
        <v>47270</v>
      </c>
      <c r="U4" s="48"/>
      <c r="V4" s="48"/>
      <c r="W4" s="49"/>
      <c r="X4" s="50"/>
      <c r="Y4" s="50"/>
      <c r="Z4" s="50"/>
      <c r="AA4" s="50"/>
      <c r="AB4" s="50"/>
      <c r="AC4" s="50"/>
      <c r="AD4" s="50"/>
      <c r="AE4" s="50"/>
      <c r="AF4" s="51"/>
      <c r="AG4" s="51"/>
    </row>
    <row r="5" spans="1:33" s="10" customFormat="1" ht="3" customHeight="1" x14ac:dyDescent="0.2">
      <c r="D5" s="11"/>
      <c r="E5" s="11"/>
      <c r="F5" s="11"/>
      <c r="G5" s="11"/>
      <c r="H5" s="11"/>
      <c r="I5" s="11"/>
      <c r="J5" s="11"/>
    </row>
    <row r="6" spans="1:33" s="10" customFormat="1" x14ac:dyDescent="0.2">
      <c r="D6" s="11"/>
      <c r="E6" s="11"/>
      <c r="F6" s="11"/>
      <c r="G6" s="11"/>
      <c r="H6" s="11"/>
      <c r="I6" s="11"/>
      <c r="J6" s="11"/>
    </row>
    <row r="7" spans="1:33" s="10" customFormat="1" ht="3" customHeight="1" x14ac:dyDescent="0.2">
      <c r="D7" s="11"/>
      <c r="E7" s="11"/>
      <c r="F7" s="11"/>
      <c r="G7" s="11"/>
      <c r="H7" s="11"/>
      <c r="I7" s="11"/>
      <c r="J7" s="11"/>
    </row>
    <row r="8" spans="1:33" s="19" customFormat="1" ht="13" x14ac:dyDescent="0.3">
      <c r="A8" s="12"/>
      <c r="B8" s="13" t="s">
        <v>27</v>
      </c>
      <c r="C8" s="12"/>
      <c r="D8" s="12"/>
      <c r="E8" s="12"/>
      <c r="F8" s="14"/>
      <c r="G8" s="14"/>
      <c r="H8" s="14"/>
      <c r="I8" s="14"/>
      <c r="J8" s="14"/>
      <c r="K8" s="15"/>
      <c r="L8" s="16"/>
      <c r="M8" s="15"/>
      <c r="N8" s="16"/>
      <c r="O8" s="15"/>
      <c r="P8" s="15"/>
      <c r="Q8" s="15"/>
      <c r="R8" s="15"/>
      <c r="S8" s="15"/>
      <c r="T8" s="15"/>
      <c r="U8" s="15"/>
      <c r="V8" s="15"/>
      <c r="W8" s="16"/>
      <c r="X8" s="17"/>
      <c r="Y8" s="17"/>
      <c r="Z8" s="17"/>
      <c r="AA8" s="17"/>
      <c r="AB8" s="17"/>
      <c r="AC8" s="17"/>
      <c r="AD8" s="17"/>
      <c r="AE8" s="17"/>
      <c r="AF8" s="18"/>
      <c r="AG8" s="18"/>
    </row>
    <row r="9" spans="1:33" x14ac:dyDescent="0.2"/>
    <row r="10" spans="1:33" ht="10.5" x14ac:dyDescent="0.25">
      <c r="C10" s="29" t="s">
        <v>29</v>
      </c>
      <c r="I10" s="53">
        <f>I$4</f>
        <v>43252</v>
      </c>
      <c r="J10" s="53">
        <f>J$4</f>
        <v>43617</v>
      </c>
      <c r="K10" s="53">
        <f t="shared" ref="K10:T10" si="0">K$4</f>
        <v>43983</v>
      </c>
      <c r="L10" s="53">
        <f t="shared" si="0"/>
        <v>44348</v>
      </c>
      <c r="M10" s="53">
        <f t="shared" si="0"/>
        <v>44713</v>
      </c>
      <c r="N10" s="53">
        <f t="shared" si="0"/>
        <v>45078</v>
      </c>
      <c r="O10" s="53">
        <f t="shared" si="0"/>
        <v>45444</v>
      </c>
      <c r="P10" s="53">
        <f t="shared" si="0"/>
        <v>45809</v>
      </c>
      <c r="Q10" s="53">
        <f t="shared" si="0"/>
        <v>46174</v>
      </c>
      <c r="R10" s="53">
        <f t="shared" si="0"/>
        <v>46539</v>
      </c>
      <c r="S10" s="53">
        <f t="shared" si="0"/>
        <v>46905</v>
      </c>
      <c r="T10" s="53">
        <f t="shared" si="0"/>
        <v>47270</v>
      </c>
    </row>
    <row r="11" spans="1:33" ht="10.5" x14ac:dyDescent="0.25">
      <c r="C11" s="29"/>
      <c r="J11" s="20"/>
      <c r="P11" s="54"/>
      <c r="Q11" s="54"/>
      <c r="R11" s="54"/>
      <c r="S11" s="54"/>
      <c r="T11" s="54"/>
      <c r="U11" s="24"/>
      <c r="V11" s="24"/>
      <c r="W11" s="24"/>
    </row>
    <row r="12" spans="1:33" x14ac:dyDescent="0.2">
      <c r="C12" s="55" t="s">
        <v>29</v>
      </c>
      <c r="D12" s="56" t="s">
        <v>30</v>
      </c>
      <c r="E12" s="21" t="s">
        <v>34</v>
      </c>
      <c r="I12" s="54">
        <f>IF(I10=I4,LOOKUP(EOMONTH(I4,0),'Input|Inflation'!$C$9:$C$98,'Input|Inflation'!$I$9:$I$98),"")</f>
        <v>2.0776874435411097E-2</v>
      </c>
      <c r="J12" s="54">
        <f>IF(J10=J4,LOOKUP(EOMONTH(J4,0),'Input|Inflation'!$C$9:$C$98,'Input|Inflation'!$I$9:$I$98),"")</f>
        <v>1.5929203539823078E-2</v>
      </c>
      <c r="K12" s="54">
        <f>IF(K10=K4,LOOKUP(EOMONTH(K4,0),'Input|Inflation'!$C$9:$C$98,'Input|Inflation'!$I$9:$I$98),"")</f>
        <v>-3.4843205574912606E-3</v>
      </c>
      <c r="L12" s="54">
        <f>IF(L10=L4,LOOKUP(EOMONTH(L4,0),'Input|Inflation'!$C$9:$C$98,'Input|Inflation'!$I$9:$I$98),"")</f>
        <v>3.8461538461538325E-2</v>
      </c>
      <c r="M12" s="54">
        <f>IF(M10=M4,LOOKUP(EOMONTH(M4,0),'Input|Inflation'!$C$9:$C$98,'Input|Inflation'!$I$9:$I$98),"")</f>
        <v>6.1447811447811418E-2</v>
      </c>
      <c r="N12" s="54">
        <f>IF(N10=N4,LOOKUP(EOMONTH(N4,0),'Input|Inflation'!$C$9:$C$98,'Input|Inflation'!$I$9:$I$98),"")</f>
        <v>6.2999999999999945E-2</v>
      </c>
      <c r="O12" s="54">
        <f>IF(O10=O4,LOOKUP(EOMONTH(O4,0),'Input|Inflation'!$C$9:$C$98,'Input|Inflation'!$I$9:$I$98),"")</f>
        <v>4.2000000000000037E-2</v>
      </c>
      <c r="P12" s="54">
        <f>IF(P10=P4,LOOKUP(EOMONTH(P4,0),'Input|Inflation'!$C$9:$C$98,'Input|Inflation'!$I$9:$I$98),"")</f>
        <v>2.8746582610921667E-2</v>
      </c>
      <c r="Q12" s="54">
        <f>IF(Q10=Q4,LOOKUP(EOMONTH(Q4,0),'Input|Inflation'!$C$9:$C$98,'Input|Inflation'!$I$9:$I$98),"")</f>
        <v>2.8746582610921667E-2</v>
      </c>
      <c r="R12" s="54">
        <f>IF(R10=R4,LOOKUP(EOMONTH(R4,0),'Input|Inflation'!$C$9:$C$98,'Input|Inflation'!$I$9:$I$98),"")</f>
        <v>2.8746582610921667E-2</v>
      </c>
      <c r="S12" s="54">
        <f>IF(S10=S4,LOOKUP(EOMONTH(S4,0),'Input|Inflation'!$C$9:$C$98,'Input|Inflation'!$I$9:$I$98),"")</f>
        <v>2.8746582610921667E-2</v>
      </c>
      <c r="T12" s="54">
        <f>IF(T10=T4,LOOKUP(EOMONTH(T4,0),'Input|Inflation'!$C$9:$C$98,'Input|Inflation'!$I$9:$I$98),"")</f>
        <v>2.8746582610921667E-2</v>
      </c>
      <c r="U12" s="57"/>
    </row>
    <row r="13" spans="1:33" x14ac:dyDescent="0.2">
      <c r="D13" s="20"/>
      <c r="E13" s="20"/>
      <c r="F13" s="20"/>
      <c r="G13" s="20"/>
      <c r="H13" s="20"/>
      <c r="I13" s="20"/>
      <c r="J13" s="20"/>
    </row>
    <row r="14" spans="1:33" ht="10.5" x14ac:dyDescent="0.25">
      <c r="C14" s="29" t="s">
        <v>31</v>
      </c>
      <c r="I14" s="53">
        <f>I$4</f>
        <v>43252</v>
      </c>
      <c r="J14" s="53">
        <f>J$4</f>
        <v>43617</v>
      </c>
      <c r="K14" s="53">
        <f t="shared" ref="K14:T14" si="1">K$4</f>
        <v>43983</v>
      </c>
      <c r="L14" s="53">
        <f t="shared" si="1"/>
        <v>44348</v>
      </c>
      <c r="M14" s="53">
        <f t="shared" si="1"/>
        <v>44713</v>
      </c>
      <c r="N14" s="53">
        <f t="shared" si="1"/>
        <v>45078</v>
      </c>
      <c r="O14" s="53">
        <f t="shared" si="1"/>
        <v>45444</v>
      </c>
      <c r="P14" s="53">
        <f t="shared" si="1"/>
        <v>45809</v>
      </c>
      <c r="Q14" s="53">
        <f t="shared" si="1"/>
        <v>46174</v>
      </c>
      <c r="R14" s="53">
        <f t="shared" si="1"/>
        <v>46539</v>
      </c>
      <c r="S14" s="53">
        <f t="shared" si="1"/>
        <v>46905</v>
      </c>
      <c r="T14" s="53">
        <f t="shared" si="1"/>
        <v>47270</v>
      </c>
    </row>
    <row r="15" spans="1:33" ht="10.5" x14ac:dyDescent="0.25">
      <c r="C15" s="29"/>
      <c r="I15" s="20"/>
      <c r="J15" s="24"/>
      <c r="K15" s="24"/>
      <c r="L15" s="24"/>
      <c r="M15" s="24"/>
      <c r="N15" s="24"/>
      <c r="O15" s="24"/>
      <c r="P15" s="58"/>
      <c r="Q15" s="58"/>
      <c r="R15" s="58"/>
      <c r="S15" s="58"/>
      <c r="T15" s="58"/>
    </row>
    <row r="16" spans="1:33" x14ac:dyDescent="0.2">
      <c r="C16" s="59">
        <f t="array" ref="C16:C27">TRANSPOSE(I4:T4)</f>
        <v>43252</v>
      </c>
      <c r="D16" s="56" t="str">
        <f t="shared" ref="D16:D26" si="2">IF(ISNONTEXT($C16),"calculated","")</f>
        <v>calculated</v>
      </c>
      <c r="E16" s="21" t="str">
        <f>IF(ISNONTEXT($C16),"index","")</f>
        <v>index</v>
      </c>
      <c r="I16" s="60">
        <f t="shared" ref="I16" si="3">IF(AND($C16&gt;I$14,ISNONTEXT($C16)),J16/(1+J$12),IF(AND($C16=I$14,I$14=I$4),1,IF(AND($C16&lt;I$14,I$14=I$4),H16*(1+I$12),0)))</f>
        <v>1</v>
      </c>
      <c r="J16" s="60">
        <f t="shared" ref="J16" si="4">IF(AND($C16&gt;J$14,ISNONTEXT($C16)),K16/(1+K$12),IF(AND($C16=J$14,J$14=J$4),1,IF(AND($C16&lt;J$14,J$14=J$4),I16*(1+J$12),0)))</f>
        <v>1.0159292035398231</v>
      </c>
      <c r="K16" s="60">
        <f t="shared" ref="K16" si="5">IF(AND($C16&gt;K$14,ISNONTEXT($C16)),L16/(1+L$12),IF(AND($C16=K$14,K$14=K$4),1,IF(AND($C16&lt;K$14,K$14=K$4),J16*(1+K$12),0)))</f>
        <v>1.0123893805309736</v>
      </c>
      <c r="L16" s="60">
        <f t="shared" ref="L16" si="6">IF(AND($C16&gt;L$14,ISNONTEXT($C16)),M16/(1+M$12),IF(AND($C16=L$14,L$14=L$4),1,IF(AND($C16&lt;L$14,L$14=L$4),K16*(1+L$12),0)))</f>
        <v>1.0513274336283187</v>
      </c>
      <c r="M16" s="60">
        <f t="shared" ref="M16" si="7">IF(AND($C16&gt;M$14,ISNONTEXT($C16)),N16/(1+N$12),IF(AND($C16=M$14,M$14=M$4),1,IF(AND($C16&lt;M$14,M$14=M$4),L16*(1+M$12),0)))</f>
        <v>1.1159292035398232</v>
      </c>
      <c r="N16" s="60">
        <f t="shared" ref="N16" si="8">IF(AND($C16&gt;N$14,ISNONTEXT($C16)),O16/(1+O$12),IF(AND($C16=N$14,N$14=N$4),1,IF(AND($C16&lt;N$14,N$14=N$4),M16*(1+N$12),0)))</f>
        <v>1.1862327433628319</v>
      </c>
      <c r="O16" s="60">
        <f>IF(AND($C16&gt;O$14,ISNONTEXT($C16)),P16/(1+P$12),IF(AND($C16=O$14,O$14=O$4),1,IF(AND($C16&lt;O$14,O$14=O$4),N16*(1+O$12),0)))</f>
        <v>1.236054518584071</v>
      </c>
      <c r="P16" s="60">
        <f t="shared" ref="P16:T16" si="9">IF(AND($C16&gt;P$14,ISNONTEXT($C16)),Q16/(1+Q$12),IF(AND($C16=P$14,P$14=P$4),1,IF(AND($C16&lt;P$14,P$14=P$4),O16*(1+P$12),0)))</f>
        <v>1.271586861914151</v>
      </c>
      <c r="Q16" s="60">
        <f t="shared" si="9"/>
        <v>1.3081406386871288</v>
      </c>
      <c r="R16" s="60">
        <f t="shared" si="9"/>
        <v>1.3457452116238522</v>
      </c>
      <c r="S16" s="60">
        <f t="shared" si="9"/>
        <v>1.3844307875230495</v>
      </c>
      <c r="T16" s="60">
        <f t="shared" si="9"/>
        <v>1.4242284415256841</v>
      </c>
    </row>
    <row r="17" spans="3:22" x14ac:dyDescent="0.2">
      <c r="C17" s="59">
        <v>43617</v>
      </c>
      <c r="D17" s="56" t="str">
        <f t="shared" si="2"/>
        <v>calculated</v>
      </c>
      <c r="E17" s="21" t="str">
        <f>IF(ISNONTEXT($C17),"index","")</f>
        <v>index</v>
      </c>
      <c r="I17" s="60">
        <f t="shared" ref="I17:I27" si="10">IF(AND($C17&gt;I$14,ISNONTEXT($C17)),J17/(1+J$12),IF(AND($C17=I$14,I$14=I$4),1,IF(AND($C17&lt;I$14,I$14=I$4),H17*(1+I$12),0)))</f>
        <v>0.98432055749128911</v>
      </c>
      <c r="J17" s="60">
        <f t="shared" ref="J17:J27" si="11">IF(AND($C17&gt;J$14,ISNONTEXT($C17)),K17/(1+K$12),IF(AND($C17=J$14,J$14=J$4),1,IF(AND($C17&lt;J$14,J$14=J$4),I17*(1+J$12),0)))</f>
        <v>1</v>
      </c>
      <c r="K17" s="60">
        <f t="shared" ref="K17:K27" si="12">IF(AND($C17&gt;K$14,ISNONTEXT($C17)),L17/(1+L$12),IF(AND($C17=K$14,K$14=K$4),1,IF(AND($C17&lt;K$14,K$14=K$4),J17*(1+K$12),0)))</f>
        <v>0.99651567944250874</v>
      </c>
      <c r="L17" s="60">
        <f t="shared" ref="L17:L27" si="13">IF(AND($C17&gt;L$14,ISNONTEXT($C17)),M17/(1+M$12),IF(AND($C17=L$14,L$14=L$4),1,IF(AND($C17&lt;L$14,L$14=L$4),K17*(1+L$12),0)))</f>
        <v>1.0348432055749128</v>
      </c>
      <c r="M17" s="60">
        <f t="shared" ref="M17:M27" si="14">IF(AND($C17&gt;M$14,ISNONTEXT($C17)),N17/(1+N$12),IF(AND($C17=M$14,M$14=M$4),1,IF(AND($C17&lt;M$14,M$14=M$4),L17*(1+M$12),0)))</f>
        <v>1.0984320557491287</v>
      </c>
      <c r="N17" s="60">
        <f t="shared" ref="N17:N27" si="15">IF(AND($C17&gt;N$14,ISNONTEXT($C17)),O17/(1+O$12),IF(AND($C17=N$14,N$14=N$4),1,IF(AND($C17&lt;N$14,N$14=N$4),M17*(1+N$12),0)))</f>
        <v>1.1676332752613239</v>
      </c>
      <c r="O17" s="60">
        <f t="shared" ref="O17:T17" si="16">IF(AND($C17&gt;O$14,ISNONTEXT($C17)),P17/(1+P$12),IF(AND($C17=O$14,O$14=O$4),1,IF(AND($C17&lt;O$14,O$14=O$4),N17*(1+O$12),0)))</f>
        <v>1.2166738728222994</v>
      </c>
      <c r="P17" s="60">
        <f t="shared" si="16"/>
        <v>1.2516490888179357</v>
      </c>
      <c r="Q17" s="60">
        <f t="shared" si="16"/>
        <v>1.2876297227495253</v>
      </c>
      <c r="R17" s="60">
        <f t="shared" si="16"/>
        <v>1.3246446769468228</v>
      </c>
      <c r="S17" s="60">
        <f t="shared" si="16"/>
        <v>1.3627236845827921</v>
      </c>
      <c r="T17" s="60">
        <f t="shared" si="16"/>
        <v>1.4018973335575109</v>
      </c>
    </row>
    <row r="18" spans="3:22" x14ac:dyDescent="0.2">
      <c r="C18" s="59">
        <v>43983</v>
      </c>
      <c r="D18" s="56" t="str">
        <f t="shared" si="2"/>
        <v>calculated</v>
      </c>
      <c r="E18" s="21" t="str">
        <f t="shared" ref="E18:E27" si="17">IF(ISNONTEXT($C18),"index","")</f>
        <v>index</v>
      </c>
      <c r="I18" s="60">
        <f t="shared" si="10"/>
        <v>0.9877622377622377</v>
      </c>
      <c r="J18" s="60">
        <f t="shared" si="11"/>
        <v>1.0034965034965035</v>
      </c>
      <c r="K18" s="60">
        <f t="shared" si="12"/>
        <v>1</v>
      </c>
      <c r="L18" s="60">
        <f t="shared" si="13"/>
        <v>1.0384615384615383</v>
      </c>
      <c r="M18" s="60">
        <f t="shared" si="14"/>
        <v>1.1022727272727271</v>
      </c>
      <c r="N18" s="60">
        <f t="shared" si="15"/>
        <v>1.1717159090909088</v>
      </c>
      <c r="O18" s="60">
        <f t="shared" ref="O18:T18" si="18">IF(AND($C18&gt;O$14,ISNONTEXT($C18)),P18/(1+P$12),IF(AND($C18=O$14,O$14=O$4),1,IF(AND($C18&lt;O$14,O$14=O$4),N18*(1+O$12),0)))</f>
        <v>1.2209279772727271</v>
      </c>
      <c r="P18" s="60">
        <f t="shared" si="18"/>
        <v>1.2560254842333829</v>
      </c>
      <c r="Q18" s="60">
        <f t="shared" si="18"/>
        <v>1.2921319245773206</v>
      </c>
      <c r="R18" s="60">
        <f t="shared" si="18"/>
        <v>1.3292763016913918</v>
      </c>
      <c r="S18" s="60">
        <f t="shared" si="18"/>
        <v>1.3674884527107039</v>
      </c>
      <c r="T18" s="60">
        <f t="shared" si="18"/>
        <v>1.4067990724860335</v>
      </c>
    </row>
    <row r="19" spans="3:22" x14ac:dyDescent="0.2">
      <c r="C19" s="59">
        <v>44348</v>
      </c>
      <c r="D19" s="56" t="str">
        <f t="shared" si="2"/>
        <v>calculated</v>
      </c>
      <c r="E19" s="21" t="str">
        <f t="shared" si="17"/>
        <v>index</v>
      </c>
      <c r="I19" s="60">
        <f t="shared" si="10"/>
        <v>0.95117845117845123</v>
      </c>
      <c r="J19" s="60">
        <f t="shared" si="11"/>
        <v>0.96632996632996648</v>
      </c>
      <c r="K19" s="60">
        <f t="shared" si="12"/>
        <v>0.96296296296296313</v>
      </c>
      <c r="L19" s="60">
        <f t="shared" si="13"/>
        <v>1</v>
      </c>
      <c r="M19" s="60">
        <f t="shared" si="14"/>
        <v>1.0614478114478114</v>
      </c>
      <c r="N19" s="60">
        <f t="shared" si="15"/>
        <v>1.1283190235690235</v>
      </c>
      <c r="O19" s="60">
        <f t="shared" ref="O19:T19" si="19">IF(AND($C19&gt;O$14,ISNONTEXT($C19)),P19/(1+P$12),IF(AND($C19=O$14,O$14=O$4),1,IF(AND($C19&lt;O$14,O$14=O$4),N19*(1+O$12),0)))</f>
        <v>1.1757084225589225</v>
      </c>
      <c r="P19" s="60">
        <f t="shared" si="19"/>
        <v>1.209506021854369</v>
      </c>
      <c r="Q19" s="60">
        <f t="shared" si="19"/>
        <v>1.2442751866300128</v>
      </c>
      <c r="R19" s="60">
        <f t="shared" si="19"/>
        <v>1.2800438460731924</v>
      </c>
      <c r="S19" s="60">
        <f t="shared" si="19"/>
        <v>1.3168407322399374</v>
      </c>
      <c r="T19" s="60">
        <f t="shared" si="19"/>
        <v>1.3546954031346994</v>
      </c>
    </row>
    <row r="20" spans="3:22" x14ac:dyDescent="0.2">
      <c r="C20" s="59">
        <v>44713</v>
      </c>
      <c r="D20" s="56" t="str">
        <f t="shared" si="2"/>
        <v>calculated</v>
      </c>
      <c r="E20" s="21" t="str">
        <f t="shared" si="17"/>
        <v>index</v>
      </c>
      <c r="I20" s="60">
        <f t="shared" si="10"/>
        <v>0.89611419508326728</v>
      </c>
      <c r="J20" s="60">
        <f t="shared" si="11"/>
        <v>0.91038858049167337</v>
      </c>
      <c r="K20" s="60">
        <f t="shared" si="12"/>
        <v>0.90721649484536093</v>
      </c>
      <c r="L20" s="60">
        <f t="shared" si="13"/>
        <v>0.94210943695479776</v>
      </c>
      <c r="M20" s="60">
        <f t="shared" si="14"/>
        <v>1</v>
      </c>
      <c r="N20" s="60">
        <f t="shared" si="15"/>
        <v>1.0629999999999999</v>
      </c>
      <c r="O20" s="60">
        <f t="shared" ref="O20:T20" si="20">IF(AND($C20&gt;O$14,ISNONTEXT($C20)),P20/(1+P$12),IF(AND($C20=O$14,O$14=O$4),1,IF(AND($C20&lt;O$14,O$14=O$4),N20*(1+O$12),0)))</f>
        <v>1.1076459999999999</v>
      </c>
      <c r="P20" s="60">
        <f t="shared" si="20"/>
        <v>1.1394870372426569</v>
      </c>
      <c r="Q20" s="60">
        <f t="shared" si="20"/>
        <v>1.1722433954928273</v>
      </c>
      <c r="R20" s="60">
        <f t="shared" si="20"/>
        <v>1.2059413871014693</v>
      </c>
      <c r="S20" s="60">
        <f t="shared" si="20"/>
        <v>1.2406080808097111</v>
      </c>
      <c r="T20" s="60">
        <f t="shared" si="20"/>
        <v>1.2762713234924845</v>
      </c>
    </row>
    <row r="21" spans="3:22" x14ac:dyDescent="0.2">
      <c r="C21" s="59">
        <v>45078</v>
      </c>
      <c r="D21" s="56" t="str">
        <f t="shared" si="2"/>
        <v>calculated</v>
      </c>
      <c r="E21" s="21" t="str">
        <f t="shared" si="17"/>
        <v>index</v>
      </c>
      <c r="I21" s="60">
        <f t="shared" si="10"/>
        <v>0.84300488719027977</v>
      </c>
      <c r="J21" s="60">
        <f t="shared" si="11"/>
        <v>0.85643328362339932</v>
      </c>
      <c r="K21" s="60">
        <f t="shared" si="12"/>
        <v>0.85344919552715059</v>
      </c>
      <c r="L21" s="60">
        <f t="shared" si="13"/>
        <v>0.88627416458588704</v>
      </c>
      <c r="M21" s="60">
        <f t="shared" si="14"/>
        <v>0.94073377234242717</v>
      </c>
      <c r="N21" s="60">
        <f t="shared" si="15"/>
        <v>1</v>
      </c>
      <c r="O21" s="60">
        <f t="shared" ref="O21:T21" si="21">IF(AND($C21&gt;O$14,ISNONTEXT($C21)),P21/(1+P$12),IF(AND($C21=O$14,O$14=O$4),1,IF(AND($C21&lt;O$14,O$14=O$4),N21*(1+O$12),0)))</f>
        <v>1.042</v>
      </c>
      <c r="P21" s="60">
        <f t="shared" si="21"/>
        <v>1.0719539390805803</v>
      </c>
      <c r="Q21" s="60">
        <f t="shared" si="21"/>
        <v>1.1027689515454631</v>
      </c>
      <c r="R21" s="60">
        <f t="shared" si="21"/>
        <v>1.1344697903118242</v>
      </c>
      <c r="S21" s="60">
        <f t="shared" si="21"/>
        <v>1.167081919858618</v>
      </c>
      <c r="T21" s="60">
        <f t="shared" si="21"/>
        <v>1.2006315366815468</v>
      </c>
    </row>
    <row r="22" spans="3:22" x14ac:dyDescent="0.2">
      <c r="C22" s="59">
        <v>45444</v>
      </c>
      <c r="D22" s="56" t="str">
        <f t="shared" si="2"/>
        <v>calculated</v>
      </c>
      <c r="E22" s="21" t="str">
        <f t="shared" si="17"/>
        <v>index</v>
      </c>
      <c r="I22" s="60">
        <f t="shared" si="10"/>
        <v>0.80902580344556596</v>
      </c>
      <c r="J22" s="60">
        <f t="shared" si="11"/>
        <v>0.82191294013761929</v>
      </c>
      <c r="K22" s="60">
        <f t="shared" si="12"/>
        <v>0.81904913198382967</v>
      </c>
      <c r="L22" s="60">
        <f t="shared" si="13"/>
        <v>0.85055102167551533</v>
      </c>
      <c r="M22" s="60">
        <f t="shared" si="14"/>
        <v>0.90281552048217573</v>
      </c>
      <c r="N22" s="60">
        <f t="shared" si="15"/>
        <v>0.95969289827255277</v>
      </c>
      <c r="O22" s="60">
        <f t="shared" ref="O22:T22" si="22">IF(AND($C22&gt;O$14,ISNONTEXT($C22)),P22/(1+P$12),IF(AND($C22=O$14,O$14=O$4),1,IF(AND($C22&lt;O$14,O$14=O$4),N22*(1+O$12),0)))</f>
        <v>1</v>
      </c>
      <c r="P22" s="60">
        <f t="shared" si="22"/>
        <v>1.0287465826109217</v>
      </c>
      <c r="Q22" s="60">
        <f t="shared" si="22"/>
        <v>1.05831953123365</v>
      </c>
      <c r="R22" s="60">
        <f t="shared" si="22"/>
        <v>1.08874260106701</v>
      </c>
      <c r="S22" s="60">
        <f t="shared" si="22"/>
        <v>1.1200402301906125</v>
      </c>
      <c r="T22" s="60">
        <f t="shared" si="22"/>
        <v>1.1522375591953427</v>
      </c>
    </row>
    <row r="23" spans="3:22" x14ac:dyDescent="0.2">
      <c r="C23" s="59">
        <v>45809</v>
      </c>
      <c r="D23" s="56" t="str">
        <f t="shared" si="2"/>
        <v>calculated</v>
      </c>
      <c r="E23" s="21" t="str">
        <f t="shared" si="17"/>
        <v>index</v>
      </c>
      <c r="I23" s="60">
        <f t="shared" si="10"/>
        <v>0.78641894624066466</v>
      </c>
      <c r="J23" s="60">
        <f t="shared" si="11"/>
        <v>0.79894597370290543</v>
      </c>
      <c r="K23" s="60">
        <f t="shared" si="12"/>
        <v>0.7961621898224075</v>
      </c>
      <c r="L23" s="60">
        <f t="shared" si="13"/>
        <v>0.82678381250788457</v>
      </c>
      <c r="M23" s="60">
        <f t="shared" si="14"/>
        <v>0.87758786832697178</v>
      </c>
      <c r="N23" s="60">
        <f t="shared" si="15"/>
        <v>0.93287590403157095</v>
      </c>
      <c r="O23" s="60">
        <f t="shared" ref="O23:T23" si="23">IF(AND($C23&gt;O$14,ISNONTEXT($C23)),P23/(1+P$12),IF(AND($C23=O$14,O$14=O$4),1,IF(AND($C23&lt;O$14,O$14=O$4),N23*(1+O$12),0)))</f>
        <v>0.97205669200089695</v>
      </c>
      <c r="P23" s="60">
        <f t="shared" si="23"/>
        <v>1</v>
      </c>
      <c r="Q23" s="60">
        <f t="shared" si="23"/>
        <v>1.0287465826109217</v>
      </c>
      <c r="R23" s="60">
        <f t="shared" si="23"/>
        <v>1.05831953123365</v>
      </c>
      <c r="S23" s="60">
        <f t="shared" si="23"/>
        <v>1.08874260106701</v>
      </c>
      <c r="T23" s="60">
        <f t="shared" si="23"/>
        <v>1.1200402301906125</v>
      </c>
    </row>
    <row r="24" spans="3:22" x14ac:dyDescent="0.2">
      <c r="C24" s="59">
        <v>46174</v>
      </c>
      <c r="D24" s="56" t="str">
        <f t="shared" si="2"/>
        <v>calculated</v>
      </c>
      <c r="E24" s="21" t="str">
        <f t="shared" si="17"/>
        <v>index</v>
      </c>
      <c r="I24" s="60">
        <f t="shared" si="10"/>
        <v>0.76444379940953178</v>
      </c>
      <c r="J24" s="60">
        <f t="shared" si="11"/>
        <v>0.77662078028508186</v>
      </c>
      <c r="K24" s="60">
        <f t="shared" si="12"/>
        <v>0.77391478453495965</v>
      </c>
      <c r="L24" s="60">
        <f t="shared" si="13"/>
        <v>0.80368073778630411</v>
      </c>
      <c r="M24" s="60">
        <f t="shared" si="14"/>
        <v>0.85306516022603485</v>
      </c>
      <c r="N24" s="60">
        <f t="shared" si="15"/>
        <v>0.90680826532027503</v>
      </c>
      <c r="O24" s="60">
        <f t="shared" ref="O24:T24" si="24">IF(AND($C24&gt;O$14,ISNONTEXT($C24)),P24/(1+P$12),IF(AND($C24=O$14,O$14=O$4),1,IF(AND($C24&lt;O$14,O$14=O$4),N24*(1+O$12),0)))</f>
        <v>0.94489421246372662</v>
      </c>
      <c r="P24" s="60">
        <f t="shared" si="24"/>
        <v>0.97205669200089695</v>
      </c>
      <c r="Q24" s="60">
        <f t="shared" si="24"/>
        <v>1</v>
      </c>
      <c r="R24" s="60">
        <f t="shared" si="24"/>
        <v>1.0287465826109217</v>
      </c>
      <c r="S24" s="60">
        <f t="shared" si="24"/>
        <v>1.05831953123365</v>
      </c>
      <c r="T24" s="60">
        <f t="shared" si="24"/>
        <v>1.08874260106701</v>
      </c>
    </row>
    <row r="25" spans="3:22" x14ac:dyDescent="0.2">
      <c r="C25" s="59">
        <v>46539</v>
      </c>
      <c r="D25" s="56" t="str">
        <f t="shared" si="2"/>
        <v>calculated</v>
      </c>
      <c r="E25" s="21" t="str">
        <f t="shared" si="17"/>
        <v>index</v>
      </c>
      <c r="I25" s="60">
        <f t="shared" si="10"/>
        <v>0.74308271087462663</v>
      </c>
      <c r="J25" s="60">
        <f t="shared" si="11"/>
        <v>0.7549194266230721</v>
      </c>
      <c r="K25" s="60">
        <f t="shared" si="12"/>
        <v>0.75228904534563978</v>
      </c>
      <c r="L25" s="60">
        <f t="shared" si="13"/>
        <v>0.78122323939739502</v>
      </c>
      <c r="M25" s="60">
        <f t="shared" si="14"/>
        <v>0.82922769771053462</v>
      </c>
      <c r="N25" s="60">
        <f t="shared" si="15"/>
        <v>0.88146904266629822</v>
      </c>
      <c r="O25" s="60">
        <f t="shared" ref="O25:T25" si="25">IF(AND($C25&gt;O$14,ISNONTEXT($C25)),P25/(1+P$12),IF(AND($C25=O$14,O$14=O$4),1,IF(AND($C25&lt;O$14,O$14=O$4),N25*(1+O$12),0)))</f>
        <v>0.91849074245828277</v>
      </c>
      <c r="P25" s="60">
        <f t="shared" si="25"/>
        <v>0.94489421246372662</v>
      </c>
      <c r="Q25" s="60">
        <f t="shared" si="25"/>
        <v>0.97205669200089695</v>
      </c>
      <c r="R25" s="60">
        <f t="shared" si="25"/>
        <v>1</v>
      </c>
      <c r="S25" s="60">
        <f t="shared" si="25"/>
        <v>1.0287465826109217</v>
      </c>
      <c r="T25" s="60">
        <f t="shared" si="25"/>
        <v>1.05831953123365</v>
      </c>
    </row>
    <row r="26" spans="3:22" x14ac:dyDescent="0.2">
      <c r="C26" s="59">
        <v>46905</v>
      </c>
      <c r="D26" s="56" t="str">
        <f t="shared" si="2"/>
        <v>calculated</v>
      </c>
      <c r="E26" s="21" t="str">
        <f t="shared" si="17"/>
        <v>index</v>
      </c>
      <c r="I26" s="60">
        <f t="shared" si="10"/>
        <v>0.72231852181584832</v>
      </c>
      <c r="J26" s="60">
        <f t="shared" si="11"/>
        <v>0.73382448057043714</v>
      </c>
      <c r="K26" s="60">
        <f t="shared" si="12"/>
        <v>0.73126760084719522</v>
      </c>
      <c r="L26" s="60">
        <f t="shared" si="13"/>
        <v>0.75939327780285648</v>
      </c>
      <c r="M26" s="60">
        <f t="shared" si="14"/>
        <v>0.80605633275202193</v>
      </c>
      <c r="N26" s="60">
        <f t="shared" si="15"/>
        <v>0.85683788171539932</v>
      </c>
      <c r="O26" s="60">
        <f t="shared" ref="O26:T26" si="26">IF(AND($C26&gt;O$14,ISNONTEXT($C26)),P26/(1+P$12),IF(AND($C26=O$14,O$14=O$4),1,IF(AND($C26&lt;O$14,O$14=O$4),N26*(1+O$12),0)))</f>
        <v>0.89282507274744616</v>
      </c>
      <c r="P26" s="60">
        <f t="shared" si="26"/>
        <v>0.91849074245828277</v>
      </c>
      <c r="Q26" s="60">
        <f t="shared" si="26"/>
        <v>0.94489421246372662</v>
      </c>
      <c r="R26" s="60">
        <f t="shared" si="26"/>
        <v>0.97205669200089695</v>
      </c>
      <c r="S26" s="60">
        <f t="shared" si="26"/>
        <v>1</v>
      </c>
      <c r="T26" s="60">
        <f t="shared" si="26"/>
        <v>1.0287465826109217</v>
      </c>
    </row>
    <row r="27" spans="3:22" x14ac:dyDescent="0.2">
      <c r="C27" s="59">
        <v>47270</v>
      </c>
      <c r="D27" s="56" t="str">
        <f>IF(ISNONTEXT($C27),"calculated","")</f>
        <v>calculated</v>
      </c>
      <c r="E27" s="21" t="str">
        <f t="shared" si="17"/>
        <v>index</v>
      </c>
      <c r="I27" s="60">
        <f t="shared" si="10"/>
        <v>0.70213455288729132</v>
      </c>
      <c r="J27" s="60">
        <f t="shared" si="11"/>
        <v>0.71331899709257562</v>
      </c>
      <c r="K27" s="60">
        <f t="shared" si="12"/>
        <v>0.71083356504695694</v>
      </c>
      <c r="L27" s="60">
        <f t="shared" si="13"/>
        <v>0.73817331754876292</v>
      </c>
      <c r="M27" s="60">
        <f t="shared" si="14"/>
        <v>0.78353245238130476</v>
      </c>
      <c r="N27" s="60">
        <f t="shared" si="15"/>
        <v>0.83289499688132695</v>
      </c>
      <c r="O27" s="60">
        <f t="shared" ref="O27:T27" si="27">IF(AND($C27&gt;O$14,ISNONTEXT($C27)),P27/(1+P$12),IF(AND($C27=O$14,O$14=O$4),1,IF(AND($C27&lt;O$14,O$14=O$4),N27*(1+O$12),0)))</f>
        <v>0.86787658675034274</v>
      </c>
      <c r="P27" s="60">
        <f t="shared" si="27"/>
        <v>0.89282507274744616</v>
      </c>
      <c r="Q27" s="60">
        <f t="shared" si="27"/>
        <v>0.91849074245828277</v>
      </c>
      <c r="R27" s="60">
        <f t="shared" si="27"/>
        <v>0.94489421246372662</v>
      </c>
      <c r="S27" s="60">
        <f t="shared" si="27"/>
        <v>0.97205669200089695</v>
      </c>
      <c r="T27" s="60">
        <f t="shared" si="27"/>
        <v>1</v>
      </c>
    </row>
    <row r="28" spans="3:22" x14ac:dyDescent="0.2">
      <c r="C28" s="55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3:22" ht="10.5" x14ac:dyDescent="0.25">
      <c r="C29" s="29" t="s">
        <v>32</v>
      </c>
      <c r="I29" s="53">
        <f>I$4</f>
        <v>43252</v>
      </c>
      <c r="J29" s="53">
        <f>J$4</f>
        <v>43617</v>
      </c>
      <c r="K29" s="53">
        <f t="shared" ref="K29:T29" si="28">K$4</f>
        <v>43983</v>
      </c>
      <c r="L29" s="53">
        <f t="shared" si="28"/>
        <v>44348</v>
      </c>
      <c r="M29" s="53">
        <f t="shared" si="28"/>
        <v>44713</v>
      </c>
      <c r="N29" s="53">
        <f t="shared" si="28"/>
        <v>45078</v>
      </c>
      <c r="O29" s="53">
        <f t="shared" si="28"/>
        <v>45444</v>
      </c>
      <c r="P29" s="53">
        <f t="shared" si="28"/>
        <v>45809</v>
      </c>
      <c r="Q29" s="53">
        <f t="shared" si="28"/>
        <v>46174</v>
      </c>
      <c r="R29" s="53">
        <f t="shared" si="28"/>
        <v>46539</v>
      </c>
      <c r="S29" s="53">
        <f t="shared" si="28"/>
        <v>46905</v>
      </c>
      <c r="T29" s="53">
        <f t="shared" si="28"/>
        <v>47270</v>
      </c>
    </row>
    <row r="30" spans="3:22" x14ac:dyDescent="0.2">
      <c r="C30" s="55"/>
      <c r="J30" s="20"/>
      <c r="Q30" s="60"/>
      <c r="R30" s="60"/>
      <c r="S30" s="60"/>
      <c r="T30" s="60"/>
    </row>
    <row r="31" spans="3:22" x14ac:dyDescent="0.2">
      <c r="C31" s="59">
        <f t="array" ref="C31:C42">TRANSPOSE(I4:T4)</f>
        <v>43252</v>
      </c>
      <c r="D31" s="56" t="str">
        <f t="shared" ref="D31:D42" si="29">IF(ISNONTEXT($C31),"calculated","")</f>
        <v>calculated</v>
      </c>
      <c r="E31" s="21" t="str">
        <f>IF(ISNONTEXT($C31),"index","")</f>
        <v>index</v>
      </c>
      <c r="I31" s="60">
        <f t="shared" ref="I31:T31" si="30">IF(AND(I$29=I$4,ISNONTEXT($C31)),1/I16*(1+I$12)^0.5,0)</f>
        <v>1.0103350307870211</v>
      </c>
      <c r="J31" s="60">
        <f t="shared" si="30"/>
        <v>0.99212930482437067</v>
      </c>
      <c r="K31" s="60">
        <f t="shared" si="30"/>
        <v>0.98603989601991704</v>
      </c>
      <c r="L31" s="60">
        <f t="shared" si="30"/>
        <v>0.96929776407832791</v>
      </c>
      <c r="M31" s="60">
        <f t="shared" si="30"/>
        <v>0.92323589193571021</v>
      </c>
      <c r="N31" s="60">
        <f t="shared" si="30"/>
        <v>0.86915398286827039</v>
      </c>
      <c r="O31" s="60">
        <f t="shared" si="30"/>
        <v>0.82584060578761465</v>
      </c>
      <c r="P31" s="60">
        <f t="shared" si="30"/>
        <v>0.7976422881387174</v>
      </c>
      <c r="Q31" s="60">
        <f t="shared" si="30"/>
        <v>0.77535352400814794</v>
      </c>
      <c r="R31" s="60">
        <f t="shared" si="30"/>
        <v>0.7536875816785984</v>
      </c>
      <c r="S31" s="60">
        <f t="shared" si="30"/>
        <v>0.7326270574486542</v>
      </c>
      <c r="T31" s="60">
        <f t="shared" si="30"/>
        <v>0.71215503393389001</v>
      </c>
    </row>
    <row r="32" spans="3:22" x14ac:dyDescent="0.2">
      <c r="C32" s="59">
        <v>43617</v>
      </c>
      <c r="D32" s="56" t="str">
        <f t="shared" si="29"/>
        <v>calculated</v>
      </c>
      <c r="E32" s="21" t="str">
        <f>IF(ISNONTEXT($C32),"index","")</f>
        <v>index</v>
      </c>
      <c r="I32" s="60">
        <f t="shared" ref="I32:T32" si="31">IF(AND(I$29=I$4,ISNONTEXT($C32)),1/I17*(1+I$12)^0.5,0)</f>
        <v>1.0264288631358409</v>
      </c>
      <c r="J32" s="60">
        <f t="shared" si="31"/>
        <v>1.0079331344587412</v>
      </c>
      <c r="K32" s="60">
        <f t="shared" si="31"/>
        <v>1.0017467262220046</v>
      </c>
      <c r="L32" s="60">
        <f t="shared" si="31"/>
        <v>0.98473790545302708</v>
      </c>
      <c r="M32" s="60">
        <f t="shared" si="31"/>
        <v>0.93794230437362447</v>
      </c>
      <c r="N32" s="60">
        <f t="shared" si="31"/>
        <v>0.88299891356882709</v>
      </c>
      <c r="O32" s="60">
        <f t="shared" si="31"/>
        <v>0.83899558888865655</v>
      </c>
      <c r="P32" s="60">
        <f t="shared" si="31"/>
        <v>0.81034809449844947</v>
      </c>
      <c r="Q32" s="60">
        <f t="shared" si="31"/>
        <v>0.78770428810739312</v>
      </c>
      <c r="R32" s="60">
        <f t="shared" si="31"/>
        <v>0.76569322457259392</v>
      </c>
      <c r="S32" s="60">
        <f t="shared" si="31"/>
        <v>0.74429722296553558</v>
      </c>
      <c r="T32" s="60">
        <f t="shared" si="31"/>
        <v>0.72349909642133259</v>
      </c>
      <c r="U32" s="61"/>
      <c r="V32" s="61"/>
    </row>
    <row r="33" spans="1:33" x14ac:dyDescent="0.2">
      <c r="C33" s="59">
        <v>43983</v>
      </c>
      <c r="D33" s="56" t="str">
        <f t="shared" si="29"/>
        <v>calculated</v>
      </c>
      <c r="E33" s="21" t="str">
        <f t="shared" ref="E33:E42" si="32">IF(ISNONTEXT($C33),"index","")</f>
        <v>index</v>
      </c>
      <c r="I33" s="60">
        <f t="shared" ref="I33:O36" si="33">IF(AND(I$29=I$4,ISNONTEXT($C33)),1/I18*(1+I$12)^0.5,0)</f>
        <v>1.0228524559472145</v>
      </c>
      <c r="J33" s="60">
        <f t="shared" si="33"/>
        <v>1.0044211723177698</v>
      </c>
      <c r="K33" s="60">
        <f t="shared" si="33"/>
        <v>0.99825631951042948</v>
      </c>
      <c r="L33" s="60">
        <f t="shared" si="33"/>
        <v>0.98130676292531638</v>
      </c>
      <c r="M33" s="60">
        <f t="shared" si="33"/>
        <v>0.93467421272075479</v>
      </c>
      <c r="N33" s="60">
        <f t="shared" si="33"/>
        <v>0.87992226230203685</v>
      </c>
      <c r="O33" s="60">
        <f t="shared" si="33"/>
        <v>0.83607225931064733</v>
      </c>
      <c r="P33" s="60">
        <f t="shared" ref="P33:T33" si="34">IF(AND(P$29=P$4,ISNONTEXT($C33)),1/P18*(1+P$12)^0.5,0)</f>
        <v>0.80752458197406474</v>
      </c>
      <c r="Q33" s="60">
        <f t="shared" si="34"/>
        <v>0.78495967386311649</v>
      </c>
      <c r="R33" s="60">
        <f t="shared" si="34"/>
        <v>0.76302530392948409</v>
      </c>
      <c r="S33" s="60">
        <f t="shared" si="34"/>
        <v>0.74170385285067331</v>
      </c>
      <c r="T33" s="60">
        <f t="shared" si="34"/>
        <v>0.72097819364634552</v>
      </c>
      <c r="U33" s="61"/>
      <c r="V33" s="61"/>
    </row>
    <row r="34" spans="1:33" x14ac:dyDescent="0.2">
      <c r="C34" s="59">
        <v>44348</v>
      </c>
      <c r="D34" s="56" t="str">
        <f t="shared" si="29"/>
        <v>calculated</v>
      </c>
      <c r="E34" s="21" t="str">
        <f t="shared" si="32"/>
        <v>index</v>
      </c>
      <c r="I34" s="60">
        <f t="shared" si="33"/>
        <v>1.0621929350221071</v>
      </c>
      <c r="J34" s="60">
        <f t="shared" si="33"/>
        <v>1.0430527558684535</v>
      </c>
      <c r="K34" s="60">
        <f t="shared" si="33"/>
        <v>1.0366507933377536</v>
      </c>
      <c r="L34" s="60">
        <f t="shared" si="33"/>
        <v>1.019049330730136</v>
      </c>
      <c r="M34" s="60">
        <f t="shared" si="33"/>
        <v>0.970623220902322</v>
      </c>
      <c r="N34" s="60">
        <f t="shared" si="33"/>
        <v>0.91376542623673052</v>
      </c>
      <c r="O34" s="60">
        <f t="shared" si="33"/>
        <v>0.86822888466874903</v>
      </c>
      <c r="P34" s="60">
        <f t="shared" ref="P34:T34" si="35">IF(AND(P$29=P$4,ISNONTEXT($C34)),1/P19*(1+P$12)^0.5,0)</f>
        <v>0.83858321974229788</v>
      </c>
      <c r="Q34" s="60">
        <f t="shared" si="35"/>
        <v>0.81515043055015934</v>
      </c>
      <c r="R34" s="60">
        <f t="shared" si="35"/>
        <v>0.7923724310036947</v>
      </c>
      <c r="S34" s="60">
        <f t="shared" si="35"/>
        <v>0.7702309241141605</v>
      </c>
      <c r="T34" s="60">
        <f t="shared" si="35"/>
        <v>0.74870812417120469</v>
      </c>
      <c r="U34" s="61"/>
      <c r="V34" s="61"/>
    </row>
    <row r="35" spans="1:33" x14ac:dyDescent="0.2">
      <c r="C35" s="59">
        <v>44713</v>
      </c>
      <c r="D35" s="56" t="str">
        <f t="shared" si="29"/>
        <v>calculated</v>
      </c>
      <c r="E35" s="21" t="str">
        <f t="shared" si="32"/>
        <v>index</v>
      </c>
      <c r="I35" s="60">
        <f t="shared" si="33"/>
        <v>1.1274623662145431</v>
      </c>
      <c r="J35" s="60">
        <f t="shared" si="33"/>
        <v>1.1071460649411782</v>
      </c>
      <c r="K35" s="60">
        <f t="shared" si="33"/>
        <v>1.100350715823996</v>
      </c>
      <c r="L35" s="60">
        <f t="shared" si="33"/>
        <v>1.0816676818608599</v>
      </c>
      <c r="M35" s="60">
        <f t="shared" si="33"/>
        <v>1.0302658935671953</v>
      </c>
      <c r="N35" s="60">
        <f t="shared" si="33"/>
        <v>0.96991431185565413</v>
      </c>
      <c r="O35" s="60">
        <f t="shared" si="33"/>
        <v>0.92157964946741799</v>
      </c>
      <c r="P35" s="60">
        <f t="shared" ref="P35:T35" si="36">IF(AND(P$29=P$4,ISNONTEXT($C35)),1/P20*(1+P$12)^0.5,0)</f>
        <v>0.89011232331232115</v>
      </c>
      <c r="Q35" s="60">
        <f t="shared" si="36"/>
        <v>0.86523964050820779</v>
      </c>
      <c r="R35" s="60">
        <f t="shared" si="36"/>
        <v>0.84106198274045363</v>
      </c>
      <c r="S35" s="60">
        <f t="shared" si="36"/>
        <v>0.81755992871040095</v>
      </c>
      <c r="T35" s="60">
        <f t="shared" si="36"/>
        <v>0.79471459981472148</v>
      </c>
      <c r="U35" s="61"/>
      <c r="V35" s="61"/>
    </row>
    <row r="36" spans="1:33" x14ac:dyDescent="0.2">
      <c r="C36" s="59">
        <v>45078</v>
      </c>
      <c r="D36" s="56" t="str">
        <f t="shared" si="29"/>
        <v>calculated</v>
      </c>
      <c r="E36" s="21" t="str">
        <f t="shared" si="32"/>
        <v>index</v>
      </c>
      <c r="I36" s="60">
        <f t="shared" si="33"/>
        <v>1.1984924952860592</v>
      </c>
      <c r="J36" s="60">
        <f t="shared" si="33"/>
        <v>1.1768962670324723</v>
      </c>
      <c r="K36" s="60">
        <f t="shared" si="33"/>
        <v>1.1696728109209076</v>
      </c>
      <c r="L36" s="60">
        <f t="shared" si="33"/>
        <v>1.149812745818094</v>
      </c>
      <c r="M36" s="60">
        <f t="shared" si="33"/>
        <v>1.0951726448619286</v>
      </c>
      <c r="N36" s="60">
        <f t="shared" si="33"/>
        <v>1.0310189135025603</v>
      </c>
      <c r="O36" s="60">
        <f t="shared" si="33"/>
        <v>0.97963916738386514</v>
      </c>
      <c r="P36" s="60">
        <f t="shared" ref="P36:T36" si="37">IF(AND(P$29=P$4,ISNONTEXT($C36)),1/P21*(1+P$12)^0.5,0)</f>
        <v>0.94618939968099736</v>
      </c>
      <c r="Q36" s="60">
        <f t="shared" si="37"/>
        <v>0.91974973786022496</v>
      </c>
      <c r="R36" s="60">
        <f t="shared" si="37"/>
        <v>0.89404888765310242</v>
      </c>
      <c r="S36" s="60">
        <f t="shared" si="37"/>
        <v>0.86906620421915637</v>
      </c>
      <c r="T36" s="60">
        <f t="shared" si="37"/>
        <v>0.84478161960304909</v>
      </c>
      <c r="U36" s="61"/>
      <c r="V36" s="61"/>
    </row>
    <row r="37" spans="1:33" x14ac:dyDescent="0.2">
      <c r="C37" s="59">
        <v>45444</v>
      </c>
      <c r="D37" s="56" t="str">
        <f t="shared" si="29"/>
        <v>calculated</v>
      </c>
      <c r="E37" s="21" t="str">
        <f t="shared" si="32"/>
        <v>index</v>
      </c>
      <c r="I37" s="60">
        <f t="shared" ref="I37:T37" si="38">IF(AND(I$29=I$4,ISNONTEXT($C37)),1/I22*(1+I$12)^0.5,0)</f>
        <v>1.2488291800880735</v>
      </c>
      <c r="J37" s="60">
        <f t="shared" si="38"/>
        <v>1.2263259102478361</v>
      </c>
      <c r="K37" s="60">
        <f t="shared" si="38"/>
        <v>1.2187990689795858</v>
      </c>
      <c r="L37" s="60">
        <f t="shared" si="38"/>
        <v>1.1981048811424539</v>
      </c>
      <c r="M37" s="60">
        <f t="shared" si="38"/>
        <v>1.1411698959461296</v>
      </c>
      <c r="N37" s="60">
        <f t="shared" si="38"/>
        <v>1.0743217078696679</v>
      </c>
      <c r="O37" s="60">
        <f t="shared" si="38"/>
        <v>1.0207840124139875</v>
      </c>
      <c r="P37" s="60">
        <f t="shared" si="38"/>
        <v>0.98592935446759922</v>
      </c>
      <c r="Q37" s="60">
        <f t="shared" si="38"/>
        <v>0.95837922685035415</v>
      </c>
      <c r="R37" s="60">
        <f t="shared" si="38"/>
        <v>0.93159894093453244</v>
      </c>
      <c r="S37" s="60">
        <f t="shared" si="38"/>
        <v>0.90556698479636066</v>
      </c>
      <c r="T37" s="60">
        <f t="shared" si="38"/>
        <v>0.88026244762637695</v>
      </c>
      <c r="U37" s="61"/>
      <c r="V37" s="61"/>
    </row>
    <row r="38" spans="1:33" x14ac:dyDescent="0.2">
      <c r="C38" s="59">
        <v>45809</v>
      </c>
      <c r="D38" s="56" t="str">
        <f t="shared" si="29"/>
        <v>calculated</v>
      </c>
      <c r="E38" s="21" t="str">
        <f t="shared" si="32"/>
        <v>index</v>
      </c>
      <c r="I38" s="60">
        <f t="shared" ref="I38:T38" si="39">IF(AND(I$29=I$4,ISNONTEXT($C38)),1/I23*(1+I$12)^0.5,0)</f>
        <v>1.2847287512804051</v>
      </c>
      <c r="J38" s="60">
        <f t="shared" si="39"/>
        <v>1.2615785893346894</v>
      </c>
      <c r="K38" s="60">
        <f t="shared" si="39"/>
        <v>1.253835377102122</v>
      </c>
      <c r="L38" s="60">
        <f t="shared" si="39"/>
        <v>1.232546302084764</v>
      </c>
      <c r="M38" s="60">
        <f t="shared" si="39"/>
        <v>1.1739746306330419</v>
      </c>
      <c r="N38" s="60">
        <f t="shared" si="39"/>
        <v>1.1052047855956495</v>
      </c>
      <c r="O38" s="60">
        <f t="shared" si="39"/>
        <v>1.0501280643547544</v>
      </c>
      <c r="P38" s="60">
        <f t="shared" si="39"/>
        <v>1.0142714541043347</v>
      </c>
      <c r="Q38" s="60">
        <f t="shared" si="39"/>
        <v>0.98592935446759922</v>
      </c>
      <c r="R38" s="60">
        <f t="shared" si="39"/>
        <v>0.95837922685035415</v>
      </c>
      <c r="S38" s="60">
        <f t="shared" si="39"/>
        <v>0.93159894093453244</v>
      </c>
      <c r="T38" s="60">
        <f t="shared" si="39"/>
        <v>0.90556698479636066</v>
      </c>
      <c r="U38" s="61"/>
      <c r="V38" s="61"/>
    </row>
    <row r="39" spans="1:33" x14ac:dyDescent="0.2">
      <c r="C39" s="59">
        <v>46174</v>
      </c>
      <c r="D39" s="56" t="str">
        <f t="shared" si="29"/>
        <v>calculated</v>
      </c>
      <c r="E39" s="21" t="str">
        <f t="shared" si="32"/>
        <v>index</v>
      </c>
      <c r="I39" s="60">
        <f t="shared" ref="I39:T39" si="40">IF(AND(I$29=I$4,ISNONTEXT($C39)),1/I24*(1+I$12)^0.5,0)</f>
        <v>1.3216603124617134</v>
      </c>
      <c r="J39" s="60">
        <f t="shared" si="40"/>
        <v>1.297844662473169</v>
      </c>
      <c r="K39" s="60">
        <f t="shared" si="40"/>
        <v>1.2898788593504842</v>
      </c>
      <c r="L39" s="60">
        <f t="shared" si="40"/>
        <v>1.2679777961794296</v>
      </c>
      <c r="M39" s="60">
        <f t="shared" si="40"/>
        <v>1.207722389335661</v>
      </c>
      <c r="N39" s="60">
        <f t="shared" si="40"/>
        <v>1.1369756462667611</v>
      </c>
      <c r="O39" s="60">
        <f t="shared" si="40"/>
        <v>1.0803156575087756</v>
      </c>
      <c r="P39" s="60">
        <f t="shared" si="40"/>
        <v>1.0434282922496447</v>
      </c>
      <c r="Q39" s="60">
        <f t="shared" si="40"/>
        <v>1.0142714541043347</v>
      </c>
      <c r="R39" s="60">
        <f t="shared" si="40"/>
        <v>0.98592935446759922</v>
      </c>
      <c r="S39" s="60">
        <f t="shared" si="40"/>
        <v>0.95837922685035415</v>
      </c>
      <c r="T39" s="60">
        <f t="shared" si="40"/>
        <v>0.93159894093453244</v>
      </c>
      <c r="U39" s="61"/>
      <c r="V39" s="61"/>
    </row>
    <row r="40" spans="1:33" x14ac:dyDescent="0.2">
      <c r="C40" s="59">
        <v>46539</v>
      </c>
      <c r="D40" s="56" t="str">
        <f t="shared" si="29"/>
        <v>calculated</v>
      </c>
      <c r="E40" s="21" t="str">
        <f t="shared" si="32"/>
        <v>index</v>
      </c>
      <c r="I40" s="60">
        <f t="shared" ref="I40:T40" si="41">IF(AND(I$29=I$4,ISNONTEXT($C40)),1/I25*(1+I$12)^0.5,0)</f>
        <v>1.3596535298174708</v>
      </c>
      <c r="J40" s="60">
        <f t="shared" si="41"/>
        <v>1.3351532612790977</v>
      </c>
      <c r="K40" s="60">
        <f t="shared" si="41"/>
        <v>1.3269584685388842</v>
      </c>
      <c r="L40" s="60">
        <f t="shared" si="41"/>
        <v>1.3044278246461163</v>
      </c>
      <c r="M40" s="60">
        <f t="shared" si="41"/>
        <v>1.2424402807717583</v>
      </c>
      <c r="N40" s="60">
        <f t="shared" si="41"/>
        <v>1.1696598106087746</v>
      </c>
      <c r="O40" s="60">
        <f t="shared" si="41"/>
        <v>1.1113710408032238</v>
      </c>
      <c r="P40" s="60">
        <f t="shared" si="41"/>
        <v>1.073423289851372</v>
      </c>
      <c r="Q40" s="60">
        <f t="shared" si="41"/>
        <v>1.0434282922496447</v>
      </c>
      <c r="R40" s="60">
        <f t="shared" si="41"/>
        <v>1.0142714541043347</v>
      </c>
      <c r="S40" s="60">
        <f t="shared" si="41"/>
        <v>0.98592935446759922</v>
      </c>
      <c r="T40" s="60">
        <f t="shared" si="41"/>
        <v>0.95837922685035415</v>
      </c>
      <c r="U40" s="61"/>
      <c r="V40" s="61"/>
    </row>
    <row r="41" spans="1:33" x14ac:dyDescent="0.2">
      <c r="C41" s="59">
        <v>46905</v>
      </c>
      <c r="D41" s="56" t="str">
        <f t="shared" si="29"/>
        <v>calculated</v>
      </c>
      <c r="E41" s="21" t="str">
        <f t="shared" si="32"/>
        <v>index</v>
      </c>
      <c r="I41" s="60">
        <f t="shared" ref="I41:T41" si="42">IF(AND(I$29=I$4,ISNONTEXT($C41)),1/I26*(1+I$12)^0.5,0)</f>
        <v>1.3987389223346003</v>
      </c>
      <c r="J41" s="60">
        <f t="shared" si="42"/>
        <v>1.373534354802699</v>
      </c>
      <c r="K41" s="60">
        <f t="shared" si="42"/>
        <v>1.3651039897759998</v>
      </c>
      <c r="L41" s="60">
        <f t="shared" si="42"/>
        <v>1.341925666867291</v>
      </c>
      <c r="M41" s="60">
        <f t="shared" si="42"/>
        <v>1.2781561929421006</v>
      </c>
      <c r="N41" s="60">
        <f t="shared" si="42"/>
        <v>1.2032835329811149</v>
      </c>
      <c r="O41" s="60">
        <f t="shared" si="42"/>
        <v>1.1433191602390596</v>
      </c>
      <c r="P41" s="60">
        <f t="shared" si="42"/>
        <v>1.104280541129572</v>
      </c>
      <c r="Q41" s="60">
        <f t="shared" si="42"/>
        <v>1.073423289851372</v>
      </c>
      <c r="R41" s="60">
        <f t="shared" si="42"/>
        <v>1.0434282922496447</v>
      </c>
      <c r="S41" s="60">
        <f t="shared" si="42"/>
        <v>1.0142714541043347</v>
      </c>
      <c r="T41" s="60">
        <f t="shared" si="42"/>
        <v>0.98592935446759922</v>
      </c>
      <c r="U41" s="61"/>
      <c r="V41" s="61"/>
    </row>
    <row r="42" spans="1:33" x14ac:dyDescent="0.2">
      <c r="C42" s="59">
        <v>47270</v>
      </c>
      <c r="D42" s="56" t="str">
        <f t="shared" si="29"/>
        <v>calculated</v>
      </c>
      <c r="E42" s="21" t="str">
        <f t="shared" si="32"/>
        <v>index</v>
      </c>
      <c r="I42" s="60">
        <f t="shared" ref="I42:T42" si="43">IF(AND(I$29=I$4,ISNONTEXT($C42)),1/I27*(1+I$12)^0.5,0)</f>
        <v>1.4389478863166034</v>
      </c>
      <c r="J42" s="60">
        <f t="shared" si="43"/>
        <v>1.4130187736019739</v>
      </c>
      <c r="K42" s="60">
        <f t="shared" si="43"/>
        <v>1.4043460643905943</v>
      </c>
      <c r="L42" s="60">
        <f t="shared" si="43"/>
        <v>1.3805014439076075</v>
      </c>
      <c r="M42" s="60">
        <f t="shared" si="43"/>
        <v>1.3148988155321715</v>
      </c>
      <c r="N42" s="60">
        <f t="shared" si="43"/>
        <v>1.2378738224663182</v>
      </c>
      <c r="O42" s="60">
        <f t="shared" si="43"/>
        <v>1.1761856789295213</v>
      </c>
      <c r="P42" s="60">
        <f t="shared" si="43"/>
        <v>1.1360248329307863</v>
      </c>
      <c r="Q42" s="60">
        <f t="shared" si="43"/>
        <v>1.104280541129572</v>
      </c>
      <c r="R42" s="60">
        <f t="shared" si="43"/>
        <v>1.073423289851372</v>
      </c>
      <c r="S42" s="60">
        <f t="shared" si="43"/>
        <v>1.0434282922496447</v>
      </c>
      <c r="T42" s="60">
        <f t="shared" si="43"/>
        <v>1.0142714541043347</v>
      </c>
      <c r="U42" s="61"/>
      <c r="V42" s="61"/>
    </row>
    <row r="43" spans="1:33" x14ac:dyDescent="0.2">
      <c r="C43" s="55"/>
      <c r="K43" s="60"/>
      <c r="L43" s="60"/>
      <c r="M43" s="60"/>
      <c r="N43" s="60"/>
      <c r="O43" s="60"/>
      <c r="P43" s="58"/>
      <c r="Q43" s="60"/>
      <c r="R43" s="60"/>
      <c r="S43" s="60"/>
      <c r="T43" s="60"/>
    </row>
    <row r="44" spans="1:33" s="19" customFormat="1" ht="13" x14ac:dyDescent="0.3">
      <c r="A44" s="12"/>
      <c r="B44" s="13" t="s">
        <v>18</v>
      </c>
      <c r="C44" s="12"/>
      <c r="D44" s="12"/>
      <c r="E44" s="12"/>
      <c r="F44" s="14"/>
      <c r="G44" s="14"/>
      <c r="H44" s="14"/>
      <c r="I44" s="14"/>
      <c r="J44" s="14"/>
      <c r="K44" s="15"/>
      <c r="L44" s="16"/>
      <c r="M44" s="15"/>
      <c r="N44" s="16"/>
      <c r="O44" s="15"/>
      <c r="P44" s="15"/>
      <c r="Q44" s="15"/>
      <c r="R44" s="15"/>
      <c r="S44" s="15"/>
      <c r="T44" s="15"/>
      <c r="U44" s="15"/>
      <c r="V44" s="15"/>
      <c r="W44" s="16"/>
      <c r="X44" s="17"/>
      <c r="Y44" s="17"/>
      <c r="Z44" s="17"/>
      <c r="AA44" s="17"/>
      <c r="AB44" s="17"/>
      <c r="AC44" s="17"/>
      <c r="AD44" s="17"/>
      <c r="AE44" s="17"/>
      <c r="AF44" s="18"/>
      <c r="AG44" s="18"/>
    </row>
  </sheetData>
  <mergeCells count="2">
    <mergeCell ref="K3:M3"/>
    <mergeCell ref="O3:T3"/>
  </mergeCell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18C72-A51B-4B53-A4FA-3C4E5AF7813B}">
  <sheetPr>
    <tabColor rgb="FFCCFFCC"/>
  </sheetPr>
  <dimension ref="A1:AD45"/>
  <sheetViews>
    <sheetView showGridLines="0" zoomScale="75" zoomScaleNormal="75" workbookViewId="0"/>
  </sheetViews>
  <sheetFormatPr defaultColWidth="0" defaultRowHeight="10" zeroHeight="1" x14ac:dyDescent="0.2"/>
  <cols>
    <col min="1" max="2" width="1.1796875" style="20" customWidth="1"/>
    <col min="3" max="3" width="62.5429687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9" width="2.81640625" style="21" customWidth="1"/>
    <col min="10" max="23" width="8.81640625" style="20" customWidth="1"/>
    <col min="24" max="38" width="8.54296875" style="20" hidden="1" customWidth="1"/>
    <col min="39" max="16384" width="8.54296875" style="20" hidden="1"/>
  </cols>
  <sheetData>
    <row r="1" spans="1:30" s="1" customFormat="1" ht="15.5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96" t="s">
        <v>1</v>
      </c>
      <c r="M1" s="97" t="s">
        <v>2</v>
      </c>
      <c r="N1" s="98" t="s">
        <v>3</v>
      </c>
      <c r="O1" s="2"/>
      <c r="P1" s="2"/>
      <c r="Q1" s="2"/>
      <c r="R1" s="2"/>
      <c r="S1" s="2"/>
      <c r="T1" s="2"/>
      <c r="U1" s="2"/>
      <c r="V1" s="2"/>
      <c r="W1" s="2"/>
    </row>
    <row r="2" spans="1:30" s="7" customFormat="1" ht="13.5" thickBot="1" x14ac:dyDescent="0.35">
      <c r="B2" s="8" t="s">
        <v>96</v>
      </c>
      <c r="C2" s="8"/>
      <c r="D2" s="8"/>
      <c r="E2" s="8"/>
      <c r="F2" s="9"/>
      <c r="G2" s="9"/>
      <c r="H2" s="9"/>
      <c r="I2" s="9"/>
    </row>
    <row r="3" spans="1:30" s="38" customFormat="1" ht="14.5" customHeight="1" x14ac:dyDescent="0.25">
      <c r="D3" s="41"/>
      <c r="E3" s="41"/>
      <c r="F3" s="41"/>
      <c r="G3" s="41"/>
      <c r="H3" s="41"/>
      <c r="I3" s="41"/>
      <c r="J3" s="65" t="s">
        <v>12</v>
      </c>
      <c r="K3" s="65"/>
      <c r="L3" s="65"/>
      <c r="M3" s="41"/>
      <c r="N3" s="210"/>
      <c r="O3" s="210"/>
      <c r="P3" s="210"/>
      <c r="Q3" s="210"/>
      <c r="R3" s="210"/>
      <c r="S3" s="210"/>
      <c r="T3" s="42"/>
      <c r="U3" s="42"/>
      <c r="V3" s="42"/>
      <c r="W3" s="42"/>
      <c r="X3" s="42"/>
      <c r="Y3" s="42"/>
      <c r="Z3" s="42"/>
    </row>
    <row r="4" spans="1:30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6"/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</row>
    <row r="5" spans="1:30" s="10" customFormat="1" ht="3" customHeight="1" x14ac:dyDescent="0.2">
      <c r="D5" s="11"/>
      <c r="E5" s="11"/>
      <c r="F5" s="11"/>
      <c r="G5" s="11"/>
      <c r="H5" s="11"/>
      <c r="I5" s="11"/>
    </row>
    <row r="6" spans="1:30" s="10" customFormat="1" x14ac:dyDescent="0.2">
      <c r="D6" s="11"/>
      <c r="E6" s="11"/>
      <c r="F6" s="11"/>
      <c r="G6" s="11"/>
      <c r="H6" s="11"/>
      <c r="I6" s="11"/>
    </row>
    <row r="7" spans="1:30" s="10" customFormat="1" ht="3" customHeight="1" x14ac:dyDescent="0.2">
      <c r="D7" s="11"/>
      <c r="E7" s="11"/>
      <c r="F7" s="11"/>
      <c r="G7" s="11"/>
      <c r="H7" s="11"/>
      <c r="I7" s="11"/>
    </row>
    <row r="8" spans="1:30" s="19" customFormat="1" ht="13" x14ac:dyDescent="0.3">
      <c r="A8" s="12"/>
      <c r="B8" s="13" t="s">
        <v>280</v>
      </c>
      <c r="C8" s="12"/>
      <c r="D8" s="12"/>
      <c r="E8" s="66" t="s">
        <v>37</v>
      </c>
      <c r="F8" s="82">
        <f>DATE(PPLastYear,MONTH('Input|General'!G9),1)</f>
        <v>45444</v>
      </c>
      <c r="G8" s="14"/>
      <c r="H8" s="14"/>
      <c r="I8" s="14"/>
      <c r="J8" s="15"/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  <c r="X8" s="17"/>
      <c r="Y8" s="17"/>
      <c r="Z8" s="17"/>
      <c r="AA8" s="17"/>
      <c r="AB8" s="17"/>
      <c r="AC8" s="18"/>
      <c r="AD8" s="18"/>
    </row>
    <row r="9" spans="1:30" x14ac:dyDescent="0.2"/>
    <row r="10" spans="1:30" ht="10.5" x14ac:dyDescent="0.25">
      <c r="C10" s="29" t="s">
        <v>261</v>
      </c>
      <c r="D10" s="23" t="s">
        <v>6</v>
      </c>
      <c r="E10" s="23" t="s">
        <v>24</v>
      </c>
      <c r="F10" s="23" t="s">
        <v>28</v>
      </c>
      <c r="J10" s="62">
        <f t="shared" ref="J10:S10" si="0">IF(YEAR(J$4)&lt;=PPLastYear,J$4,"")</f>
        <v>43983</v>
      </c>
      <c r="K10" s="62">
        <f t="shared" si="0"/>
        <v>44348</v>
      </c>
      <c r="L10" s="62">
        <f t="shared" si="0"/>
        <v>44713</v>
      </c>
      <c r="M10" s="62">
        <f t="shared" si="0"/>
        <v>45078</v>
      </c>
      <c r="N10" s="62">
        <f t="shared" si="0"/>
        <v>45444</v>
      </c>
      <c r="O10" s="62" t="str">
        <f t="shared" si="0"/>
        <v/>
      </c>
      <c r="P10" s="62" t="str">
        <f t="shared" si="0"/>
        <v/>
      </c>
      <c r="Q10" s="62" t="str">
        <f t="shared" si="0"/>
        <v/>
      </c>
      <c r="R10" s="62" t="str">
        <f t="shared" si="0"/>
        <v/>
      </c>
      <c r="S10" s="62" t="str">
        <f t="shared" si="0"/>
        <v/>
      </c>
    </row>
    <row r="11" spans="1:30" x14ac:dyDescent="0.2">
      <c r="C11" s="55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30" x14ac:dyDescent="0.2">
      <c r="C12" s="55" t="s">
        <v>94</v>
      </c>
      <c r="D12" s="167" t="s">
        <v>41</v>
      </c>
      <c r="E12" s="21" t="str">
        <f>$E$8</f>
        <v>$millions</v>
      </c>
      <c r="F12" s="69">
        <v>44713</v>
      </c>
      <c r="J12" s="70"/>
      <c r="K12" s="70"/>
      <c r="L12" s="70"/>
      <c r="M12" s="81">
        <v>0</v>
      </c>
      <c r="N12" s="64"/>
      <c r="O12" s="79"/>
      <c r="P12" s="79"/>
      <c r="Q12" s="79"/>
      <c r="R12" s="79"/>
      <c r="S12" s="79"/>
    </row>
    <row r="13" spans="1:30" ht="10.5" x14ac:dyDescent="0.25">
      <c r="C13" s="55" t="str">
        <f>C12</f>
        <v>Cyber security</v>
      </c>
      <c r="D13" s="21" t="s">
        <v>23</v>
      </c>
      <c r="E13" s="21" t="str">
        <f>$E$8</f>
        <v>$millions</v>
      </c>
      <c r="F13" s="71">
        <f>$F$8</f>
        <v>45444</v>
      </c>
      <c r="J13" s="72"/>
      <c r="K13" s="72"/>
      <c r="L13" s="72"/>
      <c r="M13" s="79">
        <f>M12*IF($F12="nominal",LOOKUP($F13,'Lookup|Tables'!Nominal_to_Real,'Calc|CPI Indexes'!N$31:N$42),INDEX('Calc|CPI Indexes'!$C$14:$T$27,MATCH($F12,'Calc|CPI Indexes'!$C$14:$C$27,0),MATCH($F13,'Calc|CPI Indexes'!$C$14:$T$14,0)))</f>
        <v>0</v>
      </c>
      <c r="N13" s="64"/>
      <c r="O13" s="79"/>
      <c r="P13" s="80"/>
      <c r="Q13" s="80"/>
      <c r="R13" s="80"/>
      <c r="S13" s="80"/>
    </row>
    <row r="14" spans="1:30" x14ac:dyDescent="0.2">
      <c r="J14" s="64"/>
      <c r="K14" s="64"/>
      <c r="L14" s="64"/>
    </row>
    <row r="15" spans="1:30" s="19" customFormat="1" ht="13" x14ac:dyDescent="0.3">
      <c r="A15" s="12"/>
      <c r="B15" s="13" t="s">
        <v>38</v>
      </c>
      <c r="C15" s="12"/>
      <c r="D15" s="12"/>
      <c r="E15" s="12"/>
      <c r="F15" s="14"/>
      <c r="G15" s="14"/>
      <c r="H15" s="14"/>
      <c r="I15" s="14"/>
      <c r="J15" s="15"/>
      <c r="K15" s="16"/>
      <c r="L15" s="15"/>
      <c r="M15" s="16"/>
      <c r="N15" s="15"/>
      <c r="O15" s="15"/>
      <c r="P15" s="15"/>
      <c r="Q15" s="15"/>
      <c r="R15" s="15"/>
      <c r="S15" s="15"/>
      <c r="T15" s="15"/>
      <c r="U15" s="15"/>
      <c r="V15" s="16"/>
      <c r="W15" s="16"/>
      <c r="X15" s="17"/>
      <c r="Y15" s="17"/>
      <c r="Z15" s="17"/>
      <c r="AA15" s="17"/>
      <c r="AB15" s="17"/>
      <c r="AC15" s="18"/>
      <c r="AD15" s="18"/>
    </row>
    <row r="16" spans="1:30" x14ac:dyDescent="0.2">
      <c r="C16" s="55"/>
      <c r="J16" s="64"/>
      <c r="K16" s="64"/>
      <c r="L16" s="64"/>
    </row>
    <row r="17" spans="1:30" ht="10.5" x14ac:dyDescent="0.25">
      <c r="C17" s="29" t="s">
        <v>262</v>
      </c>
      <c r="D17" s="23" t="s">
        <v>6</v>
      </c>
      <c r="E17" s="23" t="s">
        <v>24</v>
      </c>
      <c r="F17" s="23" t="s">
        <v>28</v>
      </c>
      <c r="J17" s="62" t="str">
        <f>IF(YEAR(J$4)&gt;='Input|General'!$G$13,IF(YEAR(J$4)&lt;='Input|General'!$G$14,J$4,""),"")</f>
        <v/>
      </c>
      <c r="K17" s="62" t="str">
        <f>IF(YEAR(K$4)&gt;='Input|General'!$G$13,IF(YEAR(K$4)&lt;='Input|General'!$G$14,K$4,""),"")</f>
        <v/>
      </c>
      <c r="L17" s="62" t="str">
        <f>IF(YEAR(L$4)&gt;='Input|General'!$G$13,IF(YEAR(L$4)&lt;='Input|General'!$G$14,L$4,""),"")</f>
        <v/>
      </c>
      <c r="M17" s="62" t="str">
        <f>IF(YEAR(M$4)&gt;='Input|General'!$G$13,IF(YEAR(M$4)&lt;='Input|General'!$G$14,M$4,""),"")</f>
        <v/>
      </c>
      <c r="N17" s="62" t="str">
        <f>IF(YEAR(N$4)&gt;='Input|General'!$G$13,IF(YEAR(N$4)&lt;='Input|General'!$G$14,N$4,""),"")</f>
        <v/>
      </c>
      <c r="O17" s="175">
        <f>IF(YEAR(O$4)&gt;=FPFirstYear,IF(YEAR(O$4)&lt;=FPLastYear,O$4,""),"")</f>
        <v>45809</v>
      </c>
      <c r="P17" s="175">
        <f>IF(YEAR(P$4)&gt;=FPFirstYear,IF(YEAR(P$4)&lt;=FPLastYear,P$4,""),"")</f>
        <v>46174</v>
      </c>
      <c r="Q17" s="175">
        <f>IF(YEAR(Q$4)&gt;=FPFirstYear,IF(YEAR(Q$4)&lt;=FPLastYear,Q$4,""),"")</f>
        <v>46539</v>
      </c>
      <c r="R17" s="175">
        <f>IF(YEAR(R$4)&gt;=FPFirstYear,IF(YEAR(R$4)&lt;=FPLastYear,R$4,""),"")</f>
        <v>46905</v>
      </c>
      <c r="S17" s="175">
        <f>IF(YEAR(S$4)&gt;=FPFirstYear,IF(YEAR(S$4)&lt;=FPLastYear,S$4,""),"")</f>
        <v>47270</v>
      </c>
      <c r="T17" s="176"/>
    </row>
    <row r="18" spans="1:30" ht="10.5" x14ac:dyDescent="0.25">
      <c r="C18" s="29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76"/>
    </row>
    <row r="19" spans="1:30" x14ac:dyDescent="0.2">
      <c r="C19" s="55" t="s">
        <v>94</v>
      </c>
      <c r="D19" s="167" t="s">
        <v>41</v>
      </c>
      <c r="E19" s="21" t="str">
        <f>$E$8</f>
        <v>$millions</v>
      </c>
      <c r="F19" s="69">
        <v>44713</v>
      </c>
      <c r="J19" s="74"/>
      <c r="K19" s="74"/>
      <c r="L19" s="74"/>
      <c r="M19" s="74"/>
      <c r="N19" s="74"/>
      <c r="O19" s="79">
        <f>INDEX($M$41:$S$42,MATCH($F19,$F$41:$F$42,0),MATCH(O$17,$M$38:$S$38,0))</f>
        <v>2.1245426529139926</v>
      </c>
      <c r="P19" s="79">
        <f t="shared" ref="P19:S19" si="1">INDEX($M$41:$S$42,MATCH($F19,$F$41:$F$42,0),MATCH(P$17,$M$38:$S$38,0))</f>
        <v>3.6040311330495962</v>
      </c>
      <c r="Q19" s="79">
        <f t="shared" si="1"/>
        <v>3.9341668010290296</v>
      </c>
      <c r="R19" s="79">
        <f t="shared" si="1"/>
        <v>4.2816947524108784</v>
      </c>
      <c r="S19" s="79">
        <f t="shared" si="1"/>
        <v>4.6475731513656093</v>
      </c>
    </row>
    <row r="20" spans="1:30" x14ac:dyDescent="0.2">
      <c r="C20" s="55" t="str">
        <f>C19</f>
        <v>Cyber security</v>
      </c>
      <c r="D20" s="21" t="s">
        <v>23</v>
      </c>
      <c r="E20" s="21" t="str">
        <f>$E$8</f>
        <v>$millions</v>
      </c>
      <c r="F20" s="71">
        <f t="shared" ref="F20" si="2">$F$8</f>
        <v>45444</v>
      </c>
      <c r="J20" s="74"/>
      <c r="K20" s="74"/>
      <c r="L20" s="74"/>
      <c r="M20" s="74"/>
      <c r="N20" s="74"/>
      <c r="O20" s="79">
        <f>O19*IF($F19="nominal",LOOKUP($F20,'Lookup|Tables'!Nominal_to_Real,'Calc|CPI Indexes'!P$31:P$42),INDEX('Calc|CPI Indexes'!$C$14:$T$27,MATCH($F19,'Calc|CPI Indexes'!$C$14:$C$27,0),MATCH($F20,'Calc|CPI Indexes'!$C$14:$T$14,0)))</f>
        <v>2.353241171329572</v>
      </c>
      <c r="P20" s="79">
        <f>P19*IF($F19="nominal",LOOKUP($F20,'Lookup|Tables'!Nominal_to_Real,'Calc|CPI Indexes'!Q$31:Q$42),INDEX('Calc|CPI Indexes'!$C$14:$T$27,MATCH($F19,'Calc|CPI Indexes'!$C$14:$C$27,0),MATCH($F20,'Calc|CPI Indexes'!$C$14:$T$14,0)))</f>
        <v>3.9919906683978525</v>
      </c>
      <c r="Q20" s="79">
        <f>Q19*IF($F19="nominal",LOOKUP($F20,'Lookup|Tables'!Nominal_to_Real,'Calc|CPI Indexes'!R$31:R$42),INDEX('Calc|CPI Indexes'!$C$14:$T$27,MATCH($F19,'Calc|CPI Indexes'!$C$14:$C$27,0),MATCH($F20,'Calc|CPI Indexes'!$C$14:$T$14,0)))</f>
        <v>4.3576641204926005</v>
      </c>
      <c r="R20" s="79">
        <f>R19*IF($F19="nominal",LOOKUP($F20,'Lookup|Tables'!Nominal_to_Real,'Calc|CPI Indexes'!S$31:S$42),INDEX('Calc|CPI Indexes'!$C$14:$T$27,MATCH($F19,'Calc|CPI Indexes'!$C$14:$C$27,0),MATCH($F20,'Calc|CPI Indexes'!$C$14:$T$14,0)))</f>
        <v>4.7426020657288994</v>
      </c>
      <c r="S20" s="79">
        <f>S19*IF($F19="nominal",LOOKUP($F20,'Lookup|Tables'!Nominal_to_Real,'Calc|CPI Indexes'!T$31:T$42),INDEX('Calc|CPI Indexes'!$C$14:$T$27,MATCH($F19,'Calc|CPI Indexes'!$C$14:$C$27,0),MATCH($F20,'Calc|CPI Indexes'!$C$14:$T$14,0)))</f>
        <v>5.1478658108175113</v>
      </c>
    </row>
    <row r="21" spans="1:30" x14ac:dyDescent="0.2">
      <c r="C21" s="73"/>
      <c r="F21" s="71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30" s="19" customFormat="1" ht="13" x14ac:dyDescent="0.3">
      <c r="A22" s="12"/>
      <c r="B22" s="13" t="s">
        <v>39</v>
      </c>
      <c r="C22" s="12"/>
      <c r="D22" s="12"/>
      <c r="E22" s="12"/>
      <c r="F22" s="14"/>
      <c r="G22" s="14"/>
      <c r="H22" s="14"/>
      <c r="I22" s="14"/>
      <c r="J22" s="15"/>
      <c r="K22" s="16"/>
      <c r="L22" s="15"/>
      <c r="M22" s="16"/>
      <c r="N22" s="15"/>
      <c r="O22" s="15"/>
      <c r="P22" s="15"/>
      <c r="Q22" s="15"/>
      <c r="R22" s="15"/>
      <c r="S22" s="15"/>
      <c r="T22" s="15"/>
      <c r="U22" s="15"/>
      <c r="V22" s="16"/>
      <c r="W22" s="16"/>
      <c r="X22" s="17"/>
      <c r="Y22" s="17"/>
      <c r="Z22" s="17"/>
      <c r="AA22" s="17"/>
      <c r="AB22" s="17"/>
      <c r="AC22" s="18"/>
      <c r="AD22" s="18"/>
    </row>
    <row r="23" spans="1:30" x14ac:dyDescent="0.2">
      <c r="C23" s="55"/>
      <c r="J23" s="64"/>
      <c r="K23" s="64"/>
      <c r="L23" s="64"/>
    </row>
    <row r="24" spans="1:30" ht="10.5" x14ac:dyDescent="0.25">
      <c r="C24" s="29" t="s">
        <v>40</v>
      </c>
      <c r="D24" s="23" t="s">
        <v>6</v>
      </c>
      <c r="E24" s="23" t="s">
        <v>24</v>
      </c>
      <c r="F24" s="23" t="s">
        <v>28</v>
      </c>
      <c r="J24" s="62" t="str">
        <f>IF(YEAR(J$4)&gt;='Input|General'!$G$13,IF(YEAR(J$4)&lt;='Input|General'!$G$14,J$4,""),"")</f>
        <v/>
      </c>
      <c r="K24" s="62" t="str">
        <f>IF(YEAR(K$4)&gt;='Input|General'!$G$13,IF(YEAR(K$4)&lt;='Input|General'!$G$14,K$4,""),"")</f>
        <v/>
      </c>
      <c r="L24" s="62" t="str">
        <f>IF(YEAR(L$4)&gt;='Input|General'!$G$13,IF(YEAR(L$4)&lt;='Input|General'!$G$14,L$4,""),"")</f>
        <v/>
      </c>
      <c r="M24" s="62" t="str">
        <f>IF(YEAR(M$4)&gt;='Input|General'!$G$13,IF(YEAR(M$4)&lt;='Input|General'!$G$14,M$4,""),"")</f>
        <v/>
      </c>
      <c r="N24" s="62" t="str">
        <f>IF(YEAR(N$4)&gt;='Input|General'!$G$13,IF(YEAR(N$4)&lt;='Input|General'!$G$14,N$4,""),"")</f>
        <v/>
      </c>
      <c r="O24" s="175">
        <f>IF(YEAR(O$4)&gt;=FPFirstYear,IF(YEAR(O$4)&lt;=FPLastYear,O$4,""),"")</f>
        <v>45809</v>
      </c>
      <c r="P24" s="175">
        <f>IF(YEAR(P$4)&gt;=FPFirstYear,IF(YEAR(P$4)&lt;=FPLastYear,P$4,""),"")</f>
        <v>46174</v>
      </c>
      <c r="Q24" s="175">
        <f>IF(YEAR(Q$4)&gt;=FPFirstYear,IF(YEAR(Q$4)&lt;=FPLastYear,Q$4,""),"")</f>
        <v>46539</v>
      </c>
      <c r="R24" s="175">
        <f>IF(YEAR(R$4)&gt;=FPFirstYear,IF(YEAR(R$4)&lt;=FPLastYear,R$4,""),"")</f>
        <v>46905</v>
      </c>
      <c r="S24" s="175">
        <f>IF(YEAR(S$4)&gt;=FPFirstYear,IF(YEAR(S$4)&lt;=FPLastYear,S$4,""),"")</f>
        <v>47270</v>
      </c>
    </row>
    <row r="25" spans="1:30" ht="10.5" x14ac:dyDescent="0.25">
      <c r="C25" s="29"/>
      <c r="D25" s="23"/>
      <c r="E25" s="23"/>
      <c r="F25" s="23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30" x14ac:dyDescent="0.2">
      <c r="C26" s="55" t="s">
        <v>263</v>
      </c>
      <c r="D26" s="21" t="s">
        <v>23</v>
      </c>
      <c r="E26" s="21" t="str">
        <f>$E$8</f>
        <v>$millions</v>
      </c>
      <c r="F26" s="71">
        <f>F20</f>
        <v>45444</v>
      </c>
      <c r="J26" s="74"/>
      <c r="K26" s="74"/>
      <c r="L26" s="74"/>
      <c r="M26" s="74"/>
      <c r="N26" s="74"/>
      <c r="O26" s="79">
        <f>O20</f>
        <v>2.353241171329572</v>
      </c>
      <c r="P26" s="79">
        <f>P20</f>
        <v>3.9919906683978525</v>
      </c>
      <c r="Q26" s="79">
        <f>Q20</f>
        <v>4.3576641204926005</v>
      </c>
      <c r="R26" s="79">
        <f>R20</f>
        <v>4.7426020657288994</v>
      </c>
      <c r="S26" s="79">
        <f>S20</f>
        <v>5.1478658108175113</v>
      </c>
    </row>
    <row r="27" spans="1:30" ht="10.5" x14ac:dyDescent="0.25">
      <c r="C27" s="55" t="s">
        <v>264</v>
      </c>
      <c r="D27" s="21" t="s">
        <v>23</v>
      </c>
      <c r="E27" s="21" t="str">
        <f>$E$8</f>
        <v>$millions</v>
      </c>
      <c r="F27" s="106">
        <f>F13</f>
        <v>45444</v>
      </c>
      <c r="J27" s="24"/>
      <c r="K27" s="24"/>
      <c r="L27" s="24"/>
      <c r="M27" s="24"/>
      <c r="N27" s="24"/>
      <c r="O27" s="107">
        <f>$M$13</f>
        <v>0</v>
      </c>
      <c r="P27" s="107">
        <f t="shared" ref="P27:S27" si="3">$M$13</f>
        <v>0</v>
      </c>
      <c r="Q27" s="107">
        <f t="shared" si="3"/>
        <v>0</v>
      </c>
      <c r="R27" s="107">
        <f t="shared" si="3"/>
        <v>0</v>
      </c>
      <c r="S27" s="107">
        <f t="shared" si="3"/>
        <v>0</v>
      </c>
    </row>
    <row r="28" spans="1:30" ht="3" customHeight="1" x14ac:dyDescent="0.2">
      <c r="F28" s="108"/>
      <c r="O28" s="101"/>
      <c r="P28" s="101"/>
      <c r="Q28" s="101"/>
      <c r="R28" s="101"/>
      <c r="S28" s="101"/>
    </row>
    <row r="29" spans="1:30" ht="10.5" x14ac:dyDescent="0.25">
      <c r="C29" s="75" t="s">
        <v>268</v>
      </c>
      <c r="D29" s="76" t="s">
        <v>23</v>
      </c>
      <c r="E29" s="76" t="str">
        <f>$E$8</f>
        <v>$millions</v>
      </c>
      <c r="F29" s="77">
        <f>F27</f>
        <v>45444</v>
      </c>
      <c r="G29" s="23"/>
      <c r="H29" s="23"/>
      <c r="I29" s="23"/>
      <c r="J29" s="78"/>
      <c r="K29" s="78"/>
      <c r="L29" s="78"/>
      <c r="M29" s="78"/>
      <c r="N29" s="78"/>
      <c r="O29" s="80">
        <f>O26-O27</f>
        <v>2.353241171329572</v>
      </c>
      <c r="P29" s="80">
        <f>P26-P27</f>
        <v>3.9919906683978525</v>
      </c>
      <c r="Q29" s="80">
        <f>Q26-Q27</f>
        <v>4.3576641204926005</v>
      </c>
      <c r="R29" s="80">
        <f>R26-R27</f>
        <v>4.7426020657288994</v>
      </c>
      <c r="S29" s="80">
        <f>S26-S27</f>
        <v>5.1478658108175113</v>
      </c>
    </row>
    <row r="30" spans="1:30" ht="10.5" x14ac:dyDescent="0.25">
      <c r="C30" s="109"/>
      <c r="D30" s="110"/>
      <c r="E30" s="110"/>
      <c r="F30" s="77"/>
      <c r="G30" s="23"/>
      <c r="H30" s="23"/>
      <c r="I30" s="23"/>
      <c r="J30" s="78"/>
      <c r="K30" s="78"/>
      <c r="L30" s="78"/>
      <c r="M30" s="78"/>
      <c r="N30" s="78"/>
      <c r="O30" s="80"/>
      <c r="P30" s="80"/>
      <c r="Q30" s="80"/>
      <c r="R30" s="80"/>
      <c r="S30" s="80"/>
    </row>
    <row r="31" spans="1:30" s="19" customFormat="1" ht="13" x14ac:dyDescent="0.3">
      <c r="A31" s="12"/>
      <c r="B31" s="13" t="s">
        <v>98</v>
      </c>
      <c r="C31" s="12"/>
      <c r="D31" s="12"/>
      <c r="E31" s="12"/>
      <c r="F31" s="14"/>
      <c r="G31" s="14"/>
      <c r="H31" s="14"/>
      <c r="I31" s="14"/>
      <c r="J31" s="15"/>
      <c r="K31" s="16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7"/>
      <c r="Y31" s="17"/>
      <c r="Z31" s="17"/>
      <c r="AA31" s="17"/>
      <c r="AB31" s="17"/>
      <c r="AC31" s="18"/>
      <c r="AD31" s="18"/>
    </row>
    <row r="32" spans="1:30" x14ac:dyDescent="0.2">
      <c r="C32" s="111"/>
      <c r="D32" s="113"/>
      <c r="E32" s="113"/>
      <c r="F32" s="114"/>
      <c r="G32" s="64"/>
      <c r="H32" s="64"/>
      <c r="I32" s="64"/>
      <c r="J32" s="74"/>
      <c r="K32" s="74"/>
      <c r="L32" s="74"/>
      <c r="M32" s="74"/>
      <c r="N32" s="74"/>
      <c r="O32" s="79"/>
      <c r="P32" s="79"/>
      <c r="Q32" s="79"/>
      <c r="R32" s="79"/>
      <c r="S32" s="79"/>
    </row>
    <row r="33" spans="1:30" ht="10.5" x14ac:dyDescent="0.25">
      <c r="C33" s="29" t="s">
        <v>104</v>
      </c>
      <c r="D33" s="113"/>
      <c r="E33" s="113"/>
      <c r="F33" s="20"/>
      <c r="H33" s="64"/>
      <c r="I33" s="64"/>
      <c r="J33" s="74"/>
      <c r="K33" s="74"/>
      <c r="L33" s="74"/>
      <c r="M33" s="74"/>
      <c r="N33" s="74"/>
      <c r="O33" s="175">
        <f>IF(YEAR(O$4)&gt;=FPFirstYear,IF(YEAR(O$4)&lt;=FPLastYear,O$4,""),"")</f>
        <v>45809</v>
      </c>
      <c r="P33" s="175">
        <f>IF(YEAR(P$4)&gt;=FPFirstYear,IF(YEAR(P$4)&lt;=FPLastYear,P$4,""),"")</f>
        <v>46174</v>
      </c>
      <c r="Q33" s="175">
        <f>IF(YEAR(Q$4)&gt;=FPFirstYear,IF(YEAR(Q$4)&lt;=FPLastYear,Q$4,""),"")</f>
        <v>46539</v>
      </c>
      <c r="R33" s="175">
        <f>IF(YEAR(R$4)&gt;=FPFirstYear,IF(YEAR(R$4)&lt;=FPLastYear,R$4,""),"")</f>
        <v>46905</v>
      </c>
      <c r="S33" s="175">
        <f>IF(YEAR(S$4)&gt;=FPFirstYear,IF(YEAR(S$4)&lt;=FPLastYear,S$4,""),"")</f>
        <v>47270</v>
      </c>
    </row>
    <row r="34" spans="1:30" x14ac:dyDescent="0.2">
      <c r="C34" s="111" t="s">
        <v>157</v>
      </c>
      <c r="D34" s="167" t="s">
        <v>41</v>
      </c>
      <c r="E34" s="122" t="s">
        <v>46</v>
      </c>
      <c r="F34" s="69">
        <v>44713</v>
      </c>
      <c r="G34" s="20"/>
      <c r="H34" s="64"/>
      <c r="I34" s="64"/>
      <c r="J34" s="74"/>
      <c r="K34" s="74"/>
      <c r="L34" s="74"/>
      <c r="M34" s="74"/>
      <c r="N34" s="74"/>
      <c r="O34" s="118">
        <v>2395058.9441249999</v>
      </c>
      <c r="P34" s="118">
        <v>4062929.4913312499</v>
      </c>
      <c r="Q34" s="118">
        <v>4435101.0658978131</v>
      </c>
      <c r="R34" s="118">
        <v>4826879.4691927033</v>
      </c>
      <c r="S34" s="118">
        <v>5239344.8676523389</v>
      </c>
    </row>
    <row r="35" spans="1:30" x14ac:dyDescent="0.2">
      <c r="C35" s="111"/>
      <c r="D35" s="113"/>
      <c r="E35" s="113"/>
      <c r="F35" s="114"/>
      <c r="G35" s="64"/>
      <c r="H35" s="64"/>
      <c r="I35" s="64"/>
      <c r="J35" s="74"/>
      <c r="K35" s="74"/>
      <c r="L35" s="74"/>
      <c r="M35" s="74"/>
      <c r="N35" s="74"/>
      <c r="O35" s="79"/>
      <c r="P35" s="79"/>
      <c r="Q35" s="79"/>
      <c r="R35" s="79"/>
      <c r="S35" s="79"/>
    </row>
    <row r="36" spans="1:30" ht="10.5" x14ac:dyDescent="0.25">
      <c r="C36" s="29" t="s">
        <v>103</v>
      </c>
      <c r="D36" s="167" t="s">
        <v>41</v>
      </c>
      <c r="E36" s="122" t="s">
        <v>34</v>
      </c>
      <c r="F36" s="114"/>
      <c r="G36" s="64"/>
      <c r="H36" s="64"/>
      <c r="I36" s="64"/>
      <c r="J36" s="64"/>
      <c r="K36" s="74"/>
      <c r="L36" s="74"/>
      <c r="M36" s="74"/>
      <c r="N36" s="74"/>
      <c r="O36" s="139">
        <v>0.8870523450478851</v>
      </c>
      <c r="P36" s="139">
        <v>0.8870523450478851</v>
      </c>
      <c r="Q36" s="139">
        <v>0.8870523450478851</v>
      </c>
      <c r="R36" s="139">
        <v>0.8870523450478851</v>
      </c>
      <c r="S36" s="139">
        <v>0.8870523450478851</v>
      </c>
    </row>
    <row r="37" spans="1:30" x14ac:dyDescent="0.2">
      <c r="C37" s="111"/>
      <c r="D37" s="113"/>
      <c r="E37" s="113"/>
      <c r="F37" s="114"/>
      <c r="G37" s="64"/>
      <c r="H37" s="64"/>
      <c r="I37" s="64"/>
      <c r="J37" s="74"/>
      <c r="K37" s="74"/>
      <c r="L37" s="74"/>
      <c r="M37" s="74"/>
      <c r="N37" s="74"/>
      <c r="O37" s="79"/>
      <c r="P37" s="79"/>
      <c r="Q37" s="79"/>
      <c r="R37" s="79"/>
      <c r="S37" s="79"/>
    </row>
    <row r="38" spans="1:30" ht="10.5" x14ac:dyDescent="0.25">
      <c r="C38" s="29" t="s">
        <v>248</v>
      </c>
      <c r="D38" s="113"/>
      <c r="E38" s="113"/>
      <c r="F38" s="114"/>
      <c r="G38" s="64"/>
      <c r="H38" s="64"/>
      <c r="I38" s="64"/>
      <c r="J38" s="74"/>
      <c r="K38" s="74"/>
      <c r="L38" s="74"/>
      <c r="M38" s="74"/>
      <c r="N38" s="74"/>
      <c r="O38" s="175">
        <f>IF(YEAR(O$4)&gt;=FPFirstYear,IF(YEAR(O$4)&lt;=FPLastYear,O$4,""),"")</f>
        <v>45809</v>
      </c>
      <c r="P38" s="175">
        <f>IF(YEAR(P$4)&gt;=FPFirstYear,IF(YEAR(P$4)&lt;=FPLastYear,P$4,""),"")</f>
        <v>46174</v>
      </c>
      <c r="Q38" s="175">
        <f>IF(YEAR(Q$4)&gt;=FPFirstYear,IF(YEAR(Q$4)&lt;=FPLastYear,Q$4,""),"")</f>
        <v>46539</v>
      </c>
      <c r="R38" s="175">
        <f>IF(YEAR(R$4)&gt;=FPFirstYear,IF(YEAR(R$4)&lt;=FPLastYear,R$4,""),"")</f>
        <v>46905</v>
      </c>
      <c r="S38" s="175">
        <f>IF(YEAR(S$4)&gt;=FPFirstYear,IF(YEAR(S$4)&lt;=FPLastYear,S$4,""),"")</f>
        <v>47270</v>
      </c>
    </row>
    <row r="39" spans="1:30" x14ac:dyDescent="0.2">
      <c r="C39" s="55" t="s">
        <v>105</v>
      </c>
      <c r="D39" s="21" t="s">
        <v>23</v>
      </c>
      <c r="E39" s="122" t="s">
        <v>46</v>
      </c>
      <c r="F39" s="114">
        <f>F34</f>
        <v>44713</v>
      </c>
      <c r="G39" s="64"/>
      <c r="H39" s="64"/>
      <c r="I39" s="64"/>
      <c r="J39" s="74"/>
      <c r="K39" s="74"/>
      <c r="L39" s="74"/>
      <c r="M39" s="74"/>
      <c r="N39" s="74"/>
      <c r="O39" s="115">
        <f>O34*O36</f>
        <v>2124542.6529139928</v>
      </c>
      <c r="P39" s="115">
        <f>P34*P36</f>
        <v>3604031.1330495961</v>
      </c>
      <c r="Q39" s="115">
        <f>Q34*Q36</f>
        <v>3934166.8010290298</v>
      </c>
      <c r="R39" s="115">
        <f>R34*R36</f>
        <v>4281694.7524108784</v>
      </c>
      <c r="S39" s="115">
        <f>S34*S36</f>
        <v>4647573.1513656089</v>
      </c>
    </row>
    <row r="40" spans="1:30" ht="10.5" x14ac:dyDescent="0.25">
      <c r="D40" s="113"/>
      <c r="E40" s="113"/>
      <c r="F40" s="114"/>
      <c r="G40" s="64"/>
      <c r="H40" s="64"/>
      <c r="I40" s="64"/>
      <c r="J40" s="74"/>
      <c r="K40" s="74"/>
      <c r="L40" s="74"/>
      <c r="M40" s="74"/>
      <c r="N40" s="74"/>
      <c r="O40" s="123"/>
      <c r="P40" s="126"/>
      <c r="Q40" s="126"/>
      <c r="R40" s="126"/>
      <c r="S40" s="126"/>
    </row>
    <row r="41" spans="1:30" x14ac:dyDescent="0.2">
      <c r="C41" s="55" t="s">
        <v>105</v>
      </c>
      <c r="D41" s="21" t="s">
        <v>23</v>
      </c>
      <c r="E41" s="21" t="str">
        <f t="shared" ref="E41:E42" si="4">$E$8</f>
        <v>$millions</v>
      </c>
      <c r="F41" s="121">
        <f>F34</f>
        <v>44713</v>
      </c>
      <c r="G41" s="64"/>
      <c r="H41" s="64"/>
      <c r="I41" s="64"/>
      <c r="J41" s="74"/>
      <c r="K41" s="74"/>
      <c r="L41" s="74"/>
      <c r="M41" s="74"/>
      <c r="N41" s="74"/>
      <c r="O41" s="79">
        <f>O39/10^6</f>
        <v>2.1245426529139926</v>
      </c>
      <c r="P41" s="79">
        <f t="shared" ref="P41:S41" si="5">P39/10^6</f>
        <v>3.6040311330495962</v>
      </c>
      <c r="Q41" s="79">
        <f t="shared" si="5"/>
        <v>3.9341668010290296</v>
      </c>
      <c r="R41" s="79">
        <f t="shared" si="5"/>
        <v>4.2816947524108784</v>
      </c>
      <c r="S41" s="79">
        <f t="shared" si="5"/>
        <v>4.6475731513656093</v>
      </c>
    </row>
    <row r="42" spans="1:30" x14ac:dyDescent="0.2">
      <c r="C42" s="55" t="s">
        <v>105</v>
      </c>
      <c r="D42" s="21" t="s">
        <v>23</v>
      </c>
      <c r="E42" s="21" t="str">
        <f t="shared" si="4"/>
        <v>$millions</v>
      </c>
      <c r="F42" s="114">
        <f t="shared" ref="F42" si="6">$F$8</f>
        <v>45444</v>
      </c>
      <c r="G42" s="64"/>
      <c r="H42" s="64"/>
      <c r="I42" s="64"/>
      <c r="J42" s="74"/>
      <c r="K42" s="74"/>
      <c r="L42" s="74"/>
      <c r="M42" s="74"/>
      <c r="N42" s="74"/>
      <c r="O42" s="79">
        <f>O41*IF($F41="nominal",LOOKUP($F42,'Lookup|Tables'!Nominal_to_Real,'Calc|CPI Indexes'!P$31:P$42),INDEX('Calc|CPI Indexes'!$C$14:$T$27,MATCH($F41,'Calc|CPI Indexes'!$C$14:$C$27,0),MATCH($F42,'Calc|CPI Indexes'!$C$14:$T$14,0)))</f>
        <v>2.353241171329572</v>
      </c>
      <c r="P42" s="79">
        <f>P41*IF($F41="nominal",LOOKUP($F42,'Lookup|Tables'!Nominal_to_Real,'Calc|CPI Indexes'!Q$31:Q$42),INDEX('Calc|CPI Indexes'!$C$14:$T$27,MATCH($F41,'Calc|CPI Indexes'!$C$14:$C$27,0),MATCH($F42,'Calc|CPI Indexes'!$C$14:$T$14,0)))</f>
        <v>3.9919906683978525</v>
      </c>
      <c r="Q42" s="79">
        <f>Q41*IF($F41="nominal",LOOKUP($F42,'Lookup|Tables'!Nominal_to_Real,'Calc|CPI Indexes'!R$31:R$42),INDEX('Calc|CPI Indexes'!$C$14:$T$27,MATCH($F41,'Calc|CPI Indexes'!$C$14:$C$27,0),MATCH($F42,'Calc|CPI Indexes'!$C$14:$T$14,0)))</f>
        <v>4.3576641204926005</v>
      </c>
      <c r="R42" s="79">
        <f>R41*IF($F41="nominal",LOOKUP($F42,'Lookup|Tables'!Nominal_to_Real,'Calc|CPI Indexes'!S$31:S$42),INDEX('Calc|CPI Indexes'!$C$14:$T$27,MATCH($F41,'Calc|CPI Indexes'!$C$14:$C$27,0),MATCH($F42,'Calc|CPI Indexes'!$C$14:$T$14,0)))</f>
        <v>4.7426020657288994</v>
      </c>
      <c r="S42" s="79">
        <f>S41*IF($F41="nominal",LOOKUP($F42,'Lookup|Tables'!Nominal_to_Real,'Calc|CPI Indexes'!T$31:T$42),INDEX('Calc|CPI Indexes'!$C$14:$T$27,MATCH($F41,'Calc|CPI Indexes'!$C$14:$C$27,0),MATCH($F42,'Calc|CPI Indexes'!$C$14:$T$14,0)))</f>
        <v>5.1478658108175113</v>
      </c>
    </row>
    <row r="43" spans="1:30" x14ac:dyDescent="0.2">
      <c r="C43" s="111"/>
      <c r="D43" s="113"/>
      <c r="E43" s="113"/>
      <c r="F43" s="114"/>
      <c r="G43" s="64"/>
      <c r="H43" s="64"/>
      <c r="I43" s="64"/>
      <c r="J43" s="74"/>
      <c r="K43" s="74"/>
      <c r="L43" s="74"/>
      <c r="M43" s="74"/>
      <c r="N43" s="74"/>
      <c r="O43" s="79"/>
      <c r="P43" s="79"/>
      <c r="Q43" s="79"/>
      <c r="R43" s="79"/>
      <c r="S43" s="79"/>
    </row>
    <row r="44" spans="1:30" x14ac:dyDescent="0.2">
      <c r="C44" s="111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112"/>
      <c r="O44" s="112"/>
      <c r="P44" s="112"/>
      <c r="Q44" s="112"/>
      <c r="R44" s="112"/>
      <c r="S44" s="112"/>
    </row>
    <row r="45" spans="1:30" s="19" customFormat="1" ht="13" x14ac:dyDescent="0.3">
      <c r="A45" s="12"/>
      <c r="B45" s="13" t="s">
        <v>18</v>
      </c>
      <c r="C45" s="12"/>
      <c r="D45" s="12"/>
      <c r="E45" s="12"/>
      <c r="F45" s="14"/>
      <c r="G45" s="14"/>
      <c r="H45" s="14"/>
      <c r="I45" s="14"/>
      <c r="J45" s="15"/>
      <c r="K45" s="16"/>
      <c r="L45" s="15"/>
      <c r="M45" s="16"/>
      <c r="N45" s="15"/>
      <c r="O45" s="15"/>
      <c r="P45" s="15"/>
      <c r="Q45" s="15"/>
      <c r="R45" s="15"/>
      <c r="S45" s="15"/>
      <c r="T45" s="15"/>
      <c r="U45" s="15"/>
      <c r="V45" s="16"/>
      <c r="W45" s="16"/>
      <c r="X45" s="17"/>
      <c r="Y45" s="17"/>
      <c r="Z45" s="17"/>
      <c r="AA45" s="17"/>
      <c r="AB45" s="17"/>
      <c r="AC45" s="18"/>
      <c r="AD45" s="18"/>
    </row>
  </sheetData>
  <mergeCells count="1">
    <mergeCell ref="N3:S3"/>
  </mergeCells>
  <conditionalFormatting sqref="O17:S17">
    <cfRule type="expression" dxfId="40" priority="3">
      <formula>O$10=O$4</formula>
    </cfRule>
  </conditionalFormatting>
  <conditionalFormatting sqref="O24:S24">
    <cfRule type="expression" dxfId="39" priority="2">
      <formula>O$10=O$4</formula>
    </cfRule>
  </conditionalFormatting>
  <conditionalFormatting sqref="O38:S38 O33:S33">
    <cfRule type="expression" dxfId="38" priority="1">
      <formula>O$10=O$4</formula>
    </cfRule>
  </conditionalFormatting>
  <dataValidations count="2">
    <dataValidation type="list" allowBlank="1" showInputMessage="1" showErrorMessage="1" sqref="F44" xr:uid="{E0B8686B-5529-4399-8738-1CEAD39CDC34}">
      <formula1>"Real 2010,Real 2011,Real 2012,Real 2013,Real 2014,Real 2015,Nominal"</formula1>
    </dataValidation>
    <dataValidation type="list" allowBlank="1" showInputMessage="1" showErrorMessage="1" sqref="F19 F12" xr:uid="{4CDFC41C-C4C3-4FDE-A239-E054DBA24753}">
      <formula1>$F$41:$F$42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4B2E29-54EB-4AA1-8D0C-68926A0D337F}">
          <x14:formula1>
            <xm:f>'Lookup|Tables'!$G$81:$G$84</xm:f>
          </x14:formula1>
          <xm:sqref>F34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B3876-AC2E-4BAC-B1D8-991B819C2AB9}">
  <sheetPr>
    <tabColor rgb="FFCCFFCC"/>
  </sheetPr>
  <dimension ref="A1:AD134"/>
  <sheetViews>
    <sheetView showGridLines="0" topLeftCell="A107" zoomScale="85" zoomScaleNormal="85" workbookViewId="0">
      <selection activeCell="J54" sqref="J54"/>
    </sheetView>
  </sheetViews>
  <sheetFormatPr defaultColWidth="0" defaultRowHeight="10" zeroHeight="1" outlineLevelRow="1" x14ac:dyDescent="0.2"/>
  <cols>
    <col min="1" max="2" width="1.1796875" style="20" customWidth="1"/>
    <col min="3" max="3" width="62.5429687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7" width="2.81640625" style="21" customWidth="1"/>
    <col min="8" max="8" width="9.81640625" style="21" bestFit="1" customWidth="1"/>
    <col min="9" max="9" width="14.81640625" style="21" bestFit="1" customWidth="1"/>
    <col min="10" max="10" width="8.81640625" style="20" customWidth="1"/>
    <col min="11" max="11" width="12.54296875" style="20" bestFit="1" customWidth="1"/>
    <col min="12" max="23" width="8.81640625" style="20" customWidth="1"/>
    <col min="24" max="38" width="8.54296875" style="20" hidden="1" customWidth="1"/>
    <col min="39" max="16384" width="8.54296875" style="20" hidden="1"/>
  </cols>
  <sheetData>
    <row r="1" spans="1:30" s="1" customFormat="1" ht="15.5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96" t="s">
        <v>1</v>
      </c>
      <c r="M1" s="97" t="s">
        <v>2</v>
      </c>
      <c r="N1" s="98" t="s">
        <v>3</v>
      </c>
      <c r="O1" s="2"/>
      <c r="P1" s="2"/>
      <c r="Q1" s="2"/>
      <c r="R1" s="2"/>
      <c r="S1" s="2"/>
      <c r="T1" s="2"/>
      <c r="U1" s="2"/>
      <c r="V1" s="2"/>
      <c r="W1" s="2"/>
    </row>
    <row r="2" spans="1:30" s="7" customFormat="1" ht="13.5" thickBot="1" x14ac:dyDescent="0.35">
      <c r="B2" s="8" t="s">
        <v>338</v>
      </c>
      <c r="C2" s="8"/>
      <c r="D2" s="8"/>
      <c r="E2" s="8"/>
      <c r="F2" s="9"/>
      <c r="G2" s="9"/>
      <c r="H2" s="9"/>
      <c r="I2" s="9"/>
    </row>
    <row r="3" spans="1:30" s="38" customFormat="1" ht="14.5" customHeight="1" x14ac:dyDescent="0.25">
      <c r="D3" s="39"/>
      <c r="E3" s="39"/>
      <c r="F3" s="39"/>
      <c r="G3" s="39"/>
      <c r="H3" s="39"/>
      <c r="I3" s="39"/>
      <c r="J3" s="65" t="s">
        <v>12</v>
      </c>
      <c r="K3" s="65"/>
      <c r="L3" s="65"/>
      <c r="M3" s="39"/>
      <c r="N3" s="210"/>
      <c r="O3" s="210"/>
      <c r="P3" s="210"/>
      <c r="Q3" s="210"/>
      <c r="R3" s="210"/>
      <c r="S3" s="210"/>
      <c r="T3" s="42"/>
      <c r="U3" s="42"/>
      <c r="V3" s="42"/>
      <c r="W3" s="42"/>
      <c r="X3" s="42"/>
      <c r="Y3" s="42"/>
      <c r="Z3" s="42"/>
    </row>
    <row r="4" spans="1:30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6"/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</row>
    <row r="5" spans="1:30" s="10" customFormat="1" ht="3" customHeight="1" x14ac:dyDescent="0.2">
      <c r="D5" s="11"/>
      <c r="E5" s="11"/>
      <c r="F5" s="11"/>
      <c r="G5" s="11"/>
      <c r="H5" s="11"/>
      <c r="I5" s="11"/>
    </row>
    <row r="6" spans="1:30" s="10" customFormat="1" x14ac:dyDescent="0.2">
      <c r="D6" s="11"/>
      <c r="E6" s="11"/>
      <c r="F6" s="11"/>
      <c r="G6" s="11"/>
      <c r="H6" s="11"/>
      <c r="I6" s="11"/>
    </row>
    <row r="7" spans="1:30" s="10" customFormat="1" ht="3" customHeight="1" x14ac:dyDescent="0.2">
      <c r="D7" s="11"/>
      <c r="E7" s="11"/>
      <c r="F7" s="11"/>
      <c r="G7" s="11"/>
      <c r="H7" s="11"/>
      <c r="I7" s="11"/>
    </row>
    <row r="8" spans="1:30" s="19" customFormat="1" ht="13" x14ac:dyDescent="0.3">
      <c r="A8" s="12"/>
      <c r="B8" s="13" t="s">
        <v>280</v>
      </c>
      <c r="C8" s="12"/>
      <c r="D8" s="12"/>
      <c r="E8" s="66" t="s">
        <v>37</v>
      </c>
      <c r="F8" s="82">
        <f>DATE(PPLastYear,MONTH('Input|General'!G9),1)</f>
        <v>45444</v>
      </c>
      <c r="G8" s="14"/>
      <c r="H8" s="14"/>
      <c r="I8" s="14"/>
      <c r="J8" s="15"/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  <c r="X8" s="17"/>
      <c r="Y8" s="17"/>
      <c r="Z8" s="17"/>
      <c r="AA8" s="17"/>
      <c r="AB8" s="17"/>
      <c r="AC8" s="18"/>
      <c r="AD8" s="18"/>
    </row>
    <row r="9" spans="1:30" outlineLevel="1" x14ac:dyDescent="0.2"/>
    <row r="10" spans="1:30" ht="10.5" outlineLevel="1" x14ac:dyDescent="0.25">
      <c r="C10" s="29" t="s">
        <v>261</v>
      </c>
      <c r="D10" s="23" t="s">
        <v>6</v>
      </c>
      <c r="E10" s="23" t="s">
        <v>24</v>
      </c>
      <c r="F10" s="23" t="s">
        <v>28</v>
      </c>
      <c r="J10" s="62">
        <f t="shared" ref="J10:S10" si="0">IF(YEAR(J$4)&lt;=PPLastYear,J$4,"")</f>
        <v>43983</v>
      </c>
      <c r="K10" s="62">
        <f t="shared" si="0"/>
        <v>44348</v>
      </c>
      <c r="L10" s="62">
        <f t="shared" si="0"/>
        <v>44713</v>
      </c>
      <c r="M10" s="62">
        <f t="shared" si="0"/>
        <v>45078</v>
      </c>
      <c r="N10" s="62">
        <f t="shared" si="0"/>
        <v>45444</v>
      </c>
      <c r="O10" s="62" t="str">
        <f t="shared" si="0"/>
        <v/>
      </c>
      <c r="P10" s="62" t="str">
        <f t="shared" si="0"/>
        <v/>
      </c>
      <c r="Q10" s="62" t="str">
        <f t="shared" si="0"/>
        <v/>
      </c>
      <c r="R10" s="62" t="str">
        <f t="shared" si="0"/>
        <v/>
      </c>
      <c r="S10" s="62" t="str">
        <f t="shared" si="0"/>
        <v/>
      </c>
    </row>
    <row r="11" spans="1:30" outlineLevel="1" x14ac:dyDescent="0.2">
      <c r="C11" s="55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30" outlineLevel="1" x14ac:dyDescent="0.2">
      <c r="C12" s="55" t="s">
        <v>95</v>
      </c>
      <c r="D12" s="167" t="s">
        <v>41</v>
      </c>
      <c r="E12" s="21" t="str">
        <f>$E$8</f>
        <v>$millions</v>
      </c>
      <c r="F12" s="69" t="s">
        <v>42</v>
      </c>
      <c r="J12" s="70"/>
      <c r="K12" s="70"/>
      <c r="L12" s="70"/>
      <c r="M12" s="70"/>
      <c r="N12" s="79">
        <f>INDEX($M$130:$S$131,MATCH($F12,$F$130:$F$131,0),MATCH(N$10,$M$127:$S$127,0))</f>
        <v>18.13060354307467</v>
      </c>
      <c r="O12" s="79"/>
      <c r="P12" s="79"/>
      <c r="Q12" s="79"/>
      <c r="R12" s="79"/>
      <c r="S12" s="79"/>
    </row>
    <row r="13" spans="1:30" ht="10.5" outlineLevel="1" x14ac:dyDescent="0.25">
      <c r="C13" s="55" t="str">
        <f>C12</f>
        <v>Insurance premiums</v>
      </c>
      <c r="D13" s="21" t="s">
        <v>23</v>
      </c>
      <c r="E13" s="21" t="str">
        <f>$E$8</f>
        <v>$millions</v>
      </c>
      <c r="F13" s="71">
        <f>$F$8</f>
        <v>45444</v>
      </c>
      <c r="J13" s="72"/>
      <c r="K13" s="72"/>
      <c r="L13" s="72"/>
      <c r="M13" s="72"/>
      <c r="N13" s="79">
        <f>N12*IF($F12="nominal",LOOKUP($F13,'Lookup|Tables'!Nominal_to_Real,'Calc|CPI Indexes'!O$31:O$42),INDEX('Calc|CPI Indexes'!$C$14:$T$27,MATCH($F12,'Calc|CPI Indexes'!$C$14:$C$27,0),MATCH($F13,'Calc|CPI Indexes'!$C$14:$T$14,0)))</f>
        <v>18.507430232187019</v>
      </c>
      <c r="O13" s="79"/>
      <c r="P13" s="80"/>
      <c r="Q13" s="80"/>
      <c r="R13" s="80"/>
      <c r="S13" s="80"/>
    </row>
    <row r="14" spans="1:30" x14ac:dyDescent="0.2">
      <c r="J14" s="64"/>
      <c r="K14" s="64"/>
      <c r="L14" s="64"/>
    </row>
    <row r="15" spans="1:30" s="19" customFormat="1" ht="13" x14ac:dyDescent="0.3">
      <c r="A15" s="12"/>
      <c r="B15" s="13" t="s">
        <v>38</v>
      </c>
      <c r="C15" s="12"/>
      <c r="D15" s="12"/>
      <c r="E15" s="12"/>
      <c r="F15" s="14"/>
      <c r="G15" s="14"/>
      <c r="H15" s="14"/>
      <c r="I15" s="14"/>
      <c r="J15" s="15"/>
      <c r="K15" s="16"/>
      <c r="L15" s="15"/>
      <c r="M15" s="16"/>
      <c r="N15" s="15"/>
      <c r="O15" s="15"/>
      <c r="P15" s="15"/>
      <c r="Q15" s="15"/>
      <c r="R15" s="15"/>
      <c r="S15" s="15"/>
      <c r="T15" s="15"/>
      <c r="U15" s="15"/>
      <c r="V15" s="16"/>
      <c r="W15" s="16"/>
      <c r="X15" s="17"/>
      <c r="Y15" s="17"/>
      <c r="Z15" s="17"/>
      <c r="AA15" s="17"/>
      <c r="AB15" s="17"/>
      <c r="AC15" s="18"/>
      <c r="AD15" s="18"/>
    </row>
    <row r="16" spans="1:30" outlineLevel="1" x14ac:dyDescent="0.2">
      <c r="C16" s="55"/>
      <c r="J16" s="64"/>
      <c r="K16" s="64"/>
      <c r="L16" s="64"/>
    </row>
    <row r="17" spans="1:30" ht="10.5" outlineLevel="1" x14ac:dyDescent="0.25">
      <c r="C17" s="29" t="s">
        <v>262</v>
      </c>
      <c r="D17" s="23" t="s">
        <v>6</v>
      </c>
      <c r="E17" s="23" t="s">
        <v>24</v>
      </c>
      <c r="F17" s="23" t="s">
        <v>28</v>
      </c>
      <c r="J17" s="62" t="str">
        <f>IF(YEAR(J$4)&gt;='Input|General'!$G$13,IF(YEAR(J$4)&lt;='Input|General'!$G$14,J$4,""),"")</f>
        <v/>
      </c>
      <c r="K17" s="62" t="str">
        <f>IF(YEAR(K$4)&gt;='Input|General'!$G$13,IF(YEAR(K$4)&lt;='Input|General'!$G$14,K$4,""),"")</f>
        <v/>
      </c>
      <c r="L17" s="62" t="str">
        <f>IF(YEAR(L$4)&gt;='Input|General'!$G$13,IF(YEAR(L$4)&lt;='Input|General'!$G$14,L$4,""),"")</f>
        <v/>
      </c>
      <c r="M17" s="62" t="str">
        <f>IF(YEAR(M$4)&gt;='Input|General'!$G$13,IF(YEAR(M$4)&lt;='Input|General'!$G$14,M$4,""),"")</f>
        <v/>
      </c>
      <c r="N17" s="62" t="str">
        <f>IF(YEAR(N$4)&gt;='Input|General'!$G$13,IF(YEAR(N$4)&lt;='Input|General'!$G$14,N$4,""),"")</f>
        <v/>
      </c>
      <c r="O17" s="175">
        <f>IF(YEAR(O$4)&gt;=FPFirstYear,IF(YEAR(O$4)&lt;=FPLastYear,O$4,""),"")</f>
        <v>45809</v>
      </c>
      <c r="P17" s="175">
        <f>IF(YEAR(P$4)&gt;=FPFirstYear,IF(YEAR(P$4)&lt;=FPLastYear,P$4,""),"")</f>
        <v>46174</v>
      </c>
      <c r="Q17" s="175">
        <f>IF(YEAR(Q$4)&gt;=FPFirstYear,IF(YEAR(Q$4)&lt;=FPLastYear,Q$4,""),"")</f>
        <v>46539</v>
      </c>
      <c r="R17" s="175">
        <f>IF(YEAR(R$4)&gt;=FPFirstYear,IF(YEAR(R$4)&lt;=FPLastYear,R$4,""),"")</f>
        <v>46905</v>
      </c>
      <c r="S17" s="175">
        <f>IF(YEAR(S$4)&gt;=FPFirstYear,IF(YEAR(S$4)&lt;=FPLastYear,S$4,""),"")</f>
        <v>47270</v>
      </c>
    </row>
    <row r="18" spans="1:30" ht="10.5" outlineLevel="1" x14ac:dyDescent="0.25">
      <c r="C18" s="29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30" outlineLevel="1" x14ac:dyDescent="0.2">
      <c r="C19" s="55" t="s">
        <v>95</v>
      </c>
      <c r="D19" s="167" t="s">
        <v>41</v>
      </c>
      <c r="E19" s="21" t="str">
        <f>$E$8</f>
        <v>$millions</v>
      </c>
      <c r="F19" s="69" t="s">
        <v>42</v>
      </c>
      <c r="J19" s="74"/>
      <c r="K19" s="74"/>
      <c r="L19" s="74"/>
      <c r="M19" s="74"/>
      <c r="N19" s="74"/>
      <c r="O19" s="79">
        <f>INDEX($M$130:$S$131,MATCH($F19,$F$130:$F$131,0),MATCH(O$17,$M$127:$S$127,0))</f>
        <v>19.595637143057939</v>
      </c>
      <c r="P19" s="79">
        <f>INDEX($M$130:$S$131,MATCH($F19,$F$130:$F$131,0),MATCH(P$17,$M$127:$S$127,0))</f>
        <v>21.203393182626282</v>
      </c>
      <c r="Q19" s="79">
        <f>INDEX($M$130:$S$131,MATCH($F19,$F$130:$F$131,0),MATCH(Q$17,$M$127:$S$127,0))</f>
        <v>22.379575439921691</v>
      </c>
      <c r="R19" s="79">
        <f>INDEX($M$130:$S$131,MATCH($F19,$F$130:$F$131,0),MATCH(R$17,$M$127:$S$127,0))</f>
        <v>23.158611673002738</v>
      </c>
      <c r="S19" s="79">
        <f>INDEX($M$130:$S$131,MATCH($F19,$F$130:$F$131,0),MATCH(S$17,$M$127:$S$127,0))</f>
        <v>23.363675393213747</v>
      </c>
    </row>
    <row r="20" spans="1:30" outlineLevel="1" x14ac:dyDescent="0.2">
      <c r="C20" s="55" t="str">
        <f>C19</f>
        <v>Insurance premiums</v>
      </c>
      <c r="D20" s="21" t="s">
        <v>23</v>
      </c>
      <c r="E20" s="21" t="str">
        <f>$E$8</f>
        <v>$millions</v>
      </c>
      <c r="F20" s="71">
        <f t="shared" ref="F20" si="1">$F$8</f>
        <v>45444</v>
      </c>
      <c r="J20" s="74"/>
      <c r="K20" s="74"/>
      <c r="L20" s="74"/>
      <c r="M20" s="74"/>
      <c r="N20" s="74"/>
      <c r="O20" s="79">
        <f>O19*IF($F19="nominal",LOOKUP($F20,'Lookup|Tables'!Nominal_to_Real,'Calc|CPI Indexes'!P$31:P$42),INDEX('Calc|CPI Indexes'!$C$14:$T$27,MATCH($F19,'Calc|CPI Indexes'!$C$14:$C$27,0),MATCH($F20,'Calc|CPI Indexes'!$C$14:$T$14,0)))</f>
        <v>19.319913878836424</v>
      </c>
      <c r="P20" s="79">
        <f>P19*IF($F19="nominal",LOOKUP($F20,'Lookup|Tables'!Nominal_to_Real,'Calc|CPI Indexes'!Q$31:Q$42),INDEX('Calc|CPI Indexes'!$C$14:$T$27,MATCH($F19,'Calc|CPI Indexes'!$C$14:$C$27,0),MATCH($F20,'Calc|CPI Indexes'!$C$14:$T$14,0)))</f>
        <v>20.320891564969447</v>
      </c>
      <c r="Q20" s="79">
        <f>Q19*IF($F19="nominal",LOOKUP($F20,'Lookup|Tables'!Nominal_to_Real,'Calc|CPI Indexes'!R$31:R$42),INDEX('Calc|CPI Indexes'!$C$14:$T$27,MATCH($F19,'Calc|CPI Indexes'!$C$14:$C$27,0),MATCH($F20,'Calc|CPI Indexes'!$C$14:$T$14,0)))</f>
        <v>20.848788778395519</v>
      </c>
      <c r="R20" s="79">
        <f>R19*IF($F19="nominal",LOOKUP($F20,'Lookup|Tables'!Nominal_to_Real,'Calc|CPI Indexes'!S$31:S$42),INDEX('Calc|CPI Indexes'!$C$14:$T$27,MATCH($F19,'Calc|CPI Indexes'!$C$14:$C$27,0),MATCH($F20,'Calc|CPI Indexes'!$C$14:$T$14,0)))</f>
        <v>20.971674144790892</v>
      </c>
      <c r="S20" s="79">
        <f>S19*IF($F19="nominal",LOOKUP($F20,'Lookup|Tables'!Nominal_to_Real,'Calc|CPI Indexes'!T$31:T$42),INDEX('Calc|CPI Indexes'!$C$14:$T$27,MATCH($F19,'Calc|CPI Indexes'!$C$14:$C$27,0),MATCH($F20,'Calc|CPI Indexes'!$C$14:$T$14,0)))</f>
        <v>20.566166087178487</v>
      </c>
    </row>
    <row r="21" spans="1:30" outlineLevel="1" x14ac:dyDescent="0.2">
      <c r="C21" s="73"/>
      <c r="F21" s="71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30" s="19" customFormat="1" ht="13" x14ac:dyDescent="0.3">
      <c r="A22" s="12"/>
      <c r="B22" s="13" t="s">
        <v>39</v>
      </c>
      <c r="C22" s="12"/>
      <c r="D22" s="12"/>
      <c r="E22" s="12"/>
      <c r="F22" s="14"/>
      <c r="G22" s="14"/>
      <c r="H22" s="14"/>
      <c r="I22" s="14"/>
      <c r="J22" s="15"/>
      <c r="K22" s="16"/>
      <c r="L22" s="15"/>
      <c r="M22" s="16"/>
      <c r="N22" s="15"/>
      <c r="O22" s="15"/>
      <c r="P22" s="15"/>
      <c r="Q22" s="15"/>
      <c r="R22" s="15"/>
      <c r="S22" s="15"/>
      <c r="T22" s="15"/>
      <c r="U22" s="15"/>
      <c r="V22" s="16"/>
      <c r="W22" s="16"/>
      <c r="X22" s="17"/>
      <c r="Y22" s="17"/>
      <c r="Z22" s="17"/>
      <c r="AA22" s="17"/>
      <c r="AB22" s="17"/>
      <c r="AC22" s="18"/>
      <c r="AD22" s="18"/>
    </row>
    <row r="23" spans="1:30" outlineLevel="1" x14ac:dyDescent="0.2">
      <c r="C23" s="55"/>
      <c r="J23" s="64"/>
      <c r="K23" s="64"/>
      <c r="L23" s="64"/>
    </row>
    <row r="24" spans="1:30" ht="10.5" outlineLevel="1" x14ac:dyDescent="0.25">
      <c r="C24" s="29" t="s">
        <v>40</v>
      </c>
      <c r="D24" s="23" t="s">
        <v>6</v>
      </c>
      <c r="E24" s="23" t="s">
        <v>24</v>
      </c>
      <c r="F24" s="23" t="s">
        <v>28</v>
      </c>
      <c r="J24" s="62" t="str">
        <f>IF(YEAR(J$4)&gt;='Input|General'!$G$13,IF(YEAR(J$4)&lt;='Input|General'!$G$14,J$4,""),"")</f>
        <v/>
      </c>
      <c r="K24" s="62" t="str">
        <f>IF(YEAR(K$4)&gt;='Input|General'!$G$13,IF(YEAR(K$4)&lt;='Input|General'!$G$14,K$4,""),"")</f>
        <v/>
      </c>
      <c r="L24" s="62" t="str">
        <f>IF(YEAR(L$4)&gt;='Input|General'!$G$13,IF(YEAR(L$4)&lt;='Input|General'!$G$14,L$4,""),"")</f>
        <v/>
      </c>
      <c r="M24" s="62" t="str">
        <f>IF(YEAR(M$4)&gt;='Input|General'!$G$13,IF(YEAR(M$4)&lt;='Input|General'!$G$14,M$4,""),"")</f>
        <v/>
      </c>
      <c r="N24" s="62" t="str">
        <f>IF(YEAR(N$4)&gt;='Input|General'!$G$13,IF(YEAR(N$4)&lt;='Input|General'!$G$14,N$4,""),"")</f>
        <v/>
      </c>
      <c r="O24" s="175">
        <f>IF(YEAR(O$4)&gt;=FPFirstYear,IF(YEAR(O$4)&lt;=FPLastYear,O$4,""),"")</f>
        <v>45809</v>
      </c>
      <c r="P24" s="175">
        <f>IF(YEAR(P$4)&gt;=FPFirstYear,IF(YEAR(P$4)&lt;=FPLastYear,P$4,""),"")</f>
        <v>46174</v>
      </c>
      <c r="Q24" s="175">
        <f>IF(YEAR(Q$4)&gt;=FPFirstYear,IF(YEAR(Q$4)&lt;=FPLastYear,Q$4,""),"")</f>
        <v>46539</v>
      </c>
      <c r="R24" s="175">
        <f>IF(YEAR(R$4)&gt;=FPFirstYear,IF(YEAR(R$4)&lt;=FPLastYear,R$4,""),"")</f>
        <v>46905</v>
      </c>
      <c r="S24" s="175">
        <f>IF(YEAR(S$4)&gt;=FPFirstYear,IF(YEAR(S$4)&lt;=FPLastYear,S$4,""),"")</f>
        <v>47270</v>
      </c>
    </row>
    <row r="25" spans="1:30" ht="10.5" outlineLevel="1" x14ac:dyDescent="0.25">
      <c r="C25" s="29"/>
      <c r="D25" s="23"/>
      <c r="E25" s="23"/>
      <c r="F25" s="23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30" outlineLevel="1" x14ac:dyDescent="0.2">
      <c r="C26" s="55" t="s">
        <v>324</v>
      </c>
      <c r="D26" s="21" t="s">
        <v>23</v>
      </c>
      <c r="E26" s="21" t="str">
        <f>$E$8</f>
        <v>$millions</v>
      </c>
      <c r="F26" s="71">
        <f>F20</f>
        <v>45444</v>
      </c>
      <c r="J26" s="74"/>
      <c r="K26" s="74"/>
      <c r="L26" s="74"/>
      <c r="M26" s="74"/>
      <c r="N26" s="74"/>
      <c r="O26" s="79">
        <f>O20</f>
        <v>19.319913878836424</v>
      </c>
      <c r="P26" s="79">
        <f>P20</f>
        <v>20.320891564969447</v>
      </c>
      <c r="Q26" s="79">
        <f>Q20</f>
        <v>20.848788778395519</v>
      </c>
      <c r="R26" s="79">
        <f>R20</f>
        <v>20.971674144790892</v>
      </c>
      <c r="S26" s="79">
        <f>S20</f>
        <v>20.566166087178487</v>
      </c>
    </row>
    <row r="27" spans="1:30" ht="10.5" outlineLevel="1" x14ac:dyDescent="0.25">
      <c r="C27" s="55" t="s">
        <v>325</v>
      </c>
      <c r="D27" s="21" t="s">
        <v>23</v>
      </c>
      <c r="E27" s="21" t="str">
        <f>$E$8</f>
        <v>$millions</v>
      </c>
      <c r="F27" s="106">
        <f>F13</f>
        <v>45444</v>
      </c>
      <c r="J27" s="24"/>
      <c r="K27" s="24"/>
      <c r="L27" s="24"/>
      <c r="M27" s="24"/>
      <c r="N27" s="24"/>
      <c r="O27" s="107">
        <f>$N$13</f>
        <v>18.507430232187019</v>
      </c>
      <c r="P27" s="107">
        <f t="shared" ref="P27:S27" si="2">$N$13</f>
        <v>18.507430232187019</v>
      </c>
      <c r="Q27" s="107">
        <f t="shared" si="2"/>
        <v>18.507430232187019</v>
      </c>
      <c r="R27" s="107">
        <f t="shared" si="2"/>
        <v>18.507430232187019</v>
      </c>
      <c r="S27" s="107">
        <f t="shared" si="2"/>
        <v>18.507430232187019</v>
      </c>
    </row>
    <row r="28" spans="1:30" ht="3" customHeight="1" x14ac:dyDescent="0.2">
      <c r="F28" s="108"/>
      <c r="O28" s="101"/>
      <c r="P28" s="101"/>
      <c r="Q28" s="101"/>
      <c r="R28" s="101"/>
      <c r="S28" s="101"/>
    </row>
    <row r="29" spans="1:30" ht="10.5" outlineLevel="1" x14ac:dyDescent="0.25">
      <c r="C29" s="75" t="s">
        <v>281</v>
      </c>
      <c r="D29" s="76" t="s">
        <v>23</v>
      </c>
      <c r="E29" s="76" t="str">
        <f>$E$8</f>
        <v>$millions</v>
      </c>
      <c r="F29" s="77">
        <f>F27</f>
        <v>45444</v>
      </c>
      <c r="G29" s="23"/>
      <c r="H29" s="23"/>
      <c r="I29" s="23"/>
      <c r="J29" s="78"/>
      <c r="K29" s="78"/>
      <c r="L29" s="78"/>
      <c r="M29" s="78"/>
      <c r="N29" s="78"/>
      <c r="O29" s="80">
        <f>O26-O27</f>
        <v>0.81248364664940453</v>
      </c>
      <c r="P29" s="80">
        <f>P26-P27</f>
        <v>1.8134613327824276</v>
      </c>
      <c r="Q29" s="80">
        <f>Q26-Q27</f>
        <v>2.3413585462085003</v>
      </c>
      <c r="R29" s="80">
        <f>R26-R27</f>
        <v>2.4642439126038731</v>
      </c>
      <c r="S29" s="80">
        <f>S26-S27</f>
        <v>2.0587358549914683</v>
      </c>
    </row>
    <row r="30" spans="1:30" ht="10.5" outlineLevel="1" x14ac:dyDescent="0.25">
      <c r="C30" s="109"/>
      <c r="D30" s="110"/>
      <c r="E30" s="110"/>
      <c r="F30" s="77"/>
      <c r="G30" s="23"/>
      <c r="H30" s="23"/>
      <c r="I30" s="23"/>
      <c r="J30" s="78"/>
      <c r="K30" s="78"/>
      <c r="L30" s="78"/>
      <c r="M30" s="78"/>
      <c r="N30" s="78"/>
      <c r="O30" s="80"/>
      <c r="P30" s="80"/>
      <c r="Q30" s="80"/>
      <c r="R30" s="80"/>
      <c r="S30" s="80"/>
    </row>
    <row r="31" spans="1:30" s="19" customFormat="1" ht="13" x14ac:dyDescent="0.3">
      <c r="A31" s="12"/>
      <c r="B31" s="13" t="s">
        <v>98</v>
      </c>
      <c r="C31" s="12"/>
      <c r="D31" s="12"/>
      <c r="E31" s="12"/>
      <c r="F31" s="14"/>
      <c r="G31" s="14"/>
      <c r="H31" s="14"/>
      <c r="I31" s="14"/>
      <c r="J31" s="15"/>
      <c r="K31" s="16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7"/>
      <c r="Y31" s="17"/>
      <c r="Z31" s="17"/>
      <c r="AA31" s="17"/>
      <c r="AB31" s="17"/>
      <c r="AC31" s="18"/>
      <c r="AD31" s="18"/>
    </row>
    <row r="32" spans="1:30" x14ac:dyDescent="0.2">
      <c r="C32" s="111"/>
      <c r="D32" s="113"/>
      <c r="E32" s="113"/>
      <c r="F32" s="114"/>
      <c r="G32" s="64"/>
      <c r="H32" s="64"/>
      <c r="I32" s="64"/>
      <c r="J32" s="74"/>
      <c r="K32" s="74"/>
      <c r="L32" s="74"/>
      <c r="M32" s="74"/>
      <c r="N32" s="74"/>
      <c r="O32" s="79"/>
      <c r="P32" s="79"/>
      <c r="Q32" s="79"/>
      <c r="R32" s="79"/>
      <c r="S32" s="79"/>
    </row>
    <row r="33" spans="3:23" ht="10.5" x14ac:dyDescent="0.25">
      <c r="C33" s="180" t="s">
        <v>126</v>
      </c>
      <c r="D33" s="181" t="s">
        <v>6</v>
      </c>
      <c r="E33" s="181" t="s">
        <v>24</v>
      </c>
      <c r="F33" s="181" t="s">
        <v>28</v>
      </c>
      <c r="G33" s="64"/>
      <c r="H33" s="132" t="s">
        <v>380</v>
      </c>
      <c r="I33" s="132" t="s">
        <v>381</v>
      </c>
      <c r="J33" s="74"/>
      <c r="K33" s="74"/>
      <c r="L33" s="194">
        <f t="shared" ref="L33:S33" si="3">IF(YEAR(L$4)&lt;=PPLastYear,L$4,IF(YEAR(L$4)&gt;=FPFirstYear,IF(YEAR(L$4)&lt;=FPLastYear,L$4,""),""))</f>
        <v>44713</v>
      </c>
      <c r="M33" s="194">
        <f t="shared" si="3"/>
        <v>45078</v>
      </c>
      <c r="N33" s="194">
        <f t="shared" si="3"/>
        <v>45444</v>
      </c>
      <c r="O33" s="194">
        <f t="shared" si="3"/>
        <v>45809</v>
      </c>
      <c r="P33" s="194">
        <f t="shared" si="3"/>
        <v>46174</v>
      </c>
      <c r="Q33" s="194">
        <f t="shared" si="3"/>
        <v>46539</v>
      </c>
      <c r="R33" s="194">
        <f t="shared" si="3"/>
        <v>46905</v>
      </c>
      <c r="S33" s="194">
        <f t="shared" si="3"/>
        <v>47270</v>
      </c>
      <c r="W33" s="178" t="s">
        <v>378</v>
      </c>
    </row>
    <row r="34" spans="3:23" x14ac:dyDescent="0.2">
      <c r="C34" s="182" t="s">
        <v>108</v>
      </c>
      <c r="D34" s="167" t="s">
        <v>132</v>
      </c>
      <c r="E34" s="183" t="s">
        <v>46</v>
      </c>
      <c r="F34" s="69" t="s">
        <v>42</v>
      </c>
      <c r="G34" s="64"/>
      <c r="H34" s="202"/>
      <c r="I34" s="202"/>
      <c r="J34" s="74"/>
      <c r="K34" s="74"/>
      <c r="L34" s="198"/>
      <c r="M34" s="198"/>
      <c r="N34" s="79"/>
      <c r="O34" s="79"/>
      <c r="P34" s="79"/>
      <c r="Q34" s="79"/>
      <c r="R34" s="79"/>
      <c r="S34" s="79"/>
    </row>
    <row r="35" spans="3:23" x14ac:dyDescent="0.2">
      <c r="C35" s="182" t="s">
        <v>109</v>
      </c>
      <c r="D35" s="167" t="s">
        <v>132</v>
      </c>
      <c r="E35" s="183" t="s">
        <v>46</v>
      </c>
      <c r="F35" s="69" t="s">
        <v>42</v>
      </c>
      <c r="G35" s="64"/>
      <c r="H35" s="202"/>
      <c r="I35" s="202"/>
      <c r="J35" s="74"/>
      <c r="K35" s="74"/>
      <c r="L35" s="198"/>
      <c r="M35" s="198"/>
      <c r="N35" s="79"/>
      <c r="O35" s="79"/>
      <c r="P35" s="79"/>
      <c r="Q35" s="79"/>
      <c r="R35" s="79"/>
      <c r="S35" s="79"/>
    </row>
    <row r="36" spans="3:23" x14ac:dyDescent="0.2">
      <c r="C36" s="182" t="s">
        <v>110</v>
      </c>
      <c r="D36" s="167" t="s">
        <v>132</v>
      </c>
      <c r="E36" s="183" t="s">
        <v>46</v>
      </c>
      <c r="F36" s="69" t="s">
        <v>42</v>
      </c>
      <c r="G36" s="64"/>
      <c r="H36" s="202"/>
      <c r="I36" s="202"/>
      <c r="J36" s="74"/>
      <c r="K36" s="74"/>
      <c r="L36" s="198"/>
      <c r="M36" s="198"/>
      <c r="N36" s="79"/>
      <c r="O36" s="79"/>
      <c r="P36" s="79"/>
      <c r="Q36" s="79"/>
      <c r="R36" s="79"/>
      <c r="S36" s="79"/>
    </row>
    <row r="37" spans="3:23" x14ac:dyDescent="0.2">
      <c r="C37" s="182" t="s">
        <v>111</v>
      </c>
      <c r="D37" s="167" t="s">
        <v>132</v>
      </c>
      <c r="E37" s="183" t="s">
        <v>46</v>
      </c>
      <c r="F37" s="69" t="s">
        <v>42</v>
      </c>
      <c r="G37" s="64"/>
      <c r="H37" s="202"/>
      <c r="I37" s="202"/>
      <c r="J37" s="74"/>
      <c r="K37" s="74"/>
      <c r="L37" s="198"/>
      <c r="M37" s="198"/>
      <c r="N37" s="79"/>
      <c r="O37" s="79"/>
      <c r="P37" s="79"/>
      <c r="Q37" s="79"/>
      <c r="R37" s="79"/>
      <c r="S37" s="79"/>
    </row>
    <row r="38" spans="3:23" x14ac:dyDescent="0.2">
      <c r="C38" s="182" t="s">
        <v>112</v>
      </c>
      <c r="D38" s="167" t="s">
        <v>132</v>
      </c>
      <c r="E38" s="183" t="s">
        <v>46</v>
      </c>
      <c r="F38" s="69" t="s">
        <v>42</v>
      </c>
      <c r="G38" s="64"/>
      <c r="H38" s="202"/>
      <c r="I38" s="202"/>
      <c r="J38" s="74"/>
      <c r="K38" s="74"/>
      <c r="L38" s="193"/>
      <c r="M38" s="193"/>
      <c r="N38" s="79"/>
      <c r="O38" s="79"/>
      <c r="P38" s="79"/>
      <c r="Q38" s="79"/>
      <c r="R38" s="79"/>
      <c r="S38" s="79"/>
      <c r="W38" s="179" t="s">
        <v>379</v>
      </c>
    </row>
    <row r="39" spans="3:23" x14ac:dyDescent="0.2">
      <c r="C39" s="182" t="s">
        <v>113</v>
      </c>
      <c r="D39" s="167" t="s">
        <v>132</v>
      </c>
      <c r="E39" s="183" t="s">
        <v>46</v>
      </c>
      <c r="F39" s="69" t="s">
        <v>42</v>
      </c>
      <c r="G39" s="64"/>
      <c r="H39" s="202"/>
      <c r="I39" s="202"/>
      <c r="J39" s="74"/>
      <c r="K39" s="74"/>
      <c r="L39" s="198"/>
      <c r="M39" s="198"/>
      <c r="N39" s="79"/>
      <c r="O39" s="79"/>
      <c r="P39" s="79"/>
      <c r="Q39" s="79"/>
      <c r="R39" s="79"/>
      <c r="S39" s="79"/>
      <c r="W39" s="21"/>
    </row>
    <row r="40" spans="3:23" x14ac:dyDescent="0.2">
      <c r="C40" s="182" t="s">
        <v>114</v>
      </c>
      <c r="D40" s="167" t="s">
        <v>132</v>
      </c>
      <c r="E40" s="183" t="s">
        <v>46</v>
      </c>
      <c r="F40" s="69" t="s">
        <v>42</v>
      </c>
      <c r="G40" s="64"/>
      <c r="H40" s="202"/>
      <c r="I40" s="202"/>
      <c r="J40" s="74"/>
      <c r="K40" s="74"/>
      <c r="L40" s="193"/>
      <c r="M40" s="193"/>
      <c r="N40" s="79"/>
      <c r="O40" s="79"/>
      <c r="P40" s="79"/>
      <c r="Q40" s="79"/>
      <c r="R40" s="79"/>
      <c r="S40" s="79"/>
      <c r="W40" s="179" t="s">
        <v>379</v>
      </c>
    </row>
    <row r="41" spans="3:23" x14ac:dyDescent="0.2">
      <c r="C41" s="182" t="s">
        <v>115</v>
      </c>
      <c r="D41" s="167" t="s">
        <v>132</v>
      </c>
      <c r="E41" s="183" t="s">
        <v>46</v>
      </c>
      <c r="F41" s="69" t="s">
        <v>42</v>
      </c>
      <c r="G41" s="64"/>
      <c r="H41" s="202"/>
      <c r="I41" s="202"/>
      <c r="J41" s="74"/>
      <c r="K41" s="74"/>
      <c r="L41" s="193"/>
      <c r="M41" s="193"/>
      <c r="N41" s="79"/>
      <c r="O41" s="79"/>
      <c r="P41" s="79"/>
      <c r="Q41" s="79"/>
      <c r="R41" s="79"/>
      <c r="S41" s="79"/>
      <c r="W41" s="179" t="s">
        <v>379</v>
      </c>
    </row>
    <row r="42" spans="3:23" x14ac:dyDescent="0.2">
      <c r="C42" s="182" t="s">
        <v>116</v>
      </c>
      <c r="D42" s="167" t="s">
        <v>132</v>
      </c>
      <c r="E42" s="183" t="s">
        <v>46</v>
      </c>
      <c r="F42" s="69" t="s">
        <v>42</v>
      </c>
      <c r="G42" s="64"/>
      <c r="H42" s="202"/>
      <c r="I42" s="202"/>
      <c r="J42" s="74"/>
      <c r="K42" s="74"/>
      <c r="L42" s="193"/>
      <c r="M42" s="193"/>
      <c r="N42" s="79"/>
      <c r="O42" s="79"/>
      <c r="P42" s="79"/>
      <c r="Q42" s="79"/>
      <c r="R42" s="79"/>
      <c r="S42" s="79"/>
      <c r="W42" s="179" t="s">
        <v>379</v>
      </c>
    </row>
    <row r="43" spans="3:23" x14ac:dyDescent="0.2">
      <c r="C43" s="182" t="s">
        <v>117</v>
      </c>
      <c r="D43" s="167" t="s">
        <v>132</v>
      </c>
      <c r="E43" s="183" t="s">
        <v>46</v>
      </c>
      <c r="F43" s="69" t="s">
        <v>42</v>
      </c>
      <c r="G43" s="64"/>
      <c r="H43" s="202"/>
      <c r="I43" s="202"/>
      <c r="J43" s="74"/>
      <c r="K43" s="74"/>
      <c r="L43" s="198"/>
      <c r="M43" s="198"/>
      <c r="N43" s="79"/>
      <c r="O43" s="79"/>
      <c r="P43" s="79"/>
      <c r="Q43" s="79"/>
      <c r="R43" s="79"/>
      <c r="S43" s="79"/>
    </row>
    <row r="44" spans="3:23" x14ac:dyDescent="0.2">
      <c r="C44" s="182" t="s">
        <v>118</v>
      </c>
      <c r="D44" s="167" t="s">
        <v>132</v>
      </c>
      <c r="E44" s="183" t="s">
        <v>46</v>
      </c>
      <c r="F44" s="69" t="s">
        <v>42</v>
      </c>
      <c r="G44" s="64"/>
      <c r="H44" s="202"/>
      <c r="I44" s="202"/>
      <c r="J44" s="74"/>
      <c r="K44" s="74"/>
      <c r="L44" s="198"/>
      <c r="M44" s="198"/>
      <c r="N44" s="79"/>
      <c r="O44" s="79"/>
      <c r="P44" s="79"/>
      <c r="Q44" s="79"/>
      <c r="R44" s="79"/>
      <c r="S44" s="79"/>
    </row>
    <row r="45" spans="3:23" x14ac:dyDescent="0.2">
      <c r="C45" s="182" t="s">
        <v>119</v>
      </c>
      <c r="D45" s="167" t="s">
        <v>132</v>
      </c>
      <c r="E45" s="183" t="s">
        <v>46</v>
      </c>
      <c r="F45" s="69" t="s">
        <v>42</v>
      </c>
      <c r="G45" s="64"/>
      <c r="H45" s="202"/>
      <c r="I45" s="202"/>
      <c r="J45" s="74"/>
      <c r="K45" s="74"/>
      <c r="L45" s="198"/>
      <c r="M45" s="198"/>
      <c r="N45" s="79"/>
      <c r="O45" s="79"/>
      <c r="P45" s="79"/>
      <c r="Q45" s="79"/>
      <c r="R45" s="79"/>
      <c r="S45" s="79"/>
    </row>
    <row r="46" spans="3:23" x14ac:dyDescent="0.2">
      <c r="C46" s="182" t="s">
        <v>120</v>
      </c>
      <c r="D46" s="167" t="s">
        <v>132</v>
      </c>
      <c r="E46" s="183" t="s">
        <v>46</v>
      </c>
      <c r="F46" s="69" t="s">
        <v>42</v>
      </c>
      <c r="G46" s="64"/>
      <c r="H46" s="202"/>
      <c r="I46" s="202"/>
      <c r="J46" s="74"/>
      <c r="K46" s="74"/>
      <c r="L46" s="198"/>
      <c r="M46" s="198"/>
      <c r="N46" s="79"/>
      <c r="O46" s="79"/>
      <c r="P46" s="79"/>
      <c r="Q46" s="79"/>
      <c r="R46" s="79"/>
      <c r="S46" s="79"/>
    </row>
    <row r="47" spans="3:23" x14ac:dyDescent="0.2">
      <c r="C47" s="182" t="s">
        <v>121</v>
      </c>
      <c r="D47" s="167" t="s">
        <v>132</v>
      </c>
      <c r="E47" s="183" t="s">
        <v>46</v>
      </c>
      <c r="F47" s="69" t="s">
        <v>42</v>
      </c>
      <c r="G47" s="64"/>
      <c r="H47" s="202"/>
      <c r="I47" s="202"/>
      <c r="J47" s="74"/>
      <c r="K47" s="74"/>
      <c r="L47" s="198"/>
      <c r="M47" s="198"/>
      <c r="N47" s="79"/>
      <c r="O47" s="79"/>
      <c r="P47" s="79"/>
      <c r="Q47" s="79"/>
      <c r="R47" s="79"/>
      <c r="S47" s="79"/>
    </row>
    <row r="48" spans="3:23" x14ac:dyDescent="0.2">
      <c r="C48" s="182" t="s">
        <v>122</v>
      </c>
      <c r="D48" s="167" t="s">
        <v>132</v>
      </c>
      <c r="E48" s="183" t="s">
        <v>46</v>
      </c>
      <c r="F48" s="69" t="s">
        <v>42</v>
      </c>
      <c r="G48" s="64"/>
      <c r="H48" s="202"/>
      <c r="I48" s="202"/>
      <c r="J48" s="74"/>
      <c r="K48" s="74"/>
      <c r="L48" s="198"/>
      <c r="M48" s="198"/>
      <c r="N48" s="79"/>
      <c r="O48" s="79"/>
      <c r="P48" s="79"/>
      <c r="Q48" s="79"/>
      <c r="R48" s="79"/>
      <c r="S48" s="79"/>
    </row>
    <row r="49" spans="3:19" x14ac:dyDescent="0.2">
      <c r="C49" s="182" t="s">
        <v>123</v>
      </c>
      <c r="D49" s="167" t="s">
        <v>132</v>
      </c>
      <c r="E49" s="183" t="s">
        <v>46</v>
      </c>
      <c r="F49" s="69" t="s">
        <v>42</v>
      </c>
      <c r="G49" s="64"/>
      <c r="H49" s="202"/>
      <c r="I49" s="202"/>
      <c r="J49" s="74"/>
      <c r="K49" s="74"/>
      <c r="L49" s="198"/>
      <c r="M49" s="198"/>
      <c r="N49" s="79"/>
      <c r="O49" s="79"/>
      <c r="P49" s="79"/>
      <c r="Q49" s="79"/>
      <c r="R49" s="79"/>
      <c r="S49" s="79"/>
    </row>
    <row r="50" spans="3:19" x14ac:dyDescent="0.2">
      <c r="C50" s="182" t="s">
        <v>124</v>
      </c>
      <c r="D50" s="167" t="s">
        <v>132</v>
      </c>
      <c r="E50" s="183" t="s">
        <v>46</v>
      </c>
      <c r="F50" s="69" t="s">
        <v>42</v>
      </c>
      <c r="G50" s="64"/>
      <c r="H50" s="202"/>
      <c r="I50" s="202"/>
      <c r="J50" s="74"/>
      <c r="K50" s="74"/>
      <c r="L50" s="198"/>
      <c r="M50" s="198"/>
      <c r="N50" s="79"/>
      <c r="O50" s="79"/>
      <c r="P50" s="79"/>
      <c r="Q50" s="79"/>
      <c r="R50" s="79"/>
      <c r="S50" s="79"/>
    </row>
    <row r="51" spans="3:19" x14ac:dyDescent="0.2">
      <c r="C51" s="182" t="s">
        <v>125</v>
      </c>
      <c r="D51" s="167" t="s">
        <v>132</v>
      </c>
      <c r="E51" s="183" t="s">
        <v>46</v>
      </c>
      <c r="F51" s="69" t="s">
        <v>42</v>
      </c>
      <c r="G51" s="64"/>
      <c r="H51" s="202"/>
      <c r="I51" s="202"/>
      <c r="J51" s="74"/>
      <c r="K51" s="74"/>
      <c r="L51" s="198"/>
      <c r="M51" s="198"/>
      <c r="N51" s="79"/>
      <c r="O51" s="79"/>
      <c r="P51" s="79"/>
      <c r="Q51" s="79"/>
      <c r="R51" s="79"/>
      <c r="S51" s="79"/>
    </row>
    <row r="52" spans="3:19" x14ac:dyDescent="0.2">
      <c r="C52" s="185" t="s">
        <v>99</v>
      </c>
      <c r="D52" s="167" t="s">
        <v>132</v>
      </c>
      <c r="E52" s="183" t="s">
        <v>46</v>
      </c>
      <c r="F52" s="69" t="s">
        <v>42</v>
      </c>
      <c r="G52" s="64"/>
      <c r="H52" s="64"/>
      <c r="I52" s="64"/>
      <c r="J52" s="74"/>
      <c r="K52" s="74"/>
      <c r="L52" s="199"/>
      <c r="M52" s="199"/>
      <c r="N52" s="74"/>
      <c r="O52" s="79"/>
      <c r="P52" s="79"/>
      <c r="Q52" s="79"/>
      <c r="R52" s="79"/>
      <c r="S52" s="79"/>
    </row>
    <row r="53" spans="3:19" ht="10.5" x14ac:dyDescent="0.25">
      <c r="C53" s="186" t="s">
        <v>101</v>
      </c>
      <c r="D53" s="179" t="s">
        <v>23</v>
      </c>
      <c r="E53" s="183" t="s">
        <v>46</v>
      </c>
      <c r="F53" s="187" t="str">
        <f>F52</f>
        <v>nominal</v>
      </c>
      <c r="G53" s="64"/>
      <c r="H53" s="64"/>
      <c r="I53" s="64"/>
      <c r="J53" s="74"/>
      <c r="K53" s="74"/>
      <c r="L53" s="200"/>
      <c r="M53" s="200"/>
      <c r="N53" s="74"/>
      <c r="O53" s="79"/>
      <c r="P53" s="79"/>
      <c r="Q53" s="79"/>
      <c r="R53" s="79"/>
      <c r="S53" s="79"/>
    </row>
    <row r="54" spans="3:19" x14ac:dyDescent="0.2">
      <c r="C54" s="188"/>
      <c r="D54" s="189"/>
      <c r="E54" s="189"/>
      <c r="F54" s="190"/>
      <c r="G54" s="64"/>
      <c r="H54" s="64"/>
      <c r="I54" s="64"/>
      <c r="J54" s="74"/>
      <c r="K54" s="74"/>
      <c r="L54" s="74"/>
      <c r="M54" s="74"/>
      <c r="N54" s="74"/>
      <c r="O54" s="79"/>
      <c r="P54" s="79"/>
      <c r="Q54" s="79"/>
      <c r="R54" s="79"/>
      <c r="S54" s="79"/>
    </row>
    <row r="55" spans="3:19" ht="10.5" x14ac:dyDescent="0.25">
      <c r="C55" s="180" t="s">
        <v>127</v>
      </c>
      <c r="D55" s="181" t="s">
        <v>6</v>
      </c>
      <c r="E55" s="181" t="s">
        <v>24</v>
      </c>
      <c r="F55" s="181"/>
      <c r="G55" s="64"/>
      <c r="H55" s="64"/>
      <c r="I55" s="64"/>
      <c r="J55" s="74"/>
      <c r="K55" s="74"/>
      <c r="L55" s="74"/>
      <c r="M55" s="74"/>
      <c r="N55" s="74"/>
      <c r="O55" s="79"/>
      <c r="P55" s="79"/>
      <c r="Q55" s="79"/>
      <c r="R55" s="79"/>
      <c r="S55" s="79"/>
    </row>
    <row r="56" spans="3:19" x14ac:dyDescent="0.2">
      <c r="C56" s="182" t="s">
        <v>108</v>
      </c>
      <c r="D56" s="167" t="s">
        <v>132</v>
      </c>
      <c r="E56" s="183" t="s">
        <v>34</v>
      </c>
      <c r="F56" s="190"/>
      <c r="G56" s="64"/>
      <c r="H56" s="64"/>
      <c r="I56" s="64"/>
      <c r="J56" s="74"/>
      <c r="K56" s="74"/>
      <c r="L56" s="74"/>
      <c r="M56" s="74"/>
      <c r="N56" s="177">
        <v>0.1</v>
      </c>
      <c r="O56" s="177">
        <v>0.06</v>
      </c>
      <c r="P56" s="177">
        <v>7.4999999999999997E-2</v>
      </c>
      <c r="Q56" s="177">
        <v>0.05</v>
      </c>
      <c r="R56" s="177">
        <v>0.03</v>
      </c>
      <c r="S56" s="177">
        <v>0</v>
      </c>
    </row>
    <row r="57" spans="3:19" x14ac:dyDescent="0.2">
      <c r="C57" s="182" t="s">
        <v>109</v>
      </c>
      <c r="D57" s="167" t="s">
        <v>132</v>
      </c>
      <c r="E57" s="183" t="s">
        <v>34</v>
      </c>
      <c r="F57" s="190"/>
      <c r="G57" s="64"/>
      <c r="H57" s="64"/>
      <c r="I57" s="64"/>
      <c r="J57" s="74"/>
      <c r="K57" s="74"/>
      <c r="L57" s="74"/>
      <c r="M57" s="74"/>
      <c r="N57" s="177">
        <v>0.05</v>
      </c>
      <c r="O57" s="177">
        <v>2.5000000000000001E-2</v>
      </c>
      <c r="P57" s="177">
        <v>0</v>
      </c>
      <c r="Q57" s="177">
        <v>0</v>
      </c>
      <c r="R57" s="177">
        <v>0</v>
      </c>
      <c r="S57" s="177">
        <v>0</v>
      </c>
    </row>
    <row r="58" spans="3:19" x14ac:dyDescent="0.2">
      <c r="C58" s="182" t="s">
        <v>110</v>
      </c>
      <c r="D58" s="167" t="s">
        <v>132</v>
      </c>
      <c r="E58" s="183" t="s">
        <v>34</v>
      </c>
      <c r="F58" s="190"/>
      <c r="G58" s="64"/>
      <c r="H58" s="64"/>
      <c r="I58" s="64"/>
      <c r="J58" s="74"/>
      <c r="K58" s="74"/>
      <c r="L58" s="74"/>
      <c r="M58" s="74"/>
      <c r="N58" s="177">
        <v>0.05</v>
      </c>
      <c r="O58" s="177">
        <v>2.5000000000000001E-2</v>
      </c>
      <c r="P58" s="177">
        <v>2.5000000000000001E-2</v>
      </c>
      <c r="Q58" s="177">
        <v>-2.5000000000000001E-2</v>
      </c>
      <c r="R58" s="177">
        <v>-2.5000000000000001E-2</v>
      </c>
      <c r="S58" s="177">
        <v>-0.05</v>
      </c>
    </row>
    <row r="59" spans="3:19" x14ac:dyDescent="0.2">
      <c r="C59" s="182" t="s">
        <v>111</v>
      </c>
      <c r="D59" s="167" t="s">
        <v>132</v>
      </c>
      <c r="E59" s="183" t="s">
        <v>34</v>
      </c>
      <c r="F59" s="190"/>
      <c r="G59" s="64"/>
      <c r="H59" s="64"/>
      <c r="I59" s="64"/>
      <c r="J59" s="74"/>
      <c r="K59" s="74"/>
      <c r="L59" s="74"/>
      <c r="M59" s="74"/>
      <c r="N59" s="177">
        <v>0.5</v>
      </c>
      <c r="O59" s="177">
        <v>0.3</v>
      </c>
      <c r="P59" s="177">
        <v>0.25</v>
      </c>
      <c r="Q59" s="177">
        <v>0.15</v>
      </c>
      <c r="R59" s="177">
        <v>0.1</v>
      </c>
      <c r="S59" s="177">
        <v>0.05</v>
      </c>
    </row>
    <row r="60" spans="3:19" x14ac:dyDescent="0.2">
      <c r="C60" s="182" t="s">
        <v>112</v>
      </c>
      <c r="D60" s="167" t="s">
        <v>132</v>
      </c>
      <c r="E60" s="183" t="s">
        <v>34</v>
      </c>
      <c r="F60" s="190"/>
      <c r="G60" s="64"/>
      <c r="H60" s="64"/>
      <c r="I60" s="64"/>
      <c r="J60" s="74"/>
      <c r="K60" s="74"/>
      <c r="L60" s="74"/>
      <c r="M60" s="74"/>
      <c r="N60" s="177"/>
      <c r="O60" s="177"/>
      <c r="P60" s="177"/>
      <c r="Q60" s="177"/>
      <c r="R60" s="177"/>
      <c r="S60" s="177"/>
    </row>
    <row r="61" spans="3:19" x14ac:dyDescent="0.2">
      <c r="C61" s="182" t="s">
        <v>113</v>
      </c>
      <c r="D61" s="167" t="s">
        <v>132</v>
      </c>
      <c r="E61" s="183" t="s">
        <v>34</v>
      </c>
      <c r="F61" s="190"/>
      <c r="G61" s="64"/>
      <c r="H61" s="64"/>
      <c r="I61" s="64"/>
      <c r="J61" s="74"/>
      <c r="K61" s="74"/>
      <c r="L61" s="74"/>
      <c r="M61" s="74"/>
      <c r="N61" s="177">
        <v>0.1</v>
      </c>
      <c r="O61" s="177">
        <v>0.1</v>
      </c>
      <c r="P61" s="177">
        <v>0.05</v>
      </c>
      <c r="Q61" s="177">
        <v>0.05</v>
      </c>
      <c r="R61" s="177">
        <v>0.05</v>
      </c>
      <c r="S61" s="177">
        <v>0.05</v>
      </c>
    </row>
    <row r="62" spans="3:19" x14ac:dyDescent="0.2">
      <c r="C62" s="182" t="s">
        <v>114</v>
      </c>
      <c r="D62" s="167" t="s">
        <v>132</v>
      </c>
      <c r="E62" s="183" t="s">
        <v>34</v>
      </c>
      <c r="F62" s="190"/>
      <c r="G62" s="64"/>
      <c r="H62" s="64"/>
      <c r="I62" s="64"/>
      <c r="J62" s="74"/>
      <c r="K62" s="74"/>
      <c r="L62" s="74"/>
      <c r="M62" s="74"/>
      <c r="N62" s="177"/>
      <c r="O62" s="177"/>
      <c r="P62" s="177"/>
      <c r="Q62" s="177"/>
      <c r="R62" s="177"/>
      <c r="S62" s="177"/>
    </row>
    <row r="63" spans="3:19" x14ac:dyDescent="0.2">
      <c r="C63" s="182" t="s">
        <v>115</v>
      </c>
      <c r="D63" s="167" t="s">
        <v>132</v>
      </c>
      <c r="E63" s="183" t="s">
        <v>34</v>
      </c>
      <c r="F63" s="190"/>
      <c r="G63" s="64"/>
      <c r="H63" s="64"/>
      <c r="I63" s="64"/>
      <c r="J63" s="74"/>
      <c r="K63" s="74"/>
      <c r="L63" s="74"/>
      <c r="M63" s="74"/>
      <c r="N63" s="177"/>
      <c r="O63" s="177"/>
      <c r="P63" s="177"/>
      <c r="Q63" s="177"/>
      <c r="R63" s="177"/>
      <c r="S63" s="177"/>
    </row>
    <row r="64" spans="3:19" x14ac:dyDescent="0.2">
      <c r="C64" s="182" t="s">
        <v>116</v>
      </c>
      <c r="D64" s="167" t="s">
        <v>132</v>
      </c>
      <c r="E64" s="183" t="s">
        <v>34</v>
      </c>
      <c r="F64" s="190"/>
      <c r="G64" s="64"/>
      <c r="H64" s="64"/>
      <c r="I64" s="64"/>
      <c r="J64" s="74"/>
      <c r="K64" s="74"/>
      <c r="L64" s="74"/>
      <c r="M64" s="74"/>
      <c r="N64" s="177"/>
      <c r="O64" s="177"/>
      <c r="P64" s="177"/>
      <c r="Q64" s="177"/>
      <c r="R64" s="177"/>
      <c r="S64" s="177"/>
    </row>
    <row r="65" spans="3:19" x14ac:dyDescent="0.2">
      <c r="C65" s="182" t="s">
        <v>117</v>
      </c>
      <c r="D65" s="167" t="s">
        <v>132</v>
      </c>
      <c r="E65" s="183" t="s">
        <v>34</v>
      </c>
      <c r="F65" s="190"/>
      <c r="G65" s="64"/>
      <c r="H65" s="64"/>
      <c r="I65" s="64"/>
      <c r="J65" s="74"/>
      <c r="K65" s="74"/>
      <c r="L65" s="74"/>
      <c r="M65" s="74"/>
      <c r="N65" s="177">
        <v>0.05</v>
      </c>
      <c r="O65" s="177">
        <v>0.05</v>
      </c>
      <c r="P65" s="177">
        <v>0.05</v>
      </c>
      <c r="Q65" s="177">
        <v>0.05</v>
      </c>
      <c r="R65" s="177">
        <v>0.05</v>
      </c>
      <c r="S65" s="177">
        <v>0.05</v>
      </c>
    </row>
    <row r="66" spans="3:19" x14ac:dyDescent="0.2">
      <c r="C66" s="182" t="s">
        <v>118</v>
      </c>
      <c r="D66" s="167" t="s">
        <v>132</v>
      </c>
      <c r="E66" s="183" t="s">
        <v>34</v>
      </c>
      <c r="F66" s="190"/>
      <c r="G66" s="64"/>
      <c r="H66" s="64"/>
      <c r="I66" s="64"/>
      <c r="J66" s="74"/>
      <c r="K66" s="74"/>
      <c r="L66" s="74"/>
      <c r="M66" s="74"/>
      <c r="N66" s="177">
        <v>0.05</v>
      </c>
      <c r="O66" s="177">
        <v>0.05</v>
      </c>
      <c r="P66" s="177">
        <v>2.5000000000000001E-2</v>
      </c>
      <c r="Q66" s="177">
        <v>2.5000000000000001E-2</v>
      </c>
      <c r="R66" s="177">
        <v>2.5000000000000001E-2</v>
      </c>
      <c r="S66" s="177">
        <v>2.5000000000000001E-2</v>
      </c>
    </row>
    <row r="67" spans="3:19" x14ac:dyDescent="0.2">
      <c r="C67" s="182" t="s">
        <v>119</v>
      </c>
      <c r="D67" s="167" t="s">
        <v>132</v>
      </c>
      <c r="E67" s="183" t="s">
        <v>34</v>
      </c>
      <c r="F67" s="190"/>
      <c r="G67" s="64"/>
      <c r="H67" s="64"/>
      <c r="I67" s="64"/>
      <c r="J67" s="74"/>
      <c r="K67" s="74"/>
      <c r="L67" s="74"/>
      <c r="M67" s="74"/>
      <c r="N67" s="177">
        <v>0.2</v>
      </c>
      <c r="O67" s="177">
        <v>0.1</v>
      </c>
      <c r="P67" s="177">
        <v>0.05</v>
      </c>
      <c r="Q67" s="177">
        <v>0</v>
      </c>
      <c r="R67" s="177">
        <v>0</v>
      </c>
      <c r="S67" s="177">
        <v>0</v>
      </c>
    </row>
    <row r="68" spans="3:19" x14ac:dyDescent="0.2">
      <c r="C68" s="182" t="s">
        <v>120</v>
      </c>
      <c r="D68" s="167" t="s">
        <v>132</v>
      </c>
      <c r="E68" s="183" t="s">
        <v>34</v>
      </c>
      <c r="F68" s="190"/>
      <c r="G68" s="64"/>
      <c r="H68" s="64"/>
      <c r="I68" s="64"/>
      <c r="J68" s="74"/>
      <c r="K68" s="74"/>
      <c r="L68" s="74"/>
      <c r="M68" s="74"/>
      <c r="N68" s="177">
        <v>0.05</v>
      </c>
      <c r="O68" s="177">
        <v>2.5000000000000001E-2</v>
      </c>
      <c r="P68" s="177">
        <v>2.5000000000000001E-2</v>
      </c>
      <c r="Q68" s="177">
        <v>2.5000000000000001E-2</v>
      </c>
      <c r="R68" s="177">
        <v>2.5000000000000001E-2</v>
      </c>
      <c r="S68" s="177">
        <v>2.5000000000000001E-2</v>
      </c>
    </row>
    <row r="69" spans="3:19" x14ac:dyDescent="0.2">
      <c r="C69" s="182" t="s">
        <v>121</v>
      </c>
      <c r="D69" s="167" t="s">
        <v>132</v>
      </c>
      <c r="E69" s="183" t="s">
        <v>34</v>
      </c>
      <c r="F69" s="190"/>
      <c r="G69" s="64"/>
      <c r="H69" s="64"/>
      <c r="I69" s="64"/>
      <c r="J69" s="74"/>
      <c r="K69" s="74"/>
      <c r="L69" s="74"/>
      <c r="M69" s="74"/>
      <c r="N69" s="177">
        <v>0.05</v>
      </c>
      <c r="O69" s="177">
        <v>0.05</v>
      </c>
      <c r="P69" s="177">
        <v>0.05</v>
      </c>
      <c r="Q69" s="177">
        <v>0.05</v>
      </c>
      <c r="R69" s="177">
        <v>0.05</v>
      </c>
      <c r="S69" s="177">
        <v>0.05</v>
      </c>
    </row>
    <row r="70" spans="3:19" x14ac:dyDescent="0.2">
      <c r="C70" s="182" t="s">
        <v>122</v>
      </c>
      <c r="D70" s="167" t="s">
        <v>132</v>
      </c>
      <c r="E70" s="183" t="s">
        <v>34</v>
      </c>
      <c r="F70" s="190"/>
      <c r="G70" s="64"/>
      <c r="H70" s="64"/>
      <c r="I70" s="64"/>
      <c r="J70" s="74"/>
      <c r="K70" s="74"/>
      <c r="L70" s="74"/>
      <c r="M70" s="74"/>
      <c r="N70" s="177">
        <v>0.05</v>
      </c>
      <c r="O70" s="177">
        <v>0.05</v>
      </c>
      <c r="P70" s="177">
        <v>0.05</v>
      </c>
      <c r="Q70" s="177">
        <v>0.05</v>
      </c>
      <c r="R70" s="177">
        <v>0.05</v>
      </c>
      <c r="S70" s="177">
        <v>0.05</v>
      </c>
    </row>
    <row r="71" spans="3:19" x14ac:dyDescent="0.2">
      <c r="C71" s="182" t="s">
        <v>123</v>
      </c>
      <c r="D71" s="167" t="s">
        <v>132</v>
      </c>
      <c r="E71" s="183" t="s">
        <v>34</v>
      </c>
      <c r="F71" s="190"/>
      <c r="G71" s="64"/>
      <c r="H71" s="64"/>
      <c r="I71" s="64"/>
      <c r="J71" s="74"/>
      <c r="K71" s="74"/>
      <c r="L71" s="74"/>
      <c r="M71" s="74"/>
      <c r="N71" s="177">
        <v>0.05</v>
      </c>
      <c r="O71" s="177">
        <v>0.05</v>
      </c>
      <c r="P71" s="177">
        <v>0.05</v>
      </c>
      <c r="Q71" s="177">
        <v>0.05</v>
      </c>
      <c r="R71" s="177">
        <v>0.05</v>
      </c>
      <c r="S71" s="177">
        <v>0.05</v>
      </c>
    </row>
    <row r="72" spans="3:19" x14ac:dyDescent="0.2">
      <c r="C72" s="182" t="s">
        <v>124</v>
      </c>
      <c r="D72" s="167" t="s">
        <v>132</v>
      </c>
      <c r="E72" s="183" t="s">
        <v>34</v>
      </c>
      <c r="F72" s="190"/>
      <c r="G72" s="64"/>
      <c r="H72" s="64"/>
      <c r="I72" s="64"/>
      <c r="J72" s="74"/>
      <c r="K72" s="74"/>
      <c r="L72" s="74"/>
      <c r="M72" s="74"/>
      <c r="N72" s="177">
        <v>0.05</v>
      </c>
      <c r="O72" s="177">
        <v>0.05</v>
      </c>
      <c r="P72" s="177">
        <v>0.05</v>
      </c>
      <c r="Q72" s="177">
        <v>0.05</v>
      </c>
      <c r="R72" s="177">
        <v>0.05</v>
      </c>
      <c r="S72" s="177">
        <v>0.05</v>
      </c>
    </row>
    <row r="73" spans="3:19" x14ac:dyDescent="0.2">
      <c r="C73" s="182" t="s">
        <v>125</v>
      </c>
      <c r="D73" s="167" t="s">
        <v>132</v>
      </c>
      <c r="E73" s="183" t="s">
        <v>34</v>
      </c>
      <c r="F73" s="190"/>
      <c r="G73" s="64"/>
      <c r="H73" s="64"/>
      <c r="I73" s="64"/>
      <c r="J73" s="74"/>
      <c r="K73" s="74"/>
      <c r="L73" s="74"/>
      <c r="M73" s="74"/>
      <c r="N73" s="177">
        <v>0.4</v>
      </c>
      <c r="O73" s="177">
        <v>0.3</v>
      </c>
      <c r="P73" s="177">
        <v>0.25</v>
      </c>
      <c r="Q73" s="177">
        <v>0.2</v>
      </c>
      <c r="R73" s="177">
        <v>0.15</v>
      </c>
      <c r="S73" s="177">
        <v>0.1</v>
      </c>
    </row>
    <row r="74" spans="3:19" x14ac:dyDescent="0.2">
      <c r="C74" s="188"/>
      <c r="D74" s="189"/>
      <c r="E74" s="189"/>
      <c r="F74" s="190"/>
      <c r="G74" s="64"/>
      <c r="H74" s="64"/>
      <c r="I74" s="64"/>
      <c r="J74" s="74"/>
      <c r="K74" s="74"/>
      <c r="L74" s="74"/>
      <c r="M74" s="74"/>
      <c r="N74" s="74"/>
      <c r="O74" s="79"/>
      <c r="P74" s="79"/>
      <c r="Q74" s="79"/>
      <c r="R74" s="79"/>
      <c r="S74" s="79"/>
    </row>
    <row r="75" spans="3:19" ht="10.5" x14ac:dyDescent="0.25">
      <c r="C75" s="180" t="s">
        <v>133</v>
      </c>
      <c r="D75" s="189"/>
      <c r="E75" s="189"/>
      <c r="F75" s="190"/>
      <c r="G75" s="64"/>
      <c r="H75" s="64"/>
      <c r="I75" s="64"/>
      <c r="J75" s="74"/>
      <c r="K75" s="74"/>
      <c r="L75" s="74"/>
      <c r="M75" s="74"/>
      <c r="N75" s="74"/>
      <c r="O75" s="79"/>
      <c r="P75" s="79"/>
      <c r="Q75" s="79"/>
      <c r="R75" s="79"/>
      <c r="S75" s="79"/>
    </row>
    <row r="76" spans="3:19" x14ac:dyDescent="0.2">
      <c r="C76" s="182" t="s">
        <v>128</v>
      </c>
      <c r="D76" s="167" t="s">
        <v>132</v>
      </c>
      <c r="E76" s="183" t="s">
        <v>34</v>
      </c>
      <c r="F76" s="190"/>
      <c r="G76" s="64"/>
      <c r="H76" s="64"/>
      <c r="I76" s="64"/>
      <c r="J76" s="74"/>
      <c r="K76" s="74"/>
      <c r="L76" s="74"/>
      <c r="M76" s="74"/>
      <c r="N76" s="195">
        <v>2.3203134565936083E-2</v>
      </c>
      <c r="O76" s="195">
        <v>3.8832046909591335E-2</v>
      </c>
      <c r="P76" s="195">
        <v>2.3902776177859693E-2</v>
      </c>
      <c r="Q76" s="195">
        <v>2.8857512516172582E-2</v>
      </c>
      <c r="R76" s="195">
        <v>2.4166211044286495E-2</v>
      </c>
      <c r="S76" s="195">
        <v>2.0019218449711725E-2</v>
      </c>
    </row>
    <row r="77" spans="3:19" ht="10.5" x14ac:dyDescent="0.25">
      <c r="C77" s="182" t="s">
        <v>129</v>
      </c>
      <c r="D77" s="191" t="s">
        <v>130</v>
      </c>
      <c r="E77" s="183"/>
      <c r="F77" s="179"/>
      <c r="G77" s="64"/>
      <c r="H77" s="64"/>
      <c r="I77" s="64"/>
      <c r="K77" s="74"/>
      <c r="L77" s="74"/>
      <c r="M77" s="74"/>
      <c r="N77" s="196"/>
      <c r="O77" s="196"/>
      <c r="P77" s="196"/>
      <c r="Q77" s="196"/>
      <c r="R77" s="196"/>
      <c r="S77" s="196"/>
    </row>
    <row r="78" spans="3:19" ht="10.5" x14ac:dyDescent="0.25">
      <c r="C78" s="182" t="s">
        <v>131</v>
      </c>
      <c r="D78" s="179" t="s">
        <v>23</v>
      </c>
      <c r="E78" s="183" t="s">
        <v>34</v>
      </c>
      <c r="F78" s="190"/>
      <c r="G78" s="64"/>
      <c r="H78" s="64"/>
      <c r="I78" s="64"/>
      <c r="J78" s="74"/>
      <c r="K78" s="74"/>
      <c r="L78" s="74"/>
      <c r="M78" s="74"/>
      <c r="N78" s="197">
        <f t="shared" ref="N78:S78" si="4">IF($D$77="No",0,1)*N76</f>
        <v>0</v>
      </c>
      <c r="O78" s="197">
        <f t="shared" si="4"/>
        <v>0</v>
      </c>
      <c r="P78" s="197">
        <f t="shared" si="4"/>
        <v>0</v>
      </c>
      <c r="Q78" s="197">
        <f t="shared" si="4"/>
        <v>0</v>
      </c>
      <c r="R78" s="197">
        <f t="shared" si="4"/>
        <v>0</v>
      </c>
      <c r="S78" s="197">
        <f t="shared" si="4"/>
        <v>0</v>
      </c>
    </row>
    <row r="79" spans="3:19" x14ac:dyDescent="0.2">
      <c r="C79" s="188"/>
      <c r="D79" s="189"/>
      <c r="E79" s="189"/>
      <c r="F79" s="190"/>
      <c r="G79" s="64"/>
      <c r="H79" s="64"/>
      <c r="I79" s="64"/>
      <c r="J79" s="74"/>
      <c r="K79" s="74"/>
      <c r="L79" s="74"/>
      <c r="M79" s="74"/>
      <c r="N79" s="74"/>
      <c r="O79" s="79"/>
      <c r="P79" s="79"/>
      <c r="Q79" s="79"/>
      <c r="R79" s="79"/>
      <c r="S79" s="79"/>
    </row>
    <row r="80" spans="3:19" ht="10.5" x14ac:dyDescent="0.25">
      <c r="C80" s="180" t="s">
        <v>100</v>
      </c>
      <c r="D80" s="181" t="s">
        <v>6</v>
      </c>
      <c r="E80" s="181" t="s">
        <v>24</v>
      </c>
      <c r="F80" s="181" t="s">
        <v>28</v>
      </c>
      <c r="G80" s="64"/>
      <c r="H80" s="64"/>
      <c r="I80" s="64"/>
      <c r="L80" s="194">
        <f t="shared" ref="L80:S80" si="5">IF(YEAR(L$4)&lt;=PPLastYear,L$4,IF(YEAR(L$4)&gt;=FPFirstYear,IF(YEAR(L$4)&lt;=FPLastYear,L$4,""),""))</f>
        <v>44713</v>
      </c>
      <c r="M80" s="194">
        <f t="shared" si="5"/>
        <v>45078</v>
      </c>
      <c r="N80" s="194">
        <f t="shared" si="5"/>
        <v>45444</v>
      </c>
      <c r="O80" s="194">
        <f t="shared" si="5"/>
        <v>45809</v>
      </c>
      <c r="P80" s="194">
        <f t="shared" si="5"/>
        <v>46174</v>
      </c>
      <c r="Q80" s="194">
        <f t="shared" si="5"/>
        <v>46539</v>
      </c>
      <c r="R80" s="194">
        <f t="shared" si="5"/>
        <v>46905</v>
      </c>
      <c r="S80" s="194">
        <f t="shared" si="5"/>
        <v>47270</v>
      </c>
    </row>
    <row r="81" spans="3:19" x14ac:dyDescent="0.2">
      <c r="C81" s="182" t="s">
        <v>108</v>
      </c>
      <c r="D81" s="179" t="s">
        <v>23</v>
      </c>
      <c r="E81" s="183" t="s">
        <v>46</v>
      </c>
      <c r="F81" s="187" t="str">
        <f t="shared" ref="F81:F100" si="6">F34</f>
        <v>nominal</v>
      </c>
      <c r="G81" s="64"/>
      <c r="H81" s="64"/>
      <c r="I81" s="64"/>
      <c r="L81" s="198"/>
      <c r="M81" s="198"/>
      <c r="N81" s="198"/>
      <c r="O81" s="198"/>
      <c r="P81" s="198"/>
      <c r="Q81" s="198"/>
      <c r="R81" s="198"/>
      <c r="S81" s="198"/>
    </row>
    <row r="82" spans="3:19" x14ac:dyDescent="0.2">
      <c r="C82" s="182" t="s">
        <v>109</v>
      </c>
      <c r="D82" s="179" t="s">
        <v>23</v>
      </c>
      <c r="E82" s="183" t="s">
        <v>46</v>
      </c>
      <c r="F82" s="187" t="str">
        <f t="shared" si="6"/>
        <v>nominal</v>
      </c>
      <c r="G82" s="64"/>
      <c r="H82" s="64"/>
      <c r="I82" s="64"/>
      <c r="L82" s="198"/>
      <c r="M82" s="198"/>
      <c r="N82" s="198"/>
      <c r="O82" s="198"/>
      <c r="P82" s="198"/>
      <c r="Q82" s="198"/>
      <c r="R82" s="198"/>
      <c r="S82" s="198"/>
    </row>
    <row r="83" spans="3:19" x14ac:dyDescent="0.2">
      <c r="C83" s="182" t="s">
        <v>110</v>
      </c>
      <c r="D83" s="179" t="s">
        <v>23</v>
      </c>
      <c r="E83" s="183" t="s">
        <v>46</v>
      </c>
      <c r="F83" s="187" t="str">
        <f t="shared" si="6"/>
        <v>nominal</v>
      </c>
      <c r="G83" s="64"/>
      <c r="H83" s="64"/>
      <c r="I83" s="64"/>
      <c r="L83" s="198"/>
      <c r="M83" s="198"/>
      <c r="N83" s="198"/>
      <c r="O83" s="198"/>
      <c r="P83" s="198"/>
      <c r="Q83" s="198"/>
      <c r="R83" s="198"/>
      <c r="S83" s="198"/>
    </row>
    <row r="84" spans="3:19" x14ac:dyDescent="0.2">
      <c r="C84" s="182" t="s">
        <v>111</v>
      </c>
      <c r="D84" s="179" t="s">
        <v>23</v>
      </c>
      <c r="E84" s="183" t="s">
        <v>46</v>
      </c>
      <c r="F84" s="187" t="str">
        <f t="shared" si="6"/>
        <v>nominal</v>
      </c>
      <c r="G84" s="64"/>
      <c r="H84" s="64"/>
      <c r="I84" s="64"/>
      <c r="L84" s="198"/>
      <c r="M84" s="198"/>
      <c r="N84" s="198"/>
      <c r="O84" s="198"/>
      <c r="P84" s="198"/>
      <c r="Q84" s="198"/>
      <c r="R84" s="198"/>
      <c r="S84" s="198"/>
    </row>
    <row r="85" spans="3:19" x14ac:dyDescent="0.2">
      <c r="C85" s="182" t="s">
        <v>112</v>
      </c>
      <c r="D85" s="179" t="s">
        <v>23</v>
      </c>
      <c r="E85" s="183" t="s">
        <v>46</v>
      </c>
      <c r="F85" s="187" t="str">
        <f t="shared" si="6"/>
        <v>nominal</v>
      </c>
      <c r="G85" s="64"/>
      <c r="H85" s="64"/>
      <c r="I85" s="64"/>
      <c r="L85" s="193">
        <f t="shared" ref="L85:S89" si="7">IF(ISBLANK(L38),K85*(1+L60),L38)</f>
        <v>0</v>
      </c>
      <c r="M85" s="193">
        <f t="shared" si="7"/>
        <v>0</v>
      </c>
      <c r="N85" s="193">
        <f t="shared" si="7"/>
        <v>0</v>
      </c>
      <c r="O85" s="193">
        <f t="shared" si="7"/>
        <v>0</v>
      </c>
      <c r="P85" s="193">
        <f t="shared" si="7"/>
        <v>0</v>
      </c>
      <c r="Q85" s="193">
        <f t="shared" si="7"/>
        <v>0</v>
      </c>
      <c r="R85" s="193">
        <f t="shared" si="7"/>
        <v>0</v>
      </c>
      <c r="S85" s="193">
        <f t="shared" si="7"/>
        <v>0</v>
      </c>
    </row>
    <row r="86" spans="3:19" x14ac:dyDescent="0.2">
      <c r="C86" s="182" t="s">
        <v>113</v>
      </c>
      <c r="D86" s="179" t="s">
        <v>23</v>
      </c>
      <c r="E86" s="183" t="s">
        <v>46</v>
      </c>
      <c r="F86" s="187" t="str">
        <f t="shared" si="6"/>
        <v>nominal</v>
      </c>
      <c r="G86" s="64"/>
      <c r="H86" s="64"/>
      <c r="I86" s="64"/>
      <c r="L86" s="198"/>
      <c r="M86" s="198"/>
      <c r="N86" s="198"/>
      <c r="O86" s="198"/>
      <c r="P86" s="198"/>
      <c r="Q86" s="198"/>
      <c r="R86" s="198"/>
      <c r="S86" s="198"/>
    </row>
    <row r="87" spans="3:19" x14ac:dyDescent="0.2">
      <c r="C87" s="182" t="s">
        <v>114</v>
      </c>
      <c r="D87" s="179" t="s">
        <v>23</v>
      </c>
      <c r="E87" s="183" t="s">
        <v>46</v>
      </c>
      <c r="F87" s="187" t="str">
        <f t="shared" si="6"/>
        <v>nominal</v>
      </c>
      <c r="G87" s="64"/>
      <c r="H87" s="64"/>
      <c r="I87" s="64"/>
      <c r="L87" s="193">
        <f t="shared" si="7"/>
        <v>0</v>
      </c>
      <c r="M87" s="193">
        <f t="shared" si="7"/>
        <v>0</v>
      </c>
      <c r="N87" s="193">
        <f t="shared" si="7"/>
        <v>0</v>
      </c>
      <c r="O87" s="193">
        <f t="shared" si="7"/>
        <v>0</v>
      </c>
      <c r="P87" s="193">
        <f t="shared" si="7"/>
        <v>0</v>
      </c>
      <c r="Q87" s="193">
        <f t="shared" si="7"/>
        <v>0</v>
      </c>
      <c r="R87" s="193">
        <f t="shared" si="7"/>
        <v>0</v>
      </c>
      <c r="S87" s="193">
        <f t="shared" si="7"/>
        <v>0</v>
      </c>
    </row>
    <row r="88" spans="3:19" x14ac:dyDescent="0.2">
      <c r="C88" s="182" t="s">
        <v>115</v>
      </c>
      <c r="D88" s="179" t="s">
        <v>23</v>
      </c>
      <c r="E88" s="183" t="s">
        <v>46</v>
      </c>
      <c r="F88" s="187" t="str">
        <f t="shared" si="6"/>
        <v>nominal</v>
      </c>
      <c r="G88" s="64"/>
      <c r="H88" s="64"/>
      <c r="I88" s="64"/>
      <c r="L88" s="193">
        <f t="shared" si="7"/>
        <v>0</v>
      </c>
      <c r="M88" s="193">
        <f t="shared" si="7"/>
        <v>0</v>
      </c>
      <c r="N88" s="193">
        <f t="shared" si="7"/>
        <v>0</v>
      </c>
      <c r="O88" s="193">
        <f t="shared" si="7"/>
        <v>0</v>
      </c>
      <c r="P88" s="193">
        <f t="shared" si="7"/>
        <v>0</v>
      </c>
      <c r="Q88" s="193">
        <f t="shared" si="7"/>
        <v>0</v>
      </c>
      <c r="R88" s="193">
        <f t="shared" si="7"/>
        <v>0</v>
      </c>
      <c r="S88" s="193">
        <f t="shared" si="7"/>
        <v>0</v>
      </c>
    </row>
    <row r="89" spans="3:19" x14ac:dyDescent="0.2">
      <c r="C89" s="182" t="s">
        <v>116</v>
      </c>
      <c r="D89" s="179" t="s">
        <v>23</v>
      </c>
      <c r="E89" s="183" t="s">
        <v>46</v>
      </c>
      <c r="F89" s="187" t="str">
        <f t="shared" si="6"/>
        <v>nominal</v>
      </c>
      <c r="G89" s="64"/>
      <c r="H89" s="64"/>
      <c r="I89" s="64"/>
      <c r="L89" s="193">
        <f t="shared" si="7"/>
        <v>0</v>
      </c>
      <c r="M89" s="193">
        <f t="shared" si="7"/>
        <v>0</v>
      </c>
      <c r="N89" s="193">
        <f t="shared" si="7"/>
        <v>0</v>
      </c>
      <c r="O89" s="193">
        <f t="shared" si="7"/>
        <v>0</v>
      </c>
      <c r="P89" s="193">
        <f t="shared" si="7"/>
        <v>0</v>
      </c>
      <c r="Q89" s="193">
        <f t="shared" si="7"/>
        <v>0</v>
      </c>
      <c r="R89" s="193">
        <f t="shared" si="7"/>
        <v>0</v>
      </c>
      <c r="S89" s="193">
        <f t="shared" si="7"/>
        <v>0</v>
      </c>
    </row>
    <row r="90" spans="3:19" x14ac:dyDescent="0.2">
      <c r="C90" s="182" t="s">
        <v>117</v>
      </c>
      <c r="D90" s="179" t="s">
        <v>23</v>
      </c>
      <c r="E90" s="183" t="s">
        <v>46</v>
      </c>
      <c r="F90" s="187" t="str">
        <f t="shared" si="6"/>
        <v>nominal</v>
      </c>
      <c r="G90" s="64"/>
      <c r="H90" s="64"/>
      <c r="I90" s="64"/>
      <c r="L90" s="198"/>
      <c r="M90" s="198"/>
      <c r="N90" s="198"/>
      <c r="O90" s="198"/>
      <c r="P90" s="198"/>
      <c r="Q90" s="198"/>
      <c r="R90" s="198"/>
      <c r="S90" s="198"/>
    </row>
    <row r="91" spans="3:19" x14ac:dyDescent="0.2">
      <c r="C91" s="182" t="s">
        <v>118</v>
      </c>
      <c r="D91" s="179" t="s">
        <v>23</v>
      </c>
      <c r="E91" s="183" t="s">
        <v>46</v>
      </c>
      <c r="F91" s="187" t="str">
        <f t="shared" si="6"/>
        <v>nominal</v>
      </c>
      <c r="G91" s="64"/>
      <c r="H91" s="64"/>
      <c r="I91" s="64"/>
      <c r="L91" s="198"/>
      <c r="M91" s="198"/>
      <c r="N91" s="198"/>
      <c r="O91" s="198"/>
      <c r="P91" s="198"/>
      <c r="Q91" s="198"/>
      <c r="R91" s="198"/>
      <c r="S91" s="198"/>
    </row>
    <row r="92" spans="3:19" x14ac:dyDescent="0.2">
      <c r="C92" s="182" t="s">
        <v>119</v>
      </c>
      <c r="D92" s="179" t="s">
        <v>23</v>
      </c>
      <c r="E92" s="183" t="s">
        <v>46</v>
      </c>
      <c r="F92" s="187" t="str">
        <f t="shared" si="6"/>
        <v>nominal</v>
      </c>
      <c r="G92" s="64"/>
      <c r="H92" s="64"/>
      <c r="I92" s="64"/>
      <c r="L92" s="198"/>
      <c r="M92" s="198"/>
      <c r="N92" s="198"/>
      <c r="O92" s="198"/>
      <c r="P92" s="198"/>
      <c r="Q92" s="198"/>
      <c r="R92" s="198"/>
      <c r="S92" s="198"/>
    </row>
    <row r="93" spans="3:19" x14ac:dyDescent="0.2">
      <c r="C93" s="182" t="s">
        <v>120</v>
      </c>
      <c r="D93" s="179" t="s">
        <v>23</v>
      </c>
      <c r="E93" s="183" t="s">
        <v>46</v>
      </c>
      <c r="F93" s="187" t="str">
        <f t="shared" si="6"/>
        <v>nominal</v>
      </c>
      <c r="G93" s="64"/>
      <c r="H93" s="64"/>
      <c r="I93" s="64"/>
      <c r="L93" s="198"/>
      <c r="M93" s="198"/>
      <c r="N93" s="198"/>
      <c r="O93" s="198"/>
      <c r="P93" s="198"/>
      <c r="Q93" s="198"/>
      <c r="R93" s="198"/>
      <c r="S93" s="198"/>
    </row>
    <row r="94" spans="3:19" x14ac:dyDescent="0.2">
      <c r="C94" s="182" t="s">
        <v>121</v>
      </c>
      <c r="D94" s="179" t="s">
        <v>23</v>
      </c>
      <c r="E94" s="183" t="s">
        <v>46</v>
      </c>
      <c r="F94" s="187" t="str">
        <f t="shared" si="6"/>
        <v>nominal</v>
      </c>
      <c r="G94" s="64"/>
      <c r="H94" s="64"/>
      <c r="I94" s="64"/>
      <c r="L94" s="198"/>
      <c r="M94" s="198"/>
      <c r="N94" s="198"/>
      <c r="O94" s="198"/>
      <c r="P94" s="198"/>
      <c r="Q94" s="198"/>
      <c r="R94" s="198"/>
      <c r="S94" s="198"/>
    </row>
    <row r="95" spans="3:19" x14ac:dyDescent="0.2">
      <c r="C95" s="182" t="s">
        <v>122</v>
      </c>
      <c r="D95" s="179" t="s">
        <v>23</v>
      </c>
      <c r="E95" s="183" t="s">
        <v>46</v>
      </c>
      <c r="F95" s="187" t="str">
        <f t="shared" si="6"/>
        <v>nominal</v>
      </c>
      <c r="G95" s="64"/>
      <c r="H95" s="64"/>
      <c r="I95" s="64"/>
      <c r="L95" s="198"/>
      <c r="M95" s="198"/>
      <c r="N95" s="198"/>
      <c r="O95" s="198"/>
      <c r="P95" s="198"/>
      <c r="Q95" s="198"/>
      <c r="R95" s="198"/>
      <c r="S95" s="198"/>
    </row>
    <row r="96" spans="3:19" x14ac:dyDescent="0.2">
      <c r="C96" s="182" t="s">
        <v>123</v>
      </c>
      <c r="D96" s="179" t="s">
        <v>23</v>
      </c>
      <c r="E96" s="183" t="s">
        <v>46</v>
      </c>
      <c r="F96" s="187" t="str">
        <f t="shared" si="6"/>
        <v>nominal</v>
      </c>
      <c r="G96" s="64"/>
      <c r="H96" s="64"/>
      <c r="I96" s="64"/>
      <c r="L96" s="198"/>
      <c r="M96" s="198"/>
      <c r="N96" s="198"/>
      <c r="O96" s="198"/>
      <c r="P96" s="198"/>
      <c r="Q96" s="198"/>
      <c r="R96" s="198"/>
      <c r="S96" s="198"/>
    </row>
    <row r="97" spans="3:19" x14ac:dyDescent="0.2">
      <c r="C97" s="182" t="s">
        <v>124</v>
      </c>
      <c r="D97" s="179" t="s">
        <v>23</v>
      </c>
      <c r="E97" s="183" t="s">
        <v>46</v>
      </c>
      <c r="F97" s="187" t="str">
        <f t="shared" si="6"/>
        <v>nominal</v>
      </c>
      <c r="G97" s="64"/>
      <c r="H97" s="64"/>
      <c r="I97" s="64"/>
      <c r="L97" s="198"/>
      <c r="M97" s="198"/>
      <c r="N97" s="198"/>
      <c r="O97" s="198"/>
      <c r="P97" s="198"/>
      <c r="Q97" s="198"/>
      <c r="R97" s="198"/>
      <c r="S97" s="198"/>
    </row>
    <row r="98" spans="3:19" x14ac:dyDescent="0.2">
      <c r="C98" s="182" t="s">
        <v>125</v>
      </c>
      <c r="D98" s="179" t="s">
        <v>23</v>
      </c>
      <c r="E98" s="183" t="s">
        <v>46</v>
      </c>
      <c r="F98" s="187" t="str">
        <f t="shared" si="6"/>
        <v>nominal</v>
      </c>
      <c r="G98" s="64"/>
      <c r="H98" s="64"/>
      <c r="I98" s="64"/>
      <c r="L98" s="198"/>
      <c r="M98" s="198"/>
      <c r="N98" s="198"/>
      <c r="O98" s="198"/>
      <c r="P98" s="198"/>
      <c r="Q98" s="198"/>
      <c r="R98" s="198"/>
      <c r="S98" s="198"/>
    </row>
    <row r="99" spans="3:19" x14ac:dyDescent="0.2">
      <c r="C99" s="185" t="s">
        <v>99</v>
      </c>
      <c r="D99" s="167" t="s">
        <v>41</v>
      </c>
      <c r="E99" s="183" t="s">
        <v>46</v>
      </c>
      <c r="F99" s="184" t="s">
        <v>42</v>
      </c>
      <c r="G99" s="64"/>
      <c r="H99" s="64"/>
      <c r="I99" s="64"/>
      <c r="J99" s="74"/>
      <c r="K99" s="74"/>
      <c r="L99" s="199"/>
      <c r="M99" s="199"/>
      <c r="N99" s="199"/>
      <c r="O99" s="199"/>
      <c r="P99" s="199"/>
      <c r="Q99" s="199"/>
      <c r="R99" s="199"/>
      <c r="S99" s="199"/>
    </row>
    <row r="100" spans="3:19" ht="10.5" x14ac:dyDescent="0.25">
      <c r="C100" s="186" t="s">
        <v>101</v>
      </c>
      <c r="D100" s="179" t="s">
        <v>23</v>
      </c>
      <c r="E100" s="183" t="s">
        <v>46</v>
      </c>
      <c r="F100" s="187" t="str">
        <f t="shared" si="6"/>
        <v>nominal</v>
      </c>
      <c r="G100" s="64"/>
      <c r="H100" s="64"/>
      <c r="I100" s="64"/>
      <c r="L100" s="200"/>
      <c r="M100" s="200"/>
      <c r="N100" s="200"/>
      <c r="O100" s="200"/>
      <c r="P100" s="200"/>
      <c r="Q100" s="200"/>
      <c r="R100" s="200"/>
      <c r="S100" s="200"/>
    </row>
    <row r="101" spans="3:19" ht="10.5" x14ac:dyDescent="0.25">
      <c r="C101" s="116"/>
      <c r="D101" s="113"/>
      <c r="E101" s="113"/>
      <c r="F101" s="114"/>
      <c r="G101" s="64"/>
      <c r="H101" s="64"/>
      <c r="I101" s="64"/>
      <c r="L101" s="115"/>
      <c r="M101" s="115"/>
      <c r="N101" s="115"/>
      <c r="O101" s="115"/>
      <c r="P101" s="115"/>
      <c r="Q101" s="115"/>
      <c r="R101" s="115"/>
      <c r="S101" s="115"/>
    </row>
    <row r="102" spans="3:19" x14ac:dyDescent="0.2">
      <c r="D102" s="113"/>
      <c r="E102" s="113"/>
      <c r="F102" s="114"/>
      <c r="G102" s="64"/>
      <c r="H102" s="64"/>
      <c r="I102" s="201"/>
      <c r="J102" s="202"/>
      <c r="K102" s="202"/>
      <c r="L102" s="74"/>
      <c r="M102" s="74"/>
      <c r="N102" s="74"/>
      <c r="O102" s="79"/>
      <c r="P102" s="79"/>
      <c r="Q102" s="79"/>
      <c r="R102" s="79"/>
      <c r="S102" s="79"/>
    </row>
    <row r="103" spans="3:19" ht="10.5" x14ac:dyDescent="0.25">
      <c r="C103" s="29" t="s">
        <v>102</v>
      </c>
      <c r="D103" s="113"/>
      <c r="E103" s="113"/>
      <c r="F103" s="114"/>
      <c r="G103" s="64"/>
      <c r="H103" s="64"/>
      <c r="I103" s="201"/>
      <c r="J103" s="203"/>
      <c r="K103" s="203"/>
      <c r="L103" s="119"/>
      <c r="M103" s="175">
        <f t="shared" ref="M103:S103" si="8">IF(YEAR(M$4)&lt;=PPLastYear,M$4,IF(YEAR(M$4)&gt;=FPFirstYear,IF(YEAR(M$4)&lt;=FPLastYear,M$4,""),""))</f>
        <v>45078</v>
      </c>
      <c r="N103" s="175">
        <f t="shared" si="8"/>
        <v>45444</v>
      </c>
      <c r="O103" s="175">
        <f t="shared" si="8"/>
        <v>45809</v>
      </c>
      <c r="P103" s="175">
        <f t="shared" si="8"/>
        <v>46174</v>
      </c>
      <c r="Q103" s="175">
        <f t="shared" si="8"/>
        <v>46539</v>
      </c>
      <c r="R103" s="175">
        <f t="shared" si="8"/>
        <v>46905</v>
      </c>
      <c r="S103" s="175">
        <f t="shared" si="8"/>
        <v>47270</v>
      </c>
    </row>
    <row r="104" spans="3:19" x14ac:dyDescent="0.2">
      <c r="C104" s="182" t="s">
        <v>108</v>
      </c>
      <c r="D104" s="179" t="s">
        <v>23</v>
      </c>
      <c r="E104" s="192" t="str">
        <f>E81</f>
        <v>$dollars</v>
      </c>
      <c r="F104" s="187" t="str">
        <f>F81</f>
        <v>nominal</v>
      </c>
      <c r="G104" s="64"/>
      <c r="H104" s="64"/>
      <c r="I104" s="201"/>
      <c r="J104" s="204"/>
      <c r="K104" s="204"/>
      <c r="L104" s="74"/>
      <c r="M104" s="205"/>
      <c r="N104" s="205"/>
      <c r="O104" s="205"/>
      <c r="P104" s="205"/>
      <c r="Q104" s="205"/>
      <c r="R104" s="205"/>
      <c r="S104" s="205"/>
    </row>
    <row r="105" spans="3:19" x14ac:dyDescent="0.2">
      <c r="C105" s="182" t="s">
        <v>109</v>
      </c>
      <c r="D105" s="179" t="s">
        <v>23</v>
      </c>
      <c r="E105" s="192" t="str">
        <f t="shared" ref="E105:F105" si="9">E82</f>
        <v>$dollars</v>
      </c>
      <c r="F105" s="187" t="str">
        <f t="shared" si="9"/>
        <v>nominal</v>
      </c>
      <c r="G105" s="64"/>
      <c r="H105" s="64"/>
      <c r="I105" s="201"/>
      <c r="J105" s="204"/>
      <c r="K105" s="204"/>
      <c r="L105" s="74"/>
      <c r="M105" s="205"/>
      <c r="N105" s="205"/>
      <c r="O105" s="205"/>
      <c r="P105" s="205"/>
      <c r="Q105" s="205"/>
      <c r="R105" s="205"/>
      <c r="S105" s="205"/>
    </row>
    <row r="106" spans="3:19" x14ac:dyDescent="0.2">
      <c r="C106" s="182" t="s">
        <v>110</v>
      </c>
      <c r="D106" s="179" t="s">
        <v>23</v>
      </c>
      <c r="E106" s="192" t="str">
        <f t="shared" ref="E106:F106" si="10">E83</f>
        <v>$dollars</v>
      </c>
      <c r="F106" s="187" t="str">
        <f t="shared" si="10"/>
        <v>nominal</v>
      </c>
      <c r="G106" s="64"/>
      <c r="H106" s="64"/>
      <c r="I106" s="201"/>
      <c r="J106" s="204"/>
      <c r="K106" s="204"/>
      <c r="L106" s="74"/>
      <c r="M106" s="205"/>
      <c r="N106" s="205"/>
      <c r="O106" s="205"/>
      <c r="P106" s="205"/>
      <c r="Q106" s="205"/>
      <c r="R106" s="205"/>
      <c r="S106" s="205"/>
    </row>
    <row r="107" spans="3:19" x14ac:dyDescent="0.2">
      <c r="C107" s="182" t="s">
        <v>111</v>
      </c>
      <c r="D107" s="179" t="s">
        <v>23</v>
      </c>
      <c r="E107" s="192" t="str">
        <f t="shared" ref="E107:F107" si="11">E84</f>
        <v>$dollars</v>
      </c>
      <c r="F107" s="187" t="str">
        <f t="shared" si="11"/>
        <v>nominal</v>
      </c>
      <c r="G107" s="64"/>
      <c r="H107" s="64"/>
      <c r="I107" s="201"/>
      <c r="J107" s="204"/>
      <c r="K107" s="204"/>
      <c r="L107" s="74"/>
      <c r="M107" s="205"/>
      <c r="N107" s="205"/>
      <c r="O107" s="205"/>
      <c r="P107" s="205"/>
      <c r="Q107" s="205"/>
      <c r="R107" s="205"/>
      <c r="S107" s="205"/>
    </row>
    <row r="108" spans="3:19" x14ac:dyDescent="0.2">
      <c r="C108" s="182" t="s">
        <v>112</v>
      </c>
      <c r="D108" s="179" t="s">
        <v>23</v>
      </c>
      <c r="E108" s="192" t="str">
        <f t="shared" ref="E108:F108" si="12">E85</f>
        <v>$dollars</v>
      </c>
      <c r="F108" s="187" t="str">
        <f t="shared" si="12"/>
        <v>nominal</v>
      </c>
      <c r="G108" s="64"/>
      <c r="H108" s="64"/>
      <c r="I108" s="201"/>
      <c r="J108" s="204"/>
      <c r="K108" s="204"/>
      <c r="L108" s="74"/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</row>
    <row r="109" spans="3:19" x14ac:dyDescent="0.2">
      <c r="C109" s="182" t="s">
        <v>113</v>
      </c>
      <c r="D109" s="179" t="s">
        <v>23</v>
      </c>
      <c r="E109" s="192" t="str">
        <f t="shared" ref="E109:F109" si="13">E86</f>
        <v>$dollars</v>
      </c>
      <c r="F109" s="187" t="str">
        <f t="shared" si="13"/>
        <v>nominal</v>
      </c>
      <c r="G109" s="64"/>
      <c r="H109" s="64"/>
      <c r="I109" s="201"/>
      <c r="J109" s="204"/>
      <c r="K109" s="204"/>
      <c r="L109" s="74"/>
      <c r="M109" s="205"/>
      <c r="N109" s="205"/>
      <c r="O109" s="205"/>
      <c r="P109" s="205"/>
      <c r="Q109" s="205"/>
      <c r="R109" s="205"/>
      <c r="S109" s="205"/>
    </row>
    <row r="110" spans="3:19" x14ac:dyDescent="0.2">
      <c r="C110" s="182" t="s">
        <v>114</v>
      </c>
      <c r="D110" s="179" t="s">
        <v>23</v>
      </c>
      <c r="E110" s="192" t="str">
        <f t="shared" ref="E110:F110" si="14">E87</f>
        <v>$dollars</v>
      </c>
      <c r="F110" s="187" t="str">
        <f t="shared" si="14"/>
        <v>nominal</v>
      </c>
      <c r="G110" s="64"/>
      <c r="H110" s="64"/>
      <c r="I110" s="201"/>
      <c r="J110" s="204"/>
      <c r="K110" s="204"/>
      <c r="L110" s="74"/>
      <c r="M110" s="120">
        <v>0</v>
      </c>
      <c r="N110" s="120">
        <v>0</v>
      </c>
      <c r="O110" s="120">
        <v>0</v>
      </c>
      <c r="P110" s="120">
        <v>0</v>
      </c>
      <c r="Q110" s="120">
        <v>0</v>
      </c>
      <c r="R110" s="120">
        <v>0</v>
      </c>
      <c r="S110" s="120">
        <v>0</v>
      </c>
    </row>
    <row r="111" spans="3:19" x14ac:dyDescent="0.2">
      <c r="C111" s="182" t="s">
        <v>115</v>
      </c>
      <c r="D111" s="179" t="s">
        <v>23</v>
      </c>
      <c r="E111" s="192" t="str">
        <f t="shared" ref="E111:F111" si="15">E88</f>
        <v>$dollars</v>
      </c>
      <c r="F111" s="187" t="str">
        <f t="shared" si="15"/>
        <v>nominal</v>
      </c>
      <c r="G111" s="64"/>
      <c r="H111" s="64"/>
      <c r="I111" s="201"/>
      <c r="J111" s="204"/>
      <c r="K111" s="204"/>
      <c r="L111" s="74"/>
      <c r="M111" s="120">
        <v>0</v>
      </c>
      <c r="N111" s="120">
        <v>0</v>
      </c>
      <c r="O111" s="120">
        <v>0</v>
      </c>
      <c r="P111" s="120">
        <v>0</v>
      </c>
      <c r="Q111" s="120">
        <v>0</v>
      </c>
      <c r="R111" s="120">
        <v>0</v>
      </c>
      <c r="S111" s="120">
        <v>0</v>
      </c>
    </row>
    <row r="112" spans="3:19" x14ac:dyDescent="0.2">
      <c r="C112" s="182" t="s">
        <v>116</v>
      </c>
      <c r="D112" s="179" t="s">
        <v>23</v>
      </c>
      <c r="E112" s="192" t="str">
        <f t="shared" ref="E112:F112" si="16">E89</f>
        <v>$dollars</v>
      </c>
      <c r="F112" s="187" t="str">
        <f t="shared" si="16"/>
        <v>nominal</v>
      </c>
      <c r="G112" s="64"/>
      <c r="H112" s="64"/>
      <c r="I112" s="201"/>
      <c r="J112" s="204"/>
      <c r="K112" s="204"/>
      <c r="L112" s="74"/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</row>
    <row r="113" spans="3:21" x14ac:dyDescent="0.2">
      <c r="C113" s="182" t="s">
        <v>117</v>
      </c>
      <c r="D113" s="179" t="s">
        <v>23</v>
      </c>
      <c r="E113" s="192" t="str">
        <f t="shared" ref="E113:F113" si="17">E90</f>
        <v>$dollars</v>
      </c>
      <c r="F113" s="187" t="str">
        <f t="shared" si="17"/>
        <v>nominal</v>
      </c>
      <c r="G113" s="64"/>
      <c r="H113" s="64"/>
      <c r="I113" s="201"/>
      <c r="J113" s="204"/>
      <c r="K113" s="204"/>
      <c r="L113" s="74"/>
      <c r="M113" s="205"/>
      <c r="N113" s="205"/>
      <c r="O113" s="205"/>
      <c r="P113" s="205"/>
      <c r="Q113" s="205"/>
      <c r="R113" s="205"/>
      <c r="S113" s="205"/>
    </row>
    <row r="114" spans="3:21" x14ac:dyDescent="0.2">
      <c r="C114" s="182" t="s">
        <v>118</v>
      </c>
      <c r="D114" s="179" t="s">
        <v>23</v>
      </c>
      <c r="E114" s="192" t="str">
        <f t="shared" ref="E114:F114" si="18">E91</f>
        <v>$dollars</v>
      </c>
      <c r="F114" s="187" t="str">
        <f t="shared" si="18"/>
        <v>nominal</v>
      </c>
      <c r="G114" s="64"/>
      <c r="H114" s="64"/>
      <c r="I114" s="201"/>
      <c r="J114" s="204"/>
      <c r="K114" s="204"/>
      <c r="L114" s="74"/>
      <c r="M114" s="205"/>
      <c r="N114" s="205"/>
      <c r="O114" s="205"/>
      <c r="P114" s="205"/>
      <c r="Q114" s="205"/>
      <c r="R114" s="205"/>
      <c r="S114" s="205"/>
    </row>
    <row r="115" spans="3:21" x14ac:dyDescent="0.2">
      <c r="C115" s="182" t="s">
        <v>119</v>
      </c>
      <c r="D115" s="179" t="s">
        <v>23</v>
      </c>
      <c r="E115" s="192" t="str">
        <f t="shared" ref="E115:F115" si="19">E92</f>
        <v>$dollars</v>
      </c>
      <c r="F115" s="187" t="str">
        <f t="shared" si="19"/>
        <v>nominal</v>
      </c>
      <c r="G115" s="64"/>
      <c r="H115" s="64"/>
      <c r="I115" s="201"/>
      <c r="J115" s="204"/>
      <c r="K115" s="204"/>
      <c r="L115" s="74"/>
      <c r="M115" s="205"/>
      <c r="N115" s="205"/>
      <c r="O115" s="205"/>
      <c r="P115" s="205"/>
      <c r="Q115" s="205"/>
      <c r="R115" s="205"/>
      <c r="S115" s="205"/>
    </row>
    <row r="116" spans="3:21" x14ac:dyDescent="0.2">
      <c r="C116" s="182" t="s">
        <v>120</v>
      </c>
      <c r="D116" s="179" t="s">
        <v>23</v>
      </c>
      <c r="E116" s="192" t="str">
        <f t="shared" ref="E116:F116" si="20">E93</f>
        <v>$dollars</v>
      </c>
      <c r="F116" s="187" t="str">
        <f t="shared" si="20"/>
        <v>nominal</v>
      </c>
      <c r="G116" s="64"/>
      <c r="H116" s="64"/>
      <c r="I116" s="201"/>
      <c r="J116" s="204"/>
      <c r="K116" s="204"/>
      <c r="L116" s="74"/>
      <c r="M116" s="205"/>
      <c r="N116" s="205"/>
      <c r="O116" s="205"/>
      <c r="P116" s="205"/>
      <c r="Q116" s="205"/>
      <c r="R116" s="205"/>
      <c r="S116" s="205"/>
    </row>
    <row r="117" spans="3:21" x14ac:dyDescent="0.2">
      <c r="C117" s="182" t="s">
        <v>121</v>
      </c>
      <c r="D117" s="179" t="s">
        <v>23</v>
      </c>
      <c r="E117" s="192" t="str">
        <f t="shared" ref="E117:F117" si="21">E94</f>
        <v>$dollars</v>
      </c>
      <c r="F117" s="187" t="str">
        <f t="shared" si="21"/>
        <v>nominal</v>
      </c>
      <c r="G117" s="64"/>
      <c r="H117" s="64"/>
      <c r="I117" s="201"/>
      <c r="J117" s="204"/>
      <c r="K117" s="204"/>
      <c r="L117" s="74"/>
      <c r="M117" s="205"/>
      <c r="N117" s="205"/>
      <c r="O117" s="205"/>
      <c r="P117" s="205"/>
      <c r="Q117" s="205"/>
      <c r="R117" s="205"/>
      <c r="S117" s="205"/>
    </row>
    <row r="118" spans="3:21" x14ac:dyDescent="0.2">
      <c r="C118" s="182" t="s">
        <v>122</v>
      </c>
      <c r="D118" s="179" t="s">
        <v>23</v>
      </c>
      <c r="E118" s="192" t="str">
        <f t="shared" ref="E118:F118" si="22">E95</f>
        <v>$dollars</v>
      </c>
      <c r="F118" s="187" t="str">
        <f t="shared" si="22"/>
        <v>nominal</v>
      </c>
      <c r="G118" s="64"/>
      <c r="H118" s="64"/>
      <c r="I118" s="201"/>
      <c r="J118" s="204"/>
      <c r="K118" s="204"/>
      <c r="L118" s="74"/>
      <c r="M118" s="205"/>
      <c r="N118" s="205"/>
      <c r="O118" s="205"/>
      <c r="P118" s="205"/>
      <c r="Q118" s="205"/>
      <c r="R118" s="205"/>
      <c r="S118" s="205"/>
    </row>
    <row r="119" spans="3:21" x14ac:dyDescent="0.2">
      <c r="C119" s="182" t="s">
        <v>123</v>
      </c>
      <c r="D119" s="179" t="s">
        <v>23</v>
      </c>
      <c r="E119" s="192" t="str">
        <f t="shared" ref="E119:F119" si="23">E96</f>
        <v>$dollars</v>
      </c>
      <c r="F119" s="187" t="str">
        <f t="shared" si="23"/>
        <v>nominal</v>
      </c>
      <c r="G119" s="64"/>
      <c r="H119" s="64"/>
      <c r="I119" s="201"/>
      <c r="J119" s="204"/>
      <c r="K119" s="204"/>
      <c r="L119" s="74"/>
      <c r="M119" s="205"/>
      <c r="N119" s="205"/>
      <c r="O119" s="205"/>
      <c r="P119" s="205"/>
      <c r="Q119" s="205"/>
      <c r="R119" s="205"/>
      <c r="S119" s="205"/>
    </row>
    <row r="120" spans="3:21" x14ac:dyDescent="0.2">
      <c r="C120" s="182" t="s">
        <v>124</v>
      </c>
      <c r="D120" s="179" t="s">
        <v>23</v>
      </c>
      <c r="E120" s="192" t="str">
        <f t="shared" ref="E120:F120" si="24">E97</f>
        <v>$dollars</v>
      </c>
      <c r="F120" s="187" t="str">
        <f t="shared" si="24"/>
        <v>nominal</v>
      </c>
      <c r="G120" s="64"/>
      <c r="H120" s="64"/>
      <c r="I120" s="201"/>
      <c r="J120" s="204"/>
      <c r="K120" s="204"/>
      <c r="L120" s="74"/>
      <c r="M120" s="205"/>
      <c r="N120" s="205"/>
      <c r="O120" s="205"/>
      <c r="P120" s="205"/>
      <c r="Q120" s="205"/>
      <c r="R120" s="205"/>
      <c r="S120" s="205"/>
    </row>
    <row r="121" spans="3:21" x14ac:dyDescent="0.2">
      <c r="C121" s="182" t="s">
        <v>125</v>
      </c>
      <c r="D121" s="179" t="s">
        <v>23</v>
      </c>
      <c r="E121" s="192" t="str">
        <f t="shared" ref="E121:F121" si="25">E98</f>
        <v>$dollars</v>
      </c>
      <c r="F121" s="187" t="str">
        <f t="shared" si="25"/>
        <v>nominal</v>
      </c>
      <c r="G121" s="64"/>
      <c r="H121" s="64"/>
      <c r="I121" s="201"/>
      <c r="J121" s="204"/>
      <c r="K121" s="204"/>
      <c r="L121" s="74"/>
      <c r="M121" s="205"/>
      <c r="N121" s="205"/>
      <c r="O121" s="205"/>
      <c r="P121" s="205"/>
      <c r="Q121" s="205"/>
      <c r="R121" s="205"/>
      <c r="S121" s="205"/>
    </row>
    <row r="122" spans="3:21" x14ac:dyDescent="0.2">
      <c r="C122" s="185" t="s">
        <v>99</v>
      </c>
      <c r="D122" s="183" t="s">
        <v>23</v>
      </c>
      <c r="E122" s="192" t="str">
        <f>E99</f>
        <v>$dollars</v>
      </c>
      <c r="F122" s="187" t="str">
        <f>F99</f>
        <v>nominal</v>
      </c>
      <c r="G122" s="64"/>
      <c r="H122" s="64"/>
      <c r="I122" s="64"/>
      <c r="J122" s="74"/>
      <c r="K122" s="74"/>
      <c r="L122" s="74"/>
      <c r="M122" s="206"/>
      <c r="N122" s="206"/>
      <c r="O122" s="206"/>
      <c r="P122" s="206"/>
      <c r="Q122" s="206"/>
      <c r="R122" s="206"/>
      <c r="S122" s="206"/>
    </row>
    <row r="123" spans="3:21" ht="10.5" x14ac:dyDescent="0.25">
      <c r="C123" s="116" t="s">
        <v>101</v>
      </c>
      <c r="D123" s="21" t="s">
        <v>23</v>
      </c>
      <c r="E123" s="106" t="str">
        <f>E100</f>
        <v>$dollars</v>
      </c>
      <c r="F123" s="121" t="str">
        <f>F100</f>
        <v>nominal</v>
      </c>
      <c r="G123" s="64"/>
      <c r="H123" s="64"/>
      <c r="I123" s="64"/>
      <c r="J123" s="74"/>
      <c r="K123" s="74"/>
      <c r="L123" s="74"/>
      <c r="M123" s="115">
        <v>17944366.964383561</v>
      </c>
      <c r="N123" s="115">
        <v>20232878.968219176</v>
      </c>
      <c r="O123" s="115">
        <v>21867785.795364384</v>
      </c>
      <c r="P123" s="115">
        <v>23661963.980427336</v>
      </c>
      <c r="Q123" s="115">
        <v>24974526.642772619</v>
      </c>
      <c r="R123" s="115">
        <v>25843893.499663979</v>
      </c>
      <c r="S123" s="115">
        <v>26072734.719535384</v>
      </c>
    </row>
    <row r="124" spans="3:21" x14ac:dyDescent="0.2">
      <c r="C124" s="111"/>
      <c r="D124" s="113"/>
      <c r="E124" s="113"/>
      <c r="F124" s="113"/>
      <c r="G124" s="113"/>
      <c r="H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</row>
    <row r="125" spans="3:21" ht="10.5" x14ac:dyDescent="0.25">
      <c r="C125" s="29" t="s">
        <v>103</v>
      </c>
      <c r="D125" s="167" t="s">
        <v>41</v>
      </c>
      <c r="E125" s="122" t="s">
        <v>34</v>
      </c>
      <c r="F125" s="114"/>
      <c r="G125" s="64"/>
      <c r="H125" s="64"/>
      <c r="I125" s="113"/>
      <c r="J125" s="64"/>
      <c r="K125" s="74"/>
      <c r="L125" s="74"/>
      <c r="M125" s="138">
        <v>0.896096080619735</v>
      </c>
      <c r="N125" s="138">
        <v>0.896096080619735</v>
      </c>
      <c r="O125" s="138">
        <v>0.896096080619735</v>
      </c>
      <c r="P125" s="138">
        <v>0.896096080619735</v>
      </c>
      <c r="Q125" s="138">
        <v>0.896096080619735</v>
      </c>
      <c r="R125" s="138">
        <v>0.896096080619735</v>
      </c>
      <c r="S125" s="138">
        <v>0.896096080619735</v>
      </c>
    </row>
    <row r="126" spans="3:21" x14ac:dyDescent="0.2">
      <c r="C126" s="111"/>
      <c r="D126" s="113"/>
      <c r="E126" s="113"/>
      <c r="F126" s="114"/>
      <c r="G126" s="64"/>
      <c r="H126" s="64"/>
      <c r="I126" s="64"/>
      <c r="J126" s="74"/>
      <c r="K126" s="74"/>
      <c r="L126" s="74"/>
      <c r="M126" s="74"/>
      <c r="N126" s="74"/>
      <c r="O126" s="79"/>
      <c r="P126" s="79"/>
      <c r="Q126" s="79"/>
      <c r="R126" s="79"/>
      <c r="S126" s="79"/>
    </row>
    <row r="127" spans="3:21" ht="10.5" x14ac:dyDescent="0.25">
      <c r="C127" s="29" t="s">
        <v>326</v>
      </c>
      <c r="D127" s="113"/>
      <c r="E127" s="113"/>
      <c r="F127" s="114"/>
      <c r="G127" s="64"/>
      <c r="H127" s="64"/>
      <c r="I127" s="64"/>
      <c r="J127" s="74"/>
      <c r="K127" s="74"/>
      <c r="L127" s="74"/>
      <c r="M127" s="175">
        <f t="shared" ref="M127:S127" si="26">IF(YEAR(M$4)&lt;=PPLastYear,M$4,IF(YEAR(M$4)&gt;=FPFirstYear,IF(YEAR(M$4)&lt;=FPLastYear,M$4,""),""))</f>
        <v>45078</v>
      </c>
      <c r="N127" s="175">
        <f t="shared" si="26"/>
        <v>45444</v>
      </c>
      <c r="O127" s="175">
        <f t="shared" si="26"/>
        <v>45809</v>
      </c>
      <c r="P127" s="175">
        <f t="shared" si="26"/>
        <v>46174</v>
      </c>
      <c r="Q127" s="175">
        <f t="shared" si="26"/>
        <v>46539</v>
      </c>
      <c r="R127" s="175">
        <f t="shared" si="26"/>
        <v>46905</v>
      </c>
      <c r="S127" s="175">
        <f t="shared" si="26"/>
        <v>47270</v>
      </c>
    </row>
    <row r="128" spans="3:21" x14ac:dyDescent="0.2">
      <c r="C128" s="55" t="s">
        <v>95</v>
      </c>
      <c r="D128" s="21" t="s">
        <v>23</v>
      </c>
      <c r="E128" s="106" t="str">
        <f t="shared" ref="E128" si="27">E104</f>
        <v>$dollars</v>
      </c>
      <c r="F128" s="121" t="str">
        <f>F123</f>
        <v>nominal</v>
      </c>
      <c r="G128" s="64"/>
      <c r="H128" s="64"/>
      <c r="I128" s="64"/>
      <c r="J128" s="74"/>
      <c r="K128" s="74"/>
      <c r="L128" s="74"/>
      <c r="M128" s="115">
        <f>M123*M125</f>
        <v>16079876.905986361</v>
      </c>
      <c r="N128" s="115">
        <f t="shared" ref="N128:S128" si="28">N123*N125</f>
        <v>18130603.543074671</v>
      </c>
      <c r="O128" s="115">
        <f t="shared" si="28"/>
        <v>19595637.143057939</v>
      </c>
      <c r="P128" s="115">
        <f t="shared" si="28"/>
        <v>21203393.182626281</v>
      </c>
      <c r="Q128" s="115">
        <f t="shared" si="28"/>
        <v>22379575.439921692</v>
      </c>
      <c r="R128" s="115">
        <f t="shared" si="28"/>
        <v>23158611.673002739</v>
      </c>
      <c r="S128" s="115">
        <f t="shared" si="28"/>
        <v>23363675.393213745</v>
      </c>
    </row>
    <row r="129" spans="1:30" ht="10.5" x14ac:dyDescent="0.25">
      <c r="C129" s="55"/>
      <c r="E129" s="106"/>
      <c r="F129" s="121"/>
      <c r="G129" s="64"/>
      <c r="H129" s="64"/>
      <c r="I129" s="64"/>
      <c r="J129" s="74"/>
      <c r="K129" s="74"/>
      <c r="L129" s="74"/>
      <c r="M129" s="123"/>
      <c r="N129" s="123"/>
      <c r="O129" s="123"/>
      <c r="P129" s="123"/>
      <c r="Q129" s="123"/>
      <c r="R129" s="123"/>
      <c r="S129" s="123"/>
    </row>
    <row r="130" spans="1:30" x14ac:dyDescent="0.2">
      <c r="C130" s="55" t="s">
        <v>95</v>
      </c>
      <c r="D130" s="21" t="s">
        <v>23</v>
      </c>
      <c r="E130" s="21" t="str">
        <f t="shared" ref="E130:E131" si="29">$E$8</f>
        <v>$millions</v>
      </c>
      <c r="F130" s="121" t="str">
        <f>F128</f>
        <v>nominal</v>
      </c>
      <c r="G130" s="64"/>
      <c r="H130" s="64"/>
      <c r="I130" s="64"/>
      <c r="J130" s="74"/>
      <c r="K130" s="74"/>
      <c r="L130" s="74"/>
      <c r="M130" s="79">
        <f>M128/10^6</f>
        <v>16.07987690598636</v>
      </c>
      <c r="N130" s="79">
        <f t="shared" ref="N130:S130" si="30">N128/10^6</f>
        <v>18.13060354307467</v>
      </c>
      <c r="O130" s="79">
        <f t="shared" si="30"/>
        <v>19.595637143057939</v>
      </c>
      <c r="P130" s="79">
        <f t="shared" si="30"/>
        <v>21.203393182626282</v>
      </c>
      <c r="Q130" s="79">
        <f t="shared" si="30"/>
        <v>22.379575439921691</v>
      </c>
      <c r="R130" s="79">
        <f t="shared" si="30"/>
        <v>23.158611673002738</v>
      </c>
      <c r="S130" s="79">
        <f t="shared" si="30"/>
        <v>23.363675393213747</v>
      </c>
    </row>
    <row r="131" spans="1:30" x14ac:dyDescent="0.2">
      <c r="C131" s="55" t="s">
        <v>95</v>
      </c>
      <c r="D131" s="21" t="s">
        <v>23</v>
      </c>
      <c r="E131" s="21" t="str">
        <f t="shared" si="29"/>
        <v>$millions</v>
      </c>
      <c r="F131" s="114">
        <f t="shared" ref="F131" si="31">$F$8</f>
        <v>45444</v>
      </c>
      <c r="G131" s="64"/>
      <c r="H131" s="64"/>
      <c r="I131" s="64"/>
      <c r="J131" s="74"/>
      <c r="K131" s="74"/>
      <c r="L131" s="74"/>
      <c r="M131" s="79">
        <f>M130*IF($F130="nominal",LOOKUP($F131,'Lookup|Tables'!Nominal_to_Real,'Calc|CPI Indexes'!N$31:N$42),INDEX('Calc|CPI Indexes'!$C$14:$T$27,MATCH($F130,'Calc|CPI Indexes'!$C$14:$C$27,0),MATCH($F131,'Calc|CPI Indexes'!$C$14:$T$14,0)))</f>
        <v>17.274960819973298</v>
      </c>
      <c r="N131" s="79">
        <f>N130*IF($F130="nominal",LOOKUP($F131,'Lookup|Tables'!Nominal_to_Real,'Calc|CPI Indexes'!O$31:O$42),INDEX('Calc|CPI Indexes'!$C$14:$T$27,MATCH($F130,'Calc|CPI Indexes'!$C$14:$C$27,0),MATCH($F131,'Calc|CPI Indexes'!$C$14:$T$14,0)))</f>
        <v>18.507430232187019</v>
      </c>
      <c r="O131" s="79">
        <f>O130*IF($F130="nominal",LOOKUP($F131,'Lookup|Tables'!Nominal_to_Real,'Calc|CPI Indexes'!P$31:P$42),INDEX('Calc|CPI Indexes'!$C$14:$T$27,MATCH($F130,'Calc|CPI Indexes'!$C$14:$C$27,0),MATCH($F131,'Calc|CPI Indexes'!$C$14:$T$14,0)))</f>
        <v>19.319913878836424</v>
      </c>
      <c r="P131" s="79">
        <f>P130*IF($F130="nominal",LOOKUP($F131,'Lookup|Tables'!Nominal_to_Real,'Calc|CPI Indexes'!Q$31:Q$42),INDEX('Calc|CPI Indexes'!$C$14:$T$27,MATCH($F130,'Calc|CPI Indexes'!$C$14:$C$27,0),MATCH($F131,'Calc|CPI Indexes'!$C$14:$T$14,0)))</f>
        <v>20.320891564969447</v>
      </c>
      <c r="Q131" s="79">
        <f>Q130*IF($F130="nominal",LOOKUP($F131,'Lookup|Tables'!Nominal_to_Real,'Calc|CPI Indexes'!R$31:R$42),INDEX('Calc|CPI Indexes'!$C$14:$T$27,MATCH($F130,'Calc|CPI Indexes'!$C$14:$C$27,0),MATCH($F131,'Calc|CPI Indexes'!$C$14:$T$14,0)))</f>
        <v>20.848788778395519</v>
      </c>
      <c r="R131" s="79">
        <f>R130*IF($F130="nominal",LOOKUP($F131,'Lookup|Tables'!Nominal_to_Real,'Calc|CPI Indexes'!S$31:S$42),INDEX('Calc|CPI Indexes'!$C$14:$T$27,MATCH($F130,'Calc|CPI Indexes'!$C$14:$C$27,0),MATCH($F131,'Calc|CPI Indexes'!$C$14:$T$14,0)))</f>
        <v>20.971674144790892</v>
      </c>
      <c r="S131" s="79">
        <f>S130*IF($F130="nominal",LOOKUP($F131,'Lookup|Tables'!Nominal_to_Real,'Calc|CPI Indexes'!T$31:T$42),INDEX('Calc|CPI Indexes'!$C$14:$T$27,MATCH($F130,'Calc|CPI Indexes'!$C$14:$C$27,0),MATCH($F131,'Calc|CPI Indexes'!$C$14:$T$14,0)))</f>
        <v>20.566166087178487</v>
      </c>
    </row>
    <row r="132" spans="1:30" x14ac:dyDescent="0.2">
      <c r="C132" s="111"/>
      <c r="D132" s="113"/>
      <c r="E132" s="113"/>
      <c r="F132" s="114"/>
      <c r="G132" s="64"/>
      <c r="H132" s="64"/>
      <c r="I132" s="64"/>
      <c r="J132" s="74"/>
      <c r="K132" s="74"/>
      <c r="L132" s="74"/>
      <c r="M132" s="74"/>
      <c r="N132" s="74"/>
      <c r="O132" s="79"/>
      <c r="P132" s="79"/>
      <c r="Q132" s="79"/>
      <c r="R132" s="79"/>
      <c r="S132" s="79"/>
    </row>
    <row r="133" spans="1:30" x14ac:dyDescent="0.2">
      <c r="C133" s="55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112"/>
      <c r="O133" s="112"/>
      <c r="P133" s="112"/>
      <c r="Q133" s="112"/>
      <c r="R133" s="112"/>
      <c r="S133" s="112"/>
    </row>
    <row r="134" spans="1:30" s="19" customFormat="1" ht="13" x14ac:dyDescent="0.3">
      <c r="A134" s="12"/>
      <c r="B134" s="13" t="s">
        <v>18</v>
      </c>
      <c r="C134" s="12"/>
      <c r="D134" s="12"/>
      <c r="E134" s="12"/>
      <c r="F134" s="14"/>
      <c r="G134" s="14"/>
      <c r="H134" s="14"/>
      <c r="I134" s="14"/>
      <c r="J134" s="15"/>
      <c r="K134" s="16"/>
      <c r="L134" s="15"/>
      <c r="M134" s="16"/>
      <c r="N134" s="15"/>
      <c r="O134" s="15"/>
      <c r="P134" s="15"/>
      <c r="Q134" s="15"/>
      <c r="R134" s="15"/>
      <c r="S134" s="15"/>
      <c r="T134" s="15"/>
      <c r="U134" s="15"/>
      <c r="V134" s="16"/>
      <c r="W134" s="16"/>
      <c r="X134" s="17"/>
      <c r="Y134" s="17"/>
      <c r="Z134" s="17"/>
      <c r="AA134" s="17"/>
      <c r="AB134" s="17"/>
      <c r="AC134" s="18"/>
      <c r="AD134" s="18"/>
    </row>
  </sheetData>
  <mergeCells count="1">
    <mergeCell ref="N3:S3"/>
  </mergeCells>
  <conditionalFormatting sqref="O17:S17">
    <cfRule type="expression" dxfId="37" priority="6">
      <formula>O$10=O$4</formula>
    </cfRule>
  </conditionalFormatting>
  <conditionalFormatting sqref="O24:S24">
    <cfRule type="expression" dxfId="36" priority="5">
      <formula>O$10=O$4</formula>
    </cfRule>
  </conditionalFormatting>
  <conditionalFormatting sqref="O33:S33">
    <cfRule type="expression" dxfId="35" priority="4">
      <formula>O$10=O$4</formula>
    </cfRule>
  </conditionalFormatting>
  <conditionalFormatting sqref="O80:S80">
    <cfRule type="expression" dxfId="34" priority="3">
      <formula>O$10=O$4</formula>
    </cfRule>
  </conditionalFormatting>
  <conditionalFormatting sqref="O103:S103">
    <cfRule type="expression" dxfId="33" priority="2">
      <formula>O$10=O$4</formula>
    </cfRule>
  </conditionalFormatting>
  <conditionalFormatting sqref="O127:S127">
    <cfRule type="expression" dxfId="32" priority="1">
      <formula>O$10=O$4</formula>
    </cfRule>
  </conditionalFormatting>
  <dataValidations count="3">
    <dataValidation type="list" allowBlank="1" showInputMessage="1" showErrorMessage="1" sqref="F133" xr:uid="{59920856-B02F-4594-885C-0A781E5568E9}">
      <formula1>"Real 2010,Real 2011,Real 2012,Real 2013,Real 2014,Real 2015,Nominal"</formula1>
    </dataValidation>
    <dataValidation type="list" allowBlank="1" showInputMessage="1" showErrorMessage="1" sqref="F19 F12" xr:uid="{B824D632-409F-42BB-ADB2-C2FDD2C35072}">
      <formula1>$F$130:$F$131</formula1>
    </dataValidation>
    <dataValidation type="list" allowBlank="1" showInputMessage="1" showErrorMessage="1" sqref="D77" xr:uid="{C79A3001-8A06-447C-AD5F-7EB56BF63099}">
      <formula1>"No, Yes"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2F5523-D404-47BA-B422-B1081439C30A}">
          <x14:formula1>
            <xm:f>'Lookup|Tables'!$G$81:$G$84</xm:f>
          </x14:formula1>
          <xm:sqref>F34:F52</xm:sqref>
        </x14:dataValidation>
        <x14:dataValidation type="list" allowBlank="1" showDropDown="1" showInputMessage="1" showErrorMessage="1" xr:uid="{FD2CD535-9D6A-4D6E-BE06-82439B4E66AF}">
          <x14:formula1>
            <xm:f>'Lookup|Tables'!$G$81:$G$84</xm:f>
          </x14:formula1>
          <xm:sqref>F99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7C95-877E-4CB9-9538-3B309939C284}">
  <sheetPr>
    <tabColor rgb="FFCCFFCC"/>
  </sheetPr>
  <dimension ref="A1:AD68"/>
  <sheetViews>
    <sheetView showGridLines="0" zoomScale="75" zoomScaleNormal="75" workbookViewId="0"/>
  </sheetViews>
  <sheetFormatPr defaultColWidth="0" defaultRowHeight="10" zeroHeight="1" x14ac:dyDescent="0.2"/>
  <cols>
    <col min="1" max="2" width="1.1796875" style="20" customWidth="1"/>
    <col min="3" max="3" width="62.5429687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7" width="4.54296875" style="21" customWidth="1"/>
    <col min="8" max="9" width="2.81640625" style="21" customWidth="1"/>
    <col min="10" max="10" width="16" style="20" bestFit="1" customWidth="1"/>
    <col min="11" max="23" width="8.81640625" style="20" customWidth="1"/>
    <col min="24" max="38" width="8.54296875" style="20" hidden="1" customWidth="1"/>
    <col min="39" max="16384" width="8.54296875" style="20" hidden="1"/>
  </cols>
  <sheetData>
    <row r="1" spans="1:30" s="1" customFormat="1" ht="15.5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96" t="s">
        <v>1</v>
      </c>
      <c r="M1" s="97" t="s">
        <v>2</v>
      </c>
      <c r="N1" s="98" t="s">
        <v>3</v>
      </c>
      <c r="O1" s="2"/>
      <c r="P1" s="2"/>
      <c r="Q1" s="2"/>
      <c r="R1" s="2"/>
      <c r="S1" s="2"/>
      <c r="T1" s="2"/>
      <c r="U1" s="2"/>
      <c r="V1" s="2"/>
      <c r="W1" s="2"/>
    </row>
    <row r="2" spans="1:30" s="7" customFormat="1" ht="13.5" thickBot="1" x14ac:dyDescent="0.35">
      <c r="B2" s="8" t="s">
        <v>337</v>
      </c>
      <c r="C2" s="8"/>
      <c r="D2" s="8"/>
      <c r="E2" s="8"/>
      <c r="F2" s="9"/>
      <c r="G2" s="9"/>
      <c r="H2" s="9"/>
      <c r="I2" s="9"/>
    </row>
    <row r="3" spans="1:30" s="38" customFormat="1" ht="14.5" customHeight="1" x14ac:dyDescent="0.25">
      <c r="D3" s="41"/>
      <c r="E3" s="41"/>
      <c r="F3" s="41"/>
      <c r="G3" s="41"/>
      <c r="H3" s="41"/>
      <c r="I3" s="41"/>
      <c r="J3" s="65" t="s">
        <v>12</v>
      </c>
      <c r="K3" s="65"/>
      <c r="L3" s="65"/>
      <c r="M3" s="41"/>
      <c r="N3" s="210"/>
      <c r="O3" s="210"/>
      <c r="P3" s="210"/>
      <c r="Q3" s="210"/>
      <c r="R3" s="210"/>
      <c r="S3" s="210"/>
      <c r="T3" s="42"/>
      <c r="U3" s="42"/>
      <c r="V3" s="42"/>
      <c r="W3" s="42"/>
      <c r="X3" s="42"/>
      <c r="Y3" s="42"/>
      <c r="Z3" s="42"/>
    </row>
    <row r="4" spans="1:30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6"/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</row>
    <row r="5" spans="1:30" s="10" customFormat="1" ht="3" customHeight="1" x14ac:dyDescent="0.2">
      <c r="D5" s="11"/>
      <c r="E5" s="11"/>
      <c r="F5" s="11"/>
      <c r="G5" s="11"/>
      <c r="H5" s="11"/>
      <c r="I5" s="11"/>
    </row>
    <row r="6" spans="1:30" s="10" customFormat="1" x14ac:dyDescent="0.2">
      <c r="D6" s="11"/>
      <c r="E6" s="11"/>
      <c r="F6" s="11"/>
      <c r="G6" s="11"/>
      <c r="H6" s="11"/>
      <c r="I6" s="11"/>
    </row>
    <row r="7" spans="1:30" s="10" customFormat="1" ht="3" customHeight="1" x14ac:dyDescent="0.2">
      <c r="D7" s="11"/>
      <c r="E7" s="11"/>
      <c r="F7" s="11"/>
      <c r="G7" s="11"/>
      <c r="H7" s="11"/>
      <c r="I7" s="11"/>
    </row>
    <row r="8" spans="1:30" s="19" customFormat="1" ht="13" x14ac:dyDescent="0.3">
      <c r="A8" s="12"/>
      <c r="B8" s="13" t="s">
        <v>280</v>
      </c>
      <c r="C8" s="12"/>
      <c r="D8" s="12"/>
      <c r="E8" s="66" t="s">
        <v>37</v>
      </c>
      <c r="F8" s="82">
        <f>DATE(PPLastYear,MONTH('Input|General'!G9),1)</f>
        <v>45444</v>
      </c>
      <c r="G8" s="14"/>
      <c r="H8" s="14"/>
      <c r="I8" s="14"/>
      <c r="J8" s="15"/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  <c r="X8" s="17"/>
      <c r="Y8" s="17"/>
      <c r="Z8" s="17"/>
      <c r="AA8" s="17"/>
      <c r="AB8" s="17"/>
      <c r="AC8" s="18"/>
      <c r="AD8" s="18"/>
    </row>
    <row r="9" spans="1:30" x14ac:dyDescent="0.2"/>
    <row r="10" spans="1:30" ht="10.5" x14ac:dyDescent="0.25">
      <c r="C10" s="29" t="s">
        <v>261</v>
      </c>
      <c r="D10" s="23" t="s">
        <v>6</v>
      </c>
      <c r="E10" s="23" t="s">
        <v>24</v>
      </c>
      <c r="F10" s="23" t="s">
        <v>28</v>
      </c>
      <c r="J10" s="62">
        <f t="shared" ref="J10:S10" si="0">IF(YEAR(J$4)&lt;=PPLastYear,J$4,"")</f>
        <v>43983</v>
      </c>
      <c r="K10" s="62">
        <f t="shared" si="0"/>
        <v>44348</v>
      </c>
      <c r="L10" s="62">
        <f t="shared" si="0"/>
        <v>44713</v>
      </c>
      <c r="M10" s="62">
        <f t="shared" si="0"/>
        <v>45078</v>
      </c>
      <c r="N10" s="62">
        <f t="shared" si="0"/>
        <v>45444</v>
      </c>
      <c r="O10" s="62" t="str">
        <f t="shared" si="0"/>
        <v/>
      </c>
      <c r="P10" s="62" t="str">
        <f t="shared" si="0"/>
        <v/>
      </c>
      <c r="Q10" s="62" t="str">
        <f t="shared" si="0"/>
        <v/>
      </c>
      <c r="R10" s="62" t="str">
        <f t="shared" si="0"/>
        <v/>
      </c>
      <c r="S10" s="62" t="str">
        <f t="shared" si="0"/>
        <v/>
      </c>
    </row>
    <row r="11" spans="1:30" x14ac:dyDescent="0.2">
      <c r="C11" s="55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30" x14ac:dyDescent="0.2">
      <c r="C12" s="55" t="s">
        <v>319</v>
      </c>
      <c r="D12" s="167" t="s">
        <v>41</v>
      </c>
      <c r="E12" s="21" t="str">
        <f>$E$8</f>
        <v>$millions</v>
      </c>
      <c r="F12" s="69">
        <v>45444</v>
      </c>
      <c r="J12" s="70"/>
      <c r="K12" s="70"/>
      <c r="L12" s="70"/>
      <c r="M12" s="81">
        <v>0</v>
      </c>
      <c r="N12" s="64"/>
      <c r="O12" s="79"/>
      <c r="P12" s="79"/>
      <c r="Q12" s="79"/>
      <c r="R12" s="79"/>
      <c r="S12" s="79"/>
    </row>
    <row r="13" spans="1:30" ht="10.5" x14ac:dyDescent="0.25">
      <c r="C13" s="55" t="str">
        <f>C12</f>
        <v>Community resilience</v>
      </c>
      <c r="D13" s="21" t="s">
        <v>23</v>
      </c>
      <c r="E13" s="21" t="str">
        <f>$E$8</f>
        <v>$millions</v>
      </c>
      <c r="F13" s="71">
        <f>$F$8</f>
        <v>45444</v>
      </c>
      <c r="J13" s="72"/>
      <c r="K13" s="72"/>
      <c r="L13" s="72"/>
      <c r="M13" s="79">
        <f>M12*IF($F12="nominal",LOOKUP($F13,'Lookup|Tables'!Nominal_to_Real,'Calc|CPI Indexes'!N$31:N$42),INDEX('Calc|CPI Indexes'!$C$14:$T$27,MATCH($F12,'Calc|CPI Indexes'!$C$14:$C$27,0),MATCH($F13,'Calc|CPI Indexes'!$C$14:$T$14,0)))</f>
        <v>0</v>
      </c>
      <c r="N13" s="64"/>
      <c r="O13" s="79"/>
      <c r="P13" s="80"/>
      <c r="Q13" s="80"/>
      <c r="R13" s="80"/>
      <c r="S13" s="80"/>
    </row>
    <row r="14" spans="1:30" x14ac:dyDescent="0.2">
      <c r="J14" s="64"/>
      <c r="K14" s="64"/>
      <c r="L14" s="64"/>
    </row>
    <row r="15" spans="1:30" s="19" customFormat="1" ht="13" x14ac:dyDescent="0.3">
      <c r="A15" s="12"/>
      <c r="B15" s="13" t="s">
        <v>38</v>
      </c>
      <c r="C15" s="12"/>
      <c r="D15" s="12"/>
      <c r="E15" s="12"/>
      <c r="F15" s="14"/>
      <c r="G15" s="14"/>
      <c r="H15" s="14"/>
      <c r="I15" s="14"/>
      <c r="J15" s="15"/>
      <c r="K15" s="16"/>
      <c r="L15" s="15"/>
      <c r="M15" s="16"/>
      <c r="N15" s="15"/>
      <c r="O15" s="15"/>
      <c r="P15" s="15"/>
      <c r="Q15" s="15"/>
      <c r="R15" s="15"/>
      <c r="S15" s="15"/>
      <c r="T15" s="15"/>
      <c r="U15" s="15"/>
      <c r="V15" s="16"/>
      <c r="W15" s="16"/>
      <c r="X15" s="17"/>
      <c r="Y15" s="17"/>
      <c r="Z15" s="17"/>
      <c r="AA15" s="17"/>
      <c r="AB15" s="17"/>
      <c r="AC15" s="18"/>
      <c r="AD15" s="18"/>
    </row>
    <row r="16" spans="1:30" x14ac:dyDescent="0.2">
      <c r="C16" s="55"/>
      <c r="J16" s="64"/>
      <c r="K16" s="64"/>
      <c r="L16" s="64"/>
    </row>
    <row r="17" spans="1:30" ht="10.5" x14ac:dyDescent="0.25">
      <c r="C17" s="29" t="s">
        <v>262</v>
      </c>
      <c r="D17" s="23" t="s">
        <v>6</v>
      </c>
      <c r="E17" s="23" t="s">
        <v>24</v>
      </c>
      <c r="F17" s="23" t="s">
        <v>28</v>
      </c>
      <c r="J17" s="62" t="str">
        <f>IF(YEAR(J$4)&gt;='Input|General'!$G$13,IF(YEAR(J$4)&lt;='Input|General'!$G$14,J$4,""),"")</f>
        <v/>
      </c>
      <c r="K17" s="62" t="str">
        <f>IF(YEAR(K$4)&gt;='Input|General'!$G$13,IF(YEAR(K$4)&lt;='Input|General'!$G$14,K$4,""),"")</f>
        <v/>
      </c>
      <c r="L17" s="62" t="str">
        <f>IF(YEAR(L$4)&gt;='Input|General'!$G$13,IF(YEAR(L$4)&lt;='Input|General'!$G$14,L$4,""),"")</f>
        <v/>
      </c>
      <c r="M17" s="62" t="str">
        <f>IF(YEAR(M$4)&gt;='Input|General'!$G$13,IF(YEAR(M$4)&lt;='Input|General'!$G$14,M$4,""),"")</f>
        <v/>
      </c>
      <c r="N17" s="62" t="str">
        <f>IF(YEAR(N$4)&gt;='Input|General'!$G$13,IF(YEAR(N$4)&lt;='Input|General'!$G$14,N$4,""),"")</f>
        <v/>
      </c>
      <c r="O17" s="175">
        <f>IF(YEAR(O$4)&gt;=FPFirstYear,IF(YEAR(O$4)&lt;=FPLastYear,O$4,""),"")</f>
        <v>45809</v>
      </c>
      <c r="P17" s="175">
        <f>IF(YEAR(P$4)&gt;=FPFirstYear,IF(YEAR(P$4)&lt;=FPLastYear,P$4,""),"")</f>
        <v>46174</v>
      </c>
      <c r="Q17" s="175">
        <f>IF(YEAR(Q$4)&gt;=FPFirstYear,IF(YEAR(Q$4)&lt;=FPLastYear,Q$4,""),"")</f>
        <v>46539</v>
      </c>
      <c r="R17" s="175">
        <f>IF(YEAR(R$4)&gt;=FPFirstYear,IF(YEAR(R$4)&lt;=FPLastYear,R$4,""),"")</f>
        <v>46905</v>
      </c>
      <c r="S17" s="175">
        <f>IF(YEAR(S$4)&gt;=FPFirstYear,IF(YEAR(S$4)&lt;=FPLastYear,S$4,""),"")</f>
        <v>47270</v>
      </c>
    </row>
    <row r="18" spans="1:30" ht="10.5" x14ac:dyDescent="0.25">
      <c r="C18" s="29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30" x14ac:dyDescent="0.2">
      <c r="C19" s="55" t="s">
        <v>319</v>
      </c>
      <c r="D19" s="167" t="s">
        <v>41</v>
      </c>
      <c r="E19" s="21" t="str">
        <f>$E$8</f>
        <v>$millions</v>
      </c>
      <c r="F19" s="69">
        <v>45444</v>
      </c>
      <c r="J19" s="74"/>
      <c r="K19" s="74"/>
      <c r="L19" s="74"/>
      <c r="M19" s="74"/>
      <c r="N19" s="74"/>
      <c r="O19" s="79">
        <f>INDEX($M$64:$S$65,MATCH($F19,$F$64:$F$65,0),MATCH(O$17,$M$63:$S$63,0))</f>
        <v>1.0973561222000003</v>
      </c>
      <c r="P19" s="79">
        <f>INDEX($M$64:$S$65,MATCH($F19,$F$64:$F$65,0),MATCH(P$17,$M$63:$S$63,0))</f>
        <v>1.6882401880000004</v>
      </c>
      <c r="Q19" s="79">
        <f>INDEX($M$64:$S$65,MATCH($F19,$F$64:$F$65,0),MATCH(Q$17,$M$63:$S$63,0))</f>
        <v>2.1103002350000004</v>
      </c>
      <c r="R19" s="79">
        <f>INDEX($M$64:$S$65,MATCH($F19,$F$64:$F$65,0),MATCH(R$17,$M$63:$S$63,0))</f>
        <v>1.8570642068000003</v>
      </c>
      <c r="S19" s="79">
        <f>INDEX($M$64:$S$65,MATCH($F19,$F$64:$F$65,0),MATCH(S$17,$M$63:$S$63,0))</f>
        <v>1.6882401880000004</v>
      </c>
    </row>
    <row r="20" spans="1:30" x14ac:dyDescent="0.2">
      <c r="C20" s="55" t="str">
        <f>C19</f>
        <v>Community resilience</v>
      </c>
      <c r="D20" s="21" t="s">
        <v>23</v>
      </c>
      <c r="E20" s="21" t="str">
        <f>$E$8</f>
        <v>$millions</v>
      </c>
      <c r="F20" s="71">
        <f t="shared" ref="F20" si="1">$F$8</f>
        <v>45444</v>
      </c>
      <c r="J20" s="74"/>
      <c r="K20" s="74"/>
      <c r="L20" s="74"/>
      <c r="M20" s="74"/>
      <c r="N20" s="74"/>
      <c r="O20" s="79">
        <f>O19*IF($F19="nominal",LOOKUP($F20,'Lookup|Tables'!Nominal_to_Real,'Calc|CPI Indexes'!P$31:P$42),INDEX('Calc|CPI Indexes'!$C$14:$T$27,MATCH($F19,'Calc|CPI Indexes'!$C$14:$C$27,0),MATCH($F20,'Calc|CPI Indexes'!$C$14:$T$14,0)))</f>
        <v>1.0973561222000003</v>
      </c>
      <c r="P20" s="79">
        <f>P19*IF($F19="nominal",LOOKUP($F20,'Lookup|Tables'!Nominal_to_Real,'Calc|CPI Indexes'!Q$31:Q$42),INDEX('Calc|CPI Indexes'!$C$14:$T$27,MATCH($F19,'Calc|CPI Indexes'!$C$14:$C$27,0),MATCH($F20,'Calc|CPI Indexes'!$C$14:$T$14,0)))</f>
        <v>1.6882401880000004</v>
      </c>
      <c r="Q20" s="79">
        <f>Q19*IF($F19="nominal",LOOKUP($F20,'Lookup|Tables'!Nominal_to_Real,'Calc|CPI Indexes'!R$31:R$42),INDEX('Calc|CPI Indexes'!$C$14:$T$27,MATCH($F19,'Calc|CPI Indexes'!$C$14:$C$27,0),MATCH($F20,'Calc|CPI Indexes'!$C$14:$T$14,0)))</f>
        <v>2.1103002350000004</v>
      </c>
      <c r="R20" s="79">
        <f>R19*IF($F19="nominal",LOOKUP($F20,'Lookup|Tables'!Nominal_to_Real,'Calc|CPI Indexes'!S$31:S$42),INDEX('Calc|CPI Indexes'!$C$14:$T$27,MATCH($F19,'Calc|CPI Indexes'!$C$14:$C$27,0),MATCH($F20,'Calc|CPI Indexes'!$C$14:$T$14,0)))</f>
        <v>1.8570642068000003</v>
      </c>
      <c r="S20" s="79">
        <f>S19*IF($F19="nominal",LOOKUP($F20,'Lookup|Tables'!Nominal_to_Real,'Calc|CPI Indexes'!T$31:T$42),INDEX('Calc|CPI Indexes'!$C$14:$T$27,MATCH($F19,'Calc|CPI Indexes'!$C$14:$C$27,0),MATCH($F20,'Calc|CPI Indexes'!$C$14:$T$14,0)))</f>
        <v>1.6882401880000004</v>
      </c>
    </row>
    <row r="21" spans="1:30" x14ac:dyDescent="0.2">
      <c r="C21" s="73"/>
      <c r="F21" s="71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30" s="19" customFormat="1" ht="13" x14ac:dyDescent="0.3">
      <c r="A22" s="12"/>
      <c r="B22" s="13" t="s">
        <v>39</v>
      </c>
      <c r="C22" s="12"/>
      <c r="D22" s="12"/>
      <c r="E22" s="12"/>
      <c r="F22" s="14"/>
      <c r="G22" s="14"/>
      <c r="H22" s="14"/>
      <c r="I22" s="14"/>
      <c r="J22" s="15"/>
      <c r="K22" s="16"/>
      <c r="L22" s="15"/>
      <c r="M22" s="16"/>
      <c r="N22" s="15"/>
      <c r="O22" s="15"/>
      <c r="P22" s="15"/>
      <c r="Q22" s="15"/>
      <c r="R22" s="15"/>
      <c r="S22" s="15"/>
      <c r="T22" s="15"/>
      <c r="U22" s="15"/>
      <c r="V22" s="16"/>
      <c r="W22" s="16"/>
      <c r="X22" s="17"/>
      <c r="Y22" s="17"/>
      <c r="Z22" s="17"/>
      <c r="AA22" s="17"/>
      <c r="AB22" s="17"/>
      <c r="AC22" s="18"/>
      <c r="AD22" s="18"/>
    </row>
    <row r="23" spans="1:30" x14ac:dyDescent="0.2">
      <c r="C23" s="55"/>
      <c r="J23" s="64"/>
      <c r="K23" s="64"/>
      <c r="L23" s="64"/>
    </row>
    <row r="24" spans="1:30" ht="10.5" x14ac:dyDescent="0.25">
      <c r="C24" s="29" t="s">
        <v>40</v>
      </c>
      <c r="D24" s="23" t="s">
        <v>6</v>
      </c>
      <c r="E24" s="23" t="s">
        <v>24</v>
      </c>
      <c r="F24" s="23" t="s">
        <v>28</v>
      </c>
      <c r="J24" s="62" t="str">
        <f>IF(YEAR(J$4)&gt;='Input|General'!$G$13,IF(YEAR(J$4)&lt;='Input|General'!$G$14,J$4,""),"")</f>
        <v/>
      </c>
      <c r="K24" s="62" t="str">
        <f>IF(YEAR(K$4)&gt;='Input|General'!$G$13,IF(YEAR(K$4)&lt;='Input|General'!$G$14,K$4,""),"")</f>
        <v/>
      </c>
      <c r="L24" s="62" t="str">
        <f>IF(YEAR(L$4)&gt;='Input|General'!$G$13,IF(YEAR(L$4)&lt;='Input|General'!$G$14,L$4,""),"")</f>
        <v/>
      </c>
      <c r="M24" s="62" t="str">
        <f>IF(YEAR(M$4)&gt;='Input|General'!$G$13,IF(YEAR(M$4)&lt;='Input|General'!$G$14,M$4,""),"")</f>
        <v/>
      </c>
      <c r="N24" s="62" t="str">
        <f>IF(YEAR(N$4)&gt;='Input|General'!$G$13,IF(YEAR(N$4)&lt;='Input|General'!$G$14,N$4,""),"")</f>
        <v/>
      </c>
      <c r="O24" s="175">
        <f>IF(YEAR(O$4)&gt;=FPFirstYear,IF(YEAR(O$4)&lt;=FPLastYear,O$4,""),"")</f>
        <v>45809</v>
      </c>
      <c r="P24" s="175">
        <f>IF(YEAR(P$4)&gt;=FPFirstYear,IF(YEAR(P$4)&lt;=FPLastYear,P$4,""),"")</f>
        <v>46174</v>
      </c>
      <c r="Q24" s="175">
        <f>IF(YEAR(Q$4)&gt;=FPFirstYear,IF(YEAR(Q$4)&lt;=FPLastYear,Q$4,""),"")</f>
        <v>46539</v>
      </c>
      <c r="R24" s="175">
        <f>IF(YEAR(R$4)&gt;=FPFirstYear,IF(YEAR(R$4)&lt;=FPLastYear,R$4,""),"")</f>
        <v>46905</v>
      </c>
      <c r="S24" s="175">
        <f>IF(YEAR(S$4)&gt;=FPFirstYear,IF(YEAR(S$4)&lt;=FPLastYear,S$4,""),"")</f>
        <v>47270</v>
      </c>
    </row>
    <row r="25" spans="1:30" ht="10.5" x14ac:dyDescent="0.25">
      <c r="C25" s="29"/>
      <c r="D25" s="23"/>
      <c r="E25" s="23"/>
      <c r="F25" s="23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30" x14ac:dyDescent="0.2">
      <c r="C26" s="55" t="s">
        <v>327</v>
      </c>
      <c r="D26" s="21" t="s">
        <v>23</v>
      </c>
      <c r="E26" s="21" t="str">
        <f>$E$8</f>
        <v>$millions</v>
      </c>
      <c r="F26" s="71">
        <f>F20</f>
        <v>45444</v>
      </c>
      <c r="J26" s="74"/>
      <c r="K26" s="74"/>
      <c r="L26" s="74"/>
      <c r="M26" s="74"/>
      <c r="N26" s="74"/>
      <c r="O26" s="79">
        <f>O20</f>
        <v>1.0973561222000003</v>
      </c>
      <c r="P26" s="79">
        <f>P20</f>
        <v>1.6882401880000004</v>
      </c>
      <c r="Q26" s="79">
        <f>Q20</f>
        <v>2.1103002350000004</v>
      </c>
      <c r="R26" s="79">
        <f>R20</f>
        <v>1.8570642068000003</v>
      </c>
      <c r="S26" s="79">
        <f>S20</f>
        <v>1.6882401880000004</v>
      </c>
    </row>
    <row r="27" spans="1:30" ht="10.5" x14ac:dyDescent="0.25">
      <c r="C27" s="55" t="s">
        <v>328</v>
      </c>
      <c r="D27" s="21" t="s">
        <v>23</v>
      </c>
      <c r="E27" s="21" t="str">
        <f>$E$8</f>
        <v>$millions</v>
      </c>
      <c r="F27" s="106">
        <f>F13</f>
        <v>45444</v>
      </c>
      <c r="J27" s="24"/>
      <c r="K27" s="24"/>
      <c r="L27" s="24"/>
      <c r="M27" s="24"/>
      <c r="N27" s="24"/>
      <c r="O27" s="107">
        <f>$M$13</f>
        <v>0</v>
      </c>
      <c r="P27" s="107">
        <f t="shared" ref="P27:S27" si="2">$M$13</f>
        <v>0</v>
      </c>
      <c r="Q27" s="107">
        <f t="shared" si="2"/>
        <v>0</v>
      </c>
      <c r="R27" s="107">
        <f t="shared" si="2"/>
        <v>0</v>
      </c>
      <c r="S27" s="107">
        <f t="shared" si="2"/>
        <v>0</v>
      </c>
    </row>
    <row r="28" spans="1:30" ht="3" customHeight="1" x14ac:dyDescent="0.2">
      <c r="F28" s="108"/>
      <c r="O28" s="101"/>
      <c r="P28" s="101"/>
      <c r="Q28" s="101"/>
      <c r="R28" s="101"/>
      <c r="S28" s="101"/>
    </row>
    <row r="29" spans="1:30" ht="10.5" x14ac:dyDescent="0.25">
      <c r="C29" s="75" t="s">
        <v>267</v>
      </c>
      <c r="D29" s="76" t="s">
        <v>23</v>
      </c>
      <c r="E29" s="76" t="str">
        <f>$E$8</f>
        <v>$millions</v>
      </c>
      <c r="F29" s="77">
        <f>F27</f>
        <v>45444</v>
      </c>
      <c r="G29" s="23"/>
      <c r="H29" s="23"/>
      <c r="I29" s="23"/>
      <c r="J29" s="78"/>
      <c r="K29" s="78"/>
      <c r="L29" s="78"/>
      <c r="M29" s="78"/>
      <c r="N29" s="78"/>
      <c r="O29" s="80">
        <f>O26-O27</f>
        <v>1.0973561222000003</v>
      </c>
      <c r="P29" s="80">
        <f>P26-P27</f>
        <v>1.6882401880000004</v>
      </c>
      <c r="Q29" s="80">
        <f>Q26-Q27</f>
        <v>2.1103002350000004</v>
      </c>
      <c r="R29" s="80">
        <f>R26-R27</f>
        <v>1.8570642068000003</v>
      </c>
      <c r="S29" s="80">
        <f>S26-S27</f>
        <v>1.6882401880000004</v>
      </c>
    </row>
    <row r="30" spans="1:30" ht="10.5" x14ac:dyDescent="0.25">
      <c r="C30" s="109"/>
      <c r="D30" s="110"/>
      <c r="E30" s="110"/>
      <c r="F30" s="77"/>
      <c r="G30" s="23"/>
      <c r="H30" s="23"/>
      <c r="I30" s="23"/>
      <c r="J30" s="78"/>
      <c r="K30" s="78"/>
      <c r="L30" s="78"/>
      <c r="M30" s="78"/>
      <c r="N30" s="78"/>
      <c r="O30" s="80"/>
      <c r="P30" s="80"/>
      <c r="Q30" s="80"/>
      <c r="R30" s="80"/>
      <c r="S30" s="80"/>
    </row>
    <row r="31" spans="1:30" s="19" customFormat="1" ht="13" x14ac:dyDescent="0.3">
      <c r="A31" s="12"/>
      <c r="B31" s="13" t="s">
        <v>98</v>
      </c>
      <c r="C31" s="12"/>
      <c r="D31" s="12"/>
      <c r="E31" s="12"/>
      <c r="F31" s="14"/>
      <c r="G31" s="14"/>
      <c r="H31" s="14"/>
      <c r="I31" s="14"/>
      <c r="J31" s="15"/>
      <c r="K31" s="16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7"/>
      <c r="Y31" s="17"/>
      <c r="Z31" s="17"/>
      <c r="AA31" s="17"/>
      <c r="AB31" s="17"/>
      <c r="AC31" s="18"/>
      <c r="AD31" s="18"/>
    </row>
    <row r="32" spans="1:30" x14ac:dyDescent="0.2">
      <c r="C32" s="111"/>
      <c r="D32" s="113"/>
      <c r="E32" s="113"/>
      <c r="F32" s="114"/>
      <c r="G32" s="64"/>
      <c r="H32" s="64"/>
      <c r="I32" s="64"/>
      <c r="J32" s="74"/>
      <c r="K32" s="74"/>
      <c r="L32" s="74"/>
      <c r="M32" s="74"/>
      <c r="N32" s="74"/>
      <c r="O32" s="79"/>
      <c r="P32" s="79"/>
      <c r="Q32" s="79"/>
      <c r="R32" s="79"/>
      <c r="S32" s="79"/>
    </row>
    <row r="33" spans="3:19" ht="10.5" x14ac:dyDescent="0.25">
      <c r="C33" s="29" t="s">
        <v>219</v>
      </c>
      <c r="D33" s="23" t="s">
        <v>6</v>
      </c>
      <c r="E33" s="23" t="s">
        <v>24</v>
      </c>
      <c r="F33" s="23" t="s">
        <v>28</v>
      </c>
      <c r="H33" s="64"/>
      <c r="I33" s="130"/>
      <c r="J33" s="130" t="s">
        <v>220</v>
      </c>
      <c r="L33" s="74"/>
      <c r="M33" s="74"/>
      <c r="N33" s="74"/>
      <c r="O33" s="131" t="s">
        <v>106</v>
      </c>
      <c r="P33" s="79"/>
      <c r="Q33" s="79"/>
      <c r="R33" s="79"/>
      <c r="S33" s="79"/>
    </row>
    <row r="34" spans="3:19" x14ac:dyDescent="0.2">
      <c r="C34" s="111" t="s">
        <v>198</v>
      </c>
      <c r="D34" s="167" t="s">
        <v>41</v>
      </c>
      <c r="E34" s="122" t="s">
        <v>46</v>
      </c>
      <c r="F34" s="69">
        <v>45444</v>
      </c>
      <c r="H34" s="64"/>
      <c r="I34" s="129"/>
      <c r="J34" s="129" t="s">
        <v>221</v>
      </c>
      <c r="L34" s="74"/>
      <c r="M34" s="74"/>
      <c r="N34" s="74"/>
      <c r="O34" s="118">
        <v>470000</v>
      </c>
      <c r="P34" s="79"/>
      <c r="Q34" s="79"/>
      <c r="R34" s="79"/>
      <c r="S34" s="79"/>
    </row>
    <row r="35" spans="3:19" x14ac:dyDescent="0.2">
      <c r="C35" s="111" t="s">
        <v>199</v>
      </c>
      <c r="D35" s="167" t="s">
        <v>41</v>
      </c>
      <c r="E35" s="122" t="s">
        <v>46</v>
      </c>
      <c r="F35" s="69">
        <v>45444</v>
      </c>
      <c r="H35" s="64"/>
      <c r="I35" s="129"/>
      <c r="J35" s="129" t="s">
        <v>221</v>
      </c>
      <c r="L35" s="74"/>
      <c r="M35" s="74"/>
      <c r="N35" s="74"/>
      <c r="O35" s="118">
        <v>470000</v>
      </c>
      <c r="P35" s="79"/>
      <c r="Q35" s="79"/>
      <c r="R35" s="79"/>
      <c r="S35" s="79"/>
    </row>
    <row r="36" spans="3:19" x14ac:dyDescent="0.2">
      <c r="C36" s="111" t="s">
        <v>200</v>
      </c>
      <c r="D36" s="167" t="s">
        <v>41</v>
      </c>
      <c r="E36" s="122" t="s">
        <v>46</v>
      </c>
      <c r="F36" s="69">
        <v>45444</v>
      </c>
      <c r="H36" s="64"/>
      <c r="I36" s="129"/>
      <c r="J36" s="129" t="s">
        <v>221</v>
      </c>
      <c r="L36" s="74"/>
      <c r="M36" s="74"/>
      <c r="N36" s="74"/>
      <c r="O36" s="118">
        <v>235000</v>
      </c>
      <c r="P36" s="79"/>
      <c r="Q36" s="79"/>
      <c r="R36" s="79"/>
      <c r="S36" s="79"/>
    </row>
    <row r="37" spans="3:19" x14ac:dyDescent="0.2">
      <c r="C37" s="111" t="s">
        <v>201</v>
      </c>
      <c r="D37" s="167" t="s">
        <v>41</v>
      </c>
      <c r="E37" s="122" t="s">
        <v>46</v>
      </c>
      <c r="F37" s="69">
        <v>45444</v>
      </c>
      <c r="H37" s="64"/>
      <c r="I37" s="129"/>
      <c r="J37" s="129" t="s">
        <v>221</v>
      </c>
      <c r="L37" s="74"/>
      <c r="M37" s="74"/>
      <c r="N37" s="74"/>
      <c r="O37" s="118">
        <v>470000</v>
      </c>
      <c r="P37" s="79"/>
      <c r="Q37" s="79"/>
      <c r="R37" s="79"/>
      <c r="S37" s="79"/>
    </row>
    <row r="38" spans="3:19" x14ac:dyDescent="0.2">
      <c r="C38" s="111" t="s">
        <v>202</v>
      </c>
      <c r="D38" s="167" t="s">
        <v>41</v>
      </c>
      <c r="E38" s="122" t="s">
        <v>46</v>
      </c>
      <c r="F38" s="69">
        <v>45444</v>
      </c>
      <c r="H38" s="64"/>
      <c r="I38" s="129"/>
      <c r="J38" s="129" t="s">
        <v>221</v>
      </c>
      <c r="L38" s="74"/>
      <c r="M38" s="74"/>
      <c r="N38" s="74"/>
      <c r="O38" s="118">
        <v>470000</v>
      </c>
      <c r="P38" s="79"/>
      <c r="Q38" s="79"/>
      <c r="R38" s="79"/>
      <c r="S38" s="79"/>
    </row>
    <row r="39" spans="3:19" x14ac:dyDescent="0.2">
      <c r="C39" s="111" t="s">
        <v>203</v>
      </c>
      <c r="D39" s="167" t="s">
        <v>41</v>
      </c>
      <c r="E39" s="122" t="s">
        <v>46</v>
      </c>
      <c r="F39" s="69">
        <v>45444</v>
      </c>
      <c r="H39" s="64"/>
      <c r="I39" s="129"/>
      <c r="J39" s="129" t="s">
        <v>221</v>
      </c>
      <c r="L39" s="74"/>
      <c r="M39" s="74"/>
      <c r="N39" s="74"/>
      <c r="O39" s="118">
        <v>940000</v>
      </c>
      <c r="P39" s="79"/>
      <c r="Q39" s="79"/>
      <c r="R39" s="79"/>
      <c r="S39" s="79"/>
    </row>
    <row r="40" spans="3:19" x14ac:dyDescent="0.2">
      <c r="C40" s="111" t="s">
        <v>204</v>
      </c>
      <c r="D40" s="167" t="s">
        <v>41</v>
      </c>
      <c r="E40" s="122" t="s">
        <v>46</v>
      </c>
      <c r="F40" s="69">
        <v>45444</v>
      </c>
      <c r="H40" s="64"/>
      <c r="I40" s="129"/>
      <c r="J40" s="129" t="s">
        <v>221</v>
      </c>
      <c r="L40" s="74"/>
      <c r="M40" s="74"/>
      <c r="N40" s="74"/>
      <c r="O40" s="118">
        <v>705000</v>
      </c>
      <c r="P40" s="79"/>
      <c r="Q40" s="79"/>
      <c r="R40" s="79"/>
      <c r="S40" s="79"/>
    </row>
    <row r="41" spans="3:19" x14ac:dyDescent="0.2">
      <c r="C41" s="111" t="s">
        <v>205</v>
      </c>
      <c r="D41" s="167" t="s">
        <v>41</v>
      </c>
      <c r="E41" s="122" t="s">
        <v>46</v>
      </c>
      <c r="F41" s="69">
        <v>45444</v>
      </c>
      <c r="H41" s="64"/>
      <c r="I41" s="129"/>
      <c r="J41" s="129" t="s">
        <v>221</v>
      </c>
      <c r="L41" s="74"/>
      <c r="M41" s="74"/>
      <c r="N41" s="74"/>
      <c r="O41" s="118">
        <v>639200</v>
      </c>
      <c r="P41" s="79"/>
      <c r="Q41" s="79"/>
      <c r="R41" s="79"/>
      <c r="S41" s="79"/>
    </row>
    <row r="42" spans="3:19" x14ac:dyDescent="0.2">
      <c r="C42" s="111" t="s">
        <v>206</v>
      </c>
      <c r="D42" s="167" t="s">
        <v>41</v>
      </c>
      <c r="E42" s="122" t="s">
        <v>46</v>
      </c>
      <c r="F42" s="69">
        <v>45444</v>
      </c>
      <c r="H42" s="64"/>
      <c r="I42" s="129"/>
      <c r="J42" s="129" t="s">
        <v>221</v>
      </c>
      <c r="L42" s="74"/>
      <c r="M42" s="74"/>
      <c r="N42" s="74"/>
      <c r="O42" s="118">
        <v>376000</v>
      </c>
      <c r="P42" s="79"/>
      <c r="Q42" s="79"/>
      <c r="R42" s="79"/>
      <c r="S42" s="79"/>
    </row>
    <row r="43" spans="3:19" x14ac:dyDescent="0.2">
      <c r="C43" s="111" t="s">
        <v>207</v>
      </c>
      <c r="D43" s="167" t="s">
        <v>41</v>
      </c>
      <c r="E43" s="122" t="s">
        <v>46</v>
      </c>
      <c r="F43" s="69">
        <v>45444</v>
      </c>
      <c r="H43" s="64"/>
      <c r="I43" s="129"/>
      <c r="J43" s="129" t="s">
        <v>221</v>
      </c>
      <c r="L43" s="74"/>
      <c r="M43" s="74"/>
      <c r="N43" s="74"/>
      <c r="O43" s="118">
        <v>188000</v>
      </c>
      <c r="P43" s="79"/>
      <c r="Q43" s="79"/>
      <c r="R43" s="79"/>
      <c r="S43" s="79"/>
    </row>
    <row r="44" spans="3:19" x14ac:dyDescent="0.2">
      <c r="C44" s="111" t="s">
        <v>315</v>
      </c>
      <c r="D44" s="167" t="s">
        <v>41</v>
      </c>
      <c r="E44" s="122" t="s">
        <v>46</v>
      </c>
      <c r="F44" s="69">
        <v>45444</v>
      </c>
      <c r="H44" s="64"/>
      <c r="I44" s="129"/>
      <c r="J44" s="129" t="s">
        <v>221</v>
      </c>
      <c r="L44" s="74"/>
      <c r="M44" s="74"/>
      <c r="N44" s="74"/>
      <c r="O44" s="118">
        <v>470000</v>
      </c>
      <c r="P44" s="79"/>
      <c r="Q44" s="79"/>
      <c r="R44" s="79"/>
      <c r="S44" s="79"/>
    </row>
    <row r="45" spans="3:19" x14ac:dyDescent="0.2">
      <c r="C45" s="111" t="s">
        <v>316</v>
      </c>
      <c r="D45" s="167" t="s">
        <v>41</v>
      </c>
      <c r="E45" s="122" t="s">
        <v>46</v>
      </c>
      <c r="F45" s="69">
        <v>45444</v>
      </c>
      <c r="H45" s="64"/>
      <c r="I45" s="129"/>
      <c r="J45" s="129" t="s">
        <v>221</v>
      </c>
      <c r="L45" s="74"/>
      <c r="M45" s="74"/>
      <c r="N45" s="74"/>
      <c r="O45" s="118">
        <v>470000</v>
      </c>
      <c r="P45" s="79"/>
      <c r="Q45" s="79"/>
      <c r="R45" s="79"/>
      <c r="S45" s="79"/>
    </row>
    <row r="46" spans="3:19" x14ac:dyDescent="0.2">
      <c r="C46" s="111" t="s">
        <v>208</v>
      </c>
      <c r="D46" s="167" t="s">
        <v>41</v>
      </c>
      <c r="E46" s="122" t="s">
        <v>46</v>
      </c>
      <c r="F46" s="69">
        <v>45444</v>
      </c>
      <c r="H46" s="64"/>
      <c r="I46" s="129"/>
      <c r="J46" s="129" t="s">
        <v>221</v>
      </c>
      <c r="L46" s="74"/>
      <c r="M46" s="74"/>
      <c r="N46" s="74"/>
      <c r="O46" s="118">
        <v>470000</v>
      </c>
      <c r="P46" s="79"/>
      <c r="Q46" s="79"/>
      <c r="R46" s="79"/>
      <c r="S46" s="79"/>
    </row>
    <row r="47" spans="3:19" x14ac:dyDescent="0.2">
      <c r="C47" s="111" t="s">
        <v>209</v>
      </c>
      <c r="D47" s="167" t="s">
        <v>41</v>
      </c>
      <c r="E47" s="122" t="s">
        <v>46</v>
      </c>
      <c r="F47" s="69">
        <v>45444</v>
      </c>
      <c r="H47" s="64"/>
      <c r="I47" s="129"/>
      <c r="J47" s="129" t="s">
        <v>221</v>
      </c>
      <c r="L47" s="74"/>
      <c r="M47" s="74"/>
      <c r="N47" s="74"/>
      <c r="O47" s="118">
        <v>0</v>
      </c>
      <c r="P47" s="79"/>
      <c r="Q47" s="79"/>
      <c r="R47" s="79"/>
      <c r="S47" s="79"/>
    </row>
    <row r="48" spans="3:19" x14ac:dyDescent="0.2">
      <c r="C48" s="111" t="s">
        <v>210</v>
      </c>
      <c r="D48" s="167" t="s">
        <v>41</v>
      </c>
      <c r="E48" s="122" t="s">
        <v>46</v>
      </c>
      <c r="F48" s="69">
        <v>45444</v>
      </c>
      <c r="H48" s="64"/>
      <c r="I48" s="129"/>
      <c r="J48" s="129" t="s">
        <v>222</v>
      </c>
      <c r="L48" s="74"/>
      <c r="M48" s="74"/>
      <c r="N48" s="74"/>
      <c r="O48" s="118">
        <v>470000</v>
      </c>
      <c r="P48" s="79"/>
      <c r="Q48" s="79"/>
      <c r="R48" s="79"/>
      <c r="S48" s="79"/>
    </row>
    <row r="49" spans="3:19" x14ac:dyDescent="0.2">
      <c r="C49" s="111" t="s">
        <v>211</v>
      </c>
      <c r="D49" s="167" t="s">
        <v>41</v>
      </c>
      <c r="E49" s="122" t="s">
        <v>46</v>
      </c>
      <c r="F49" s="69">
        <v>45444</v>
      </c>
      <c r="H49" s="64"/>
      <c r="I49" s="129"/>
      <c r="J49" s="129" t="s">
        <v>222</v>
      </c>
      <c r="L49" s="74"/>
      <c r="M49" s="74"/>
      <c r="N49" s="74"/>
      <c r="O49" s="118">
        <v>188000</v>
      </c>
      <c r="P49" s="79"/>
      <c r="Q49" s="79"/>
      <c r="R49" s="79"/>
      <c r="S49" s="79"/>
    </row>
    <row r="50" spans="3:19" x14ac:dyDescent="0.2">
      <c r="C50" s="111" t="s">
        <v>212</v>
      </c>
      <c r="D50" s="167" t="s">
        <v>41</v>
      </c>
      <c r="E50" s="122" t="s">
        <v>46</v>
      </c>
      <c r="F50" s="69">
        <v>45444</v>
      </c>
      <c r="H50" s="64"/>
      <c r="I50" s="129"/>
      <c r="J50" s="129" t="s">
        <v>222</v>
      </c>
      <c r="L50" s="74"/>
      <c r="M50" s="74"/>
      <c r="N50" s="74"/>
      <c r="O50" s="118">
        <v>470000</v>
      </c>
      <c r="P50" s="79"/>
      <c r="Q50" s="79"/>
      <c r="R50" s="79"/>
      <c r="S50" s="79"/>
    </row>
    <row r="51" spans="3:19" x14ac:dyDescent="0.2">
      <c r="C51" s="111" t="s">
        <v>213</v>
      </c>
      <c r="D51" s="167" t="s">
        <v>41</v>
      </c>
      <c r="E51" s="122" t="s">
        <v>46</v>
      </c>
      <c r="F51" s="69">
        <v>45444</v>
      </c>
      <c r="H51" s="64"/>
      <c r="I51" s="129"/>
      <c r="J51" s="129" t="s">
        <v>222</v>
      </c>
      <c r="L51" s="74"/>
      <c r="M51" s="74"/>
      <c r="N51" s="74"/>
      <c r="O51" s="118">
        <v>235000</v>
      </c>
      <c r="P51" s="79"/>
      <c r="Q51" s="79"/>
      <c r="R51" s="79"/>
      <c r="S51" s="79"/>
    </row>
    <row r="52" spans="3:19" x14ac:dyDescent="0.2">
      <c r="C52" s="111" t="s">
        <v>214</v>
      </c>
      <c r="D52" s="167" t="s">
        <v>41</v>
      </c>
      <c r="E52" s="122" t="s">
        <v>46</v>
      </c>
      <c r="F52" s="69">
        <v>45444</v>
      </c>
      <c r="H52" s="64"/>
      <c r="I52" s="129"/>
      <c r="J52" s="129" t="s">
        <v>222</v>
      </c>
      <c r="L52" s="74"/>
      <c r="M52" s="74"/>
      <c r="N52" s="74"/>
      <c r="O52" s="118">
        <v>0</v>
      </c>
      <c r="P52" s="79"/>
      <c r="Q52" s="79"/>
      <c r="R52" s="79"/>
      <c r="S52" s="79"/>
    </row>
    <row r="53" spans="3:19" x14ac:dyDescent="0.2">
      <c r="C53" s="111" t="s">
        <v>215</v>
      </c>
      <c r="D53" s="167" t="s">
        <v>41</v>
      </c>
      <c r="E53" s="122" t="s">
        <v>46</v>
      </c>
      <c r="F53" s="69">
        <v>45444</v>
      </c>
      <c r="H53" s="64"/>
      <c r="I53" s="129"/>
      <c r="J53" s="129" t="s">
        <v>222</v>
      </c>
      <c r="L53" s="74"/>
      <c r="M53" s="74"/>
      <c r="N53" s="74"/>
      <c r="O53" s="118">
        <v>0</v>
      </c>
      <c r="P53" s="79"/>
      <c r="Q53" s="79"/>
      <c r="R53" s="79"/>
      <c r="S53" s="79"/>
    </row>
    <row r="54" spans="3:19" x14ac:dyDescent="0.2">
      <c r="C54" s="111" t="s">
        <v>216</v>
      </c>
      <c r="D54" s="167" t="s">
        <v>41</v>
      </c>
      <c r="E54" s="122" t="s">
        <v>46</v>
      </c>
      <c r="F54" s="69">
        <v>45444</v>
      </c>
      <c r="H54" s="64"/>
      <c r="I54" s="129"/>
      <c r="J54" s="129" t="s">
        <v>222</v>
      </c>
      <c r="L54" s="74"/>
      <c r="M54" s="74"/>
      <c r="N54" s="74"/>
      <c r="O54" s="118">
        <v>0</v>
      </c>
      <c r="P54" s="79"/>
      <c r="Q54" s="79"/>
      <c r="R54" s="79"/>
      <c r="S54" s="79"/>
    </row>
    <row r="55" spans="3:19" x14ac:dyDescent="0.2">
      <c r="C55" s="111" t="s">
        <v>317</v>
      </c>
      <c r="D55" s="167" t="s">
        <v>41</v>
      </c>
      <c r="E55" s="122" t="s">
        <v>46</v>
      </c>
      <c r="F55" s="69">
        <v>45444</v>
      </c>
      <c r="H55" s="64"/>
      <c r="I55" s="129"/>
      <c r="J55" s="129" t="s">
        <v>222</v>
      </c>
      <c r="L55" s="74"/>
      <c r="M55" s="74"/>
      <c r="N55" s="74"/>
      <c r="O55" s="118">
        <v>235000</v>
      </c>
      <c r="P55" s="79"/>
      <c r="Q55" s="79"/>
      <c r="R55" s="79"/>
      <c r="S55" s="79"/>
    </row>
    <row r="56" spans="3:19" x14ac:dyDescent="0.2">
      <c r="C56" s="111" t="s">
        <v>217</v>
      </c>
      <c r="D56" s="167" t="s">
        <v>41</v>
      </c>
      <c r="E56" s="122" t="s">
        <v>46</v>
      </c>
      <c r="F56" s="69">
        <v>45444</v>
      </c>
      <c r="H56" s="64"/>
      <c r="I56" s="129"/>
      <c r="J56" s="129" t="s">
        <v>222</v>
      </c>
      <c r="L56" s="74"/>
      <c r="M56" s="74"/>
      <c r="N56" s="74"/>
      <c r="O56" s="118">
        <v>0.94</v>
      </c>
      <c r="P56" s="79"/>
      <c r="Q56" s="79"/>
      <c r="R56" s="79"/>
      <c r="S56" s="79"/>
    </row>
    <row r="57" spans="3:19" x14ac:dyDescent="0.2">
      <c r="C57" s="111" t="s">
        <v>218</v>
      </c>
      <c r="D57" s="167" t="s">
        <v>41</v>
      </c>
      <c r="E57" s="122" t="s">
        <v>46</v>
      </c>
      <c r="F57" s="69">
        <v>45444</v>
      </c>
      <c r="H57" s="64"/>
      <c r="I57" s="129"/>
      <c r="J57" s="129" t="s">
        <v>222</v>
      </c>
      <c r="L57" s="74"/>
      <c r="M57" s="74"/>
      <c r="N57" s="74"/>
      <c r="O57" s="124">
        <v>470000</v>
      </c>
      <c r="P57" s="79"/>
      <c r="Q57" s="79"/>
      <c r="R57" s="79"/>
      <c r="S57" s="79"/>
    </row>
    <row r="58" spans="3:19" ht="10.5" x14ac:dyDescent="0.25">
      <c r="C58" s="109" t="s">
        <v>107</v>
      </c>
      <c r="D58" s="21" t="s">
        <v>23</v>
      </c>
      <c r="E58" s="71" t="str">
        <f>E57</f>
        <v>$dollars</v>
      </c>
      <c r="F58" s="114">
        <f>F57</f>
        <v>45444</v>
      </c>
      <c r="H58" s="64"/>
      <c r="I58" s="64"/>
      <c r="J58" s="74"/>
      <c r="L58" s="74"/>
      <c r="M58" s="74"/>
      <c r="N58" s="74"/>
      <c r="O58" s="120">
        <f>SUM(O34:O57)</f>
        <v>8441200.9400000013</v>
      </c>
      <c r="P58" s="79"/>
      <c r="Q58" s="79"/>
      <c r="R58" s="79"/>
      <c r="S58" s="79"/>
    </row>
    <row r="59" spans="3:19" x14ac:dyDescent="0.2">
      <c r="C59" s="64"/>
      <c r="D59" s="64"/>
      <c r="E59" s="64"/>
      <c r="F59" s="64"/>
      <c r="G59" s="64"/>
      <c r="H59" s="64"/>
      <c r="I59" s="64"/>
      <c r="J59" s="74"/>
      <c r="K59" s="74"/>
      <c r="L59" s="74"/>
      <c r="M59" s="74"/>
      <c r="N59" s="74"/>
      <c r="O59" s="79"/>
      <c r="P59" s="79"/>
      <c r="Q59" s="79"/>
      <c r="R59" s="79"/>
      <c r="S59" s="79"/>
    </row>
    <row r="60" spans="3:19" ht="10.5" x14ac:dyDescent="0.25">
      <c r="D60" s="64"/>
      <c r="E60" s="64"/>
      <c r="F60" s="64"/>
      <c r="G60" s="64"/>
      <c r="H60" s="64"/>
      <c r="I60" s="64"/>
      <c r="J60" s="74"/>
      <c r="K60" s="74"/>
      <c r="L60" s="74"/>
      <c r="M60" s="74"/>
      <c r="N60" s="74"/>
      <c r="O60" s="175">
        <f>IF(YEAR(O$4)&gt;=FPFirstYear,IF(YEAR(O$4)&lt;=FPLastYear,O$4,""),"")</f>
        <v>45809</v>
      </c>
      <c r="P60" s="175">
        <f>IF(YEAR(P$4)&gt;=FPFirstYear,IF(YEAR(P$4)&lt;=FPLastYear,P$4,""),"")</f>
        <v>46174</v>
      </c>
      <c r="Q60" s="175">
        <f>IF(YEAR(Q$4)&gt;=FPFirstYear,IF(YEAR(Q$4)&lt;=FPLastYear,Q$4,""),"")</f>
        <v>46539</v>
      </c>
      <c r="R60" s="175">
        <f>IF(YEAR(R$4)&gt;=FPFirstYear,IF(YEAR(R$4)&lt;=FPLastYear,R$4,""),"")</f>
        <v>46905</v>
      </c>
      <c r="S60" s="175">
        <f>IF(YEAR(S$4)&gt;=FPFirstYear,IF(YEAR(S$4)&lt;=FPLastYear,S$4,""),"")</f>
        <v>47270</v>
      </c>
    </row>
    <row r="61" spans="3:19" ht="10.5" x14ac:dyDescent="0.25">
      <c r="C61" s="29" t="s">
        <v>265</v>
      </c>
      <c r="D61" s="167" t="s">
        <v>41</v>
      </c>
      <c r="E61" s="122" t="s">
        <v>34</v>
      </c>
      <c r="F61" s="114"/>
      <c r="G61" s="64"/>
      <c r="H61" s="64"/>
      <c r="I61" s="64"/>
      <c r="J61" s="74"/>
      <c r="K61" s="74"/>
      <c r="L61" s="74"/>
      <c r="M61" s="74"/>
      <c r="N61" s="74"/>
      <c r="O61" s="138">
        <v>0.13</v>
      </c>
      <c r="P61" s="138">
        <v>0.2</v>
      </c>
      <c r="Q61" s="138">
        <v>0.25</v>
      </c>
      <c r="R61" s="138">
        <v>0.22</v>
      </c>
      <c r="S61" s="138">
        <v>0.2</v>
      </c>
    </row>
    <row r="62" spans="3:19" x14ac:dyDescent="0.2">
      <c r="C62" s="111"/>
      <c r="D62" s="113"/>
      <c r="E62" s="113"/>
      <c r="F62" s="114"/>
      <c r="G62" s="64"/>
      <c r="H62" s="64"/>
      <c r="I62" s="64"/>
      <c r="J62" s="74"/>
      <c r="K62" s="74"/>
      <c r="L62" s="74"/>
      <c r="M62" s="74"/>
      <c r="N62" s="74"/>
      <c r="O62" s="79"/>
      <c r="P62" s="79"/>
      <c r="Q62" s="79"/>
      <c r="R62" s="79"/>
      <c r="S62" s="79"/>
    </row>
    <row r="63" spans="3:19" ht="10.5" x14ac:dyDescent="0.25">
      <c r="C63" s="29" t="s">
        <v>329</v>
      </c>
      <c r="D63" s="113"/>
      <c r="E63" s="113"/>
      <c r="F63" s="114"/>
      <c r="G63" s="64"/>
      <c r="H63" s="64"/>
      <c r="I63" s="64"/>
      <c r="J63" s="74"/>
      <c r="K63" s="74"/>
      <c r="L63" s="74"/>
      <c r="M63" s="119"/>
      <c r="N63" s="119"/>
      <c r="O63" s="175">
        <f>IF(YEAR(O$4)&gt;=FPFirstYear,IF(YEAR(O$4)&lt;=FPLastYear,O$4,""),"")</f>
        <v>45809</v>
      </c>
      <c r="P63" s="175">
        <f>IF(YEAR(P$4)&gt;=FPFirstYear,IF(YEAR(P$4)&lt;=FPLastYear,P$4,""),"")</f>
        <v>46174</v>
      </c>
      <c r="Q63" s="175">
        <f>IF(YEAR(Q$4)&gt;=FPFirstYear,IF(YEAR(Q$4)&lt;=FPLastYear,Q$4,""),"")</f>
        <v>46539</v>
      </c>
      <c r="R63" s="175">
        <f>IF(YEAR(R$4)&gt;=FPFirstYear,IF(YEAR(R$4)&lt;=FPLastYear,R$4,""),"")</f>
        <v>46905</v>
      </c>
      <c r="S63" s="175">
        <f>IF(YEAR(S$4)&gt;=FPFirstYear,IF(YEAR(S$4)&lt;=FPLastYear,S$4,""),"")</f>
        <v>47270</v>
      </c>
    </row>
    <row r="64" spans="3:19" x14ac:dyDescent="0.2">
      <c r="C64" s="111" t="s">
        <v>330</v>
      </c>
      <c r="D64" s="21" t="s">
        <v>23</v>
      </c>
      <c r="E64" s="113" t="str">
        <f>$E$8</f>
        <v>$millions</v>
      </c>
      <c r="F64" s="114">
        <f>F58</f>
        <v>45444</v>
      </c>
      <c r="G64" s="64"/>
      <c r="H64" s="64"/>
      <c r="I64" s="64"/>
      <c r="J64" s="74"/>
      <c r="K64" s="74"/>
      <c r="L64" s="74"/>
      <c r="M64" s="74"/>
      <c r="N64" s="74"/>
      <c r="O64" s="79">
        <f>$O$58/10^6*O$61</f>
        <v>1.0973561222000003</v>
      </c>
      <c r="P64" s="79">
        <f>$O$58/10^6*P$61</f>
        <v>1.6882401880000004</v>
      </c>
      <c r="Q64" s="79">
        <f>$O$58/10^6*Q$61</f>
        <v>2.1103002350000004</v>
      </c>
      <c r="R64" s="79">
        <f>$O$58/10^6*R$61</f>
        <v>1.8570642068000003</v>
      </c>
      <c r="S64" s="79">
        <f>$O$58/10^6*S$61</f>
        <v>1.6882401880000004</v>
      </c>
    </row>
    <row r="65" spans="1:30" x14ac:dyDescent="0.2">
      <c r="C65" s="111" t="s">
        <v>330</v>
      </c>
      <c r="D65" s="21" t="s">
        <v>23</v>
      </c>
      <c r="E65" s="113" t="str">
        <f>$E$8</f>
        <v>$millions</v>
      </c>
      <c r="F65" s="114">
        <f>$F$8</f>
        <v>45444</v>
      </c>
      <c r="G65" s="64"/>
      <c r="H65" s="64"/>
      <c r="I65" s="64"/>
      <c r="J65" s="74"/>
      <c r="K65" s="74"/>
      <c r="L65" s="74"/>
      <c r="M65" s="74"/>
      <c r="N65" s="74"/>
      <c r="O65" s="79">
        <f>O64*IF($F64="nominal",LOOKUP($F65,'Lookup|Tables'!Nominal_to_Real,'Calc|CPI Indexes'!P$31:P$42),INDEX('Calc|CPI Indexes'!$C$14:$T$27,MATCH($F64,'Calc|CPI Indexes'!$C$14:$C$27,0),MATCH($F65,'Calc|CPI Indexes'!$C$14:$T$14,0)))</f>
        <v>1.0973561222000003</v>
      </c>
      <c r="P65" s="79">
        <f>P64*IF($F64="nominal",LOOKUP($F65,'Lookup|Tables'!Nominal_to_Real,'Calc|CPI Indexes'!Q$31:Q$42),INDEX('Calc|CPI Indexes'!$C$14:$T$27,MATCH($F64,'Calc|CPI Indexes'!$C$14:$C$27,0),MATCH($F65,'Calc|CPI Indexes'!$C$14:$T$14,0)))</f>
        <v>1.6882401880000004</v>
      </c>
      <c r="Q65" s="79">
        <f>Q64*IF($F64="nominal",LOOKUP($F65,'Lookup|Tables'!Nominal_to_Real,'Calc|CPI Indexes'!R$31:R$42),INDEX('Calc|CPI Indexes'!$C$14:$T$27,MATCH($F64,'Calc|CPI Indexes'!$C$14:$C$27,0),MATCH($F65,'Calc|CPI Indexes'!$C$14:$T$14,0)))</f>
        <v>2.1103002350000004</v>
      </c>
      <c r="R65" s="79">
        <f>R64*IF($F64="nominal",LOOKUP($F65,'Lookup|Tables'!Nominal_to_Real,'Calc|CPI Indexes'!S$31:S$42),INDEX('Calc|CPI Indexes'!$C$14:$T$27,MATCH($F64,'Calc|CPI Indexes'!$C$14:$C$27,0),MATCH($F65,'Calc|CPI Indexes'!$C$14:$T$14,0)))</f>
        <v>1.8570642068000003</v>
      </c>
      <c r="S65" s="79">
        <f>S64*IF($F64="nominal",LOOKUP($F65,'Lookup|Tables'!Nominal_to_Real,'Calc|CPI Indexes'!T$31:T$42),INDEX('Calc|CPI Indexes'!$C$14:$T$27,MATCH($F64,'Calc|CPI Indexes'!$C$14:$C$27,0),MATCH($F65,'Calc|CPI Indexes'!$C$14:$T$14,0)))</f>
        <v>1.6882401880000004</v>
      </c>
    </row>
    <row r="66" spans="1:30" x14ac:dyDescent="0.2">
      <c r="C66" s="111"/>
      <c r="D66" s="113"/>
      <c r="E66" s="113"/>
      <c r="F66" s="114"/>
      <c r="G66" s="64"/>
      <c r="H66" s="64"/>
      <c r="I66" s="64"/>
      <c r="J66" s="74"/>
      <c r="K66" s="74"/>
      <c r="L66" s="74"/>
      <c r="M66" s="74"/>
      <c r="N66" s="74"/>
      <c r="O66" s="79"/>
      <c r="P66" s="79"/>
      <c r="Q66" s="79"/>
      <c r="R66" s="79"/>
      <c r="S66" s="79"/>
    </row>
    <row r="67" spans="1:30" x14ac:dyDescent="0.2">
      <c r="C67" s="111"/>
      <c r="D67" s="113"/>
      <c r="E67" s="113"/>
      <c r="F67" s="114"/>
      <c r="G67" s="64"/>
      <c r="H67" s="64"/>
      <c r="I67" s="64"/>
      <c r="J67" s="74"/>
      <c r="K67" s="74"/>
      <c r="L67" s="74"/>
      <c r="M67" s="74"/>
      <c r="N67" s="74"/>
      <c r="O67" s="79"/>
      <c r="P67" s="79"/>
      <c r="Q67" s="79"/>
      <c r="R67" s="79"/>
      <c r="S67" s="79"/>
    </row>
    <row r="68" spans="1:30" s="19" customFormat="1" ht="13" x14ac:dyDescent="0.3">
      <c r="A68" s="12"/>
      <c r="B68" s="13" t="s">
        <v>18</v>
      </c>
      <c r="C68" s="12"/>
      <c r="D68" s="12"/>
      <c r="E68" s="12"/>
      <c r="F68" s="14"/>
      <c r="G68" s="14"/>
      <c r="H68" s="14"/>
      <c r="I68" s="14"/>
      <c r="J68" s="15"/>
      <c r="K68" s="16"/>
      <c r="L68" s="15"/>
      <c r="M68" s="16"/>
      <c r="N68" s="15"/>
      <c r="O68" s="15"/>
      <c r="P68" s="15"/>
      <c r="Q68" s="15"/>
      <c r="R68" s="15"/>
      <c r="S68" s="15"/>
      <c r="T68" s="15"/>
      <c r="U68" s="15"/>
      <c r="V68" s="16"/>
      <c r="W68" s="16"/>
      <c r="X68" s="17"/>
      <c r="Y68" s="17"/>
      <c r="Z68" s="17"/>
      <c r="AA68" s="17"/>
      <c r="AB68" s="17"/>
      <c r="AC68" s="18"/>
      <c r="AD68" s="18"/>
    </row>
  </sheetData>
  <mergeCells count="1">
    <mergeCell ref="N3:S3"/>
  </mergeCells>
  <conditionalFormatting sqref="O17:S17">
    <cfRule type="expression" dxfId="31" priority="4">
      <formula>O$10=O$4</formula>
    </cfRule>
  </conditionalFormatting>
  <conditionalFormatting sqref="O24:S24">
    <cfRule type="expression" dxfId="30" priority="3">
      <formula>O$10=O$4</formula>
    </cfRule>
  </conditionalFormatting>
  <conditionalFormatting sqref="O60:S60">
    <cfRule type="expression" dxfId="29" priority="2">
      <formula>O$10=O$4</formula>
    </cfRule>
  </conditionalFormatting>
  <conditionalFormatting sqref="O63:S63">
    <cfRule type="expression" dxfId="28" priority="1">
      <formula>O$10=O$4</formula>
    </cfRule>
  </conditionalFormatting>
  <dataValidations count="1">
    <dataValidation type="list" allowBlank="1" showInputMessage="1" showErrorMessage="1" sqref="F12 F19" xr:uid="{E7BA570D-4CCF-4025-B74A-AAA55D5DFE52}">
      <formula1>$F$64:$F$65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BACD98-9B0F-4211-9D8E-A826E6B3DE37}">
          <x14:formula1>
            <xm:f>'Lookup|Tables'!$G$81:$G$84</xm:f>
          </x14:formula1>
          <xm:sqref>F34:F57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36F4-3423-4DA5-BF0C-BEC716EA1B12}">
  <sheetPr>
    <tabColor rgb="FFCCFFCC"/>
  </sheetPr>
  <dimension ref="A1:AD50"/>
  <sheetViews>
    <sheetView showGridLines="0" zoomScale="75" zoomScaleNormal="75" workbookViewId="0"/>
  </sheetViews>
  <sheetFormatPr defaultColWidth="0" defaultRowHeight="10" zeroHeight="1" x14ac:dyDescent="0.2"/>
  <cols>
    <col min="1" max="2" width="1.1796875" style="20" customWidth="1"/>
    <col min="3" max="3" width="62.5429687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9" width="2.81640625" style="21" customWidth="1"/>
    <col min="10" max="23" width="8.81640625" style="20" customWidth="1"/>
    <col min="24" max="38" width="8.54296875" style="20" hidden="1" customWidth="1"/>
    <col min="39" max="16384" width="8.54296875" style="20" hidden="1"/>
  </cols>
  <sheetData>
    <row r="1" spans="1:30" s="1" customFormat="1" ht="15.5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96" t="s">
        <v>1</v>
      </c>
      <c r="M1" s="97" t="s">
        <v>2</v>
      </c>
      <c r="N1" s="98" t="s">
        <v>3</v>
      </c>
      <c r="O1" s="2"/>
      <c r="P1" s="2"/>
      <c r="Q1" s="2"/>
      <c r="R1" s="2"/>
      <c r="S1" s="2"/>
      <c r="T1" s="2"/>
      <c r="U1" s="2"/>
      <c r="V1" s="2"/>
      <c r="W1" s="2"/>
    </row>
    <row r="2" spans="1:30" s="7" customFormat="1" ht="13.5" thickBot="1" x14ac:dyDescent="0.35">
      <c r="B2" s="8" t="s">
        <v>336</v>
      </c>
      <c r="C2" s="8"/>
      <c r="D2" s="8"/>
      <c r="E2" s="8"/>
      <c r="F2" s="9"/>
      <c r="G2" s="9"/>
      <c r="H2" s="9"/>
      <c r="I2" s="9"/>
    </row>
    <row r="3" spans="1:30" s="38" customFormat="1" ht="14.5" customHeight="1" x14ac:dyDescent="0.25">
      <c r="D3" s="41"/>
      <c r="E3" s="41"/>
      <c r="F3" s="41"/>
      <c r="G3" s="41"/>
      <c r="H3" s="41"/>
      <c r="I3" s="41"/>
      <c r="J3" s="65" t="s">
        <v>12</v>
      </c>
      <c r="K3" s="65"/>
      <c r="L3" s="65"/>
      <c r="M3" s="41"/>
      <c r="N3" s="210"/>
      <c r="O3" s="210"/>
      <c r="P3" s="210"/>
      <c r="Q3" s="210"/>
      <c r="R3" s="210"/>
      <c r="S3" s="210"/>
      <c r="T3" s="42"/>
      <c r="U3" s="42"/>
      <c r="V3" s="42"/>
      <c r="W3" s="42"/>
      <c r="X3" s="42"/>
      <c r="Y3" s="42"/>
      <c r="Z3" s="42"/>
    </row>
    <row r="4" spans="1:30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6"/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</row>
    <row r="5" spans="1:30" s="10" customFormat="1" ht="3" customHeight="1" x14ac:dyDescent="0.2">
      <c r="D5" s="11"/>
      <c r="E5" s="11"/>
      <c r="F5" s="11"/>
      <c r="G5" s="11"/>
      <c r="H5" s="11"/>
      <c r="I5" s="11"/>
    </row>
    <row r="6" spans="1:30" s="10" customFormat="1" x14ac:dyDescent="0.2">
      <c r="D6" s="11"/>
      <c r="E6" s="11"/>
      <c r="F6" s="11"/>
      <c r="G6" s="11"/>
      <c r="H6" s="11"/>
      <c r="I6" s="11"/>
    </row>
    <row r="7" spans="1:30" s="10" customFormat="1" ht="3" customHeight="1" x14ac:dyDescent="0.2">
      <c r="D7" s="11"/>
      <c r="E7" s="11"/>
      <c r="F7" s="11"/>
      <c r="G7" s="11"/>
      <c r="H7" s="11"/>
      <c r="I7" s="11"/>
    </row>
    <row r="8" spans="1:30" s="19" customFormat="1" ht="13" x14ac:dyDescent="0.3">
      <c r="A8" s="12"/>
      <c r="B8" s="13" t="s">
        <v>280</v>
      </c>
      <c r="C8" s="12"/>
      <c r="D8" s="12"/>
      <c r="E8" s="66" t="s">
        <v>37</v>
      </c>
      <c r="F8" s="82">
        <f>DATE(PPLastYear,MONTH('Input|General'!G9),1)</f>
        <v>45444</v>
      </c>
      <c r="G8" s="14"/>
      <c r="H8" s="14"/>
      <c r="I8" s="14"/>
      <c r="J8" s="15"/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  <c r="X8" s="17"/>
      <c r="Y8" s="17"/>
      <c r="Z8" s="17"/>
      <c r="AA8" s="17"/>
      <c r="AB8" s="17"/>
      <c r="AC8" s="18"/>
      <c r="AD8" s="18"/>
    </row>
    <row r="9" spans="1:30" x14ac:dyDescent="0.2"/>
    <row r="10" spans="1:30" ht="10.5" x14ac:dyDescent="0.25">
      <c r="C10" s="29" t="s">
        <v>261</v>
      </c>
      <c r="D10" s="23" t="s">
        <v>6</v>
      </c>
      <c r="E10" s="23" t="s">
        <v>24</v>
      </c>
      <c r="F10" s="23" t="s">
        <v>28</v>
      </c>
      <c r="J10" s="62">
        <f t="shared" ref="J10:S10" si="0">IF(YEAR(J$4)&lt;=PPLastYear,J$4,"")</f>
        <v>43983</v>
      </c>
      <c r="K10" s="62">
        <f t="shared" si="0"/>
        <v>44348</v>
      </c>
      <c r="L10" s="62">
        <f t="shared" si="0"/>
        <v>44713</v>
      </c>
      <c r="M10" s="62">
        <f t="shared" si="0"/>
        <v>45078</v>
      </c>
      <c r="N10" s="62">
        <f t="shared" si="0"/>
        <v>45444</v>
      </c>
      <c r="O10" s="62" t="str">
        <f t="shared" si="0"/>
        <v/>
      </c>
      <c r="P10" s="62" t="str">
        <f t="shared" si="0"/>
        <v/>
      </c>
      <c r="Q10" s="62" t="str">
        <f t="shared" si="0"/>
        <v/>
      </c>
      <c r="R10" s="62" t="str">
        <f t="shared" si="0"/>
        <v/>
      </c>
      <c r="S10" s="62" t="str">
        <f t="shared" si="0"/>
        <v/>
      </c>
    </row>
    <row r="11" spans="1:30" x14ac:dyDescent="0.2">
      <c r="C11" s="55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30" x14ac:dyDescent="0.2">
      <c r="C12" s="55" t="s">
        <v>320</v>
      </c>
      <c r="D12" s="167" t="s">
        <v>41</v>
      </c>
      <c r="E12" s="21" t="str">
        <f>$E$8</f>
        <v>$millions</v>
      </c>
      <c r="F12" s="69">
        <v>44713</v>
      </c>
      <c r="J12" s="70"/>
      <c r="K12" s="70"/>
      <c r="L12" s="70"/>
      <c r="M12" s="79">
        <f>INDEX($M$46:$S$47,MATCH($F12,$F$46:$F$47,0),MATCH(M$10,$M$45:$S$45,0))</f>
        <v>0.4</v>
      </c>
      <c r="N12" s="64"/>
      <c r="O12" s="79"/>
      <c r="P12" s="79"/>
      <c r="Q12" s="79"/>
      <c r="R12" s="79"/>
      <c r="S12" s="79"/>
    </row>
    <row r="13" spans="1:30" ht="10.5" x14ac:dyDescent="0.25">
      <c r="C13" s="55" t="str">
        <f>C12</f>
        <v>Smart meter data</v>
      </c>
      <c r="D13" s="21" t="s">
        <v>23</v>
      </c>
      <c r="E13" s="21" t="str">
        <f>$E$8</f>
        <v>$millions</v>
      </c>
      <c r="F13" s="71">
        <f>$F$8</f>
        <v>45444</v>
      </c>
      <c r="J13" s="72"/>
      <c r="K13" s="72"/>
      <c r="L13" s="72"/>
      <c r="M13" s="79">
        <f>M12*IF($F12="nominal",LOOKUP($F13,'Lookup|Tables'!Nominal_to_Real,'Calc|CPI Indexes'!N$31:N$42),INDEX('Calc|CPI Indexes'!$C$14:$T$27,MATCH($F12,'Calc|CPI Indexes'!$C$14:$C$27,0),MATCH($F13,'Calc|CPI Indexes'!$C$14:$T$14,0)))</f>
        <v>0.44305839999999996</v>
      </c>
      <c r="N13" s="64"/>
      <c r="O13" s="79"/>
      <c r="P13" s="80"/>
      <c r="Q13" s="80"/>
      <c r="R13" s="80"/>
      <c r="S13" s="80"/>
    </row>
    <row r="14" spans="1:30" x14ac:dyDescent="0.2">
      <c r="J14" s="64"/>
      <c r="K14" s="64"/>
      <c r="L14" s="64"/>
    </row>
    <row r="15" spans="1:30" s="19" customFormat="1" ht="13" x14ac:dyDescent="0.3">
      <c r="A15" s="12"/>
      <c r="B15" s="13" t="s">
        <v>38</v>
      </c>
      <c r="C15" s="12"/>
      <c r="D15" s="12"/>
      <c r="E15" s="12"/>
      <c r="F15" s="14"/>
      <c r="G15" s="14"/>
      <c r="H15" s="14"/>
      <c r="I15" s="14"/>
      <c r="J15" s="15"/>
      <c r="K15" s="16"/>
      <c r="L15" s="15"/>
      <c r="M15" s="16"/>
      <c r="N15" s="15"/>
      <c r="O15" s="15"/>
      <c r="P15" s="15"/>
      <c r="Q15" s="15"/>
      <c r="R15" s="15"/>
      <c r="S15" s="15"/>
      <c r="T15" s="15"/>
      <c r="U15" s="15"/>
      <c r="V15" s="16"/>
      <c r="W15" s="16"/>
      <c r="X15" s="17"/>
      <c r="Y15" s="17"/>
      <c r="Z15" s="17"/>
      <c r="AA15" s="17"/>
      <c r="AB15" s="17"/>
      <c r="AC15" s="18"/>
      <c r="AD15" s="18"/>
    </row>
    <row r="16" spans="1:30" x14ac:dyDescent="0.2">
      <c r="C16" s="55"/>
      <c r="J16" s="64"/>
      <c r="K16" s="64"/>
      <c r="L16" s="64"/>
    </row>
    <row r="17" spans="1:30" ht="10.5" x14ac:dyDescent="0.25">
      <c r="C17" s="29" t="s">
        <v>262</v>
      </c>
      <c r="D17" s="23" t="s">
        <v>6</v>
      </c>
      <c r="E17" s="23" t="s">
        <v>24</v>
      </c>
      <c r="F17" s="23" t="s">
        <v>28</v>
      </c>
      <c r="J17" s="62" t="str">
        <f>IF(YEAR(J$4)&gt;='Input|General'!$G$13,IF(YEAR(J$4)&lt;='Input|General'!$G$14,J$4,""),"")</f>
        <v/>
      </c>
      <c r="K17" s="62" t="str">
        <f>IF(YEAR(K$4)&gt;='Input|General'!$G$13,IF(YEAR(K$4)&lt;='Input|General'!$G$14,K$4,""),"")</f>
        <v/>
      </c>
      <c r="L17" s="62" t="str">
        <f>IF(YEAR(L$4)&gt;='Input|General'!$G$13,IF(YEAR(L$4)&lt;='Input|General'!$G$14,L$4,""),"")</f>
        <v/>
      </c>
      <c r="M17" s="62" t="str">
        <f>IF(YEAR(M$4)&gt;='Input|General'!$G$13,IF(YEAR(M$4)&lt;='Input|General'!$G$14,M$4,""),"")</f>
        <v/>
      </c>
      <c r="N17" s="62" t="str">
        <f>IF(YEAR(N$4)&gt;='Input|General'!$G$13,IF(YEAR(N$4)&lt;='Input|General'!$G$14,N$4,""),"")</f>
        <v/>
      </c>
      <c r="O17" s="175">
        <f>IF(YEAR(O$4)&gt;=FPFirstYear,IF(YEAR(O$4)&lt;=FPLastYear,O$4,""),"")</f>
        <v>45809</v>
      </c>
      <c r="P17" s="175">
        <f>IF(YEAR(P$4)&gt;=FPFirstYear,IF(YEAR(P$4)&lt;=FPLastYear,P$4,""),"")</f>
        <v>46174</v>
      </c>
      <c r="Q17" s="175">
        <f>IF(YEAR(Q$4)&gt;=FPFirstYear,IF(YEAR(Q$4)&lt;=FPLastYear,Q$4,""),"")</f>
        <v>46539</v>
      </c>
      <c r="R17" s="175">
        <f>IF(YEAR(R$4)&gt;=FPFirstYear,IF(YEAR(R$4)&lt;=FPLastYear,R$4,""),"")</f>
        <v>46905</v>
      </c>
      <c r="S17" s="175">
        <f>IF(YEAR(S$4)&gt;=FPFirstYear,IF(YEAR(S$4)&lt;=FPLastYear,S$4,""),"")</f>
        <v>47270</v>
      </c>
    </row>
    <row r="18" spans="1:30" ht="10.5" x14ac:dyDescent="0.25">
      <c r="C18" s="29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30" x14ac:dyDescent="0.2">
      <c r="C19" s="55" t="s">
        <v>320</v>
      </c>
      <c r="D19" s="167" t="s">
        <v>41</v>
      </c>
      <c r="E19" s="21" t="str">
        <f>$E$8</f>
        <v>$millions</v>
      </c>
      <c r="F19" s="69">
        <v>44713</v>
      </c>
      <c r="J19" s="74"/>
      <c r="K19" s="74"/>
      <c r="L19" s="74"/>
      <c r="M19" s="74"/>
      <c r="N19" s="74"/>
      <c r="O19" s="79">
        <f>INDEX($M$46:$S$47,MATCH($F19,$F$46:$F$47,0),MATCH(O$17,$M$45:$S$45,0))</f>
        <v>3.65</v>
      </c>
      <c r="P19" s="79">
        <f t="shared" ref="P19:S19" si="1">INDEX($M$46:$S$47,MATCH($F19,$F$46:$F$47,0),MATCH(P$17,$M$45:$S$45,0))</f>
        <v>4.29</v>
      </c>
      <c r="Q19" s="79">
        <f t="shared" si="1"/>
        <v>4.92</v>
      </c>
      <c r="R19" s="79">
        <f t="shared" si="1"/>
        <v>5.5</v>
      </c>
      <c r="S19" s="79">
        <f t="shared" si="1"/>
        <v>6.09</v>
      </c>
    </row>
    <row r="20" spans="1:30" x14ac:dyDescent="0.2">
      <c r="C20" s="55" t="str">
        <f>C19</f>
        <v>Smart meter data</v>
      </c>
      <c r="D20" s="21" t="s">
        <v>23</v>
      </c>
      <c r="E20" s="21" t="str">
        <f>$E$8</f>
        <v>$millions</v>
      </c>
      <c r="F20" s="71">
        <f t="shared" ref="F20" si="2">$F$8</f>
        <v>45444</v>
      </c>
      <c r="J20" s="74"/>
      <c r="K20" s="74"/>
      <c r="L20" s="74"/>
      <c r="M20" s="74"/>
      <c r="N20" s="74"/>
      <c r="O20" s="79">
        <f>O19*IF($F19="nominal",LOOKUP($F20,'Lookup|Tables'!Nominal_to_Real,'Calc|CPI Indexes'!P$31:P$42),INDEX('Calc|CPI Indexes'!$C$14:$T$27,MATCH($F19,'Calc|CPI Indexes'!$C$14:$C$27,0),MATCH($F20,'Calc|CPI Indexes'!$C$14:$T$14,0)))</f>
        <v>4.0429078999999994</v>
      </c>
      <c r="P20" s="79">
        <f>P19*IF($F19="nominal",LOOKUP($F20,'Lookup|Tables'!Nominal_to_Real,'Calc|CPI Indexes'!Q$31:Q$42),INDEX('Calc|CPI Indexes'!$C$14:$T$27,MATCH($F19,'Calc|CPI Indexes'!$C$14:$C$27,0),MATCH($F20,'Calc|CPI Indexes'!$C$14:$T$14,0)))</f>
        <v>4.7518013399999992</v>
      </c>
      <c r="Q20" s="79">
        <f>Q19*IF($F19="nominal",LOOKUP($F20,'Lookup|Tables'!Nominal_to_Real,'Calc|CPI Indexes'!R$31:R$42),INDEX('Calc|CPI Indexes'!$C$14:$T$27,MATCH($F19,'Calc|CPI Indexes'!$C$14:$C$27,0),MATCH($F20,'Calc|CPI Indexes'!$C$14:$T$14,0)))</f>
        <v>5.4496183199999999</v>
      </c>
      <c r="R20" s="79">
        <f>R19*IF($F19="nominal",LOOKUP($F20,'Lookup|Tables'!Nominal_to_Real,'Calc|CPI Indexes'!S$31:S$42),INDEX('Calc|CPI Indexes'!$C$14:$T$27,MATCH($F19,'Calc|CPI Indexes'!$C$14:$C$27,0),MATCH($F20,'Calc|CPI Indexes'!$C$14:$T$14,0)))</f>
        <v>6.0920529999999999</v>
      </c>
      <c r="S20" s="79">
        <f>S19*IF($F19="nominal",LOOKUP($F20,'Lookup|Tables'!Nominal_to_Real,'Calc|CPI Indexes'!T$31:T$42),INDEX('Calc|CPI Indexes'!$C$14:$T$27,MATCH($F19,'Calc|CPI Indexes'!$C$14:$C$27,0),MATCH($F20,'Calc|CPI Indexes'!$C$14:$T$14,0)))</f>
        <v>6.745564139999999</v>
      </c>
    </row>
    <row r="21" spans="1:30" x14ac:dyDescent="0.2">
      <c r="C21" s="73"/>
      <c r="F21" s="71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30" s="19" customFormat="1" ht="13" x14ac:dyDescent="0.3">
      <c r="A22" s="12"/>
      <c r="B22" s="13" t="s">
        <v>39</v>
      </c>
      <c r="C22" s="12"/>
      <c r="D22" s="12"/>
      <c r="E22" s="12"/>
      <c r="F22" s="14"/>
      <c r="G22" s="14"/>
      <c r="H22" s="14"/>
      <c r="I22" s="14"/>
      <c r="J22" s="15"/>
      <c r="K22" s="16"/>
      <c r="L22" s="15"/>
      <c r="M22" s="16"/>
      <c r="N22" s="15"/>
      <c r="O22" s="15"/>
      <c r="P22" s="15"/>
      <c r="Q22" s="15"/>
      <c r="R22" s="15"/>
      <c r="S22" s="15"/>
      <c r="T22" s="15"/>
      <c r="U22" s="15"/>
      <c r="V22" s="16"/>
      <c r="W22" s="16"/>
      <c r="X22" s="17"/>
      <c r="Y22" s="17"/>
      <c r="Z22" s="17"/>
      <c r="AA22" s="17"/>
      <c r="AB22" s="17"/>
      <c r="AC22" s="18"/>
      <c r="AD22" s="18"/>
    </row>
    <row r="23" spans="1:30" x14ac:dyDescent="0.2">
      <c r="C23" s="55"/>
      <c r="J23" s="64"/>
      <c r="K23" s="64"/>
      <c r="L23" s="64"/>
    </row>
    <row r="24" spans="1:30" ht="10.5" x14ac:dyDescent="0.25">
      <c r="C24" s="29" t="s">
        <v>40</v>
      </c>
      <c r="D24" s="23" t="s">
        <v>6</v>
      </c>
      <c r="E24" s="23" t="s">
        <v>24</v>
      </c>
      <c r="F24" s="23" t="s">
        <v>28</v>
      </c>
      <c r="J24" s="62" t="str">
        <f>IF(YEAR(J$4)&gt;='Input|General'!$G$13,IF(YEAR(J$4)&lt;='Input|General'!$G$14,J$4,""),"")</f>
        <v/>
      </c>
      <c r="K24" s="62" t="str">
        <f>IF(YEAR(K$4)&gt;='Input|General'!$G$13,IF(YEAR(K$4)&lt;='Input|General'!$G$14,K$4,""),"")</f>
        <v/>
      </c>
      <c r="L24" s="62" t="str">
        <f>IF(YEAR(L$4)&gt;='Input|General'!$G$13,IF(YEAR(L$4)&lt;='Input|General'!$G$14,L$4,""),"")</f>
        <v/>
      </c>
      <c r="M24" s="62" t="str">
        <f>IF(YEAR(M$4)&gt;='Input|General'!$G$13,IF(YEAR(M$4)&lt;='Input|General'!$G$14,M$4,""),"")</f>
        <v/>
      </c>
      <c r="N24" s="62" t="str">
        <f>IF(YEAR(N$4)&gt;='Input|General'!$G$13,IF(YEAR(N$4)&lt;='Input|General'!$G$14,N$4,""),"")</f>
        <v/>
      </c>
      <c r="O24" s="175">
        <f>IF(YEAR(O$4)&gt;=FPFirstYear,IF(YEAR(O$4)&lt;=FPLastYear,O$4,""),"")</f>
        <v>45809</v>
      </c>
      <c r="P24" s="175">
        <f>IF(YEAR(P$4)&gt;=FPFirstYear,IF(YEAR(P$4)&lt;=FPLastYear,P$4,""),"")</f>
        <v>46174</v>
      </c>
      <c r="Q24" s="175">
        <f>IF(YEAR(Q$4)&gt;=FPFirstYear,IF(YEAR(Q$4)&lt;=FPLastYear,Q$4,""),"")</f>
        <v>46539</v>
      </c>
      <c r="R24" s="175">
        <f>IF(YEAR(R$4)&gt;=FPFirstYear,IF(YEAR(R$4)&lt;=FPLastYear,R$4,""),"")</f>
        <v>46905</v>
      </c>
      <c r="S24" s="175">
        <f>IF(YEAR(S$4)&gt;=FPFirstYear,IF(YEAR(S$4)&lt;=FPLastYear,S$4,""),"")</f>
        <v>47270</v>
      </c>
    </row>
    <row r="25" spans="1:30" ht="10.5" x14ac:dyDescent="0.25">
      <c r="C25" s="29"/>
      <c r="D25" s="23"/>
      <c r="E25" s="23"/>
      <c r="F25" s="23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30" x14ac:dyDescent="0.2">
      <c r="C26" s="55" t="s">
        <v>331</v>
      </c>
      <c r="D26" s="21" t="s">
        <v>23</v>
      </c>
      <c r="E26" s="21" t="str">
        <f>$E$8</f>
        <v>$millions</v>
      </c>
      <c r="F26" s="71">
        <f>F20</f>
        <v>45444</v>
      </c>
      <c r="J26" s="74"/>
      <c r="K26" s="74"/>
      <c r="L26" s="74"/>
      <c r="M26" s="74"/>
      <c r="N26" s="74"/>
      <c r="O26" s="79">
        <f>O20</f>
        <v>4.0429078999999994</v>
      </c>
      <c r="P26" s="79">
        <f>P20</f>
        <v>4.7518013399999992</v>
      </c>
      <c r="Q26" s="79">
        <f>Q20</f>
        <v>5.4496183199999999</v>
      </c>
      <c r="R26" s="79">
        <f>R20</f>
        <v>6.0920529999999999</v>
      </c>
      <c r="S26" s="79">
        <f>S20</f>
        <v>6.745564139999999</v>
      </c>
    </row>
    <row r="27" spans="1:30" ht="10.5" x14ac:dyDescent="0.25">
      <c r="C27" s="55" t="s">
        <v>332</v>
      </c>
      <c r="D27" s="21" t="s">
        <v>23</v>
      </c>
      <c r="E27" s="21" t="str">
        <f>$E$8</f>
        <v>$millions</v>
      </c>
      <c r="F27" s="106">
        <f>F13</f>
        <v>45444</v>
      </c>
      <c r="J27" s="24"/>
      <c r="K27" s="24"/>
      <c r="L27" s="24"/>
      <c r="M27" s="24"/>
      <c r="N27" s="24"/>
      <c r="O27" s="107">
        <f>$M$13</f>
        <v>0.44305839999999996</v>
      </c>
      <c r="P27" s="107">
        <f t="shared" ref="P27:S27" si="3">$M$13</f>
        <v>0.44305839999999996</v>
      </c>
      <c r="Q27" s="107">
        <f t="shared" si="3"/>
        <v>0.44305839999999996</v>
      </c>
      <c r="R27" s="107">
        <f t="shared" si="3"/>
        <v>0.44305839999999996</v>
      </c>
      <c r="S27" s="107">
        <f t="shared" si="3"/>
        <v>0.44305839999999996</v>
      </c>
    </row>
    <row r="28" spans="1:30" ht="3" customHeight="1" x14ac:dyDescent="0.2">
      <c r="F28" s="108"/>
      <c r="O28" s="101"/>
      <c r="P28" s="101"/>
      <c r="Q28" s="101"/>
      <c r="R28" s="101"/>
      <c r="S28" s="101"/>
    </row>
    <row r="29" spans="1:30" ht="10.5" x14ac:dyDescent="0.25">
      <c r="C29" s="75" t="s">
        <v>274</v>
      </c>
      <c r="D29" s="76" t="s">
        <v>23</v>
      </c>
      <c r="E29" s="76" t="str">
        <f>$E$8</f>
        <v>$millions</v>
      </c>
      <c r="F29" s="77">
        <f>F27</f>
        <v>45444</v>
      </c>
      <c r="G29" s="23"/>
      <c r="H29" s="23"/>
      <c r="I29" s="23"/>
      <c r="J29" s="78"/>
      <c r="K29" s="78"/>
      <c r="L29" s="78"/>
      <c r="M29" s="78"/>
      <c r="N29" s="78"/>
      <c r="O29" s="80">
        <f>O26-O27</f>
        <v>3.5998494999999995</v>
      </c>
      <c r="P29" s="80">
        <f>P26-P27</f>
        <v>4.3087429399999992</v>
      </c>
      <c r="Q29" s="80">
        <f>Q26-Q27</f>
        <v>5.0065599199999999</v>
      </c>
      <c r="R29" s="80">
        <f>R26-R27</f>
        <v>5.6489946</v>
      </c>
      <c r="S29" s="80">
        <f>S26-S27</f>
        <v>6.3025057399999991</v>
      </c>
    </row>
    <row r="30" spans="1:30" ht="10.5" x14ac:dyDescent="0.25">
      <c r="C30" s="109"/>
      <c r="D30" s="110"/>
      <c r="E30" s="110"/>
      <c r="F30" s="77"/>
      <c r="G30" s="23"/>
      <c r="H30" s="23"/>
      <c r="I30" s="23"/>
      <c r="J30" s="78"/>
      <c r="K30" s="78"/>
      <c r="L30" s="78"/>
      <c r="M30" s="78"/>
      <c r="N30" s="78"/>
      <c r="O30" s="80"/>
      <c r="P30" s="80"/>
      <c r="Q30" s="80"/>
      <c r="R30" s="80"/>
      <c r="S30" s="80"/>
    </row>
    <row r="31" spans="1:30" s="19" customFormat="1" ht="13" x14ac:dyDescent="0.3">
      <c r="A31" s="12"/>
      <c r="B31" s="13" t="s">
        <v>98</v>
      </c>
      <c r="C31" s="12"/>
      <c r="D31" s="12"/>
      <c r="E31" s="12"/>
      <c r="F31" s="14"/>
      <c r="G31" s="14"/>
      <c r="H31" s="14"/>
      <c r="I31" s="14"/>
      <c r="J31" s="15"/>
      <c r="K31" s="16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7"/>
      <c r="Y31" s="17"/>
      <c r="Z31" s="17"/>
      <c r="AA31" s="17"/>
      <c r="AB31" s="17"/>
      <c r="AC31" s="18"/>
      <c r="AD31" s="18"/>
    </row>
    <row r="32" spans="1:30" x14ac:dyDescent="0.2">
      <c r="C32" s="111"/>
      <c r="D32" s="113"/>
      <c r="E32" s="113"/>
      <c r="F32" s="114"/>
      <c r="G32" s="64"/>
      <c r="H32" s="64"/>
      <c r="I32" s="64"/>
      <c r="J32" s="74"/>
      <c r="K32" s="74"/>
      <c r="L32" s="74"/>
      <c r="M32" s="74"/>
      <c r="N32" s="74"/>
      <c r="O32" s="79"/>
      <c r="P32" s="79"/>
      <c r="Q32" s="79"/>
      <c r="R32" s="79"/>
      <c r="S32" s="79"/>
    </row>
    <row r="33" spans="3:20" ht="10.5" x14ac:dyDescent="0.25">
      <c r="C33" s="29" t="s">
        <v>333</v>
      </c>
      <c r="D33" s="23" t="s">
        <v>6</v>
      </c>
      <c r="E33" s="23" t="s">
        <v>24</v>
      </c>
      <c r="F33" s="23" t="s">
        <v>28</v>
      </c>
      <c r="H33" s="64"/>
      <c r="I33" s="130"/>
      <c r="J33" s="74"/>
      <c r="L33" s="62"/>
      <c r="M33" s="175">
        <f t="shared" ref="M33:S33" si="4">IF(YEAR(M$4)&lt;=PPLastYear,M$4,IF(YEAR(M$4)&gt;=FPFirstYear,IF(YEAR(M$4)&lt;=FPLastYear,M$4,""),""))</f>
        <v>45078</v>
      </c>
      <c r="N33" s="175">
        <f t="shared" si="4"/>
        <v>45444</v>
      </c>
      <c r="O33" s="175">
        <f t="shared" si="4"/>
        <v>45809</v>
      </c>
      <c r="P33" s="175">
        <f t="shared" si="4"/>
        <v>46174</v>
      </c>
      <c r="Q33" s="175">
        <f t="shared" si="4"/>
        <v>46539</v>
      </c>
      <c r="R33" s="175">
        <f t="shared" si="4"/>
        <v>46905</v>
      </c>
      <c r="S33" s="175">
        <f t="shared" si="4"/>
        <v>47270</v>
      </c>
    </row>
    <row r="34" spans="3:20" x14ac:dyDescent="0.2">
      <c r="C34" s="111" t="s">
        <v>153</v>
      </c>
      <c r="D34" s="167" t="s">
        <v>41</v>
      </c>
      <c r="E34" s="21" t="s">
        <v>33</v>
      </c>
      <c r="F34" s="114"/>
      <c r="H34" s="64"/>
      <c r="I34" s="129"/>
      <c r="J34" s="74"/>
      <c r="L34" s="74"/>
      <c r="M34" s="137">
        <v>270000</v>
      </c>
      <c r="N34" s="137">
        <v>695000</v>
      </c>
      <c r="O34" s="137">
        <v>820000</v>
      </c>
      <c r="P34" s="137">
        <v>945000</v>
      </c>
      <c r="Q34" s="137">
        <v>1075000</v>
      </c>
      <c r="R34" s="137">
        <v>1205000</v>
      </c>
      <c r="S34" s="137">
        <v>1335000</v>
      </c>
    </row>
    <row r="35" spans="3:20" x14ac:dyDescent="0.2">
      <c r="C35" s="111" t="s">
        <v>154</v>
      </c>
      <c r="D35" s="167" t="s">
        <v>41</v>
      </c>
      <c r="E35" s="21" t="s">
        <v>33</v>
      </c>
      <c r="F35" s="114"/>
      <c r="H35" s="64"/>
      <c r="I35" s="129"/>
      <c r="J35" s="74"/>
      <c r="L35" s="74"/>
      <c r="M35" s="137">
        <v>150000</v>
      </c>
      <c r="N35" s="137">
        <v>150000</v>
      </c>
      <c r="O35" s="137">
        <v>300000</v>
      </c>
      <c r="P35" s="137">
        <v>400000</v>
      </c>
      <c r="Q35" s="137">
        <v>500000</v>
      </c>
      <c r="R35" s="137">
        <v>600000</v>
      </c>
      <c r="S35" s="137">
        <v>700000</v>
      </c>
    </row>
    <row r="36" spans="3:20" x14ac:dyDescent="0.2">
      <c r="C36" s="111" t="s">
        <v>155</v>
      </c>
      <c r="D36" s="167" t="s">
        <v>41</v>
      </c>
      <c r="E36" s="21" t="s">
        <v>33</v>
      </c>
      <c r="F36" s="114"/>
      <c r="H36" s="64"/>
      <c r="I36" s="129"/>
      <c r="J36" s="74"/>
      <c r="L36" s="74"/>
      <c r="M36" s="137">
        <v>120000</v>
      </c>
      <c r="N36" s="137">
        <v>120000</v>
      </c>
      <c r="O36" s="137">
        <v>180000</v>
      </c>
      <c r="P36" s="137">
        <v>240000</v>
      </c>
      <c r="Q36" s="137">
        <v>300000</v>
      </c>
      <c r="R36" s="137">
        <v>360000</v>
      </c>
      <c r="S36" s="137">
        <v>420000</v>
      </c>
    </row>
    <row r="37" spans="3:20" x14ac:dyDescent="0.2">
      <c r="C37" s="111"/>
      <c r="D37" s="113"/>
      <c r="E37" s="113"/>
      <c r="F37" s="114"/>
      <c r="G37" s="64"/>
      <c r="H37" s="64"/>
      <c r="I37" s="64"/>
      <c r="J37" s="74"/>
      <c r="K37" s="74"/>
      <c r="L37" s="74"/>
      <c r="M37" s="74"/>
      <c r="N37" s="74"/>
      <c r="O37" s="79"/>
      <c r="P37" s="79"/>
      <c r="Q37" s="79"/>
      <c r="R37" s="79"/>
      <c r="S37" s="79"/>
    </row>
    <row r="38" spans="3:20" ht="10.5" x14ac:dyDescent="0.25">
      <c r="C38" s="29" t="s">
        <v>334</v>
      </c>
      <c r="D38" s="23" t="s">
        <v>6</v>
      </c>
      <c r="E38" s="23" t="s">
        <v>24</v>
      </c>
      <c r="F38" s="23" t="s">
        <v>28</v>
      </c>
      <c r="H38" s="64"/>
      <c r="I38" s="130"/>
      <c r="J38" s="74"/>
      <c r="L38" s="62"/>
      <c r="M38" s="175">
        <f t="shared" ref="M38:S38" si="5">IF(YEAR(M$4)&lt;=PPLastYear,M$4,IF(YEAR(M$4)&gt;=FPFirstYear,IF(YEAR(M$4)&lt;=FPLastYear,M$4,""),""))</f>
        <v>45078</v>
      </c>
      <c r="N38" s="175">
        <f t="shared" si="5"/>
        <v>45444</v>
      </c>
      <c r="O38" s="175">
        <f t="shared" si="5"/>
        <v>45809</v>
      </c>
      <c r="P38" s="175">
        <f t="shared" si="5"/>
        <v>46174</v>
      </c>
      <c r="Q38" s="175">
        <f t="shared" si="5"/>
        <v>46539</v>
      </c>
      <c r="R38" s="175">
        <f t="shared" si="5"/>
        <v>46905</v>
      </c>
      <c r="S38" s="175">
        <f t="shared" si="5"/>
        <v>47270</v>
      </c>
    </row>
    <row r="39" spans="3:20" x14ac:dyDescent="0.2">
      <c r="C39" s="111" t="s">
        <v>153</v>
      </c>
      <c r="D39" s="167" t="s">
        <v>41</v>
      </c>
      <c r="E39" s="21" t="str">
        <f t="shared" ref="E39:E41" si="6">$E$8</f>
        <v>$millions</v>
      </c>
      <c r="F39" s="69">
        <v>44713</v>
      </c>
      <c r="H39" s="64"/>
      <c r="I39" s="129"/>
      <c r="J39" s="74"/>
      <c r="L39" s="74"/>
      <c r="M39" s="136">
        <v>0.5</v>
      </c>
      <c r="N39" s="136">
        <v>6.16</v>
      </c>
      <c r="O39" s="136">
        <v>6.95</v>
      </c>
      <c r="P39" s="136">
        <v>7.74</v>
      </c>
      <c r="Q39" s="136">
        <v>8.57</v>
      </c>
      <c r="R39" s="136">
        <v>9.61</v>
      </c>
      <c r="S39" s="136">
        <v>10.37</v>
      </c>
    </row>
    <row r="40" spans="3:20" x14ac:dyDescent="0.2">
      <c r="C40" s="111" t="s">
        <v>154</v>
      </c>
      <c r="D40" s="167" t="s">
        <v>41</v>
      </c>
      <c r="E40" s="21" t="str">
        <f t="shared" si="6"/>
        <v>$millions</v>
      </c>
      <c r="F40" s="69">
        <v>44713</v>
      </c>
      <c r="H40" s="64"/>
      <c r="I40" s="129"/>
      <c r="J40" s="74"/>
      <c r="L40" s="74"/>
      <c r="M40" s="136">
        <v>0.4</v>
      </c>
      <c r="N40" s="136">
        <v>2.6</v>
      </c>
      <c r="O40" s="136">
        <v>3.65</v>
      </c>
      <c r="P40" s="136">
        <v>4.29</v>
      </c>
      <c r="Q40" s="136">
        <v>4.92</v>
      </c>
      <c r="R40" s="136">
        <v>5.5</v>
      </c>
      <c r="S40" s="136">
        <v>6.09</v>
      </c>
    </row>
    <row r="41" spans="3:20" x14ac:dyDescent="0.2">
      <c r="C41" s="111" t="s">
        <v>155</v>
      </c>
      <c r="D41" s="167" t="s">
        <v>41</v>
      </c>
      <c r="E41" s="21" t="str">
        <f t="shared" si="6"/>
        <v>$millions</v>
      </c>
      <c r="F41" s="69">
        <v>44713</v>
      </c>
      <c r="H41" s="64"/>
      <c r="I41" s="129"/>
      <c r="J41" s="74"/>
      <c r="L41" s="74"/>
      <c r="M41" s="136">
        <v>0.3</v>
      </c>
      <c r="N41" s="136">
        <v>2.5099999999999998</v>
      </c>
      <c r="O41" s="136">
        <v>2.89</v>
      </c>
      <c r="P41" s="136">
        <v>3.27</v>
      </c>
      <c r="Q41" s="136">
        <v>3.65</v>
      </c>
      <c r="R41" s="136">
        <v>3.9</v>
      </c>
      <c r="S41" s="136">
        <v>4.25</v>
      </c>
    </row>
    <row r="42" spans="3:20" x14ac:dyDescent="0.2">
      <c r="C42" s="111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3:20" ht="10.5" x14ac:dyDescent="0.25">
      <c r="C43" s="29" t="s">
        <v>156</v>
      </c>
      <c r="D43" s="135" t="s">
        <v>154</v>
      </c>
      <c r="E43" s="122"/>
      <c r="F43" s="68"/>
      <c r="G43" s="68"/>
      <c r="H43" s="68"/>
      <c r="I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3:20" x14ac:dyDescent="0.2"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3:20" ht="10.5" x14ac:dyDescent="0.25">
      <c r="C45" s="29" t="s">
        <v>335</v>
      </c>
      <c r="D45" s="68"/>
      <c r="E45" s="68"/>
      <c r="F45" s="68"/>
      <c r="G45" s="68"/>
      <c r="H45" s="68"/>
      <c r="I45" s="68"/>
      <c r="J45" s="68"/>
      <c r="K45" s="68"/>
      <c r="L45" s="68"/>
      <c r="M45" s="175">
        <f t="shared" ref="M45:S45" si="7">IF(YEAR(M$4)&lt;=PPLastYear,M$4,IF(YEAR(M$4)&gt;=FPFirstYear,IF(YEAR(M$4)&lt;=FPLastYear,M$4,""),""))</f>
        <v>45078</v>
      </c>
      <c r="N45" s="175">
        <f t="shared" si="7"/>
        <v>45444</v>
      </c>
      <c r="O45" s="175">
        <f t="shared" si="7"/>
        <v>45809</v>
      </c>
      <c r="P45" s="175">
        <f t="shared" si="7"/>
        <v>46174</v>
      </c>
      <c r="Q45" s="175">
        <f t="shared" si="7"/>
        <v>46539</v>
      </c>
      <c r="R45" s="175">
        <f t="shared" si="7"/>
        <v>46905</v>
      </c>
      <c r="S45" s="175">
        <f t="shared" si="7"/>
        <v>47270</v>
      </c>
      <c r="T45" s="68"/>
    </row>
    <row r="46" spans="3:20" x14ac:dyDescent="0.2">
      <c r="C46" s="111" t="str">
        <f>$D$43</f>
        <v>Optimised meter take-up</v>
      </c>
      <c r="D46" s="21" t="s">
        <v>23</v>
      </c>
      <c r="E46" s="21" t="str">
        <f t="shared" ref="E46:E47" si="8">$E$8</f>
        <v>$millions</v>
      </c>
      <c r="F46" s="114">
        <f>INDEX(F39:F41,MATCH(D43,C39:C41,0))</f>
        <v>44713</v>
      </c>
      <c r="H46" s="64"/>
      <c r="I46" s="129"/>
      <c r="J46" s="74"/>
      <c r="L46" s="74"/>
      <c r="M46" s="79">
        <f>INDEX($M$39:$S$41,MATCH($C46,$C$39:$C$41,0),MATCH(M$45,$M$38:$S$38,0))</f>
        <v>0.4</v>
      </c>
      <c r="N46" s="79">
        <f t="shared" ref="N46:S46" si="9">INDEX($M$39:$S$41,MATCH($C46,$C$39:$C$41,0),MATCH(N$45,$M$38:$S$38,0))</f>
        <v>2.6</v>
      </c>
      <c r="O46" s="79">
        <f t="shared" si="9"/>
        <v>3.65</v>
      </c>
      <c r="P46" s="79">
        <f t="shared" si="9"/>
        <v>4.29</v>
      </c>
      <c r="Q46" s="79">
        <f t="shared" si="9"/>
        <v>4.92</v>
      </c>
      <c r="R46" s="79">
        <f t="shared" si="9"/>
        <v>5.5</v>
      </c>
      <c r="S46" s="79">
        <f t="shared" si="9"/>
        <v>6.09</v>
      </c>
    </row>
    <row r="47" spans="3:20" x14ac:dyDescent="0.2">
      <c r="C47" s="111" t="str">
        <f>$D$43</f>
        <v>Optimised meter take-up</v>
      </c>
      <c r="D47" s="21" t="s">
        <v>23</v>
      </c>
      <c r="E47" s="21" t="str">
        <f t="shared" si="8"/>
        <v>$millions</v>
      </c>
      <c r="F47" s="114">
        <f>$F$8</f>
        <v>45444</v>
      </c>
      <c r="H47" s="64"/>
      <c r="I47" s="129"/>
      <c r="J47" s="74"/>
      <c r="L47" s="74"/>
      <c r="M47" s="79">
        <f>M46*IF($F46="nominal",LOOKUP($F47,'Lookup|Tables'!Nominal_to_Real,'Calc|CPI Indexes'!N$31:N$42),INDEX('Calc|CPI Indexes'!$C$14:$T$27,MATCH($F46,'Calc|CPI Indexes'!$C$14:$C$27,0),MATCH($F47,'Calc|CPI Indexes'!$C$14:$T$14,0)))</f>
        <v>0.44305839999999996</v>
      </c>
      <c r="N47" s="79">
        <f>N46*IF($F46="nominal",LOOKUP($F47,'Lookup|Tables'!Nominal_to_Real,'Calc|CPI Indexes'!O$31:O$42),INDEX('Calc|CPI Indexes'!$C$14:$T$27,MATCH($F46,'Calc|CPI Indexes'!$C$14:$C$27,0),MATCH($F47,'Calc|CPI Indexes'!$C$14:$T$14,0)))</f>
        <v>2.8798795999999998</v>
      </c>
      <c r="O47" s="79">
        <f>O46*IF($F46="nominal",LOOKUP($F47,'Lookup|Tables'!Nominal_to_Real,'Calc|CPI Indexes'!P$31:P$42),INDEX('Calc|CPI Indexes'!$C$14:$T$27,MATCH($F46,'Calc|CPI Indexes'!$C$14:$C$27,0),MATCH($F47,'Calc|CPI Indexes'!$C$14:$T$14,0)))</f>
        <v>4.0429078999999994</v>
      </c>
      <c r="P47" s="79">
        <f>P46*IF($F46="nominal",LOOKUP($F47,'Lookup|Tables'!Nominal_to_Real,'Calc|CPI Indexes'!Q$31:Q$42),INDEX('Calc|CPI Indexes'!$C$14:$T$27,MATCH($F46,'Calc|CPI Indexes'!$C$14:$C$27,0),MATCH($F47,'Calc|CPI Indexes'!$C$14:$T$14,0)))</f>
        <v>4.7518013399999992</v>
      </c>
      <c r="Q47" s="79">
        <f>Q46*IF($F46="nominal",LOOKUP($F47,'Lookup|Tables'!Nominal_to_Real,'Calc|CPI Indexes'!R$31:R$42),INDEX('Calc|CPI Indexes'!$C$14:$T$27,MATCH($F46,'Calc|CPI Indexes'!$C$14:$C$27,0),MATCH($F47,'Calc|CPI Indexes'!$C$14:$T$14,0)))</f>
        <v>5.4496183199999999</v>
      </c>
      <c r="R47" s="79">
        <f>R46*IF($F46="nominal",LOOKUP($F47,'Lookup|Tables'!Nominal_to_Real,'Calc|CPI Indexes'!S$31:S$42),INDEX('Calc|CPI Indexes'!$C$14:$T$27,MATCH($F46,'Calc|CPI Indexes'!$C$14:$C$27,0),MATCH($F47,'Calc|CPI Indexes'!$C$14:$T$14,0)))</f>
        <v>6.0920529999999999</v>
      </c>
      <c r="S47" s="79">
        <f>S46*IF($F46="nominal",LOOKUP($F47,'Lookup|Tables'!Nominal_to_Real,'Calc|CPI Indexes'!T$31:T$42),INDEX('Calc|CPI Indexes'!$C$14:$T$27,MATCH($F46,'Calc|CPI Indexes'!$C$14:$C$27,0),MATCH($F47,'Calc|CPI Indexes'!$C$14:$T$14,0)))</f>
        <v>6.745564139999999</v>
      </c>
    </row>
    <row r="48" spans="3:20" x14ac:dyDescent="0.2">
      <c r="C48" s="111"/>
      <c r="E48" s="122"/>
      <c r="F48" s="71"/>
      <c r="H48" s="64"/>
      <c r="I48" s="129"/>
      <c r="J48" s="74"/>
      <c r="L48" s="74"/>
      <c r="M48" s="74"/>
      <c r="N48" s="74"/>
      <c r="O48" s="74"/>
      <c r="P48" s="74"/>
      <c r="Q48" s="74"/>
      <c r="R48" s="74"/>
      <c r="S48" s="74"/>
    </row>
    <row r="49" spans="1:30" x14ac:dyDescent="0.2">
      <c r="C49" s="5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112"/>
      <c r="O49" s="112"/>
      <c r="P49" s="112"/>
      <c r="Q49" s="112"/>
      <c r="R49" s="112"/>
      <c r="S49" s="112"/>
    </row>
    <row r="50" spans="1:30" s="19" customFormat="1" ht="13" x14ac:dyDescent="0.3">
      <c r="A50" s="12"/>
      <c r="B50" s="13" t="s">
        <v>18</v>
      </c>
      <c r="C50" s="12"/>
      <c r="D50" s="12"/>
      <c r="E50" s="12"/>
      <c r="F50" s="14"/>
      <c r="G50" s="14"/>
      <c r="H50" s="14"/>
      <c r="I50" s="14"/>
      <c r="J50" s="15"/>
      <c r="K50" s="16"/>
      <c r="L50" s="15"/>
      <c r="M50" s="16"/>
      <c r="N50" s="15"/>
      <c r="O50" s="15"/>
      <c r="P50" s="15"/>
      <c r="Q50" s="15"/>
      <c r="R50" s="15"/>
      <c r="S50" s="15"/>
      <c r="T50" s="15"/>
      <c r="U50" s="15"/>
      <c r="V50" s="16"/>
      <c r="W50" s="16"/>
      <c r="X50" s="17"/>
      <c r="Y50" s="17"/>
      <c r="Z50" s="17"/>
      <c r="AA50" s="17"/>
      <c r="AB50" s="17"/>
      <c r="AC50" s="18"/>
      <c r="AD50" s="18"/>
    </row>
  </sheetData>
  <mergeCells count="1">
    <mergeCell ref="N3:S3"/>
  </mergeCells>
  <conditionalFormatting sqref="O17:S17">
    <cfRule type="expression" dxfId="27" priority="5">
      <formula>O$10=O$4</formula>
    </cfRule>
  </conditionalFormatting>
  <conditionalFormatting sqref="O24:S24">
    <cfRule type="expression" dxfId="26" priority="4">
      <formula>O$10=O$4</formula>
    </cfRule>
  </conditionalFormatting>
  <conditionalFormatting sqref="O33:S33">
    <cfRule type="expression" dxfId="25" priority="3">
      <formula>O$10=O$4</formula>
    </cfRule>
  </conditionalFormatting>
  <conditionalFormatting sqref="O38:S38">
    <cfRule type="expression" dxfId="24" priority="2">
      <formula>O$10=O$4</formula>
    </cfRule>
  </conditionalFormatting>
  <conditionalFormatting sqref="O45:S45">
    <cfRule type="expression" dxfId="23" priority="1">
      <formula>O$10=O$4</formula>
    </cfRule>
  </conditionalFormatting>
  <dataValidations count="3">
    <dataValidation type="list" allowBlank="1" showInputMessage="1" showErrorMessage="1" sqref="F49" xr:uid="{255B8405-54CF-43EB-A7F2-8F2748C2EA6C}">
      <formula1>"Real 2010,Real 2011,Real 2012,Real 2013,Real 2014,Real 2015,Nominal"</formula1>
    </dataValidation>
    <dataValidation type="list" allowBlank="1" showInputMessage="1" showErrorMessage="1" sqref="D43" xr:uid="{F2DC5F02-E3BD-4D3E-81E8-B02E2F3A82FF}">
      <formula1>$C$39:$C$41</formula1>
    </dataValidation>
    <dataValidation type="list" allowBlank="1" showInputMessage="1" showErrorMessage="1" sqref="F19 F12" xr:uid="{89C5E9EB-218C-4B23-9D1D-2A4A080D4C4A}">
      <formula1>$F$46:$F$47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4AACD8-CA2A-42C7-9972-640131EF5158}">
          <x14:formula1>
            <xm:f>'Lookup|Tables'!$G$81:$G$84</xm:f>
          </x14:formula1>
          <xm:sqref>F39:F41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FFD03-DDB4-4131-A7E8-A1CC4D781559}">
  <sheetPr>
    <tabColor rgb="FFCCFFCC"/>
  </sheetPr>
  <dimension ref="A1:AD47"/>
  <sheetViews>
    <sheetView showGridLines="0" zoomScale="75" zoomScaleNormal="75" workbookViewId="0"/>
  </sheetViews>
  <sheetFormatPr defaultColWidth="0" defaultRowHeight="10" zeroHeight="1" x14ac:dyDescent="0.2"/>
  <cols>
    <col min="1" max="2" width="1.1796875" style="20" customWidth="1"/>
    <col min="3" max="3" width="62.5429687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9" width="2.81640625" style="21" customWidth="1"/>
    <col min="10" max="23" width="8.81640625" style="20" customWidth="1"/>
    <col min="24" max="38" width="8.54296875" style="20" hidden="1" customWidth="1"/>
    <col min="39" max="16384" width="8.54296875" style="20" hidden="1"/>
  </cols>
  <sheetData>
    <row r="1" spans="1:30" s="1" customFormat="1" ht="15.5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96" t="s">
        <v>1</v>
      </c>
      <c r="M1" s="97" t="s">
        <v>2</v>
      </c>
      <c r="N1" s="98" t="s">
        <v>3</v>
      </c>
      <c r="O1" s="2"/>
      <c r="P1" s="2"/>
      <c r="Q1" s="2"/>
      <c r="R1" s="2"/>
      <c r="S1" s="2"/>
      <c r="T1" s="2"/>
      <c r="U1" s="2"/>
      <c r="V1" s="2"/>
      <c r="W1" s="2"/>
    </row>
    <row r="2" spans="1:30" s="7" customFormat="1" ht="13.5" thickBot="1" x14ac:dyDescent="0.35">
      <c r="B2" s="8" t="s">
        <v>339</v>
      </c>
      <c r="C2" s="8"/>
      <c r="D2" s="8"/>
      <c r="E2" s="8"/>
      <c r="F2" s="9"/>
      <c r="G2" s="9"/>
      <c r="H2" s="9"/>
      <c r="I2" s="9"/>
    </row>
    <row r="3" spans="1:30" s="38" customFormat="1" ht="14.5" customHeight="1" x14ac:dyDescent="0.25">
      <c r="D3" s="41"/>
      <c r="E3" s="41"/>
      <c r="F3" s="41"/>
      <c r="G3" s="41"/>
      <c r="H3" s="41"/>
      <c r="I3" s="41"/>
      <c r="J3" s="65" t="s">
        <v>12</v>
      </c>
      <c r="K3" s="65"/>
      <c r="L3" s="65"/>
      <c r="M3" s="41"/>
      <c r="N3" s="210"/>
      <c r="O3" s="210"/>
      <c r="P3" s="210"/>
      <c r="Q3" s="210"/>
      <c r="R3" s="210"/>
      <c r="S3" s="210"/>
      <c r="T3" s="42"/>
      <c r="U3" s="42"/>
      <c r="V3" s="42"/>
      <c r="W3" s="42"/>
      <c r="X3" s="42"/>
      <c r="Y3" s="42"/>
      <c r="Z3" s="42"/>
    </row>
    <row r="4" spans="1:30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6"/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</row>
    <row r="5" spans="1:30" s="10" customFormat="1" ht="3" customHeight="1" x14ac:dyDescent="0.2">
      <c r="D5" s="11"/>
      <c r="E5" s="11"/>
      <c r="F5" s="11"/>
      <c r="G5" s="11"/>
      <c r="H5" s="11"/>
      <c r="I5" s="11"/>
    </row>
    <row r="6" spans="1:30" s="10" customFormat="1" x14ac:dyDescent="0.2">
      <c r="D6" s="11"/>
      <c r="E6" s="11"/>
      <c r="F6" s="11"/>
      <c r="G6" s="11"/>
      <c r="H6" s="11"/>
      <c r="I6" s="11"/>
    </row>
    <row r="7" spans="1:30" s="10" customFormat="1" ht="3" customHeight="1" x14ac:dyDescent="0.2">
      <c r="D7" s="11"/>
      <c r="E7" s="11"/>
      <c r="F7" s="11"/>
      <c r="G7" s="11"/>
      <c r="H7" s="11"/>
      <c r="I7" s="11"/>
    </row>
    <row r="8" spans="1:30" s="19" customFormat="1" ht="13" x14ac:dyDescent="0.3">
      <c r="A8" s="12"/>
      <c r="B8" s="13" t="s">
        <v>280</v>
      </c>
      <c r="C8" s="12"/>
      <c r="D8" s="12"/>
      <c r="E8" s="66" t="s">
        <v>37</v>
      </c>
      <c r="F8" s="82">
        <f>DATE(PPLastYear,MONTH('Input|General'!G9),1)</f>
        <v>45444</v>
      </c>
      <c r="G8" s="14"/>
      <c r="H8" s="14"/>
      <c r="I8" s="14"/>
      <c r="J8" s="15"/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  <c r="X8" s="17"/>
      <c r="Y8" s="17"/>
      <c r="Z8" s="17"/>
      <c r="AA8" s="17"/>
      <c r="AB8" s="17"/>
      <c r="AC8" s="18"/>
      <c r="AD8" s="18"/>
    </row>
    <row r="9" spans="1:30" x14ac:dyDescent="0.2"/>
    <row r="10" spans="1:30" ht="10.5" x14ac:dyDescent="0.25">
      <c r="C10" s="29" t="s">
        <v>261</v>
      </c>
      <c r="D10" s="23" t="s">
        <v>6</v>
      </c>
      <c r="E10" s="23" t="s">
        <v>24</v>
      </c>
      <c r="F10" s="23" t="s">
        <v>28</v>
      </c>
      <c r="J10" s="62">
        <f t="shared" ref="J10:S10" si="0">IF(YEAR(J$4)&lt;=PPLastYear,J$4,"")</f>
        <v>43983</v>
      </c>
      <c r="K10" s="62">
        <f t="shared" si="0"/>
        <v>44348</v>
      </c>
      <c r="L10" s="62">
        <f t="shared" si="0"/>
        <v>44713</v>
      </c>
      <c r="M10" s="62">
        <f t="shared" si="0"/>
        <v>45078</v>
      </c>
      <c r="N10" s="62">
        <f t="shared" si="0"/>
        <v>45444</v>
      </c>
      <c r="O10" s="62" t="str">
        <f t="shared" si="0"/>
        <v/>
      </c>
      <c r="P10" s="62" t="str">
        <f t="shared" si="0"/>
        <v/>
      </c>
      <c r="Q10" s="62" t="str">
        <f t="shared" si="0"/>
        <v/>
      </c>
      <c r="R10" s="62" t="str">
        <f t="shared" si="0"/>
        <v/>
      </c>
      <c r="S10" s="62" t="str">
        <f t="shared" si="0"/>
        <v/>
      </c>
    </row>
    <row r="11" spans="1:30" x14ac:dyDescent="0.2">
      <c r="C11" s="55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30" x14ac:dyDescent="0.2">
      <c r="C12" s="55" t="s">
        <v>321</v>
      </c>
      <c r="D12" s="167" t="s">
        <v>41</v>
      </c>
      <c r="E12" s="21" t="str">
        <f>$E$8</f>
        <v>$millions</v>
      </c>
      <c r="F12" s="69" t="s">
        <v>42</v>
      </c>
      <c r="J12" s="70"/>
      <c r="K12" s="70"/>
      <c r="L12" s="70"/>
      <c r="M12" s="81">
        <v>0</v>
      </c>
      <c r="N12" s="64"/>
      <c r="O12" s="79"/>
      <c r="P12" s="79"/>
      <c r="Q12" s="79"/>
      <c r="R12" s="79"/>
      <c r="S12" s="79"/>
    </row>
    <row r="13" spans="1:30" ht="10.5" x14ac:dyDescent="0.25">
      <c r="C13" s="55" t="str">
        <f>C12</f>
        <v>Network innovation program</v>
      </c>
      <c r="D13" s="21" t="s">
        <v>23</v>
      </c>
      <c r="E13" s="21" t="str">
        <f>$E$8</f>
        <v>$millions</v>
      </c>
      <c r="F13" s="71">
        <f>$F$8</f>
        <v>45444</v>
      </c>
      <c r="J13" s="72"/>
      <c r="K13" s="72"/>
      <c r="L13" s="72"/>
      <c r="M13" s="79">
        <f>M12*IF($F12="nominal",LOOKUP($F13,'Lookup|Tables'!Nominal_to_Real,'Calc|CPI Indexes'!N$31:N$42),INDEX('Calc|CPI Indexes'!$C$14:$T$27,MATCH($F12,'Calc|CPI Indexes'!$C$14:$C$27,0),MATCH($F13,'Calc|CPI Indexes'!$C$14:$T$14,0)))</f>
        <v>0</v>
      </c>
      <c r="N13" s="64"/>
      <c r="O13" s="79"/>
      <c r="P13" s="80"/>
      <c r="Q13" s="80"/>
      <c r="R13" s="80"/>
      <c r="S13" s="80"/>
    </row>
    <row r="14" spans="1:30" x14ac:dyDescent="0.2">
      <c r="J14" s="64"/>
      <c r="K14" s="64"/>
      <c r="L14" s="64"/>
    </row>
    <row r="15" spans="1:30" s="19" customFormat="1" ht="13" x14ac:dyDescent="0.3">
      <c r="A15" s="12"/>
      <c r="B15" s="13" t="s">
        <v>38</v>
      </c>
      <c r="C15" s="12"/>
      <c r="D15" s="12"/>
      <c r="E15" s="12"/>
      <c r="F15" s="14"/>
      <c r="G15" s="14"/>
      <c r="H15" s="14"/>
      <c r="I15" s="14"/>
      <c r="J15" s="15"/>
      <c r="K15" s="16"/>
      <c r="L15" s="15"/>
      <c r="M15" s="16"/>
      <c r="N15" s="15"/>
      <c r="O15" s="15"/>
      <c r="P15" s="15"/>
      <c r="Q15" s="15"/>
      <c r="R15" s="15"/>
      <c r="S15" s="15"/>
      <c r="T15" s="15"/>
      <c r="U15" s="15"/>
      <c r="V15" s="16"/>
      <c r="W15" s="16"/>
      <c r="X15" s="17"/>
      <c r="Y15" s="17"/>
      <c r="Z15" s="17"/>
      <c r="AA15" s="17"/>
      <c r="AB15" s="17"/>
      <c r="AC15" s="18"/>
      <c r="AD15" s="18"/>
    </row>
    <row r="16" spans="1:30" x14ac:dyDescent="0.2">
      <c r="C16" s="55"/>
      <c r="J16" s="64"/>
      <c r="K16" s="64"/>
      <c r="L16" s="64"/>
    </row>
    <row r="17" spans="1:30" ht="10.5" x14ac:dyDescent="0.25">
      <c r="C17" s="29" t="s">
        <v>262</v>
      </c>
      <c r="D17" s="23" t="s">
        <v>6</v>
      </c>
      <c r="E17" s="23" t="s">
        <v>24</v>
      </c>
      <c r="F17" s="23" t="s">
        <v>28</v>
      </c>
      <c r="J17" s="62" t="str">
        <f>IF(YEAR(J$4)&gt;='Input|General'!$G$13,IF(YEAR(J$4)&lt;='Input|General'!$G$14,J$4,""),"")</f>
        <v/>
      </c>
      <c r="K17" s="62" t="str">
        <f>IF(YEAR(K$4)&gt;='Input|General'!$G$13,IF(YEAR(K$4)&lt;='Input|General'!$G$14,K$4,""),"")</f>
        <v/>
      </c>
      <c r="L17" s="62" t="str">
        <f>IF(YEAR(L$4)&gt;='Input|General'!$G$13,IF(YEAR(L$4)&lt;='Input|General'!$G$14,L$4,""),"")</f>
        <v/>
      </c>
      <c r="M17" s="62" t="str">
        <f>IF(YEAR(M$4)&gt;='Input|General'!$G$13,IF(YEAR(M$4)&lt;='Input|General'!$G$14,M$4,""),"")</f>
        <v/>
      </c>
      <c r="N17" s="62" t="str">
        <f>IF(YEAR(N$4)&gt;='Input|General'!$G$13,IF(YEAR(N$4)&lt;='Input|General'!$G$14,N$4,""),"")</f>
        <v/>
      </c>
      <c r="O17" s="175">
        <f>IF(YEAR(O$4)&gt;=FPFirstYear,IF(YEAR(O$4)&lt;=FPLastYear,O$4,""),"")</f>
        <v>45809</v>
      </c>
      <c r="P17" s="175">
        <f>IF(YEAR(P$4)&gt;=FPFirstYear,IF(YEAR(P$4)&lt;=FPLastYear,P$4,""),"")</f>
        <v>46174</v>
      </c>
      <c r="Q17" s="175">
        <f>IF(YEAR(Q$4)&gt;=FPFirstYear,IF(YEAR(Q$4)&lt;=FPLastYear,Q$4,""),"")</f>
        <v>46539</v>
      </c>
      <c r="R17" s="175">
        <f>IF(YEAR(R$4)&gt;=FPFirstYear,IF(YEAR(R$4)&lt;=FPLastYear,R$4,""),"")</f>
        <v>46905</v>
      </c>
      <c r="S17" s="175">
        <f>IF(YEAR(S$4)&gt;=FPFirstYear,IF(YEAR(S$4)&lt;=FPLastYear,S$4,""),"")</f>
        <v>47270</v>
      </c>
    </row>
    <row r="18" spans="1:30" ht="10.5" x14ac:dyDescent="0.25">
      <c r="C18" s="29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30" x14ac:dyDescent="0.2">
      <c r="C19" s="55" t="s">
        <v>321</v>
      </c>
      <c r="D19" s="167" t="s">
        <v>41</v>
      </c>
      <c r="E19" s="21" t="str">
        <f>$E$8</f>
        <v>$millions</v>
      </c>
      <c r="F19" s="69">
        <v>45444</v>
      </c>
      <c r="J19" s="74"/>
      <c r="K19" s="74"/>
      <c r="L19" s="74"/>
      <c r="M19" s="74"/>
      <c r="N19" s="74"/>
      <c r="O19" s="81">
        <v>1</v>
      </c>
      <c r="P19" s="81">
        <v>1</v>
      </c>
      <c r="Q19" s="81">
        <v>1</v>
      </c>
      <c r="R19" s="81">
        <v>1</v>
      </c>
      <c r="S19" s="81">
        <v>1</v>
      </c>
    </row>
    <row r="20" spans="1:30" x14ac:dyDescent="0.2">
      <c r="C20" s="55" t="str">
        <f>C19</f>
        <v>Network innovation program</v>
      </c>
      <c r="D20" s="21" t="s">
        <v>23</v>
      </c>
      <c r="E20" s="21" t="str">
        <f>$E$8</f>
        <v>$millions</v>
      </c>
      <c r="F20" s="71">
        <f t="shared" ref="F20" si="1">$F$8</f>
        <v>45444</v>
      </c>
      <c r="J20" s="74"/>
      <c r="K20" s="74"/>
      <c r="L20" s="74"/>
      <c r="M20" s="74"/>
      <c r="N20" s="74"/>
      <c r="O20" s="79">
        <f>O19*IF($F19="nominal",LOOKUP($F20,'Lookup|Tables'!Nominal_to_Real,'Calc|CPI Indexes'!P$31:P$42),INDEX('Calc|CPI Indexes'!$C$14:$T$27,MATCH($F19,'Calc|CPI Indexes'!$C$14:$C$27,0),MATCH($F20,'Calc|CPI Indexes'!$C$14:$T$14,0)))</f>
        <v>1</v>
      </c>
      <c r="P20" s="79">
        <f>P19*IF($F19="nominal",LOOKUP($F20,'Lookup|Tables'!Nominal_to_Real,'Calc|CPI Indexes'!Q$31:Q$42),INDEX('Calc|CPI Indexes'!$C$14:$T$27,MATCH($F19,'Calc|CPI Indexes'!$C$14:$C$27,0),MATCH($F20,'Calc|CPI Indexes'!$C$14:$T$14,0)))</f>
        <v>1</v>
      </c>
      <c r="Q20" s="79">
        <f>Q19*IF($F19="nominal",LOOKUP($F20,'Lookup|Tables'!Nominal_to_Real,'Calc|CPI Indexes'!R$31:R$42),INDEX('Calc|CPI Indexes'!$C$14:$T$27,MATCH($F19,'Calc|CPI Indexes'!$C$14:$C$27,0),MATCH($F20,'Calc|CPI Indexes'!$C$14:$T$14,0)))</f>
        <v>1</v>
      </c>
      <c r="R20" s="79">
        <f>R19*IF($F19="nominal",LOOKUP($F20,'Lookup|Tables'!Nominal_to_Real,'Calc|CPI Indexes'!S$31:S$42),INDEX('Calc|CPI Indexes'!$C$14:$T$27,MATCH($F19,'Calc|CPI Indexes'!$C$14:$C$27,0),MATCH($F20,'Calc|CPI Indexes'!$C$14:$T$14,0)))</f>
        <v>1</v>
      </c>
      <c r="S20" s="79">
        <f>S19*IF($F19="nominal",LOOKUP($F20,'Lookup|Tables'!Nominal_to_Real,'Calc|CPI Indexes'!T$31:T$42),INDEX('Calc|CPI Indexes'!$C$14:$T$27,MATCH($F19,'Calc|CPI Indexes'!$C$14:$C$27,0),MATCH($F20,'Calc|CPI Indexes'!$C$14:$T$14,0)))</f>
        <v>1</v>
      </c>
    </row>
    <row r="21" spans="1:30" x14ac:dyDescent="0.2">
      <c r="C21" s="73"/>
      <c r="F21" s="71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30" s="19" customFormat="1" ht="13" x14ac:dyDescent="0.3">
      <c r="A22" s="12"/>
      <c r="B22" s="13" t="s">
        <v>39</v>
      </c>
      <c r="C22" s="12"/>
      <c r="D22" s="12"/>
      <c r="E22" s="12"/>
      <c r="F22" s="14"/>
      <c r="G22" s="14"/>
      <c r="H22" s="14"/>
      <c r="I22" s="14"/>
      <c r="J22" s="15"/>
      <c r="K22" s="16"/>
      <c r="L22" s="15"/>
      <c r="M22" s="16"/>
      <c r="N22" s="15"/>
      <c r="O22" s="15"/>
      <c r="P22" s="15"/>
      <c r="Q22" s="15"/>
      <c r="R22" s="15"/>
      <c r="S22" s="15"/>
      <c r="T22" s="15"/>
      <c r="U22" s="15"/>
      <c r="V22" s="16"/>
      <c r="W22" s="16"/>
      <c r="X22" s="17"/>
      <c r="Y22" s="17"/>
      <c r="Z22" s="17"/>
      <c r="AA22" s="17"/>
      <c r="AB22" s="17"/>
      <c r="AC22" s="18"/>
      <c r="AD22" s="18"/>
    </row>
    <row r="23" spans="1:30" x14ac:dyDescent="0.2">
      <c r="C23" s="55"/>
      <c r="J23" s="64"/>
      <c r="K23" s="64"/>
      <c r="L23" s="64"/>
    </row>
    <row r="24" spans="1:30" ht="10.5" x14ac:dyDescent="0.25">
      <c r="C24" s="29" t="s">
        <v>40</v>
      </c>
      <c r="D24" s="23" t="s">
        <v>6</v>
      </c>
      <c r="E24" s="23" t="s">
        <v>24</v>
      </c>
      <c r="F24" s="23" t="s">
        <v>28</v>
      </c>
      <c r="J24" s="62" t="str">
        <f>IF(YEAR(J$4)&gt;='Input|General'!$G$13,IF(YEAR(J$4)&lt;='Input|General'!$G$14,J$4,""),"")</f>
        <v/>
      </c>
      <c r="K24" s="62" t="str">
        <f>IF(YEAR(K$4)&gt;='Input|General'!$G$13,IF(YEAR(K$4)&lt;='Input|General'!$G$14,K$4,""),"")</f>
        <v/>
      </c>
      <c r="L24" s="62" t="str">
        <f>IF(YEAR(L$4)&gt;='Input|General'!$G$13,IF(YEAR(L$4)&lt;='Input|General'!$G$14,L$4,""),"")</f>
        <v/>
      </c>
      <c r="M24" s="62" t="str">
        <f>IF(YEAR(M$4)&gt;='Input|General'!$G$13,IF(YEAR(M$4)&lt;='Input|General'!$G$14,M$4,""),"")</f>
        <v/>
      </c>
      <c r="N24" s="62" t="str">
        <f>IF(YEAR(N$4)&gt;='Input|General'!$G$13,IF(YEAR(N$4)&lt;='Input|General'!$G$14,N$4,""),"")</f>
        <v/>
      </c>
      <c r="O24" s="175">
        <f>IF(YEAR(O$4)&gt;=FPFirstYear,IF(YEAR(O$4)&lt;=FPLastYear,O$4,""),"")</f>
        <v>45809</v>
      </c>
      <c r="P24" s="175">
        <f>IF(YEAR(P$4)&gt;=FPFirstYear,IF(YEAR(P$4)&lt;=FPLastYear,P$4,""),"")</f>
        <v>46174</v>
      </c>
      <c r="Q24" s="175">
        <f>IF(YEAR(Q$4)&gt;=FPFirstYear,IF(YEAR(Q$4)&lt;=FPLastYear,Q$4,""),"")</f>
        <v>46539</v>
      </c>
      <c r="R24" s="175">
        <f>IF(YEAR(R$4)&gt;=FPFirstYear,IF(YEAR(R$4)&lt;=FPLastYear,R$4,""),"")</f>
        <v>46905</v>
      </c>
      <c r="S24" s="175">
        <f>IF(YEAR(S$4)&gt;=FPFirstYear,IF(YEAR(S$4)&lt;=FPLastYear,S$4,""),"")</f>
        <v>47270</v>
      </c>
    </row>
    <row r="25" spans="1:30" ht="10.5" x14ac:dyDescent="0.25">
      <c r="C25" s="29"/>
      <c r="D25" s="23"/>
      <c r="E25" s="23"/>
      <c r="F25" s="23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30" x14ac:dyDescent="0.2">
      <c r="C26" s="55" t="s">
        <v>340</v>
      </c>
      <c r="D26" s="21" t="s">
        <v>23</v>
      </c>
      <c r="E26" s="21" t="str">
        <f>$E$8</f>
        <v>$millions</v>
      </c>
      <c r="F26" s="71">
        <f>F20</f>
        <v>45444</v>
      </c>
      <c r="J26" s="74"/>
      <c r="K26" s="74"/>
      <c r="L26" s="74"/>
      <c r="M26" s="74"/>
      <c r="N26" s="74"/>
      <c r="O26" s="79">
        <f>O20</f>
        <v>1</v>
      </c>
      <c r="P26" s="79">
        <f>P20</f>
        <v>1</v>
      </c>
      <c r="Q26" s="79">
        <f>Q20</f>
        <v>1</v>
      </c>
      <c r="R26" s="79">
        <f>R20</f>
        <v>1</v>
      </c>
      <c r="S26" s="79">
        <f>S20</f>
        <v>1</v>
      </c>
    </row>
    <row r="27" spans="1:30" ht="10.5" x14ac:dyDescent="0.25">
      <c r="C27" s="55" t="s">
        <v>341</v>
      </c>
      <c r="D27" s="21" t="s">
        <v>23</v>
      </c>
      <c r="E27" s="21" t="str">
        <f>$E$8</f>
        <v>$millions</v>
      </c>
      <c r="F27" s="106">
        <f>F13</f>
        <v>45444</v>
      </c>
      <c r="J27" s="24"/>
      <c r="K27" s="24"/>
      <c r="L27" s="24"/>
      <c r="M27" s="24"/>
      <c r="N27" s="24"/>
      <c r="O27" s="107">
        <f>$M$13</f>
        <v>0</v>
      </c>
      <c r="P27" s="107">
        <f t="shared" ref="P27:S27" si="2">$M$13</f>
        <v>0</v>
      </c>
      <c r="Q27" s="107">
        <f t="shared" si="2"/>
        <v>0</v>
      </c>
      <c r="R27" s="107">
        <f t="shared" si="2"/>
        <v>0</v>
      </c>
      <c r="S27" s="107">
        <f t="shared" si="2"/>
        <v>0</v>
      </c>
    </row>
    <row r="28" spans="1:30" ht="3" customHeight="1" x14ac:dyDescent="0.2">
      <c r="F28" s="108"/>
      <c r="O28" s="101"/>
      <c r="P28" s="101"/>
      <c r="Q28" s="101"/>
      <c r="R28" s="101"/>
      <c r="S28" s="101"/>
    </row>
    <row r="29" spans="1:30" ht="10.5" x14ac:dyDescent="0.25">
      <c r="C29" s="75" t="s">
        <v>342</v>
      </c>
      <c r="D29" s="76" t="s">
        <v>23</v>
      </c>
      <c r="E29" s="76" t="str">
        <f>$E$8</f>
        <v>$millions</v>
      </c>
      <c r="F29" s="77">
        <f>F27</f>
        <v>45444</v>
      </c>
      <c r="G29" s="23"/>
      <c r="H29" s="23"/>
      <c r="I29" s="23"/>
      <c r="J29" s="78"/>
      <c r="K29" s="78"/>
      <c r="L29" s="78"/>
      <c r="M29" s="78"/>
      <c r="N29" s="78"/>
      <c r="O29" s="80">
        <f>O26-O27</f>
        <v>1</v>
      </c>
      <c r="P29" s="80">
        <f>P26-P27</f>
        <v>1</v>
      </c>
      <c r="Q29" s="80">
        <f>Q26-Q27</f>
        <v>1</v>
      </c>
      <c r="R29" s="80">
        <f>R26-R27</f>
        <v>1</v>
      </c>
      <c r="S29" s="80">
        <f>S26-S27</f>
        <v>1</v>
      </c>
    </row>
    <row r="30" spans="1:30" ht="10.5" x14ac:dyDescent="0.25">
      <c r="C30" s="109"/>
      <c r="D30" s="110"/>
      <c r="E30" s="110"/>
      <c r="F30" s="77"/>
      <c r="G30" s="23"/>
      <c r="H30" s="23"/>
      <c r="I30" s="23"/>
      <c r="J30" s="78"/>
      <c r="K30" s="78"/>
      <c r="L30" s="78"/>
      <c r="M30" s="78"/>
      <c r="N30" s="78"/>
      <c r="O30" s="80"/>
      <c r="P30" s="80"/>
      <c r="Q30" s="80"/>
      <c r="R30" s="80"/>
      <c r="S30" s="80"/>
    </row>
    <row r="31" spans="1:30" s="19" customFormat="1" ht="13" x14ac:dyDescent="0.3">
      <c r="A31" s="12"/>
      <c r="B31" s="13" t="s">
        <v>98</v>
      </c>
      <c r="C31" s="12"/>
      <c r="D31" s="12"/>
      <c r="E31" s="12"/>
      <c r="F31" s="14"/>
      <c r="G31" s="14"/>
      <c r="H31" s="14"/>
      <c r="I31" s="14"/>
      <c r="J31" s="15"/>
      <c r="K31" s="16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7"/>
      <c r="Y31" s="17"/>
      <c r="Z31" s="17"/>
      <c r="AA31" s="17"/>
      <c r="AB31" s="17"/>
      <c r="AC31" s="18"/>
      <c r="AD31" s="18"/>
    </row>
    <row r="32" spans="1:30" hidden="1" x14ac:dyDescent="0.2">
      <c r="C32" s="111"/>
      <c r="D32" s="113"/>
      <c r="E32" s="113"/>
      <c r="F32" s="114"/>
      <c r="G32" s="64"/>
      <c r="H32" s="64"/>
      <c r="I32" s="64"/>
      <c r="J32" s="74"/>
      <c r="K32" s="74"/>
      <c r="L32" s="74"/>
      <c r="M32" s="74"/>
      <c r="N32" s="74"/>
      <c r="O32" s="79"/>
      <c r="P32" s="79"/>
      <c r="Q32" s="79"/>
      <c r="R32" s="79"/>
      <c r="S32" s="79"/>
    </row>
    <row r="33" spans="1:30" hidden="1" x14ac:dyDescent="0.2">
      <c r="C33" s="111"/>
      <c r="D33" s="113"/>
      <c r="E33" s="113"/>
      <c r="F33" s="114"/>
      <c r="G33" s="64"/>
      <c r="H33" s="64"/>
      <c r="I33" s="64"/>
      <c r="J33" s="74"/>
      <c r="K33" s="74"/>
      <c r="L33" s="74"/>
      <c r="M33" s="74"/>
      <c r="N33" s="74"/>
      <c r="O33" s="79"/>
      <c r="P33" s="79"/>
      <c r="Q33" s="79"/>
      <c r="R33" s="79"/>
      <c r="S33" s="79"/>
    </row>
    <row r="34" spans="1:30" hidden="1" x14ac:dyDescent="0.2">
      <c r="C34" s="111"/>
      <c r="D34" s="113"/>
      <c r="E34" s="113"/>
      <c r="F34" s="114"/>
      <c r="G34" s="64"/>
      <c r="H34" s="64"/>
      <c r="I34" s="64"/>
      <c r="J34" s="74"/>
      <c r="K34" s="74"/>
      <c r="L34" s="74"/>
      <c r="M34" s="74"/>
      <c r="N34" s="74"/>
      <c r="O34" s="79"/>
      <c r="P34" s="79"/>
      <c r="Q34" s="79"/>
      <c r="R34" s="79"/>
      <c r="S34" s="79"/>
    </row>
    <row r="35" spans="1:30" hidden="1" x14ac:dyDescent="0.2">
      <c r="C35" s="111"/>
      <c r="D35" s="113"/>
      <c r="E35" s="113"/>
      <c r="F35" s="114"/>
      <c r="G35" s="64"/>
      <c r="H35" s="64"/>
      <c r="I35" s="64"/>
      <c r="J35" s="74"/>
      <c r="K35" s="74"/>
      <c r="L35" s="74"/>
      <c r="M35" s="74"/>
      <c r="N35" s="74"/>
      <c r="O35" s="79"/>
      <c r="P35" s="79"/>
      <c r="Q35" s="79"/>
      <c r="R35" s="79"/>
      <c r="S35" s="79"/>
    </row>
    <row r="36" spans="1:30" hidden="1" x14ac:dyDescent="0.2">
      <c r="C36" s="111"/>
      <c r="D36" s="113"/>
      <c r="E36" s="113"/>
      <c r="F36" s="114"/>
      <c r="G36" s="64"/>
      <c r="H36" s="64"/>
      <c r="I36" s="64"/>
      <c r="J36" s="74"/>
      <c r="K36" s="74"/>
      <c r="L36" s="74"/>
      <c r="M36" s="74"/>
      <c r="N36" s="74"/>
      <c r="O36" s="79"/>
      <c r="P36" s="79"/>
      <c r="Q36" s="79"/>
      <c r="R36" s="79"/>
      <c r="S36" s="79"/>
    </row>
    <row r="37" spans="1:30" hidden="1" x14ac:dyDescent="0.2">
      <c r="C37" s="111"/>
      <c r="D37" s="113"/>
      <c r="E37" s="113"/>
      <c r="F37" s="114"/>
      <c r="G37" s="64"/>
      <c r="H37" s="64"/>
      <c r="I37" s="64"/>
      <c r="J37" s="74"/>
      <c r="K37" s="74"/>
      <c r="L37" s="74"/>
      <c r="M37" s="74"/>
      <c r="N37" s="74"/>
      <c r="O37" s="79"/>
      <c r="P37" s="79"/>
      <c r="Q37" s="79"/>
      <c r="R37" s="79"/>
      <c r="S37" s="79"/>
    </row>
    <row r="38" spans="1:30" hidden="1" x14ac:dyDescent="0.2">
      <c r="C38" s="111"/>
      <c r="D38" s="113"/>
      <c r="E38" s="113"/>
      <c r="F38" s="114"/>
      <c r="G38" s="64"/>
      <c r="H38" s="64"/>
      <c r="I38" s="64"/>
      <c r="J38" s="74"/>
      <c r="K38" s="74"/>
      <c r="L38" s="74"/>
      <c r="M38" s="74"/>
      <c r="N38" s="74"/>
      <c r="O38" s="79"/>
      <c r="P38" s="79"/>
      <c r="Q38" s="79"/>
      <c r="R38" s="79"/>
      <c r="S38" s="79"/>
    </row>
    <row r="39" spans="1:30" hidden="1" x14ac:dyDescent="0.2">
      <c r="C39" s="111"/>
      <c r="D39" s="113"/>
      <c r="E39" s="113"/>
      <c r="F39" s="114"/>
      <c r="G39" s="64"/>
      <c r="H39" s="64"/>
      <c r="I39" s="64"/>
      <c r="J39" s="74"/>
      <c r="K39" s="74"/>
      <c r="L39" s="74"/>
      <c r="M39" s="74"/>
      <c r="N39" s="74"/>
      <c r="O39" s="79"/>
      <c r="P39" s="79"/>
      <c r="Q39" s="79"/>
      <c r="R39" s="79"/>
      <c r="S39" s="79"/>
    </row>
    <row r="40" spans="1:30" hidden="1" x14ac:dyDescent="0.2">
      <c r="C40" s="111"/>
      <c r="D40" s="113"/>
      <c r="E40" s="113"/>
      <c r="F40" s="114"/>
      <c r="G40" s="64"/>
      <c r="H40" s="64"/>
      <c r="I40" s="64"/>
      <c r="J40" s="74"/>
      <c r="K40" s="74"/>
      <c r="L40" s="74"/>
      <c r="M40" s="74"/>
      <c r="N40" s="74"/>
      <c r="O40" s="79"/>
      <c r="P40" s="79"/>
      <c r="Q40" s="79"/>
      <c r="R40" s="79"/>
      <c r="S40" s="79"/>
    </row>
    <row r="41" spans="1:30" hidden="1" x14ac:dyDescent="0.2">
      <c r="C41" s="111"/>
      <c r="D41" s="113"/>
      <c r="E41" s="113"/>
      <c r="F41" s="114"/>
      <c r="G41" s="64"/>
      <c r="H41" s="64"/>
      <c r="I41" s="64"/>
      <c r="J41" s="74"/>
      <c r="K41" s="74"/>
      <c r="L41" s="74"/>
      <c r="M41" s="74"/>
      <c r="N41" s="74"/>
      <c r="O41" s="79"/>
      <c r="P41" s="79"/>
      <c r="Q41" s="79"/>
      <c r="R41" s="79"/>
      <c r="S41" s="79"/>
    </row>
    <row r="42" spans="1:30" hidden="1" x14ac:dyDescent="0.2">
      <c r="C42" s="111"/>
      <c r="D42" s="113"/>
      <c r="E42" s="113"/>
      <c r="F42" s="114"/>
      <c r="G42" s="64"/>
      <c r="H42" s="64"/>
      <c r="I42" s="64"/>
      <c r="J42" s="74"/>
      <c r="K42" s="74"/>
      <c r="L42" s="74"/>
      <c r="M42" s="74"/>
      <c r="N42" s="74"/>
      <c r="O42" s="79"/>
      <c r="P42" s="79"/>
      <c r="Q42" s="79"/>
      <c r="R42" s="79"/>
      <c r="S42" s="79"/>
    </row>
    <row r="43" spans="1:30" hidden="1" x14ac:dyDescent="0.2">
      <c r="C43" s="111"/>
      <c r="D43" s="113"/>
      <c r="E43" s="113"/>
      <c r="F43" s="114"/>
      <c r="G43" s="64"/>
      <c r="H43" s="64"/>
      <c r="I43" s="64"/>
      <c r="J43" s="74"/>
      <c r="K43" s="74"/>
      <c r="L43" s="74"/>
      <c r="M43" s="74"/>
      <c r="N43" s="74"/>
      <c r="O43" s="79"/>
      <c r="P43" s="79"/>
      <c r="Q43" s="79"/>
      <c r="R43" s="79"/>
      <c r="S43" s="79"/>
    </row>
    <row r="44" spans="1:30" hidden="1" x14ac:dyDescent="0.2">
      <c r="C44" s="111"/>
      <c r="D44" s="113"/>
      <c r="E44" s="113"/>
      <c r="F44" s="114"/>
      <c r="G44" s="64"/>
      <c r="H44" s="64"/>
      <c r="I44" s="64"/>
      <c r="J44" s="74"/>
      <c r="K44" s="74"/>
      <c r="L44" s="74"/>
      <c r="M44" s="74"/>
      <c r="N44" s="74"/>
      <c r="O44" s="79"/>
      <c r="P44" s="79"/>
      <c r="Q44" s="79"/>
      <c r="R44" s="79"/>
      <c r="S44" s="79"/>
    </row>
    <row r="45" spans="1:30" hidden="1" x14ac:dyDescent="0.2">
      <c r="C45" s="111"/>
      <c r="D45" s="113"/>
      <c r="E45" s="113"/>
      <c r="F45" s="114"/>
      <c r="G45" s="64"/>
      <c r="H45" s="64"/>
      <c r="I45" s="64"/>
      <c r="J45" s="74"/>
      <c r="K45" s="74"/>
      <c r="L45" s="74"/>
      <c r="M45" s="74"/>
      <c r="N45" s="74"/>
      <c r="O45" s="79"/>
      <c r="P45" s="79"/>
      <c r="Q45" s="79"/>
      <c r="R45" s="79"/>
      <c r="S45" s="79"/>
    </row>
    <row r="46" spans="1:30" hidden="1" x14ac:dyDescent="0.2">
      <c r="C46" s="55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112"/>
      <c r="O46" s="112"/>
      <c r="P46" s="112"/>
      <c r="Q46" s="112"/>
      <c r="R46" s="112"/>
      <c r="S46" s="112"/>
    </row>
    <row r="47" spans="1:30" s="19" customFormat="1" ht="13" hidden="1" x14ac:dyDescent="0.3">
      <c r="A47" s="12"/>
      <c r="B47" s="13" t="s">
        <v>18</v>
      </c>
      <c r="C47" s="12"/>
      <c r="D47" s="12"/>
      <c r="E47" s="12"/>
      <c r="F47" s="14"/>
      <c r="G47" s="14"/>
      <c r="H47" s="14"/>
      <c r="I47" s="14"/>
      <c r="J47" s="15"/>
      <c r="K47" s="16"/>
      <c r="L47" s="15"/>
      <c r="M47" s="16"/>
      <c r="N47" s="15"/>
      <c r="O47" s="15"/>
      <c r="P47" s="15"/>
      <c r="Q47" s="15"/>
      <c r="R47" s="15"/>
      <c r="S47" s="15"/>
      <c r="T47" s="15"/>
      <c r="U47" s="15"/>
      <c r="V47" s="16"/>
      <c r="W47" s="16"/>
      <c r="X47" s="17"/>
      <c r="Y47" s="17"/>
      <c r="Z47" s="17"/>
      <c r="AA47" s="17"/>
      <c r="AB47" s="17"/>
      <c r="AC47" s="18"/>
      <c r="AD47" s="18"/>
    </row>
  </sheetData>
  <mergeCells count="1">
    <mergeCell ref="N3:S3"/>
  </mergeCells>
  <conditionalFormatting sqref="O24:S24 O17:S17">
    <cfRule type="expression" dxfId="22" priority="1">
      <formula>O$10=O$4</formula>
    </cfRule>
  </conditionalFormatting>
  <dataValidations count="1">
    <dataValidation type="list" allowBlank="1" showInputMessage="1" showErrorMessage="1" sqref="F46" xr:uid="{07B616F8-09A6-4CF0-B935-87281CC119FF}">
      <formula1>"Real 2010,Real 2011,Real 2012,Real 2013,Real 2014,Real 2015,Nominal"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BCAA27-F8C2-46A6-BBB6-B0731A0EFFE9}">
          <x14:formula1>
            <xm:f>'Lookup|Tables'!$G$81:$G$84</xm:f>
          </x14:formula1>
          <xm:sqref>F12 F19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400B-4B0A-4C50-B8E1-EF0BC71D7581}">
  <sheetPr>
    <tabColor rgb="FFCCFFCC"/>
  </sheetPr>
  <dimension ref="A1:AD54"/>
  <sheetViews>
    <sheetView showGridLines="0" zoomScale="75" zoomScaleNormal="75" workbookViewId="0"/>
  </sheetViews>
  <sheetFormatPr defaultColWidth="0" defaultRowHeight="10" zeroHeight="1" x14ac:dyDescent="0.2"/>
  <cols>
    <col min="1" max="2" width="1.1796875" style="20" customWidth="1"/>
    <col min="3" max="3" width="62.5429687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7" width="4.54296875" style="21" customWidth="1"/>
    <col min="8" max="9" width="2.81640625" style="21" customWidth="1"/>
    <col min="10" max="23" width="8.81640625" style="20" customWidth="1"/>
    <col min="24" max="38" width="8.54296875" style="20" hidden="1" customWidth="1"/>
    <col min="39" max="16384" width="8.54296875" style="20" hidden="1"/>
  </cols>
  <sheetData>
    <row r="1" spans="1:30" s="1" customFormat="1" ht="15.5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96" t="s">
        <v>1</v>
      </c>
      <c r="M1" s="97" t="s">
        <v>2</v>
      </c>
      <c r="N1" s="98" t="s">
        <v>3</v>
      </c>
      <c r="O1" s="2"/>
      <c r="P1" s="2"/>
      <c r="Q1" s="2"/>
      <c r="R1" s="2"/>
      <c r="S1" s="2"/>
      <c r="T1" s="2"/>
      <c r="U1" s="2"/>
      <c r="V1" s="2"/>
      <c r="W1" s="2"/>
    </row>
    <row r="2" spans="1:30" s="7" customFormat="1" ht="13.5" thickBot="1" x14ac:dyDescent="0.35">
      <c r="B2" s="8" t="s">
        <v>343</v>
      </c>
      <c r="C2" s="8"/>
      <c r="D2" s="8"/>
      <c r="E2" s="8"/>
      <c r="F2" s="9"/>
      <c r="G2" s="9"/>
      <c r="H2" s="9"/>
      <c r="I2" s="9"/>
    </row>
    <row r="3" spans="1:30" s="38" customFormat="1" ht="14.5" customHeight="1" x14ac:dyDescent="0.25">
      <c r="D3" s="134"/>
      <c r="E3" s="134"/>
      <c r="F3" s="134"/>
      <c r="G3" s="134"/>
      <c r="H3" s="134"/>
      <c r="I3" s="134"/>
      <c r="J3" s="65" t="s">
        <v>12</v>
      </c>
      <c r="K3" s="65"/>
      <c r="L3" s="65"/>
      <c r="M3" s="134"/>
      <c r="N3" s="210"/>
      <c r="O3" s="210"/>
      <c r="P3" s="210"/>
      <c r="Q3" s="210"/>
      <c r="R3" s="210"/>
      <c r="S3" s="210"/>
      <c r="T3" s="42"/>
      <c r="U3" s="42"/>
      <c r="V3" s="42"/>
      <c r="W3" s="42"/>
      <c r="X3" s="42"/>
      <c r="Y3" s="42"/>
      <c r="Z3" s="42"/>
    </row>
    <row r="4" spans="1:30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6"/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</row>
    <row r="5" spans="1:30" s="10" customFormat="1" ht="3" customHeight="1" x14ac:dyDescent="0.2">
      <c r="D5" s="11"/>
      <c r="E5" s="11"/>
      <c r="F5" s="11"/>
      <c r="G5" s="11"/>
      <c r="H5" s="11"/>
      <c r="I5" s="11"/>
    </row>
    <row r="6" spans="1:30" s="10" customFormat="1" x14ac:dyDescent="0.2">
      <c r="D6" s="11"/>
      <c r="E6" s="11"/>
      <c r="F6" s="11"/>
      <c r="G6" s="11"/>
      <c r="H6" s="11"/>
      <c r="I6" s="11"/>
    </row>
    <row r="7" spans="1:30" s="10" customFormat="1" ht="3" customHeight="1" x14ac:dyDescent="0.2">
      <c r="D7" s="11"/>
      <c r="E7" s="11"/>
      <c r="F7" s="11"/>
      <c r="G7" s="11"/>
      <c r="H7" s="11"/>
      <c r="I7" s="11"/>
    </row>
    <row r="8" spans="1:30" s="19" customFormat="1" ht="13" x14ac:dyDescent="0.3">
      <c r="A8" s="12"/>
      <c r="B8" s="13" t="s">
        <v>280</v>
      </c>
      <c r="C8" s="12"/>
      <c r="D8" s="12"/>
      <c r="E8" s="66" t="s">
        <v>37</v>
      </c>
      <c r="F8" s="82">
        <f>DATE(PPLastYear,MONTH('Input|General'!G9),1)</f>
        <v>45444</v>
      </c>
      <c r="G8" s="14"/>
      <c r="H8" s="14"/>
      <c r="I8" s="14"/>
      <c r="J8" s="15"/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  <c r="X8" s="17"/>
      <c r="Y8" s="17"/>
      <c r="Z8" s="17"/>
      <c r="AA8" s="17"/>
      <c r="AB8" s="17"/>
      <c r="AC8" s="18"/>
      <c r="AD8" s="18"/>
    </row>
    <row r="9" spans="1:30" x14ac:dyDescent="0.2"/>
    <row r="10" spans="1:30" ht="10.5" x14ac:dyDescent="0.25">
      <c r="C10" s="29" t="s">
        <v>261</v>
      </c>
      <c r="D10" s="23" t="s">
        <v>6</v>
      </c>
      <c r="E10" s="23" t="s">
        <v>24</v>
      </c>
      <c r="F10" s="23" t="s">
        <v>28</v>
      </c>
      <c r="J10" s="62">
        <f t="shared" ref="J10:S10" si="0">IF(YEAR(J$4)&lt;=PPLastYear,J$4,"")</f>
        <v>43983</v>
      </c>
      <c r="K10" s="62">
        <f t="shared" si="0"/>
        <v>44348</v>
      </c>
      <c r="L10" s="62">
        <f t="shared" si="0"/>
        <v>44713</v>
      </c>
      <c r="M10" s="62">
        <f t="shared" si="0"/>
        <v>45078</v>
      </c>
      <c r="N10" s="62">
        <f t="shared" si="0"/>
        <v>45444</v>
      </c>
      <c r="O10" s="62" t="str">
        <f t="shared" si="0"/>
        <v/>
      </c>
      <c r="P10" s="62" t="str">
        <f t="shared" si="0"/>
        <v/>
      </c>
      <c r="Q10" s="62" t="str">
        <f t="shared" si="0"/>
        <v/>
      </c>
      <c r="R10" s="62" t="str">
        <f t="shared" si="0"/>
        <v/>
      </c>
      <c r="S10" s="62" t="str">
        <f t="shared" si="0"/>
        <v/>
      </c>
    </row>
    <row r="11" spans="1:30" x14ac:dyDescent="0.2">
      <c r="C11" s="55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30" x14ac:dyDescent="0.2">
      <c r="C12" s="55" t="s">
        <v>344</v>
      </c>
      <c r="D12" s="167" t="s">
        <v>41</v>
      </c>
      <c r="E12" s="21" t="str">
        <f>$E$8</f>
        <v>$millions</v>
      </c>
      <c r="F12" s="69">
        <v>45444</v>
      </c>
      <c r="J12" s="70"/>
      <c r="K12" s="70"/>
      <c r="L12" s="70"/>
      <c r="M12" s="81">
        <v>0</v>
      </c>
      <c r="N12" s="64"/>
      <c r="O12" s="79"/>
      <c r="P12" s="79"/>
      <c r="Q12" s="79"/>
      <c r="R12" s="79"/>
      <c r="S12" s="79"/>
    </row>
    <row r="13" spans="1:30" ht="10.5" x14ac:dyDescent="0.25">
      <c r="C13" s="55" t="str">
        <f>C12</f>
        <v>ICT enablement for CER integration opex</v>
      </c>
      <c r="D13" s="21" t="s">
        <v>23</v>
      </c>
      <c r="E13" s="21" t="str">
        <f>$E$8</f>
        <v>$millions</v>
      </c>
      <c r="F13" s="71">
        <f>$F$8</f>
        <v>45444</v>
      </c>
      <c r="J13" s="72"/>
      <c r="K13" s="72"/>
      <c r="L13" s="72"/>
      <c r="M13" s="79">
        <f>M12*IF($F12="nominal",LOOKUP($F13,'Lookup|Tables'!Nominal_to_Real,'Calc|CPI Indexes'!N$31:N$42),INDEX('Calc|CPI Indexes'!$C$14:$T$27,MATCH($F12,'Calc|CPI Indexes'!$C$14:$C$27,0),MATCH($F13,'Calc|CPI Indexes'!$C$14:$T$14,0)))</f>
        <v>0</v>
      </c>
      <c r="N13" s="64"/>
      <c r="O13" s="79"/>
      <c r="P13" s="80"/>
      <c r="Q13" s="80"/>
      <c r="R13" s="80"/>
      <c r="S13" s="80"/>
    </row>
    <row r="14" spans="1:30" x14ac:dyDescent="0.2">
      <c r="J14" s="64"/>
      <c r="K14" s="64"/>
      <c r="L14" s="64"/>
    </row>
    <row r="15" spans="1:30" s="19" customFormat="1" ht="13" x14ac:dyDescent="0.3">
      <c r="A15" s="12"/>
      <c r="B15" s="13" t="s">
        <v>38</v>
      </c>
      <c r="C15" s="12"/>
      <c r="D15" s="12"/>
      <c r="E15" s="12"/>
      <c r="F15" s="14"/>
      <c r="G15" s="14"/>
      <c r="H15" s="14"/>
      <c r="I15" s="14"/>
      <c r="J15" s="15"/>
      <c r="K15" s="16"/>
      <c r="L15" s="15"/>
      <c r="M15" s="16"/>
      <c r="N15" s="15"/>
      <c r="O15" s="15"/>
      <c r="P15" s="15"/>
      <c r="Q15" s="15"/>
      <c r="R15" s="15"/>
      <c r="S15" s="15"/>
      <c r="T15" s="15"/>
      <c r="U15" s="15"/>
      <c r="V15" s="16"/>
      <c r="W15" s="16"/>
      <c r="X15" s="17"/>
      <c r="Y15" s="17"/>
      <c r="Z15" s="17"/>
      <c r="AA15" s="17"/>
      <c r="AB15" s="17"/>
      <c r="AC15" s="18"/>
      <c r="AD15" s="18"/>
    </row>
    <row r="16" spans="1:30" x14ac:dyDescent="0.2">
      <c r="C16" s="55"/>
      <c r="J16" s="64"/>
      <c r="K16" s="64"/>
      <c r="L16" s="64"/>
    </row>
    <row r="17" spans="1:30" ht="10.5" x14ac:dyDescent="0.25">
      <c r="C17" s="29" t="s">
        <v>262</v>
      </c>
      <c r="D17" s="23" t="s">
        <v>6</v>
      </c>
      <c r="E17" s="23" t="s">
        <v>24</v>
      </c>
      <c r="F17" s="23" t="s">
        <v>28</v>
      </c>
      <c r="J17" s="62" t="str">
        <f>IF(YEAR(J$4)&gt;='Input|General'!$G$13,IF(YEAR(J$4)&lt;='Input|General'!$G$14,J$4,""),"")</f>
        <v/>
      </c>
      <c r="K17" s="62" t="str">
        <f>IF(YEAR(K$4)&gt;='Input|General'!$G$13,IF(YEAR(K$4)&lt;='Input|General'!$G$14,K$4,""),"")</f>
        <v/>
      </c>
      <c r="L17" s="62" t="str">
        <f>IF(YEAR(L$4)&gt;='Input|General'!$G$13,IF(YEAR(L$4)&lt;='Input|General'!$G$14,L$4,""),"")</f>
        <v/>
      </c>
      <c r="M17" s="62" t="str">
        <f>IF(YEAR(M$4)&gt;='Input|General'!$G$13,IF(YEAR(M$4)&lt;='Input|General'!$G$14,M$4,""),"")</f>
        <v/>
      </c>
      <c r="N17" s="62" t="str">
        <f>IF(YEAR(N$4)&gt;='Input|General'!$G$13,IF(YEAR(N$4)&lt;='Input|General'!$G$14,N$4,""),"")</f>
        <v/>
      </c>
      <c r="O17" s="175">
        <f>IF(YEAR(O$4)&gt;=FPFirstYear,IF(YEAR(O$4)&lt;=FPLastYear,O$4,""),"")</f>
        <v>45809</v>
      </c>
      <c r="P17" s="175">
        <f>IF(YEAR(P$4)&gt;=FPFirstYear,IF(YEAR(P$4)&lt;=FPLastYear,P$4,""),"")</f>
        <v>46174</v>
      </c>
      <c r="Q17" s="175">
        <f>IF(YEAR(Q$4)&gt;=FPFirstYear,IF(YEAR(Q$4)&lt;=FPLastYear,Q$4,""),"")</f>
        <v>46539</v>
      </c>
      <c r="R17" s="175">
        <f>IF(YEAR(R$4)&gt;=FPFirstYear,IF(YEAR(R$4)&lt;=FPLastYear,R$4,""),"")</f>
        <v>46905</v>
      </c>
      <c r="S17" s="175">
        <f>IF(YEAR(S$4)&gt;=FPFirstYear,IF(YEAR(S$4)&lt;=FPLastYear,S$4,""),"")</f>
        <v>47270</v>
      </c>
    </row>
    <row r="18" spans="1:30" ht="10.5" x14ac:dyDescent="0.25">
      <c r="C18" s="29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30" x14ac:dyDescent="0.2">
      <c r="C19" s="55" t="s">
        <v>344</v>
      </c>
      <c r="D19" s="167" t="s">
        <v>41</v>
      </c>
      <c r="E19" s="21" t="str">
        <f>$E$8</f>
        <v>$millions</v>
      </c>
      <c r="F19" s="69">
        <v>45444</v>
      </c>
      <c r="J19" s="74"/>
      <c r="K19" s="74"/>
      <c r="L19" s="74"/>
      <c r="M19" s="74"/>
      <c r="N19" s="74"/>
      <c r="O19" s="81">
        <f>INDEX($M$50:$S$51,MATCH($F19,$F$50:$F$51,0),MATCH(O$17,$M$49:$S$49,0))</f>
        <v>0.94172062919999988</v>
      </c>
      <c r="P19" s="81">
        <f>INDEX($M$50:$S$51,MATCH($F19,$F$50:$F$51,0),MATCH(P$17,$M$49:$S$49,0))</f>
        <v>2.0922325293999999</v>
      </c>
      <c r="Q19" s="81">
        <f>INDEX($M$50:$S$51,MATCH($F19,$F$50:$F$51,0),MATCH(Q$17,$M$49:$S$49,0))</f>
        <v>2.2419862685999994</v>
      </c>
      <c r="R19" s="81">
        <f>INDEX($M$50:$S$51,MATCH($F19,$F$50:$F$51,0),MATCH(R$17,$M$49:$S$49,0))</f>
        <v>2.4997354927999997</v>
      </c>
      <c r="S19" s="81">
        <f>INDEX($M$50:$S$51,MATCH($F19,$F$50:$F$51,0),MATCH(S$17,$M$49:$S$49,0))</f>
        <v>2.5774922419999999</v>
      </c>
    </row>
    <row r="20" spans="1:30" x14ac:dyDescent="0.2">
      <c r="C20" s="55" t="str">
        <f>C19</f>
        <v>ICT enablement for CER integration opex</v>
      </c>
      <c r="D20" s="21" t="s">
        <v>23</v>
      </c>
      <c r="E20" s="21" t="str">
        <f>$E$8</f>
        <v>$millions</v>
      </c>
      <c r="F20" s="71">
        <f t="shared" ref="F20" si="1">$F$8</f>
        <v>45444</v>
      </c>
      <c r="J20" s="74"/>
      <c r="K20" s="74"/>
      <c r="L20" s="74"/>
      <c r="M20" s="74"/>
      <c r="N20" s="74"/>
      <c r="O20" s="79">
        <f>O19*IF($F19="nominal",LOOKUP($F20,'Lookup|Tables'!Nominal_to_Real,'Calc|CPI Indexes'!P$31:P$42),INDEX('Calc|CPI Indexes'!$C$14:$T$27,MATCH($F19,'Calc|CPI Indexes'!$C$14:$C$27,0),MATCH($F20,'Calc|CPI Indexes'!$C$14:$T$14,0)))</f>
        <v>0.94172062919999988</v>
      </c>
      <c r="P20" s="79">
        <f>P19*IF($F19="nominal",LOOKUP($F20,'Lookup|Tables'!Nominal_to_Real,'Calc|CPI Indexes'!Q$31:Q$42),INDEX('Calc|CPI Indexes'!$C$14:$T$27,MATCH($F19,'Calc|CPI Indexes'!$C$14:$C$27,0),MATCH($F20,'Calc|CPI Indexes'!$C$14:$T$14,0)))</f>
        <v>2.0922325293999999</v>
      </c>
      <c r="Q20" s="79">
        <f>Q19*IF($F19="nominal",LOOKUP($F20,'Lookup|Tables'!Nominal_to_Real,'Calc|CPI Indexes'!R$31:R$42),INDEX('Calc|CPI Indexes'!$C$14:$T$27,MATCH($F19,'Calc|CPI Indexes'!$C$14:$C$27,0),MATCH($F20,'Calc|CPI Indexes'!$C$14:$T$14,0)))</f>
        <v>2.2419862685999994</v>
      </c>
      <c r="R20" s="79">
        <f>R19*IF($F19="nominal",LOOKUP($F20,'Lookup|Tables'!Nominal_to_Real,'Calc|CPI Indexes'!S$31:S$42),INDEX('Calc|CPI Indexes'!$C$14:$T$27,MATCH($F19,'Calc|CPI Indexes'!$C$14:$C$27,0),MATCH($F20,'Calc|CPI Indexes'!$C$14:$T$14,0)))</f>
        <v>2.4997354927999997</v>
      </c>
      <c r="S20" s="79">
        <f>S19*IF($F19="nominal",LOOKUP($F20,'Lookup|Tables'!Nominal_to_Real,'Calc|CPI Indexes'!T$31:T$42),INDEX('Calc|CPI Indexes'!$C$14:$T$27,MATCH($F19,'Calc|CPI Indexes'!$C$14:$C$27,0),MATCH($F20,'Calc|CPI Indexes'!$C$14:$T$14,0)))</f>
        <v>2.5774922419999999</v>
      </c>
    </row>
    <row r="21" spans="1:30" x14ac:dyDescent="0.2">
      <c r="C21" s="73"/>
      <c r="F21" s="71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30" s="19" customFormat="1" ht="13" x14ac:dyDescent="0.3">
      <c r="A22" s="12"/>
      <c r="B22" s="13" t="s">
        <v>39</v>
      </c>
      <c r="C22" s="12"/>
      <c r="D22" s="12"/>
      <c r="E22" s="12"/>
      <c r="F22" s="14"/>
      <c r="G22" s="14"/>
      <c r="H22" s="14"/>
      <c r="I22" s="14"/>
      <c r="J22" s="15"/>
      <c r="K22" s="16"/>
      <c r="L22" s="15"/>
      <c r="M22" s="16"/>
      <c r="N22" s="15"/>
      <c r="O22" s="15"/>
      <c r="P22" s="15"/>
      <c r="Q22" s="15"/>
      <c r="R22" s="15"/>
      <c r="S22" s="15"/>
      <c r="T22" s="15"/>
      <c r="U22" s="15"/>
      <c r="V22" s="16"/>
      <c r="W22" s="16"/>
      <c r="X22" s="17"/>
      <c r="Y22" s="17"/>
      <c r="Z22" s="17"/>
      <c r="AA22" s="17"/>
      <c r="AB22" s="17"/>
      <c r="AC22" s="18"/>
      <c r="AD22" s="18"/>
    </row>
    <row r="23" spans="1:30" x14ac:dyDescent="0.2">
      <c r="C23" s="55"/>
      <c r="J23" s="64"/>
      <c r="K23" s="64"/>
      <c r="L23" s="64"/>
    </row>
    <row r="24" spans="1:30" ht="10.5" x14ac:dyDescent="0.25">
      <c r="C24" s="29" t="s">
        <v>40</v>
      </c>
      <c r="D24" s="23" t="s">
        <v>6</v>
      </c>
      <c r="E24" s="23" t="s">
        <v>24</v>
      </c>
      <c r="F24" s="23" t="s">
        <v>28</v>
      </c>
      <c r="J24" s="62" t="str">
        <f>IF(YEAR(J$4)&gt;='Input|General'!$G$13,IF(YEAR(J$4)&lt;='Input|General'!$G$14,J$4,""),"")</f>
        <v/>
      </c>
      <c r="K24" s="62" t="str">
        <f>IF(YEAR(K$4)&gt;='Input|General'!$G$13,IF(YEAR(K$4)&lt;='Input|General'!$G$14,K$4,""),"")</f>
        <v/>
      </c>
      <c r="L24" s="62" t="str">
        <f>IF(YEAR(L$4)&gt;='Input|General'!$G$13,IF(YEAR(L$4)&lt;='Input|General'!$G$14,L$4,""),"")</f>
        <v/>
      </c>
      <c r="M24" s="62" t="str">
        <f>IF(YEAR(M$4)&gt;='Input|General'!$G$13,IF(YEAR(M$4)&lt;='Input|General'!$G$14,M$4,""),"")</f>
        <v/>
      </c>
      <c r="N24" s="62" t="str">
        <f>IF(YEAR(N$4)&gt;='Input|General'!$G$13,IF(YEAR(N$4)&lt;='Input|General'!$G$14,N$4,""),"")</f>
        <v/>
      </c>
      <c r="O24" s="175">
        <f>IF(YEAR(O$4)&gt;=FPFirstYear,IF(YEAR(O$4)&lt;=FPLastYear,O$4,""),"")</f>
        <v>45809</v>
      </c>
      <c r="P24" s="175">
        <f>IF(YEAR(P$4)&gt;=FPFirstYear,IF(YEAR(P$4)&lt;=FPLastYear,P$4,""),"")</f>
        <v>46174</v>
      </c>
      <c r="Q24" s="175">
        <f>IF(YEAR(Q$4)&gt;=FPFirstYear,IF(YEAR(Q$4)&lt;=FPLastYear,Q$4,""),"")</f>
        <v>46539</v>
      </c>
      <c r="R24" s="175">
        <f>IF(YEAR(R$4)&gt;=FPFirstYear,IF(YEAR(R$4)&lt;=FPLastYear,R$4,""),"")</f>
        <v>46905</v>
      </c>
      <c r="S24" s="175">
        <f>IF(YEAR(S$4)&gt;=FPFirstYear,IF(YEAR(S$4)&lt;=FPLastYear,S$4,""),"")</f>
        <v>47270</v>
      </c>
    </row>
    <row r="25" spans="1:30" ht="10.5" x14ac:dyDescent="0.25">
      <c r="C25" s="29"/>
      <c r="D25" s="23"/>
      <c r="E25" s="23"/>
      <c r="F25" s="23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30" x14ac:dyDescent="0.2">
      <c r="C26" s="55" t="s">
        <v>345</v>
      </c>
      <c r="D26" s="21" t="s">
        <v>23</v>
      </c>
      <c r="E26" s="21" t="str">
        <f>$E$8</f>
        <v>$millions</v>
      </c>
      <c r="F26" s="71">
        <f>F20</f>
        <v>45444</v>
      </c>
      <c r="J26" s="74"/>
      <c r="K26" s="74"/>
      <c r="L26" s="74"/>
      <c r="M26" s="74"/>
      <c r="N26" s="74"/>
      <c r="O26" s="79">
        <f>O20</f>
        <v>0.94172062919999988</v>
      </c>
      <c r="P26" s="79">
        <f>P20</f>
        <v>2.0922325293999999</v>
      </c>
      <c r="Q26" s="79">
        <f>Q20</f>
        <v>2.2419862685999994</v>
      </c>
      <c r="R26" s="79">
        <f>R20</f>
        <v>2.4997354927999997</v>
      </c>
      <c r="S26" s="79">
        <f>S20</f>
        <v>2.5774922419999999</v>
      </c>
    </row>
    <row r="27" spans="1:30" ht="10.5" x14ac:dyDescent="0.25">
      <c r="C27" s="55" t="s">
        <v>346</v>
      </c>
      <c r="D27" s="21" t="s">
        <v>23</v>
      </c>
      <c r="E27" s="21" t="str">
        <f>$E$8</f>
        <v>$millions</v>
      </c>
      <c r="F27" s="106">
        <f>F13</f>
        <v>45444</v>
      </c>
      <c r="J27" s="24"/>
      <c r="K27" s="24"/>
      <c r="L27" s="24"/>
      <c r="M27" s="24"/>
      <c r="N27" s="24"/>
      <c r="O27" s="107">
        <f>$M$13</f>
        <v>0</v>
      </c>
      <c r="P27" s="107">
        <f t="shared" ref="P27:S27" si="2">$M$13</f>
        <v>0</v>
      </c>
      <c r="Q27" s="107">
        <f t="shared" si="2"/>
        <v>0</v>
      </c>
      <c r="R27" s="107">
        <f t="shared" si="2"/>
        <v>0</v>
      </c>
      <c r="S27" s="107">
        <f t="shared" si="2"/>
        <v>0</v>
      </c>
    </row>
    <row r="28" spans="1:30" ht="3" customHeight="1" x14ac:dyDescent="0.2">
      <c r="F28" s="108"/>
      <c r="O28" s="101"/>
      <c r="P28" s="101"/>
      <c r="Q28" s="101"/>
      <c r="R28" s="101"/>
      <c r="S28" s="101"/>
    </row>
    <row r="29" spans="1:30" ht="10.5" x14ac:dyDescent="0.25">
      <c r="C29" s="75" t="s">
        <v>266</v>
      </c>
      <c r="D29" s="76" t="s">
        <v>23</v>
      </c>
      <c r="E29" s="76" t="str">
        <f>$E$8</f>
        <v>$millions</v>
      </c>
      <c r="F29" s="77">
        <f>F27</f>
        <v>45444</v>
      </c>
      <c r="G29" s="23"/>
      <c r="H29" s="23"/>
      <c r="I29" s="23"/>
      <c r="J29" s="78"/>
      <c r="K29" s="78"/>
      <c r="L29" s="78"/>
      <c r="M29" s="78"/>
      <c r="N29" s="78"/>
      <c r="O29" s="80">
        <f>O26-O27</f>
        <v>0.94172062919999988</v>
      </c>
      <c r="P29" s="80">
        <f>P26-P27</f>
        <v>2.0922325293999999</v>
      </c>
      <c r="Q29" s="80">
        <f>Q26-Q27</f>
        <v>2.2419862685999994</v>
      </c>
      <c r="R29" s="80">
        <f>R26-R27</f>
        <v>2.4997354927999997</v>
      </c>
      <c r="S29" s="80">
        <f>S26-S27</f>
        <v>2.5774922419999999</v>
      </c>
    </row>
    <row r="30" spans="1:30" ht="10.5" x14ac:dyDescent="0.25">
      <c r="C30" s="109"/>
      <c r="D30" s="110"/>
      <c r="E30" s="110"/>
      <c r="F30" s="77"/>
      <c r="G30" s="23"/>
      <c r="H30" s="23"/>
      <c r="I30" s="23"/>
      <c r="J30" s="78"/>
      <c r="K30" s="78"/>
      <c r="L30" s="78"/>
      <c r="M30" s="78"/>
      <c r="N30" s="78"/>
      <c r="O30" s="80"/>
      <c r="P30" s="80"/>
      <c r="Q30" s="80"/>
      <c r="R30" s="80"/>
      <c r="S30" s="80"/>
    </row>
    <row r="31" spans="1:30" s="19" customFormat="1" ht="13" x14ac:dyDescent="0.3">
      <c r="A31" s="12"/>
      <c r="B31" s="13" t="s">
        <v>98</v>
      </c>
      <c r="C31" s="12"/>
      <c r="D31" s="12"/>
      <c r="E31" s="12"/>
      <c r="F31" s="14"/>
      <c r="G31" s="14"/>
      <c r="H31" s="14"/>
      <c r="I31" s="14"/>
      <c r="J31" s="15"/>
      <c r="K31" s="16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7"/>
      <c r="Y31" s="17"/>
      <c r="Z31" s="17"/>
      <c r="AA31" s="17"/>
      <c r="AB31" s="17"/>
      <c r="AC31" s="18"/>
      <c r="AD31" s="18"/>
    </row>
    <row r="32" spans="1:30" x14ac:dyDescent="0.2">
      <c r="C32" s="111"/>
      <c r="D32" s="113"/>
      <c r="E32" s="113"/>
      <c r="F32" s="114"/>
      <c r="G32" s="64"/>
      <c r="H32" s="64"/>
      <c r="I32" s="64"/>
      <c r="J32" s="74"/>
      <c r="K32" s="74"/>
      <c r="L32" s="74"/>
      <c r="M32" s="74"/>
      <c r="N32" s="74"/>
      <c r="O32" s="79"/>
      <c r="P32" s="79"/>
      <c r="Q32" s="79"/>
      <c r="R32" s="79"/>
      <c r="S32" s="79"/>
    </row>
    <row r="33" spans="3:19" ht="10.5" x14ac:dyDescent="0.25">
      <c r="C33" s="29" t="s">
        <v>347</v>
      </c>
      <c r="D33" s="23" t="s">
        <v>6</v>
      </c>
      <c r="E33" s="23" t="s">
        <v>24</v>
      </c>
      <c r="F33" s="23" t="s">
        <v>28</v>
      </c>
      <c r="H33" s="64"/>
      <c r="I33" s="130"/>
      <c r="J33" s="74"/>
      <c r="L33" s="74"/>
      <c r="M33" s="74"/>
      <c r="N33" s="74"/>
      <c r="O33" s="175">
        <f>IF(YEAR(O$4)&gt;=FPFirstYear,IF(YEAR(O$4)&lt;=FPLastYear,O$4,""),"")</f>
        <v>45809</v>
      </c>
      <c r="P33" s="175">
        <f>IF(YEAR(P$4)&gt;=FPFirstYear,IF(YEAR(P$4)&lt;=FPLastYear,P$4,""),"")</f>
        <v>46174</v>
      </c>
      <c r="Q33" s="175">
        <f>IF(YEAR(Q$4)&gt;=FPFirstYear,IF(YEAR(Q$4)&lt;=FPLastYear,Q$4,""),"")</f>
        <v>46539</v>
      </c>
      <c r="R33" s="175">
        <f>IF(YEAR(R$4)&gt;=FPFirstYear,IF(YEAR(R$4)&lt;=FPLastYear,R$4,""),"")</f>
        <v>46905</v>
      </c>
      <c r="S33" s="175">
        <f>IF(YEAR(S$4)&gt;=FPFirstYear,IF(YEAR(S$4)&lt;=FPLastYear,S$4,""),"")</f>
        <v>47270</v>
      </c>
    </row>
    <row r="34" spans="3:19" x14ac:dyDescent="0.2">
      <c r="C34" s="111" t="s">
        <v>140</v>
      </c>
      <c r="D34" s="167" t="s">
        <v>41</v>
      </c>
      <c r="E34" s="122" t="s">
        <v>46</v>
      </c>
      <c r="F34" s="69">
        <v>44713</v>
      </c>
      <c r="H34" s="64"/>
      <c r="I34" s="129"/>
      <c r="J34" s="74"/>
      <c r="L34" s="74"/>
      <c r="M34" s="74"/>
      <c r="N34" s="74"/>
      <c r="O34" s="118">
        <v>0</v>
      </c>
      <c r="P34" s="118">
        <v>0</v>
      </c>
      <c r="Q34" s="118">
        <v>0</v>
      </c>
      <c r="R34" s="118">
        <v>175000</v>
      </c>
      <c r="S34" s="118">
        <v>225000</v>
      </c>
    </row>
    <row r="35" spans="3:19" x14ac:dyDescent="0.2">
      <c r="C35" s="111" t="s">
        <v>141</v>
      </c>
      <c r="D35" s="167" t="s">
        <v>41</v>
      </c>
      <c r="E35" s="122" t="s">
        <v>46</v>
      </c>
      <c r="F35" s="69">
        <v>44713</v>
      </c>
      <c r="H35" s="64"/>
      <c r="I35" s="129"/>
      <c r="J35" s="74"/>
      <c r="L35" s="74"/>
      <c r="M35" s="74"/>
      <c r="N35" s="74"/>
      <c r="O35" s="118">
        <v>0</v>
      </c>
      <c r="P35" s="118">
        <v>0</v>
      </c>
      <c r="Q35" s="118">
        <v>0</v>
      </c>
      <c r="R35" s="118">
        <v>0</v>
      </c>
      <c r="S35" s="118">
        <v>0</v>
      </c>
    </row>
    <row r="36" spans="3:19" x14ac:dyDescent="0.2">
      <c r="C36" s="111" t="s">
        <v>142</v>
      </c>
      <c r="D36" s="167" t="s">
        <v>41</v>
      </c>
      <c r="E36" s="122" t="s">
        <v>46</v>
      </c>
      <c r="F36" s="69">
        <v>44713</v>
      </c>
      <c r="H36" s="64"/>
      <c r="I36" s="129"/>
      <c r="J36" s="74"/>
      <c r="L36" s="74"/>
      <c r="M36" s="74"/>
      <c r="N36" s="74"/>
      <c r="O36" s="118">
        <v>50000</v>
      </c>
      <c r="P36" s="118">
        <v>305000</v>
      </c>
      <c r="Q36" s="118">
        <v>255000</v>
      </c>
      <c r="R36" s="118">
        <v>255000</v>
      </c>
      <c r="S36" s="118">
        <v>255000</v>
      </c>
    </row>
    <row r="37" spans="3:19" x14ac:dyDescent="0.2">
      <c r="C37" s="111" t="s">
        <v>143</v>
      </c>
      <c r="D37" s="167" t="s">
        <v>41</v>
      </c>
      <c r="E37" s="122" t="s">
        <v>46</v>
      </c>
      <c r="F37" s="69">
        <v>44713</v>
      </c>
      <c r="H37" s="64"/>
      <c r="I37" s="129"/>
      <c r="J37" s="74"/>
      <c r="L37" s="74"/>
      <c r="M37" s="74"/>
      <c r="N37" s="74"/>
      <c r="O37" s="118">
        <v>0</v>
      </c>
      <c r="P37" s="118">
        <v>0</v>
      </c>
      <c r="Q37" s="118">
        <v>0</v>
      </c>
      <c r="R37" s="118">
        <v>0</v>
      </c>
      <c r="S37" s="118">
        <v>0</v>
      </c>
    </row>
    <row r="38" spans="3:19" x14ac:dyDescent="0.2">
      <c r="C38" s="111" t="s">
        <v>144</v>
      </c>
      <c r="D38" s="167" t="s">
        <v>41</v>
      </c>
      <c r="E38" s="122" t="s">
        <v>46</v>
      </c>
      <c r="F38" s="69">
        <v>44713</v>
      </c>
      <c r="H38" s="64"/>
      <c r="I38" s="129"/>
      <c r="J38" s="74"/>
      <c r="L38" s="74"/>
      <c r="M38" s="74"/>
      <c r="N38" s="74"/>
      <c r="O38" s="118">
        <v>0</v>
      </c>
      <c r="P38" s="118">
        <v>400000</v>
      </c>
      <c r="Q38" s="118">
        <v>800000</v>
      </c>
      <c r="R38" s="118">
        <v>800000</v>
      </c>
      <c r="S38" s="118">
        <v>800000</v>
      </c>
    </row>
    <row r="39" spans="3:19" x14ac:dyDescent="0.2">
      <c r="C39" s="111" t="s">
        <v>145</v>
      </c>
      <c r="D39" s="167" t="s">
        <v>41</v>
      </c>
      <c r="E39" s="122" t="s">
        <v>46</v>
      </c>
      <c r="F39" s="69">
        <v>44713</v>
      </c>
      <c r="H39" s="64"/>
      <c r="I39" s="129"/>
      <c r="J39" s="74"/>
      <c r="L39" s="74"/>
      <c r="M39" s="74"/>
      <c r="N39" s="74"/>
      <c r="O39" s="118">
        <v>0</v>
      </c>
      <c r="P39" s="118">
        <v>0</v>
      </c>
      <c r="Q39" s="118">
        <v>0</v>
      </c>
      <c r="R39" s="118">
        <v>0</v>
      </c>
      <c r="S39" s="118">
        <v>0</v>
      </c>
    </row>
    <row r="40" spans="3:19" x14ac:dyDescent="0.2">
      <c r="C40" s="111" t="s">
        <v>146</v>
      </c>
      <c r="D40" s="167" t="s">
        <v>41</v>
      </c>
      <c r="E40" s="122" t="s">
        <v>46</v>
      </c>
      <c r="F40" s="69">
        <v>44713</v>
      </c>
      <c r="H40" s="64"/>
      <c r="I40" s="129"/>
      <c r="J40" s="74"/>
      <c r="L40" s="74"/>
      <c r="M40" s="74"/>
      <c r="N40" s="74"/>
      <c r="O40" s="118">
        <v>4000</v>
      </c>
      <c r="P40" s="118">
        <v>8000</v>
      </c>
      <c r="Q40" s="118">
        <v>12000</v>
      </c>
      <c r="R40" s="118">
        <v>16000</v>
      </c>
      <c r="S40" s="118">
        <v>20000</v>
      </c>
    </row>
    <row r="41" spans="3:19" x14ac:dyDescent="0.2">
      <c r="C41" s="111" t="s">
        <v>147</v>
      </c>
      <c r="D41" s="167" t="s">
        <v>41</v>
      </c>
      <c r="E41" s="122" t="s">
        <v>46</v>
      </c>
      <c r="F41" s="69">
        <v>44713</v>
      </c>
      <c r="H41" s="64"/>
      <c r="I41" s="129"/>
      <c r="J41" s="74"/>
      <c r="L41" s="74"/>
      <c r="M41" s="74"/>
      <c r="N41" s="74"/>
      <c r="O41" s="118">
        <v>250000</v>
      </c>
      <c r="P41" s="118">
        <v>390000</v>
      </c>
      <c r="Q41" s="118">
        <v>140000</v>
      </c>
      <c r="R41" s="118">
        <v>140000</v>
      </c>
      <c r="S41" s="118">
        <v>140000</v>
      </c>
    </row>
    <row r="42" spans="3:19" x14ac:dyDescent="0.2">
      <c r="C42" s="111" t="s">
        <v>148</v>
      </c>
      <c r="D42" s="167" t="s">
        <v>41</v>
      </c>
      <c r="E42" s="122" t="s">
        <v>46</v>
      </c>
      <c r="F42" s="69">
        <v>44713</v>
      </c>
      <c r="H42" s="64"/>
      <c r="I42" s="129"/>
      <c r="J42" s="74"/>
      <c r="L42" s="74"/>
      <c r="M42" s="74"/>
      <c r="N42" s="74"/>
      <c r="O42" s="118">
        <v>0</v>
      </c>
      <c r="P42" s="118">
        <v>0</v>
      </c>
      <c r="Q42" s="118">
        <v>0</v>
      </c>
      <c r="R42" s="118">
        <v>0</v>
      </c>
      <c r="S42" s="118">
        <v>0</v>
      </c>
    </row>
    <row r="43" spans="3:19" x14ac:dyDescent="0.2">
      <c r="C43" s="111" t="s">
        <v>149</v>
      </c>
      <c r="D43" s="167" t="s">
        <v>41</v>
      </c>
      <c r="E43" s="122" t="s">
        <v>46</v>
      </c>
      <c r="F43" s="69">
        <v>44713</v>
      </c>
      <c r="H43" s="64"/>
      <c r="I43" s="129"/>
      <c r="J43" s="74"/>
      <c r="L43" s="74"/>
      <c r="M43" s="74"/>
      <c r="N43" s="74"/>
      <c r="O43" s="118">
        <v>350000</v>
      </c>
      <c r="P43" s="118">
        <v>350000</v>
      </c>
      <c r="Q43" s="118">
        <v>350000</v>
      </c>
      <c r="R43" s="118">
        <v>350000</v>
      </c>
      <c r="S43" s="118">
        <v>350000</v>
      </c>
    </row>
    <row r="44" spans="3:19" x14ac:dyDescent="0.2">
      <c r="C44" s="111" t="s">
        <v>150</v>
      </c>
      <c r="D44" s="167" t="s">
        <v>41</v>
      </c>
      <c r="E44" s="122" t="s">
        <v>46</v>
      </c>
      <c r="F44" s="69">
        <v>44713</v>
      </c>
      <c r="H44" s="64"/>
      <c r="I44" s="129"/>
      <c r="J44" s="74"/>
      <c r="L44" s="74"/>
      <c r="M44" s="74"/>
      <c r="N44" s="74"/>
      <c r="O44" s="118">
        <v>0</v>
      </c>
      <c r="P44" s="118">
        <v>0</v>
      </c>
      <c r="Q44" s="118">
        <v>0</v>
      </c>
      <c r="R44" s="118">
        <v>0</v>
      </c>
      <c r="S44" s="118">
        <v>0</v>
      </c>
    </row>
    <row r="45" spans="3:19" x14ac:dyDescent="0.2">
      <c r="C45" s="111" t="s">
        <v>151</v>
      </c>
      <c r="D45" s="167" t="s">
        <v>41</v>
      </c>
      <c r="E45" s="122" t="s">
        <v>46</v>
      </c>
      <c r="F45" s="69">
        <v>44713</v>
      </c>
      <c r="H45" s="64"/>
      <c r="I45" s="129"/>
      <c r="J45" s="74"/>
      <c r="L45" s="74"/>
      <c r="M45" s="74"/>
      <c r="N45" s="74"/>
      <c r="O45" s="118">
        <v>0</v>
      </c>
      <c r="P45" s="118">
        <v>0</v>
      </c>
      <c r="Q45" s="118">
        <v>0</v>
      </c>
      <c r="R45" s="118">
        <v>0</v>
      </c>
      <c r="S45" s="118">
        <v>0</v>
      </c>
    </row>
    <row r="46" spans="3:19" x14ac:dyDescent="0.2">
      <c r="C46" s="111" t="s">
        <v>152</v>
      </c>
      <c r="D46" s="167" t="s">
        <v>41</v>
      </c>
      <c r="E46" s="122" t="s">
        <v>46</v>
      </c>
      <c r="F46" s="69">
        <v>44713</v>
      </c>
      <c r="H46" s="64"/>
      <c r="I46" s="129"/>
      <c r="J46" s="74"/>
      <c r="L46" s="74"/>
      <c r="M46" s="74"/>
      <c r="N46" s="74"/>
      <c r="O46" s="124">
        <v>196200</v>
      </c>
      <c r="P46" s="124">
        <v>435900</v>
      </c>
      <c r="Q46" s="124">
        <v>467100</v>
      </c>
      <c r="R46" s="124">
        <v>520800</v>
      </c>
      <c r="S46" s="124">
        <v>537000</v>
      </c>
    </row>
    <row r="47" spans="3:19" ht="10.5" x14ac:dyDescent="0.25">
      <c r="C47" s="109" t="s">
        <v>107</v>
      </c>
      <c r="D47" s="21" t="s">
        <v>23</v>
      </c>
      <c r="E47" s="71" t="str">
        <f>E46</f>
        <v>$dollars</v>
      </c>
      <c r="F47" s="114">
        <f>F46</f>
        <v>44713</v>
      </c>
      <c r="H47" s="64"/>
      <c r="I47" s="64"/>
      <c r="J47" s="74"/>
      <c r="L47" s="74"/>
      <c r="M47" s="74"/>
      <c r="N47" s="74"/>
      <c r="O47" s="120">
        <f>SUM(O34:O46)</f>
        <v>850200</v>
      </c>
      <c r="P47" s="120">
        <f t="shared" ref="P47:S47" si="3">SUM(P34:P46)</f>
        <v>1888900</v>
      </c>
      <c r="Q47" s="120">
        <f t="shared" si="3"/>
        <v>2024100</v>
      </c>
      <c r="R47" s="120">
        <f t="shared" si="3"/>
        <v>2256800</v>
      </c>
      <c r="S47" s="120">
        <f t="shared" si="3"/>
        <v>2327000</v>
      </c>
    </row>
    <row r="48" spans="3:19" x14ac:dyDescent="0.2">
      <c r="C48" s="111"/>
      <c r="D48" s="113"/>
      <c r="E48" s="113"/>
      <c r="F48" s="114"/>
      <c r="G48" s="64"/>
      <c r="H48" s="64"/>
      <c r="I48" s="64"/>
      <c r="J48" s="74"/>
      <c r="K48" s="74"/>
      <c r="L48" s="74"/>
      <c r="M48" s="74"/>
      <c r="N48" s="74"/>
      <c r="O48" s="79"/>
      <c r="P48" s="79"/>
      <c r="Q48" s="79"/>
      <c r="R48" s="79"/>
      <c r="S48" s="79"/>
    </row>
    <row r="49" spans="1:30" ht="10.5" x14ac:dyDescent="0.25">
      <c r="C49" s="29" t="s">
        <v>348</v>
      </c>
      <c r="D49" s="113"/>
      <c r="E49" s="113"/>
      <c r="F49" s="114"/>
      <c r="G49" s="64"/>
      <c r="H49" s="64"/>
      <c r="I49" s="64"/>
      <c r="J49" s="74"/>
      <c r="K49" s="74"/>
      <c r="L49" s="74"/>
      <c r="M49" s="119"/>
      <c r="N49" s="119"/>
      <c r="O49" s="175">
        <f>IF(YEAR(O$4)&gt;=FPFirstYear,IF(YEAR(O$4)&lt;=FPLastYear,O$4,""),"")</f>
        <v>45809</v>
      </c>
      <c r="P49" s="175">
        <f>IF(YEAR(P$4)&gt;=FPFirstYear,IF(YEAR(P$4)&lt;=FPLastYear,P$4,""),"")</f>
        <v>46174</v>
      </c>
      <c r="Q49" s="175">
        <f>IF(YEAR(Q$4)&gt;=FPFirstYear,IF(YEAR(Q$4)&lt;=FPLastYear,Q$4,""),"")</f>
        <v>46539</v>
      </c>
      <c r="R49" s="175">
        <f>IF(YEAR(R$4)&gt;=FPFirstYear,IF(YEAR(R$4)&lt;=FPLastYear,R$4,""),"")</f>
        <v>46905</v>
      </c>
      <c r="S49" s="175">
        <f>IF(YEAR(S$4)&gt;=FPFirstYear,IF(YEAR(S$4)&lt;=FPLastYear,S$4,""),"")</f>
        <v>47270</v>
      </c>
    </row>
    <row r="50" spans="1:30" x14ac:dyDescent="0.2">
      <c r="C50" s="111" t="s">
        <v>349</v>
      </c>
      <c r="D50" s="21" t="s">
        <v>23</v>
      </c>
      <c r="E50" s="113" t="str">
        <f>$E$8</f>
        <v>$millions</v>
      </c>
      <c r="F50" s="114">
        <f>F47</f>
        <v>44713</v>
      </c>
      <c r="G50" s="64"/>
      <c r="H50" s="64"/>
      <c r="I50" s="64"/>
      <c r="J50" s="74"/>
      <c r="K50" s="74"/>
      <c r="L50" s="74"/>
      <c r="M50" s="74"/>
      <c r="N50" s="74"/>
      <c r="O50" s="79">
        <f>O47/10^6</f>
        <v>0.85019999999999996</v>
      </c>
      <c r="P50" s="79">
        <f t="shared" ref="P50:S50" si="4">P47/10^6</f>
        <v>1.8889</v>
      </c>
      <c r="Q50" s="79">
        <f t="shared" si="4"/>
        <v>2.0240999999999998</v>
      </c>
      <c r="R50" s="79">
        <f t="shared" si="4"/>
        <v>2.2568000000000001</v>
      </c>
      <c r="S50" s="79">
        <f t="shared" si="4"/>
        <v>2.327</v>
      </c>
    </row>
    <row r="51" spans="1:30" x14ac:dyDescent="0.2">
      <c r="C51" s="111" t="s">
        <v>349</v>
      </c>
      <c r="D51" s="21" t="s">
        <v>23</v>
      </c>
      <c r="E51" s="113" t="str">
        <f>$E$8</f>
        <v>$millions</v>
      </c>
      <c r="F51" s="114">
        <f>$F$8</f>
        <v>45444</v>
      </c>
      <c r="G51" s="64"/>
      <c r="H51" s="64"/>
      <c r="I51" s="64"/>
      <c r="J51" s="74"/>
      <c r="K51" s="74"/>
      <c r="L51" s="74"/>
      <c r="M51" s="74"/>
      <c r="N51" s="74"/>
      <c r="O51" s="79">
        <f>O50*IF($F50="nominal",LOOKUP($F51,'Lookup|Tables'!Nominal_to_Real,'Calc|CPI Indexes'!P$31:P$42),INDEX('Calc|CPI Indexes'!$C$14:$T$27,MATCH($F50,'Calc|CPI Indexes'!$C$14:$C$27,0),MATCH($F51,'Calc|CPI Indexes'!$C$14:$T$14,0)))</f>
        <v>0.94172062919999988</v>
      </c>
      <c r="P51" s="79">
        <f>P50*IF($F50="nominal",LOOKUP($F51,'Lookup|Tables'!Nominal_to_Real,'Calc|CPI Indexes'!Q$31:Q$42),INDEX('Calc|CPI Indexes'!$C$14:$T$27,MATCH($F50,'Calc|CPI Indexes'!$C$14:$C$27,0),MATCH($F51,'Calc|CPI Indexes'!$C$14:$T$14,0)))</f>
        <v>2.0922325293999999</v>
      </c>
      <c r="Q51" s="79">
        <f>Q50*IF($F50="nominal",LOOKUP($F51,'Lookup|Tables'!Nominal_to_Real,'Calc|CPI Indexes'!R$31:R$42),INDEX('Calc|CPI Indexes'!$C$14:$T$27,MATCH($F50,'Calc|CPI Indexes'!$C$14:$C$27,0),MATCH($F51,'Calc|CPI Indexes'!$C$14:$T$14,0)))</f>
        <v>2.2419862685999994</v>
      </c>
      <c r="R51" s="79">
        <f>R50*IF($F50="nominal",LOOKUP($F51,'Lookup|Tables'!Nominal_to_Real,'Calc|CPI Indexes'!S$31:S$42),INDEX('Calc|CPI Indexes'!$C$14:$T$27,MATCH($F50,'Calc|CPI Indexes'!$C$14:$C$27,0),MATCH($F51,'Calc|CPI Indexes'!$C$14:$T$14,0)))</f>
        <v>2.4997354927999997</v>
      </c>
      <c r="S51" s="79">
        <f>S50*IF($F50="nominal",LOOKUP($F51,'Lookup|Tables'!Nominal_to_Real,'Calc|CPI Indexes'!T$31:T$42),INDEX('Calc|CPI Indexes'!$C$14:$T$27,MATCH($F50,'Calc|CPI Indexes'!$C$14:$C$27,0),MATCH($F51,'Calc|CPI Indexes'!$C$14:$T$14,0)))</f>
        <v>2.5774922419999999</v>
      </c>
    </row>
    <row r="52" spans="1:30" x14ac:dyDescent="0.2">
      <c r="C52" s="111"/>
      <c r="D52" s="113"/>
      <c r="E52" s="113"/>
      <c r="F52" s="114"/>
      <c r="G52" s="64"/>
      <c r="H52" s="64"/>
      <c r="I52" s="64"/>
      <c r="J52" s="74"/>
      <c r="K52" s="74"/>
      <c r="L52" s="74"/>
      <c r="M52" s="74"/>
      <c r="N52" s="74"/>
      <c r="O52" s="79"/>
      <c r="P52" s="79"/>
      <c r="Q52" s="79"/>
      <c r="R52" s="79"/>
      <c r="S52" s="79"/>
    </row>
    <row r="53" spans="1:30" x14ac:dyDescent="0.2">
      <c r="C53" s="55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112"/>
      <c r="O53" s="112"/>
      <c r="P53" s="112"/>
      <c r="Q53" s="112"/>
      <c r="R53" s="112"/>
      <c r="S53" s="112"/>
    </row>
    <row r="54" spans="1:30" s="19" customFormat="1" ht="13" x14ac:dyDescent="0.3">
      <c r="A54" s="12"/>
      <c r="B54" s="13" t="s">
        <v>18</v>
      </c>
      <c r="C54" s="12"/>
      <c r="D54" s="12"/>
      <c r="E54" s="12"/>
      <c r="F54" s="14"/>
      <c r="G54" s="14"/>
      <c r="H54" s="14"/>
      <c r="I54" s="14"/>
      <c r="J54" s="15"/>
      <c r="K54" s="16"/>
      <c r="L54" s="15"/>
      <c r="M54" s="16"/>
      <c r="N54" s="15"/>
      <c r="O54" s="15"/>
      <c r="P54" s="15"/>
      <c r="Q54" s="15"/>
      <c r="R54" s="15"/>
      <c r="S54" s="15"/>
      <c r="T54" s="15"/>
      <c r="U54" s="15"/>
      <c r="V54" s="16"/>
      <c r="W54" s="16"/>
      <c r="X54" s="17"/>
      <c r="Y54" s="17"/>
      <c r="Z54" s="17"/>
      <c r="AA54" s="17"/>
      <c r="AB54" s="17"/>
      <c r="AC54" s="18"/>
      <c r="AD54" s="18"/>
    </row>
  </sheetData>
  <mergeCells count="1">
    <mergeCell ref="N3:S3"/>
  </mergeCells>
  <conditionalFormatting sqref="O17:S17">
    <cfRule type="expression" dxfId="21" priority="4">
      <formula>O$10=O$4</formula>
    </cfRule>
  </conditionalFormatting>
  <conditionalFormatting sqref="O24:S24">
    <cfRule type="expression" dxfId="20" priority="3">
      <formula>O$10=O$4</formula>
    </cfRule>
  </conditionalFormatting>
  <conditionalFormatting sqref="O33:S33">
    <cfRule type="expression" dxfId="19" priority="2">
      <formula>O$10=O$4</formula>
    </cfRule>
  </conditionalFormatting>
  <conditionalFormatting sqref="O49:S49">
    <cfRule type="expression" dxfId="18" priority="1">
      <formula>O$10=O$4</formula>
    </cfRule>
  </conditionalFormatting>
  <dataValidations count="2">
    <dataValidation type="list" allowBlank="1" showInputMessage="1" showErrorMessage="1" sqref="F12 F19" xr:uid="{F9A184CE-A5D5-4068-BECA-2E348F4799F9}">
      <formula1>$F$50:$F$51</formula1>
    </dataValidation>
    <dataValidation type="list" allowBlank="1" showInputMessage="1" showErrorMessage="1" sqref="F53" xr:uid="{4AAF0D86-00B0-4C15-920C-9CDD5C981EE8}">
      <formula1>"Real 2010,Real 2011,Real 2012,Real 2013,Real 2014,Real 2015,Nominal"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70DFAE-28E3-4935-9025-CA649242326F}">
          <x14:formula1>
            <xm:f>'Lookup|Tables'!$G$81:$G$84</xm:f>
          </x14:formula1>
          <xm:sqref>F34:F46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B868-E603-4EC6-9B0B-081AE8E7D9EA}">
  <sheetPr>
    <tabColor rgb="FFCCFFCC"/>
  </sheetPr>
  <dimension ref="A1:AD51"/>
  <sheetViews>
    <sheetView showGridLines="0" zoomScale="75" zoomScaleNormal="75" workbookViewId="0"/>
  </sheetViews>
  <sheetFormatPr defaultColWidth="0" defaultRowHeight="10" zeroHeight="1" x14ac:dyDescent="0.2"/>
  <cols>
    <col min="1" max="2" width="1.1796875" style="20" customWidth="1"/>
    <col min="3" max="3" width="62.5429687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7" width="4.54296875" style="21" customWidth="1"/>
    <col min="8" max="9" width="2.81640625" style="21" customWidth="1"/>
    <col min="10" max="23" width="8.81640625" style="20" customWidth="1"/>
    <col min="24" max="38" width="8.54296875" style="20" hidden="1" customWidth="1"/>
    <col min="39" max="16384" width="8.54296875" style="20" hidden="1"/>
  </cols>
  <sheetData>
    <row r="1" spans="1:30" s="1" customFormat="1" ht="15.5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96" t="s">
        <v>1</v>
      </c>
      <c r="M1" s="97" t="s">
        <v>2</v>
      </c>
      <c r="N1" s="98" t="s">
        <v>3</v>
      </c>
      <c r="O1" s="2"/>
      <c r="P1" s="2"/>
      <c r="Q1" s="2"/>
      <c r="R1" s="2"/>
      <c r="S1" s="2"/>
      <c r="T1" s="2"/>
      <c r="U1" s="2"/>
      <c r="V1" s="2"/>
      <c r="W1" s="2"/>
    </row>
    <row r="2" spans="1:30" s="7" customFormat="1" ht="13.5" thickBot="1" x14ac:dyDescent="0.35">
      <c r="B2" s="8" t="s">
        <v>134</v>
      </c>
      <c r="C2" s="8"/>
      <c r="D2" s="8"/>
      <c r="E2" s="8"/>
      <c r="F2" s="9"/>
      <c r="G2" s="9"/>
      <c r="H2" s="9"/>
      <c r="I2" s="9"/>
    </row>
    <row r="3" spans="1:30" s="38" customFormat="1" ht="14.5" customHeight="1" x14ac:dyDescent="0.25">
      <c r="D3" s="128"/>
      <c r="E3" s="128"/>
      <c r="F3" s="128"/>
      <c r="G3" s="128"/>
      <c r="H3" s="128"/>
      <c r="I3" s="128"/>
      <c r="J3" s="65" t="s">
        <v>12</v>
      </c>
      <c r="K3" s="65"/>
      <c r="L3" s="65"/>
      <c r="M3" s="128"/>
      <c r="N3" s="210"/>
      <c r="O3" s="210"/>
      <c r="P3" s="210"/>
      <c r="Q3" s="210"/>
      <c r="R3" s="210"/>
      <c r="S3" s="210"/>
      <c r="T3" s="42"/>
      <c r="U3" s="42"/>
      <c r="V3" s="42"/>
      <c r="W3" s="42"/>
      <c r="X3" s="42"/>
      <c r="Y3" s="42"/>
      <c r="Z3" s="42"/>
    </row>
    <row r="4" spans="1:30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6"/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</row>
    <row r="5" spans="1:30" s="10" customFormat="1" ht="3" customHeight="1" x14ac:dyDescent="0.2">
      <c r="D5" s="11"/>
      <c r="E5" s="11"/>
      <c r="F5" s="11"/>
      <c r="G5" s="11"/>
      <c r="H5" s="11"/>
      <c r="I5" s="11"/>
    </row>
    <row r="6" spans="1:30" s="10" customFormat="1" x14ac:dyDescent="0.2">
      <c r="D6" s="11"/>
      <c r="E6" s="11"/>
      <c r="F6" s="11"/>
      <c r="G6" s="11"/>
      <c r="H6" s="11"/>
      <c r="I6" s="11"/>
    </row>
    <row r="7" spans="1:30" s="10" customFormat="1" ht="3" customHeight="1" x14ac:dyDescent="0.2">
      <c r="D7" s="11"/>
      <c r="E7" s="11"/>
      <c r="F7" s="11"/>
      <c r="G7" s="11"/>
      <c r="H7" s="11"/>
      <c r="I7" s="11"/>
    </row>
    <row r="8" spans="1:30" s="19" customFormat="1" ht="13" x14ac:dyDescent="0.3">
      <c r="A8" s="12"/>
      <c r="B8" s="13" t="s">
        <v>280</v>
      </c>
      <c r="C8" s="12"/>
      <c r="D8" s="12"/>
      <c r="E8" s="66" t="s">
        <v>37</v>
      </c>
      <c r="F8" s="82">
        <f>DATE(PPLastYear,MONTH('Input|General'!G9),1)</f>
        <v>45444</v>
      </c>
      <c r="G8" s="14"/>
      <c r="H8" s="14"/>
      <c r="I8" s="14"/>
      <c r="J8" s="15"/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  <c r="X8" s="17"/>
      <c r="Y8" s="17"/>
      <c r="Z8" s="17"/>
      <c r="AA8" s="17"/>
      <c r="AB8" s="17"/>
      <c r="AC8" s="18"/>
      <c r="AD8" s="18"/>
    </row>
    <row r="9" spans="1:30" x14ac:dyDescent="0.2"/>
    <row r="10" spans="1:30" ht="10.5" x14ac:dyDescent="0.25">
      <c r="C10" s="29" t="s">
        <v>261</v>
      </c>
      <c r="D10" s="23" t="s">
        <v>6</v>
      </c>
      <c r="E10" s="23" t="s">
        <v>24</v>
      </c>
      <c r="F10" s="23" t="s">
        <v>28</v>
      </c>
      <c r="J10" s="62">
        <f t="shared" ref="J10:S10" si="0">IF(YEAR(J$4)&lt;=PPLastYear,J$4,"")</f>
        <v>43983</v>
      </c>
      <c r="K10" s="62">
        <f t="shared" si="0"/>
        <v>44348</v>
      </c>
      <c r="L10" s="62">
        <f t="shared" si="0"/>
        <v>44713</v>
      </c>
      <c r="M10" s="62">
        <f t="shared" si="0"/>
        <v>45078</v>
      </c>
      <c r="N10" s="62">
        <f t="shared" si="0"/>
        <v>45444</v>
      </c>
      <c r="O10" s="62" t="str">
        <f t="shared" si="0"/>
        <v/>
      </c>
      <c r="P10" s="62" t="str">
        <f t="shared" si="0"/>
        <v/>
      </c>
      <c r="Q10" s="62" t="str">
        <f t="shared" si="0"/>
        <v/>
      </c>
      <c r="R10" s="62" t="str">
        <f t="shared" si="0"/>
        <v/>
      </c>
      <c r="S10" s="62" t="str">
        <f t="shared" si="0"/>
        <v/>
      </c>
    </row>
    <row r="11" spans="1:30" x14ac:dyDescent="0.2">
      <c r="C11" s="55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30" x14ac:dyDescent="0.2">
      <c r="C12" s="55" t="s">
        <v>272</v>
      </c>
      <c r="D12" s="167" t="s">
        <v>41</v>
      </c>
      <c r="E12" s="21" t="str">
        <f>$E$8</f>
        <v>$millions</v>
      </c>
      <c r="F12" s="69" t="s">
        <v>42</v>
      </c>
      <c r="J12" s="70"/>
      <c r="K12" s="70"/>
      <c r="L12" s="70"/>
      <c r="M12" s="79">
        <f>INDEX($M$47:$S$48,MATCH($F12,$F$47:$F$48,0),MATCH(M$10,$M$46:$S$46,0))</f>
        <v>2.7055407971719183</v>
      </c>
      <c r="N12" s="64"/>
      <c r="O12" s="79"/>
      <c r="P12" s="79"/>
      <c r="Q12" s="79"/>
      <c r="R12" s="79"/>
      <c r="S12" s="79"/>
    </row>
    <row r="13" spans="1:30" ht="10.5" x14ac:dyDescent="0.25">
      <c r="C13" s="55" t="str">
        <f>C12</f>
        <v>Property opex for properties forecast for disposal</v>
      </c>
      <c r="D13" s="21" t="s">
        <v>23</v>
      </c>
      <c r="E13" s="21" t="str">
        <f>$E$8</f>
        <v>$millions</v>
      </c>
      <c r="F13" s="71">
        <f>$F$8</f>
        <v>45444</v>
      </c>
      <c r="J13" s="72"/>
      <c r="K13" s="72"/>
      <c r="L13" s="72"/>
      <c r="M13" s="79">
        <f>M12*IF($F12="nominal",LOOKUP($F13,'Lookup|Tables'!Nominal_to_Real,'Calc|CPI Indexes'!N$31:N$42),INDEX('Calc|CPI Indexes'!$C$14:$T$27,MATCH($F12,'Calc|CPI Indexes'!$C$14:$C$27,0),MATCH($F13,'Calc|CPI Indexes'!$C$14:$T$14,0)))</f>
        <v>2.9066212099287978</v>
      </c>
      <c r="N13" s="64"/>
      <c r="O13" s="79"/>
      <c r="P13" s="80"/>
      <c r="Q13" s="80"/>
      <c r="R13" s="80"/>
      <c r="S13" s="80"/>
    </row>
    <row r="14" spans="1:30" x14ac:dyDescent="0.2">
      <c r="J14" s="64"/>
      <c r="K14" s="64"/>
      <c r="L14" s="64"/>
    </row>
    <row r="15" spans="1:30" s="19" customFormat="1" ht="13" x14ac:dyDescent="0.3">
      <c r="A15" s="12"/>
      <c r="B15" s="13" t="s">
        <v>38</v>
      </c>
      <c r="C15" s="12"/>
      <c r="D15" s="12"/>
      <c r="E15" s="12"/>
      <c r="F15" s="14"/>
      <c r="G15" s="14"/>
      <c r="H15" s="14"/>
      <c r="I15" s="14"/>
      <c r="J15" s="15"/>
      <c r="K15" s="16"/>
      <c r="L15" s="15"/>
      <c r="M15" s="16"/>
      <c r="N15" s="15"/>
      <c r="O15" s="15"/>
      <c r="P15" s="15"/>
      <c r="Q15" s="15"/>
      <c r="R15" s="15"/>
      <c r="S15" s="15"/>
      <c r="T15" s="15"/>
      <c r="U15" s="15"/>
      <c r="V15" s="16"/>
      <c r="W15" s="16"/>
      <c r="X15" s="17"/>
      <c r="Y15" s="17"/>
      <c r="Z15" s="17"/>
      <c r="AA15" s="17"/>
      <c r="AB15" s="17"/>
      <c r="AC15" s="18"/>
      <c r="AD15" s="18"/>
    </row>
    <row r="16" spans="1:30" x14ac:dyDescent="0.2">
      <c r="C16" s="55"/>
      <c r="J16" s="64"/>
      <c r="K16" s="64"/>
      <c r="L16" s="64"/>
    </row>
    <row r="17" spans="1:30" ht="10.5" x14ac:dyDescent="0.25">
      <c r="C17" s="29" t="s">
        <v>262</v>
      </c>
      <c r="D17" s="23" t="s">
        <v>6</v>
      </c>
      <c r="E17" s="23" t="s">
        <v>24</v>
      </c>
      <c r="F17" s="23" t="s">
        <v>28</v>
      </c>
      <c r="J17" s="62" t="str">
        <f>IF(YEAR(J$4)&gt;='Input|General'!$G$13,IF(YEAR(J$4)&lt;='Input|General'!$G$14,J$4,""),"")</f>
        <v/>
      </c>
      <c r="K17" s="62" t="str">
        <f>IF(YEAR(K$4)&gt;='Input|General'!$G$13,IF(YEAR(K$4)&lt;='Input|General'!$G$14,K$4,""),"")</f>
        <v/>
      </c>
      <c r="L17" s="62" t="str">
        <f>IF(YEAR(L$4)&gt;='Input|General'!$G$13,IF(YEAR(L$4)&lt;='Input|General'!$G$14,L$4,""),"")</f>
        <v/>
      </c>
      <c r="M17" s="62" t="str">
        <f>IF(YEAR(M$4)&gt;='Input|General'!$G$13,IF(YEAR(M$4)&lt;='Input|General'!$G$14,M$4,""),"")</f>
        <v/>
      </c>
      <c r="N17" s="62" t="str">
        <f>IF(YEAR(N$4)&gt;='Input|General'!$G$13,IF(YEAR(N$4)&lt;='Input|General'!$G$14,N$4,""),"")</f>
        <v/>
      </c>
      <c r="O17" s="175">
        <f>IF(YEAR(O$4)&gt;=FPFirstYear,IF(YEAR(O$4)&lt;=FPLastYear,O$4,""),"")</f>
        <v>45809</v>
      </c>
      <c r="P17" s="175">
        <f>IF(YEAR(P$4)&gt;=FPFirstYear,IF(YEAR(P$4)&lt;=FPLastYear,P$4,""),"")</f>
        <v>46174</v>
      </c>
      <c r="Q17" s="175">
        <f>IF(YEAR(Q$4)&gt;=FPFirstYear,IF(YEAR(Q$4)&lt;=FPLastYear,Q$4,""),"")</f>
        <v>46539</v>
      </c>
      <c r="R17" s="175">
        <f>IF(YEAR(R$4)&gt;=FPFirstYear,IF(YEAR(R$4)&lt;=FPLastYear,R$4,""),"")</f>
        <v>46905</v>
      </c>
      <c r="S17" s="175">
        <f>IF(YEAR(S$4)&gt;=FPFirstYear,IF(YEAR(S$4)&lt;=FPLastYear,S$4,""),"")</f>
        <v>47270</v>
      </c>
    </row>
    <row r="18" spans="1:30" ht="10.5" x14ac:dyDescent="0.25">
      <c r="C18" s="29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30" x14ac:dyDescent="0.2">
      <c r="C19" s="55" t="s">
        <v>273</v>
      </c>
      <c r="D19" s="167" t="s">
        <v>41</v>
      </c>
      <c r="E19" s="21" t="str">
        <f>$E$8</f>
        <v>$millions</v>
      </c>
      <c r="F19" s="69" t="s">
        <v>42</v>
      </c>
      <c r="J19" s="74"/>
      <c r="K19" s="74"/>
      <c r="L19" s="74"/>
      <c r="M19" s="74"/>
      <c r="N19" s="74"/>
      <c r="O19" s="79">
        <f>INDEX($M$47:$S$48,MATCH($F19,$F$47:$F$48,0),MATCH(O$17,$M$46:$S$46,0))</f>
        <v>0</v>
      </c>
      <c r="P19" s="79">
        <f>INDEX($M$47:$S$48,MATCH($F19,$F$47:$F$48,0),MATCH(P$17,$M$46:$S$46,0))</f>
        <v>0</v>
      </c>
      <c r="Q19" s="79">
        <f>INDEX($M$47:$S$48,MATCH($F19,$F$47:$F$48,0),MATCH(Q$17,$M$46:$S$46,0))</f>
        <v>0</v>
      </c>
      <c r="R19" s="79">
        <f>INDEX($M$47:$S$48,MATCH($F19,$F$47:$F$48,0),MATCH(R$17,$M$46:$S$46,0))</f>
        <v>0</v>
      </c>
      <c r="S19" s="79">
        <f>INDEX($M$47:$S$48,MATCH($F19,$F$47:$F$48,0),MATCH(S$17,$M$46:$S$46,0))</f>
        <v>0</v>
      </c>
    </row>
    <row r="20" spans="1:30" x14ac:dyDescent="0.2">
      <c r="C20" s="55" t="str">
        <f>C19</f>
        <v>Property opex after disposal of properties</v>
      </c>
      <c r="D20" s="21" t="s">
        <v>23</v>
      </c>
      <c r="E20" s="21" t="str">
        <f>$E$8</f>
        <v>$millions</v>
      </c>
      <c r="F20" s="71">
        <f t="shared" ref="F20" si="1">$F$8</f>
        <v>45444</v>
      </c>
      <c r="J20" s="74"/>
      <c r="K20" s="74"/>
      <c r="L20" s="74"/>
      <c r="M20" s="74"/>
      <c r="N20" s="74"/>
      <c r="O20" s="79">
        <f>O19*IF($F19="nominal",LOOKUP($F20,'Lookup|Tables'!Nominal_to_Real,'Calc|CPI Indexes'!P$31:P$42),INDEX('Calc|CPI Indexes'!$C$14:$T$27,MATCH($F19,'Calc|CPI Indexes'!$C$14:$C$27,0),MATCH($F20,'Calc|CPI Indexes'!$C$14:$T$14,0)))</f>
        <v>0</v>
      </c>
      <c r="P20" s="79">
        <f>P19*IF($F19="nominal",LOOKUP($F20,'Lookup|Tables'!Nominal_to_Real,'Calc|CPI Indexes'!Q$31:Q$42),INDEX('Calc|CPI Indexes'!$C$14:$T$27,MATCH($F19,'Calc|CPI Indexes'!$C$14:$C$27,0),MATCH($F20,'Calc|CPI Indexes'!$C$14:$T$14,0)))</f>
        <v>0</v>
      </c>
      <c r="Q20" s="79">
        <f>Q19*IF($F19="nominal",LOOKUP($F20,'Lookup|Tables'!Nominal_to_Real,'Calc|CPI Indexes'!R$31:R$42),INDEX('Calc|CPI Indexes'!$C$14:$T$27,MATCH($F19,'Calc|CPI Indexes'!$C$14:$C$27,0),MATCH($F20,'Calc|CPI Indexes'!$C$14:$T$14,0)))</f>
        <v>0</v>
      </c>
      <c r="R20" s="79">
        <f>R19*IF($F19="nominal",LOOKUP($F20,'Lookup|Tables'!Nominal_to_Real,'Calc|CPI Indexes'!S$31:S$42),INDEX('Calc|CPI Indexes'!$C$14:$T$27,MATCH($F19,'Calc|CPI Indexes'!$C$14:$C$27,0),MATCH($F20,'Calc|CPI Indexes'!$C$14:$T$14,0)))</f>
        <v>0</v>
      </c>
      <c r="S20" s="79">
        <f>S19*IF($F19="nominal",LOOKUP($F20,'Lookup|Tables'!Nominal_to_Real,'Calc|CPI Indexes'!T$31:T$42),INDEX('Calc|CPI Indexes'!$C$14:$T$27,MATCH($F19,'Calc|CPI Indexes'!$C$14:$C$27,0),MATCH($F20,'Calc|CPI Indexes'!$C$14:$T$14,0)))</f>
        <v>0</v>
      </c>
    </row>
    <row r="21" spans="1:30" x14ac:dyDescent="0.2">
      <c r="C21" s="73"/>
      <c r="F21" s="71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30" s="19" customFormat="1" ht="13" x14ac:dyDescent="0.3">
      <c r="A22" s="12"/>
      <c r="B22" s="13" t="s">
        <v>39</v>
      </c>
      <c r="C22" s="12"/>
      <c r="D22" s="12"/>
      <c r="E22" s="12"/>
      <c r="F22" s="14"/>
      <c r="G22" s="14"/>
      <c r="H22" s="14"/>
      <c r="I22" s="14"/>
      <c r="J22" s="15"/>
      <c r="K22" s="16"/>
      <c r="L22" s="15"/>
      <c r="M22" s="16"/>
      <c r="N22" s="15"/>
      <c r="O22" s="15"/>
      <c r="P22" s="15"/>
      <c r="Q22" s="15"/>
      <c r="R22" s="15"/>
      <c r="S22" s="15"/>
      <c r="T22" s="15"/>
      <c r="U22" s="15"/>
      <c r="V22" s="16"/>
      <c r="W22" s="16"/>
      <c r="X22" s="17"/>
      <c r="Y22" s="17"/>
      <c r="Z22" s="17"/>
      <c r="AA22" s="17"/>
      <c r="AB22" s="17"/>
      <c r="AC22" s="18"/>
      <c r="AD22" s="18"/>
    </row>
    <row r="23" spans="1:30" x14ac:dyDescent="0.2">
      <c r="C23" s="55"/>
      <c r="J23" s="64"/>
      <c r="K23" s="64"/>
      <c r="L23" s="64"/>
    </row>
    <row r="24" spans="1:30" ht="10.5" x14ac:dyDescent="0.25">
      <c r="C24" s="29" t="s">
        <v>40</v>
      </c>
      <c r="D24" s="23" t="s">
        <v>6</v>
      </c>
      <c r="E24" s="23" t="s">
        <v>24</v>
      </c>
      <c r="F24" s="23" t="s">
        <v>28</v>
      </c>
      <c r="J24" s="62" t="str">
        <f>IF(YEAR(J$4)&gt;='Input|General'!$G$13,IF(YEAR(J$4)&lt;='Input|General'!$G$14,J$4,""),"")</f>
        <v/>
      </c>
      <c r="K24" s="62" t="str">
        <f>IF(YEAR(K$4)&gt;='Input|General'!$G$13,IF(YEAR(K$4)&lt;='Input|General'!$G$14,K$4,""),"")</f>
        <v/>
      </c>
      <c r="L24" s="62" t="str">
        <f>IF(YEAR(L$4)&gt;='Input|General'!$G$13,IF(YEAR(L$4)&lt;='Input|General'!$G$14,L$4,""),"")</f>
        <v/>
      </c>
      <c r="M24" s="62" t="str">
        <f>IF(YEAR(M$4)&gt;='Input|General'!$G$13,IF(YEAR(M$4)&lt;='Input|General'!$G$14,M$4,""),"")</f>
        <v/>
      </c>
      <c r="N24" s="62" t="str">
        <f>IF(YEAR(N$4)&gt;='Input|General'!$G$13,IF(YEAR(N$4)&lt;='Input|General'!$G$14,N$4,""),"")</f>
        <v/>
      </c>
      <c r="O24" s="175">
        <f>IF(YEAR(O$4)&gt;=FPFirstYear,IF(YEAR(O$4)&lt;=FPLastYear,O$4,""),"")</f>
        <v>45809</v>
      </c>
      <c r="P24" s="175">
        <f>IF(YEAR(P$4)&gt;=FPFirstYear,IF(YEAR(P$4)&lt;=FPLastYear,P$4,""),"")</f>
        <v>46174</v>
      </c>
      <c r="Q24" s="175">
        <f>IF(YEAR(Q$4)&gt;=FPFirstYear,IF(YEAR(Q$4)&lt;=FPLastYear,Q$4,""),"")</f>
        <v>46539</v>
      </c>
      <c r="R24" s="175">
        <f>IF(YEAR(R$4)&gt;=FPFirstYear,IF(YEAR(R$4)&lt;=FPLastYear,R$4,""),"")</f>
        <v>46905</v>
      </c>
      <c r="S24" s="175">
        <f>IF(YEAR(S$4)&gt;=FPFirstYear,IF(YEAR(S$4)&lt;=FPLastYear,S$4,""),"")</f>
        <v>47270</v>
      </c>
    </row>
    <row r="25" spans="1:30" ht="10.5" x14ac:dyDescent="0.25">
      <c r="C25" s="29"/>
      <c r="D25" s="23"/>
      <c r="E25" s="23"/>
      <c r="F25" s="23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30" x14ac:dyDescent="0.2">
      <c r="C26" s="55" t="s">
        <v>273</v>
      </c>
      <c r="D26" s="21" t="s">
        <v>23</v>
      </c>
      <c r="E26" s="21" t="str">
        <f>$E$8</f>
        <v>$millions</v>
      </c>
      <c r="F26" s="71">
        <f>F20</f>
        <v>45444</v>
      </c>
      <c r="J26" s="74"/>
      <c r="K26" s="74"/>
      <c r="L26" s="74"/>
      <c r="M26" s="74"/>
      <c r="N26" s="74"/>
      <c r="O26" s="79">
        <f>O20</f>
        <v>0</v>
      </c>
      <c r="P26" s="79">
        <f>P20</f>
        <v>0</v>
      </c>
      <c r="Q26" s="79">
        <f>Q20</f>
        <v>0</v>
      </c>
      <c r="R26" s="79">
        <f>R20</f>
        <v>0</v>
      </c>
      <c r="S26" s="79">
        <f>S20</f>
        <v>0</v>
      </c>
    </row>
    <row r="27" spans="1:30" ht="10.5" x14ac:dyDescent="0.25">
      <c r="C27" s="55" t="s">
        <v>270</v>
      </c>
      <c r="D27" s="21" t="s">
        <v>23</v>
      </c>
      <c r="E27" s="21" t="str">
        <f>$E$8</f>
        <v>$millions</v>
      </c>
      <c r="F27" s="106">
        <f>F13</f>
        <v>45444</v>
      </c>
      <c r="J27" s="24"/>
      <c r="K27" s="24"/>
      <c r="L27" s="24"/>
      <c r="M27" s="24"/>
      <c r="N27" s="24"/>
      <c r="O27" s="107">
        <f>$M$13</f>
        <v>2.9066212099287978</v>
      </c>
      <c r="P27" s="107">
        <f t="shared" ref="P27:S27" si="2">$M$13</f>
        <v>2.9066212099287978</v>
      </c>
      <c r="Q27" s="107">
        <f t="shared" si="2"/>
        <v>2.9066212099287978</v>
      </c>
      <c r="R27" s="107">
        <f t="shared" si="2"/>
        <v>2.9066212099287978</v>
      </c>
      <c r="S27" s="107">
        <f t="shared" si="2"/>
        <v>2.9066212099287978</v>
      </c>
    </row>
    <row r="28" spans="1:30" ht="3" customHeight="1" x14ac:dyDescent="0.2">
      <c r="F28" s="108"/>
      <c r="O28" s="101"/>
      <c r="P28" s="101"/>
      <c r="Q28" s="101"/>
      <c r="R28" s="101"/>
      <c r="S28" s="101"/>
    </row>
    <row r="29" spans="1:30" ht="10.5" x14ac:dyDescent="0.25">
      <c r="C29" s="75" t="s">
        <v>269</v>
      </c>
      <c r="D29" s="76" t="s">
        <v>23</v>
      </c>
      <c r="E29" s="76" t="str">
        <f>$E$8</f>
        <v>$millions</v>
      </c>
      <c r="F29" s="77">
        <f>F27</f>
        <v>45444</v>
      </c>
      <c r="G29" s="23"/>
      <c r="H29" s="23"/>
      <c r="I29" s="23"/>
      <c r="J29" s="78"/>
      <c r="K29" s="78"/>
      <c r="L29" s="78"/>
      <c r="M29" s="78"/>
      <c r="N29" s="78"/>
      <c r="O29" s="80">
        <f>O26-O27</f>
        <v>-2.9066212099287978</v>
      </c>
      <c r="P29" s="80">
        <f>P26-P27</f>
        <v>-2.9066212099287978</v>
      </c>
      <c r="Q29" s="80">
        <f>Q26-Q27</f>
        <v>-2.9066212099287978</v>
      </c>
      <c r="R29" s="80">
        <f>R26-R27</f>
        <v>-2.9066212099287978</v>
      </c>
      <c r="S29" s="80">
        <f>S26-S27</f>
        <v>-2.9066212099287978</v>
      </c>
    </row>
    <row r="30" spans="1:30" ht="10.5" x14ac:dyDescent="0.25">
      <c r="C30" s="109"/>
      <c r="D30" s="110"/>
      <c r="E30" s="110"/>
      <c r="F30" s="77"/>
      <c r="G30" s="23"/>
      <c r="H30" s="23"/>
      <c r="I30" s="23"/>
      <c r="J30" s="78"/>
      <c r="K30" s="78"/>
      <c r="L30" s="78"/>
      <c r="M30" s="78"/>
      <c r="N30" s="78"/>
      <c r="O30" s="80"/>
      <c r="P30" s="80"/>
      <c r="Q30" s="80"/>
      <c r="R30" s="80"/>
      <c r="S30" s="80"/>
    </row>
    <row r="31" spans="1:30" s="19" customFormat="1" ht="13" x14ac:dyDescent="0.3">
      <c r="A31" s="12"/>
      <c r="B31" s="13" t="s">
        <v>98</v>
      </c>
      <c r="C31" s="12"/>
      <c r="D31" s="12"/>
      <c r="E31" s="12"/>
      <c r="F31" s="14"/>
      <c r="G31" s="14"/>
      <c r="H31" s="14"/>
      <c r="I31" s="14"/>
      <c r="J31" s="15"/>
      <c r="K31" s="16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7"/>
      <c r="Y31" s="17"/>
      <c r="Z31" s="17"/>
      <c r="AA31" s="17"/>
      <c r="AB31" s="17"/>
      <c r="AC31" s="18"/>
      <c r="AD31" s="18"/>
    </row>
    <row r="32" spans="1:30" x14ac:dyDescent="0.2">
      <c r="C32" s="111"/>
      <c r="D32" s="113"/>
      <c r="E32" s="113"/>
      <c r="F32" s="114"/>
      <c r="G32" s="64"/>
      <c r="H32" s="64"/>
      <c r="I32" s="64"/>
      <c r="J32" s="74"/>
      <c r="K32" s="74"/>
      <c r="L32" s="74"/>
      <c r="M32" s="74"/>
      <c r="N32" s="74"/>
      <c r="O32" s="79"/>
      <c r="P32" s="79"/>
      <c r="Q32" s="79"/>
      <c r="R32" s="79"/>
      <c r="S32" s="79"/>
    </row>
    <row r="33" spans="3:19" ht="10.5" x14ac:dyDescent="0.25">
      <c r="C33" s="29" t="s">
        <v>252</v>
      </c>
      <c r="D33" s="113"/>
      <c r="E33" s="113"/>
      <c r="F33" s="20"/>
      <c r="H33" s="64"/>
      <c r="I33" s="64"/>
      <c r="J33" s="74"/>
      <c r="K33" s="74"/>
      <c r="L33" s="74"/>
      <c r="M33" s="175">
        <f t="shared" ref="M33:S33" si="3">IF(YEAR(M$4)&lt;=PPLastYear,M$4,IF(YEAR(M$4)&gt;=FPFirstYear,IF(YEAR(M$4)&lt;=FPLastYear,M$4,""),""))</f>
        <v>45078</v>
      </c>
      <c r="N33" s="175">
        <f t="shared" si="3"/>
        <v>45444</v>
      </c>
      <c r="O33" s="175">
        <f t="shared" si="3"/>
        <v>45809</v>
      </c>
      <c r="P33" s="175">
        <f t="shared" si="3"/>
        <v>46174</v>
      </c>
      <c r="Q33" s="175">
        <f t="shared" si="3"/>
        <v>46539</v>
      </c>
      <c r="R33" s="175">
        <f t="shared" si="3"/>
        <v>46905</v>
      </c>
      <c r="S33" s="175">
        <f t="shared" si="3"/>
        <v>47270</v>
      </c>
    </row>
    <row r="34" spans="3:19" x14ac:dyDescent="0.2">
      <c r="C34" s="111" t="s">
        <v>136</v>
      </c>
      <c r="D34" s="167" t="s">
        <v>41</v>
      </c>
      <c r="E34" s="21" t="str">
        <f t="shared" ref="E34:E36" si="4">$E$8</f>
        <v>$millions</v>
      </c>
      <c r="F34" s="69" t="s">
        <v>42</v>
      </c>
      <c r="G34" s="20"/>
      <c r="H34" s="64"/>
      <c r="J34" s="74"/>
      <c r="K34" s="74"/>
      <c r="L34" s="74"/>
      <c r="M34" s="127">
        <v>129</v>
      </c>
      <c r="N34" s="127">
        <v>0</v>
      </c>
      <c r="O34" s="127">
        <v>0</v>
      </c>
      <c r="P34" s="127">
        <v>0</v>
      </c>
      <c r="Q34" s="127">
        <v>0</v>
      </c>
      <c r="R34" s="127">
        <v>0</v>
      </c>
      <c r="S34" s="127">
        <v>0</v>
      </c>
    </row>
    <row r="35" spans="3:19" x14ac:dyDescent="0.2">
      <c r="C35" s="111" t="s">
        <v>137</v>
      </c>
      <c r="D35" s="167" t="s">
        <v>41</v>
      </c>
      <c r="E35" s="21" t="str">
        <f t="shared" si="4"/>
        <v>$millions</v>
      </c>
      <c r="F35" s="69" t="s">
        <v>42</v>
      </c>
      <c r="G35" s="20"/>
      <c r="H35" s="64"/>
      <c r="I35" s="64"/>
      <c r="J35" s="74"/>
      <c r="K35" s="74"/>
      <c r="L35" s="74"/>
      <c r="M35" s="127">
        <v>29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</row>
    <row r="36" spans="3:19" ht="10.5" x14ac:dyDescent="0.25">
      <c r="C36" s="116" t="s">
        <v>101</v>
      </c>
      <c r="D36" s="21" t="s">
        <v>23</v>
      </c>
      <c r="E36" s="21" t="str">
        <f t="shared" si="4"/>
        <v>$millions</v>
      </c>
      <c r="F36" s="121" t="str">
        <f>$F$34</f>
        <v>nominal</v>
      </c>
      <c r="G36" s="64"/>
      <c r="H36" s="64"/>
      <c r="I36" s="64"/>
      <c r="J36" s="74"/>
      <c r="K36" s="74"/>
      <c r="L36" s="74"/>
      <c r="M36" s="125">
        <f t="shared" ref="M36:S36" si="5">SUM(M34:M35)</f>
        <v>158</v>
      </c>
      <c r="N36" s="125">
        <f t="shared" si="5"/>
        <v>0</v>
      </c>
      <c r="O36" s="125">
        <f t="shared" si="5"/>
        <v>0</v>
      </c>
      <c r="P36" s="125">
        <f t="shared" si="5"/>
        <v>0</v>
      </c>
      <c r="Q36" s="125">
        <f t="shared" si="5"/>
        <v>0</v>
      </c>
      <c r="R36" s="125">
        <f t="shared" si="5"/>
        <v>0</v>
      </c>
      <c r="S36" s="125">
        <f t="shared" si="5"/>
        <v>0</v>
      </c>
    </row>
    <row r="37" spans="3:19" x14ac:dyDescent="0.2">
      <c r="C37" s="111"/>
      <c r="D37" s="113"/>
      <c r="E37" s="113"/>
      <c r="F37" s="114"/>
      <c r="G37" s="64"/>
      <c r="H37" s="64"/>
      <c r="I37" s="64"/>
      <c r="J37" s="74"/>
      <c r="K37" s="74"/>
      <c r="L37" s="74"/>
      <c r="M37" s="74"/>
      <c r="N37" s="74"/>
      <c r="O37" s="79"/>
      <c r="P37" s="79"/>
      <c r="Q37" s="79"/>
      <c r="R37" s="79"/>
      <c r="S37" s="79"/>
    </row>
    <row r="38" spans="3:19" ht="10.5" x14ac:dyDescent="0.25">
      <c r="C38" s="29" t="s">
        <v>271</v>
      </c>
      <c r="D38" s="113"/>
      <c r="E38" s="113"/>
      <c r="F38" s="20"/>
      <c r="G38" s="20"/>
      <c r="H38" s="64"/>
      <c r="I38" s="64"/>
      <c r="J38" s="74"/>
      <c r="K38" s="74"/>
      <c r="L38" s="74"/>
      <c r="M38" s="175">
        <f t="shared" ref="M38:S38" si="6">IF(YEAR(M$4)&lt;=PPLastYear,M$4,IF(YEAR(M$4)&gt;=FPFirstYear,IF(YEAR(M$4)&lt;=FPLastYear,M$4,""),""))</f>
        <v>45078</v>
      </c>
      <c r="N38" s="175">
        <f t="shared" si="6"/>
        <v>45444</v>
      </c>
      <c r="O38" s="175">
        <f t="shared" si="6"/>
        <v>45809</v>
      </c>
      <c r="P38" s="175">
        <f t="shared" si="6"/>
        <v>46174</v>
      </c>
      <c r="Q38" s="175">
        <f t="shared" si="6"/>
        <v>46539</v>
      </c>
      <c r="R38" s="175">
        <f t="shared" si="6"/>
        <v>46905</v>
      </c>
      <c r="S38" s="175">
        <f t="shared" si="6"/>
        <v>47270</v>
      </c>
    </row>
    <row r="39" spans="3:19" x14ac:dyDescent="0.2">
      <c r="C39" s="111" t="s">
        <v>249</v>
      </c>
      <c r="D39" s="167" t="s">
        <v>41</v>
      </c>
      <c r="E39" s="21" t="str">
        <f t="shared" ref="E39:E41" si="7">$E$8</f>
        <v>$millions</v>
      </c>
      <c r="F39" s="69" t="s">
        <v>42</v>
      </c>
      <c r="G39" s="20"/>
      <c r="H39" s="64"/>
      <c r="I39" s="64"/>
      <c r="J39" s="74"/>
      <c r="K39" s="74"/>
      <c r="L39" s="74"/>
      <c r="M39" s="127">
        <v>0.90776018714599993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</row>
    <row r="40" spans="3:19" x14ac:dyDescent="0.2">
      <c r="C40" s="111" t="s">
        <v>250</v>
      </c>
      <c r="D40" s="167" t="s">
        <v>41</v>
      </c>
      <c r="E40" s="21" t="str">
        <f t="shared" si="7"/>
        <v>$millions</v>
      </c>
      <c r="F40" s="69" t="s">
        <v>42</v>
      </c>
      <c r="G40" s="20"/>
      <c r="H40" s="64"/>
      <c r="I40" s="64"/>
      <c r="J40" s="74"/>
      <c r="K40" s="74"/>
      <c r="L40" s="74"/>
      <c r="M40" s="127">
        <v>0.27367117243799999</v>
      </c>
      <c r="N40" s="127">
        <v>0</v>
      </c>
      <c r="O40" s="127">
        <v>0</v>
      </c>
      <c r="P40" s="127">
        <v>0</v>
      </c>
      <c r="Q40" s="127">
        <v>0</v>
      </c>
      <c r="R40" s="127">
        <v>0</v>
      </c>
      <c r="S40" s="127">
        <v>0</v>
      </c>
    </row>
    <row r="41" spans="3:19" x14ac:dyDescent="0.2">
      <c r="C41" s="111" t="s">
        <v>251</v>
      </c>
      <c r="D41" s="167" t="s">
        <v>41</v>
      </c>
      <c r="E41" s="21" t="str">
        <f t="shared" si="7"/>
        <v>$millions</v>
      </c>
      <c r="F41" s="69" t="s">
        <v>42</v>
      </c>
      <c r="G41" s="20"/>
      <c r="H41" s="64"/>
      <c r="I41" s="64"/>
      <c r="J41" s="74"/>
      <c r="K41" s="74"/>
      <c r="L41" s="74"/>
      <c r="M41" s="127">
        <v>1.858568640416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7">
        <v>0</v>
      </c>
    </row>
    <row r="42" spans="3:19" x14ac:dyDescent="0.2">
      <c r="C42" s="111" t="s">
        <v>138</v>
      </c>
      <c r="D42" s="21" t="s">
        <v>23</v>
      </c>
      <c r="E42" s="122" t="str">
        <f>E41</f>
        <v>$millions</v>
      </c>
      <c r="F42" s="121" t="str">
        <f>$F$34</f>
        <v>nominal</v>
      </c>
      <c r="G42" s="20"/>
      <c r="H42" s="64"/>
      <c r="I42" s="64"/>
      <c r="J42" s="74"/>
      <c r="K42" s="74"/>
      <c r="L42" s="74"/>
      <c r="M42" s="125">
        <f>SUM(M39:M41)</f>
        <v>3.04</v>
      </c>
      <c r="N42" s="125">
        <f t="shared" ref="N42:S42" si="8">SUM(N39:N41)</f>
        <v>0</v>
      </c>
      <c r="O42" s="125">
        <f t="shared" si="8"/>
        <v>0</v>
      </c>
      <c r="P42" s="125">
        <f t="shared" si="8"/>
        <v>0</v>
      </c>
      <c r="Q42" s="125">
        <f t="shared" si="8"/>
        <v>0</v>
      </c>
      <c r="R42" s="125">
        <f t="shared" si="8"/>
        <v>0</v>
      </c>
      <c r="S42" s="125">
        <f t="shared" si="8"/>
        <v>0</v>
      </c>
    </row>
    <row r="43" spans="3:19" x14ac:dyDescent="0.2">
      <c r="C43" s="111"/>
      <c r="D43" s="113"/>
      <c r="E43" s="113"/>
      <c r="F43" s="114"/>
      <c r="G43" s="64"/>
      <c r="H43" s="64"/>
      <c r="I43" s="64"/>
      <c r="J43" s="74"/>
      <c r="K43" s="74"/>
      <c r="L43" s="74"/>
      <c r="M43" s="74"/>
      <c r="N43" s="74"/>
      <c r="O43" s="79"/>
      <c r="P43" s="79"/>
      <c r="Q43" s="79"/>
      <c r="R43" s="79"/>
      <c r="S43" s="79"/>
    </row>
    <row r="44" spans="3:19" ht="10.5" x14ac:dyDescent="0.25">
      <c r="C44" s="29" t="s">
        <v>103</v>
      </c>
      <c r="D44" s="167" t="s">
        <v>41</v>
      </c>
      <c r="E44" s="122" t="s">
        <v>34</v>
      </c>
      <c r="F44" s="114"/>
      <c r="G44" s="64"/>
      <c r="H44" s="64"/>
      <c r="I44" s="64"/>
      <c r="J44" s="74"/>
      <c r="K44" s="74"/>
      <c r="L44" s="74"/>
      <c r="M44" s="140">
        <v>0.88998052538549943</v>
      </c>
      <c r="N44" s="140">
        <v>0.88998052538549943</v>
      </c>
      <c r="O44" s="140">
        <v>0.88998052538549943</v>
      </c>
      <c r="P44" s="140">
        <v>0.88998052538549943</v>
      </c>
      <c r="Q44" s="140">
        <v>0.88998052538549943</v>
      </c>
      <c r="R44" s="140">
        <v>0.88998052538549943</v>
      </c>
      <c r="S44" s="140">
        <v>0.88998052538549943</v>
      </c>
    </row>
    <row r="45" spans="3:19" x14ac:dyDescent="0.2">
      <c r="C45" s="111"/>
      <c r="D45" s="113"/>
      <c r="E45" s="113"/>
      <c r="F45" s="114"/>
      <c r="G45" s="64"/>
      <c r="H45" s="64"/>
      <c r="I45" s="64"/>
      <c r="J45" s="74"/>
      <c r="K45" s="74"/>
      <c r="L45" s="74"/>
      <c r="M45" s="74"/>
      <c r="N45" s="74"/>
      <c r="O45" s="79"/>
      <c r="P45" s="79"/>
      <c r="Q45" s="79"/>
      <c r="R45" s="79"/>
      <c r="S45" s="79"/>
    </row>
    <row r="46" spans="3:19" ht="10.5" x14ac:dyDescent="0.25">
      <c r="C46" s="29" t="s">
        <v>139</v>
      </c>
      <c r="D46" s="113"/>
      <c r="E46" s="113"/>
      <c r="F46" s="114"/>
      <c r="G46" s="64"/>
      <c r="H46" s="64"/>
      <c r="I46" s="64"/>
      <c r="J46" s="74"/>
      <c r="K46" s="74"/>
      <c r="L46" s="74"/>
      <c r="M46" s="175">
        <f t="shared" ref="M46:S46" si="9">IF(YEAR(M$4)&lt;=PPLastYear,M$4,IF(YEAR(M$4)&gt;=FPFirstYear,IF(YEAR(M$4)&lt;=FPLastYear,M$4,""),""))</f>
        <v>45078</v>
      </c>
      <c r="N46" s="175">
        <f t="shared" si="9"/>
        <v>45444</v>
      </c>
      <c r="O46" s="175">
        <f t="shared" si="9"/>
        <v>45809</v>
      </c>
      <c r="P46" s="175">
        <f t="shared" si="9"/>
        <v>46174</v>
      </c>
      <c r="Q46" s="175">
        <f t="shared" si="9"/>
        <v>46539</v>
      </c>
      <c r="R46" s="175">
        <f t="shared" si="9"/>
        <v>46905</v>
      </c>
      <c r="S46" s="175">
        <f t="shared" si="9"/>
        <v>47270</v>
      </c>
    </row>
    <row r="47" spans="3:19" x14ac:dyDescent="0.2">
      <c r="C47" s="55" t="s">
        <v>135</v>
      </c>
      <c r="D47" s="21" t="s">
        <v>23</v>
      </c>
      <c r="E47" s="21" t="str">
        <f t="shared" ref="E47:E48" si="10">$E$8</f>
        <v>$millions</v>
      </c>
      <c r="F47" s="121" t="str">
        <f>$F$42</f>
        <v>nominal</v>
      </c>
      <c r="G47" s="64"/>
      <c r="H47" s="64"/>
      <c r="I47" s="64"/>
      <c r="J47" s="74"/>
      <c r="K47" s="74"/>
      <c r="L47" s="74"/>
      <c r="M47" s="117">
        <f>M44*M42</f>
        <v>2.7055407971719183</v>
      </c>
      <c r="N47" s="117">
        <f t="shared" ref="N47:S47" si="11">N44*N42</f>
        <v>0</v>
      </c>
      <c r="O47" s="117">
        <f t="shared" si="11"/>
        <v>0</v>
      </c>
      <c r="P47" s="117">
        <f t="shared" si="11"/>
        <v>0</v>
      </c>
      <c r="Q47" s="117">
        <f t="shared" si="11"/>
        <v>0</v>
      </c>
      <c r="R47" s="117">
        <f t="shared" si="11"/>
        <v>0</v>
      </c>
      <c r="S47" s="117">
        <f t="shared" si="11"/>
        <v>0</v>
      </c>
    </row>
    <row r="48" spans="3:19" x14ac:dyDescent="0.2">
      <c r="C48" s="55" t="s">
        <v>135</v>
      </c>
      <c r="D48" s="21" t="s">
        <v>23</v>
      </c>
      <c r="E48" s="21" t="str">
        <f t="shared" si="10"/>
        <v>$millions</v>
      </c>
      <c r="F48" s="114">
        <f t="shared" ref="F48" si="12">$F$8</f>
        <v>45444</v>
      </c>
      <c r="G48" s="64"/>
      <c r="H48" s="64"/>
      <c r="I48" s="64"/>
      <c r="J48" s="74"/>
      <c r="K48" s="74"/>
      <c r="L48" s="74"/>
      <c r="M48" s="117">
        <f>M47*IF($F47="nominal",LOOKUP($F48,'Lookup|Tables'!Nominal_to_Real,'Calc|CPI Indexes'!N$31:N$42),INDEX('Calc|CPI Indexes'!$C$14:$T$27,MATCH($F47,'Calc|CPI Indexes'!$C$14:$C$27,0),MATCH($F48,'Calc|CPI Indexes'!$C$14:$T$14,0)))</f>
        <v>2.9066212099287978</v>
      </c>
      <c r="N48" s="117">
        <f>N47*IF($F47="nominal",LOOKUP($F48,'Lookup|Tables'!Nominal_to_Real,'Calc|CPI Indexes'!O$31:O$42),INDEX('Calc|CPI Indexes'!$C$14:$T$27,MATCH($F47,'Calc|CPI Indexes'!$C$14:$C$27,0),MATCH($F48,'Calc|CPI Indexes'!$C$14:$T$14,0)))</f>
        <v>0</v>
      </c>
      <c r="O48" s="117">
        <f>O47*IF($F47="nominal",LOOKUP($F48,'Lookup|Tables'!Nominal_to_Real,'Calc|CPI Indexes'!P$31:P$42),INDEX('Calc|CPI Indexes'!$C$14:$T$27,MATCH($F47,'Calc|CPI Indexes'!$C$14:$C$27,0),MATCH($F48,'Calc|CPI Indexes'!$C$14:$T$14,0)))</f>
        <v>0</v>
      </c>
      <c r="P48" s="117">
        <f>P47*IF($F47="nominal",LOOKUP($F48,'Lookup|Tables'!Nominal_to_Real,'Calc|CPI Indexes'!Q$31:Q$42),INDEX('Calc|CPI Indexes'!$C$14:$T$27,MATCH($F47,'Calc|CPI Indexes'!$C$14:$C$27,0),MATCH($F48,'Calc|CPI Indexes'!$C$14:$T$14,0)))</f>
        <v>0</v>
      </c>
      <c r="Q48" s="117">
        <f>Q47*IF($F47="nominal",LOOKUP($F48,'Lookup|Tables'!Nominal_to_Real,'Calc|CPI Indexes'!R$31:R$42),INDEX('Calc|CPI Indexes'!$C$14:$T$27,MATCH($F47,'Calc|CPI Indexes'!$C$14:$C$27,0),MATCH($F48,'Calc|CPI Indexes'!$C$14:$T$14,0)))</f>
        <v>0</v>
      </c>
      <c r="R48" s="117">
        <f>R47*IF($F47="nominal",LOOKUP($F48,'Lookup|Tables'!Nominal_to_Real,'Calc|CPI Indexes'!S$31:S$42),INDEX('Calc|CPI Indexes'!$C$14:$T$27,MATCH($F47,'Calc|CPI Indexes'!$C$14:$C$27,0),MATCH($F48,'Calc|CPI Indexes'!$C$14:$T$14,0)))</f>
        <v>0</v>
      </c>
      <c r="S48" s="117">
        <f>S47*IF($F47="nominal",LOOKUP($F48,'Lookup|Tables'!Nominal_to_Real,'Calc|CPI Indexes'!T$31:T$42),INDEX('Calc|CPI Indexes'!$C$14:$T$27,MATCH($F47,'Calc|CPI Indexes'!$C$14:$C$27,0),MATCH($F48,'Calc|CPI Indexes'!$C$14:$T$14,0)))</f>
        <v>0</v>
      </c>
    </row>
    <row r="49" spans="1:30" x14ac:dyDescent="0.2">
      <c r="C49" s="111"/>
      <c r="D49" s="113"/>
      <c r="E49" s="113"/>
      <c r="F49" s="114"/>
      <c r="G49" s="64"/>
      <c r="H49" s="64"/>
      <c r="I49" s="64"/>
      <c r="J49" s="74"/>
      <c r="K49" s="74"/>
      <c r="L49" s="74"/>
      <c r="M49" s="74"/>
      <c r="N49" s="74"/>
      <c r="O49" s="79"/>
      <c r="P49" s="79"/>
      <c r="Q49" s="79"/>
      <c r="R49" s="79"/>
      <c r="S49" s="79"/>
    </row>
    <row r="50" spans="1:30" x14ac:dyDescent="0.2">
      <c r="C50" s="55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112"/>
      <c r="O50" s="112"/>
      <c r="P50" s="112"/>
      <c r="Q50" s="112"/>
      <c r="R50" s="112"/>
      <c r="S50" s="112"/>
    </row>
    <row r="51" spans="1:30" s="19" customFormat="1" ht="13" x14ac:dyDescent="0.3">
      <c r="A51" s="12"/>
      <c r="B51" s="13" t="s">
        <v>18</v>
      </c>
      <c r="C51" s="12"/>
      <c r="D51" s="12"/>
      <c r="E51" s="12"/>
      <c r="F51" s="14"/>
      <c r="G51" s="14"/>
      <c r="H51" s="14"/>
      <c r="I51" s="14"/>
      <c r="J51" s="15"/>
      <c r="K51" s="16"/>
      <c r="L51" s="15"/>
      <c r="M51" s="16"/>
      <c r="N51" s="15"/>
      <c r="O51" s="15"/>
      <c r="P51" s="15"/>
      <c r="Q51" s="15"/>
      <c r="R51" s="15"/>
      <c r="S51" s="15"/>
      <c r="T51" s="15"/>
      <c r="U51" s="15"/>
      <c r="V51" s="16"/>
      <c r="W51" s="16"/>
      <c r="X51" s="17"/>
      <c r="Y51" s="17"/>
      <c r="Z51" s="17"/>
      <c r="AA51" s="17"/>
      <c r="AB51" s="17"/>
      <c r="AC51" s="18"/>
      <c r="AD51" s="18"/>
    </row>
  </sheetData>
  <mergeCells count="1">
    <mergeCell ref="N3:S3"/>
  </mergeCells>
  <conditionalFormatting sqref="O17:S17">
    <cfRule type="expression" dxfId="17" priority="5">
      <formula>O$10=O$4</formula>
    </cfRule>
  </conditionalFormatting>
  <conditionalFormatting sqref="O24:S24">
    <cfRule type="expression" dxfId="16" priority="4">
      <formula>O$10=O$4</formula>
    </cfRule>
  </conditionalFormatting>
  <conditionalFormatting sqref="O33:S33">
    <cfRule type="expression" dxfId="15" priority="3">
      <formula>O$10=O$4</formula>
    </cfRule>
  </conditionalFormatting>
  <conditionalFormatting sqref="O38:S38">
    <cfRule type="expression" dxfId="14" priority="2">
      <formula>O$10=O$4</formula>
    </cfRule>
  </conditionalFormatting>
  <conditionalFormatting sqref="O46:S46">
    <cfRule type="expression" dxfId="13" priority="1">
      <formula>O$10=O$4</formula>
    </cfRule>
  </conditionalFormatting>
  <dataValidations count="2">
    <dataValidation type="list" allowBlank="1" showInputMessage="1" showErrorMessage="1" sqref="F19 F12" xr:uid="{3F86F302-CE1F-43EA-BB16-3F6A0C771272}">
      <formula1>$F$47:$F$48</formula1>
    </dataValidation>
    <dataValidation type="list" allowBlank="1" showInputMessage="1" showErrorMessage="1" sqref="F50" xr:uid="{7C572065-EBB3-423B-9367-E2B3D74DA804}">
      <formula1>"Real 2010,Real 2011,Real 2012,Real 2013,Real 2014,Real 2015,Nominal"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F195E8-BB9F-42FE-9E30-204AFBAEE0F0}">
          <x14:formula1>
            <xm:f>'Lookup|Tables'!$G$81:$G$84</xm:f>
          </x14:formula1>
          <xm:sqref>F34:F35 F39:F41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7B81-4D89-4FF3-ADA1-B202F40EDF12}">
  <sheetPr>
    <tabColor rgb="FFCCFFCC"/>
  </sheetPr>
  <dimension ref="A1:AD46"/>
  <sheetViews>
    <sheetView showGridLines="0" zoomScale="75" zoomScaleNormal="75" workbookViewId="0"/>
  </sheetViews>
  <sheetFormatPr defaultColWidth="0" defaultRowHeight="10" zeroHeight="1" x14ac:dyDescent="0.2"/>
  <cols>
    <col min="1" max="2" width="1.1796875" style="20" customWidth="1"/>
    <col min="3" max="3" width="62.5429687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7" width="4.54296875" style="21" customWidth="1"/>
    <col min="8" max="9" width="2.81640625" style="21" customWidth="1"/>
    <col min="10" max="19" width="8.81640625" style="20" customWidth="1"/>
    <col min="20" max="20" width="9.1796875" style="20" bestFit="1" customWidth="1"/>
    <col min="21" max="23" width="8.81640625" style="20" customWidth="1"/>
    <col min="24" max="38" width="8.54296875" style="20" hidden="1" customWidth="1"/>
    <col min="39" max="16384" width="8.54296875" style="20" hidden="1"/>
  </cols>
  <sheetData>
    <row r="1" spans="1:30" s="1" customFormat="1" ht="15.5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96" t="s">
        <v>1</v>
      </c>
      <c r="M1" s="97" t="s">
        <v>2</v>
      </c>
      <c r="N1" s="98" t="s">
        <v>3</v>
      </c>
      <c r="O1" s="2"/>
      <c r="P1" s="2"/>
      <c r="Q1" s="2"/>
      <c r="R1" s="2"/>
      <c r="S1" s="2"/>
      <c r="T1" s="2"/>
      <c r="U1" s="2"/>
      <c r="V1" s="2"/>
      <c r="W1" s="2"/>
    </row>
    <row r="2" spans="1:30" s="7" customFormat="1" ht="13.5" thickBot="1" x14ac:dyDescent="0.35">
      <c r="B2" s="8" t="s">
        <v>192</v>
      </c>
      <c r="C2" s="8"/>
      <c r="D2" s="8"/>
      <c r="E2" s="8"/>
      <c r="F2" s="9"/>
      <c r="G2" s="9"/>
      <c r="H2" s="9"/>
      <c r="I2" s="9"/>
    </row>
    <row r="3" spans="1:30" s="38" customFormat="1" ht="10.5" x14ac:dyDescent="0.25">
      <c r="D3" s="134"/>
      <c r="E3" s="134"/>
      <c r="F3" s="134"/>
      <c r="G3" s="134"/>
      <c r="H3" s="134"/>
      <c r="I3" s="134"/>
      <c r="J3" s="65" t="s">
        <v>12</v>
      </c>
      <c r="K3" s="65"/>
      <c r="L3" s="65"/>
      <c r="M3" s="134"/>
      <c r="N3" s="211"/>
      <c r="O3" s="211"/>
      <c r="P3" s="211"/>
      <c r="Q3" s="211"/>
      <c r="R3" s="211"/>
      <c r="S3" s="211"/>
      <c r="T3" s="42"/>
      <c r="U3" s="42"/>
      <c r="V3" s="42"/>
      <c r="W3" s="42"/>
      <c r="X3" s="42"/>
      <c r="Y3" s="42"/>
      <c r="Z3" s="42"/>
    </row>
    <row r="4" spans="1:30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6"/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</row>
    <row r="5" spans="1:30" s="10" customFormat="1" ht="3" customHeight="1" x14ac:dyDescent="0.2">
      <c r="D5" s="11"/>
      <c r="E5" s="11"/>
      <c r="F5" s="11"/>
      <c r="G5" s="11"/>
      <c r="H5" s="11"/>
      <c r="I5" s="11"/>
    </row>
    <row r="6" spans="1:30" s="10" customFormat="1" x14ac:dyDescent="0.2">
      <c r="D6" s="11"/>
      <c r="E6" s="11"/>
      <c r="F6" s="11"/>
      <c r="G6" s="11"/>
      <c r="H6" s="11"/>
      <c r="I6" s="11"/>
    </row>
    <row r="7" spans="1:30" s="10" customFormat="1" ht="3" customHeight="1" x14ac:dyDescent="0.2">
      <c r="D7" s="11"/>
      <c r="E7" s="11"/>
      <c r="F7" s="11"/>
      <c r="G7" s="11"/>
      <c r="H7" s="11"/>
      <c r="I7" s="11"/>
    </row>
    <row r="8" spans="1:30" s="19" customFormat="1" ht="13" x14ac:dyDescent="0.3">
      <c r="A8" s="12"/>
      <c r="B8" s="13" t="s">
        <v>36</v>
      </c>
      <c r="C8" s="12"/>
      <c r="D8" s="12"/>
      <c r="E8" s="66" t="s">
        <v>37</v>
      </c>
      <c r="F8" s="82">
        <v>45444</v>
      </c>
      <c r="G8" s="14"/>
      <c r="H8" s="14"/>
      <c r="I8" s="14"/>
      <c r="J8" s="15"/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  <c r="X8" s="17"/>
      <c r="Y8" s="17"/>
      <c r="Z8" s="17"/>
      <c r="AA8" s="17"/>
      <c r="AB8" s="17"/>
      <c r="AC8" s="18"/>
      <c r="AD8" s="18"/>
    </row>
    <row r="9" spans="1:30" x14ac:dyDescent="0.2"/>
    <row r="10" spans="1:30" ht="10.5" x14ac:dyDescent="0.25">
      <c r="C10" s="29" t="s">
        <v>261</v>
      </c>
      <c r="D10" s="23" t="s">
        <v>6</v>
      </c>
      <c r="E10" s="23" t="s">
        <v>24</v>
      </c>
      <c r="F10" s="23" t="s">
        <v>28</v>
      </c>
      <c r="J10" s="62">
        <f t="shared" ref="J10:M10" si="0">IF(YEAR(J$4)&lt;=PPLastYear,J$4,"")</f>
        <v>43983</v>
      </c>
      <c r="K10" s="62">
        <f t="shared" si="0"/>
        <v>44348</v>
      </c>
      <c r="L10" s="62">
        <f t="shared" si="0"/>
        <v>44713</v>
      </c>
      <c r="M10" s="62">
        <f t="shared" si="0"/>
        <v>45078</v>
      </c>
      <c r="N10" s="62"/>
      <c r="O10" s="62"/>
      <c r="P10" s="62"/>
      <c r="Q10" s="62"/>
      <c r="R10" s="62"/>
      <c r="S10" s="62"/>
    </row>
    <row r="11" spans="1:30" x14ac:dyDescent="0.2">
      <c r="C11" s="55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30" x14ac:dyDescent="0.2">
      <c r="C12" s="55" t="s">
        <v>158</v>
      </c>
      <c r="D12" s="167" t="s">
        <v>41</v>
      </c>
      <c r="E12" s="21" t="str">
        <f>$E$8</f>
        <v>$millions</v>
      </c>
      <c r="F12" s="71">
        <f>F43</f>
        <v>45444</v>
      </c>
      <c r="J12" s="70"/>
      <c r="K12" s="70"/>
      <c r="L12" s="70"/>
      <c r="M12" s="74">
        <f>M43</f>
        <v>17.092694662714383</v>
      </c>
      <c r="N12" s="64"/>
      <c r="O12" s="79"/>
      <c r="P12" s="79"/>
      <c r="Q12" s="79"/>
      <c r="R12" s="79"/>
      <c r="S12" s="79"/>
    </row>
    <row r="13" spans="1:30" x14ac:dyDescent="0.2">
      <c r="J13" s="64"/>
      <c r="K13" s="64"/>
      <c r="L13" s="64"/>
    </row>
    <row r="14" spans="1:30" s="19" customFormat="1" ht="13" x14ac:dyDescent="0.3">
      <c r="A14" s="12"/>
      <c r="B14" s="13" t="s">
        <v>170</v>
      </c>
      <c r="C14" s="12"/>
      <c r="D14" s="12"/>
      <c r="E14" s="12"/>
      <c r="F14" s="14"/>
      <c r="G14" s="14"/>
      <c r="H14" s="14"/>
      <c r="I14" s="14"/>
      <c r="J14" s="15"/>
      <c r="K14" s="16"/>
      <c r="L14" s="15"/>
      <c r="M14" s="16"/>
      <c r="N14" s="15"/>
      <c r="O14" s="15"/>
      <c r="P14" s="15"/>
      <c r="Q14" s="15"/>
      <c r="R14" s="15"/>
      <c r="S14" s="15"/>
      <c r="T14" s="15"/>
      <c r="U14" s="15"/>
      <c r="V14" s="16"/>
      <c r="W14" s="16"/>
      <c r="X14" s="17"/>
      <c r="Y14" s="17"/>
      <c r="Z14" s="17"/>
      <c r="AA14" s="17"/>
      <c r="AB14" s="17"/>
      <c r="AC14" s="18"/>
      <c r="AD14" s="18"/>
    </row>
    <row r="15" spans="1:30" x14ac:dyDescent="0.2">
      <c r="C15" s="55"/>
      <c r="J15" s="64"/>
      <c r="K15" s="64"/>
      <c r="L15" s="64"/>
    </row>
    <row r="16" spans="1:30" ht="10.5" x14ac:dyDescent="0.25">
      <c r="C16" s="29" t="s">
        <v>262</v>
      </c>
      <c r="D16" s="23" t="s">
        <v>6</v>
      </c>
      <c r="E16" s="23" t="s">
        <v>24</v>
      </c>
      <c r="F16" s="23" t="s">
        <v>28</v>
      </c>
      <c r="J16" s="62"/>
      <c r="K16" s="62"/>
      <c r="L16" s="62"/>
      <c r="M16" s="147" t="s">
        <v>169</v>
      </c>
      <c r="N16" s="62"/>
      <c r="O16" s="62"/>
      <c r="P16" s="62"/>
      <c r="Q16" s="62"/>
      <c r="R16" s="62"/>
      <c r="S16" s="62"/>
      <c r="T16" s="146"/>
    </row>
    <row r="17" spans="1:30" ht="10.5" x14ac:dyDescent="0.25">
      <c r="C17" s="29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30" x14ac:dyDescent="0.2">
      <c r="C18" s="55" t="s">
        <v>158</v>
      </c>
      <c r="D18" s="167" t="s">
        <v>41</v>
      </c>
      <c r="E18" s="21" t="str">
        <f>$E$8</f>
        <v>$millions</v>
      </c>
      <c r="F18" s="71">
        <f>F43</f>
        <v>45444</v>
      </c>
      <c r="J18" s="74"/>
      <c r="K18" s="74"/>
      <c r="L18" s="74"/>
      <c r="M18" s="74" cm="1">
        <f t="array" ref="M18">INDEX($M$43:$T$43,0,MATCH(M16,M$42:T$42))</f>
        <v>30.93341593690791</v>
      </c>
      <c r="N18" s="74"/>
      <c r="O18" s="74"/>
      <c r="P18" s="74"/>
      <c r="Q18" s="74"/>
      <c r="R18" s="74"/>
      <c r="S18" s="74"/>
      <c r="T18" s="74"/>
      <c r="U18" s="74"/>
    </row>
    <row r="19" spans="1:30" x14ac:dyDescent="0.2">
      <c r="C19" s="73"/>
      <c r="F19" s="71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30" s="19" customFormat="1" ht="13" x14ac:dyDescent="0.3">
      <c r="A20" s="12"/>
      <c r="B20" s="13" t="s">
        <v>283</v>
      </c>
      <c r="C20" s="12"/>
      <c r="D20" s="12"/>
      <c r="E20" s="12"/>
      <c r="F20" s="14"/>
      <c r="G20" s="14"/>
      <c r="H20" s="14"/>
      <c r="I20" s="14"/>
      <c r="J20" s="15"/>
      <c r="K20" s="16"/>
      <c r="L20" s="15"/>
      <c r="M20" s="16"/>
      <c r="N20" s="15"/>
      <c r="O20" s="15"/>
      <c r="P20" s="15"/>
      <c r="Q20" s="15"/>
      <c r="R20" s="15"/>
      <c r="S20" s="15"/>
      <c r="T20" s="15"/>
      <c r="U20" s="15"/>
      <c r="V20" s="16"/>
      <c r="W20" s="16"/>
      <c r="X20" s="17"/>
      <c r="Y20" s="17"/>
      <c r="Z20" s="17"/>
      <c r="AA20" s="17"/>
      <c r="AB20" s="17"/>
      <c r="AC20" s="18"/>
      <c r="AD20" s="18"/>
    </row>
    <row r="21" spans="1:30" x14ac:dyDescent="0.2">
      <c r="C21" s="55"/>
      <c r="J21" s="64"/>
      <c r="K21" s="64"/>
      <c r="L21" s="64"/>
    </row>
    <row r="22" spans="1:30" ht="10.5" x14ac:dyDescent="0.25">
      <c r="C22" s="29" t="s">
        <v>284</v>
      </c>
      <c r="D22" s="23" t="s">
        <v>6</v>
      </c>
      <c r="E22" s="23" t="s">
        <v>24</v>
      </c>
      <c r="F22" s="23" t="s">
        <v>28</v>
      </c>
      <c r="J22" s="62" t="s">
        <v>377</v>
      </c>
      <c r="K22" s="62" t="s">
        <v>377</v>
      </c>
      <c r="L22" s="62" t="s">
        <v>377</v>
      </c>
      <c r="M22" s="62">
        <f t="shared" ref="M22" si="1">IF(YEAR(M$4)&lt;=PPLastYear,M$4,"")</f>
        <v>45078</v>
      </c>
      <c r="N22" s="62"/>
      <c r="O22" s="62"/>
      <c r="P22" s="62"/>
      <c r="Q22" s="62"/>
      <c r="R22" s="62"/>
      <c r="S22" s="62"/>
      <c r="T22" s="62"/>
      <c r="U22" s="62"/>
    </row>
    <row r="23" spans="1:30" ht="10.5" x14ac:dyDescent="0.25">
      <c r="C23" s="29"/>
      <c r="D23" s="23"/>
      <c r="E23" s="23"/>
      <c r="F23" s="23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spans="1:30" x14ac:dyDescent="0.2">
      <c r="C24" s="55" t="s">
        <v>282</v>
      </c>
      <c r="D24" s="21" t="s">
        <v>23</v>
      </c>
      <c r="E24" s="21" t="str">
        <f>$E$8</f>
        <v>$millions</v>
      </c>
      <c r="F24" s="71">
        <f>F12</f>
        <v>45444</v>
      </c>
      <c r="J24" s="74"/>
      <c r="K24" s="74"/>
      <c r="L24" s="74"/>
      <c r="M24" s="74">
        <f>M12</f>
        <v>17.092694662714383</v>
      </c>
      <c r="N24" s="74"/>
      <c r="O24" s="74"/>
      <c r="P24" s="74"/>
      <c r="Q24" s="74"/>
      <c r="R24" s="74"/>
      <c r="S24" s="74"/>
      <c r="T24" s="74"/>
      <c r="U24" s="74"/>
    </row>
    <row r="25" spans="1:30" ht="10.5" x14ac:dyDescent="0.25">
      <c r="C25" s="55" t="s">
        <v>275</v>
      </c>
      <c r="D25" s="21" t="s">
        <v>23</v>
      </c>
      <c r="E25" s="21" t="str">
        <f>$E$8</f>
        <v>$millions</v>
      </c>
      <c r="F25" s="71">
        <f>F18</f>
        <v>45444</v>
      </c>
      <c r="J25" s="24"/>
      <c r="K25" s="24"/>
      <c r="L25" s="24"/>
      <c r="M25" s="74">
        <f>M18-M12</f>
        <v>13.840721274193527</v>
      </c>
      <c r="N25" s="24"/>
      <c r="O25" s="24"/>
      <c r="P25" s="24"/>
      <c r="Q25" s="24"/>
      <c r="R25" s="24"/>
      <c r="S25" s="24"/>
      <c r="T25" s="24"/>
      <c r="U25" s="24"/>
    </row>
    <row r="26" spans="1:30" ht="3" customHeight="1" x14ac:dyDescent="0.2">
      <c r="F26" s="108"/>
      <c r="M26" s="101"/>
    </row>
    <row r="27" spans="1:30" ht="10.5" x14ac:dyDescent="0.25">
      <c r="C27" s="75" t="s">
        <v>291</v>
      </c>
      <c r="D27" s="76" t="s">
        <v>23</v>
      </c>
      <c r="E27" s="76" t="str">
        <f>$E$8</f>
        <v>$millions</v>
      </c>
      <c r="F27" s="77">
        <f>F25</f>
        <v>45444</v>
      </c>
      <c r="G27" s="23"/>
      <c r="H27" s="23"/>
      <c r="I27" s="23"/>
      <c r="J27" s="78"/>
      <c r="K27" s="78"/>
      <c r="L27" s="78"/>
      <c r="M27" s="80">
        <f>M24+M25</f>
        <v>30.93341593690791</v>
      </c>
      <c r="N27" s="78"/>
      <c r="O27" s="78"/>
      <c r="P27" s="78"/>
      <c r="Q27" s="78"/>
      <c r="R27" s="78"/>
      <c r="S27" s="78"/>
      <c r="T27" s="78"/>
      <c r="U27" s="78"/>
    </row>
    <row r="28" spans="1:30" ht="10.5" x14ac:dyDescent="0.25">
      <c r="C28" s="116"/>
      <c r="D28" s="23"/>
      <c r="E28" s="23"/>
      <c r="F28" s="77"/>
      <c r="G28" s="23"/>
      <c r="H28" s="23"/>
      <c r="I28" s="23"/>
      <c r="J28" s="78"/>
      <c r="K28" s="78"/>
      <c r="L28" s="78"/>
      <c r="M28" s="78"/>
      <c r="N28" s="78"/>
      <c r="O28" s="80"/>
      <c r="P28" s="80"/>
      <c r="Q28" s="80"/>
      <c r="R28" s="80"/>
      <c r="S28" s="80"/>
    </row>
    <row r="29" spans="1:30" s="19" customFormat="1" ht="13" x14ac:dyDescent="0.3">
      <c r="A29" s="12"/>
      <c r="B29" s="13" t="s">
        <v>98</v>
      </c>
      <c r="C29" s="12"/>
      <c r="D29" s="12"/>
      <c r="E29" s="12"/>
      <c r="F29" s="14"/>
      <c r="G29" s="14"/>
      <c r="H29" s="14"/>
      <c r="I29" s="14"/>
      <c r="J29" s="15"/>
      <c r="K29" s="16"/>
      <c r="L29" s="15"/>
      <c r="M29" s="16"/>
      <c r="N29" s="15"/>
      <c r="O29" s="15"/>
      <c r="P29" s="15"/>
      <c r="Q29" s="15"/>
      <c r="R29" s="15"/>
      <c r="S29" s="15"/>
      <c r="T29" s="15"/>
      <c r="U29" s="15"/>
      <c r="V29" s="16"/>
      <c r="W29" s="16"/>
      <c r="X29" s="17"/>
      <c r="Y29" s="17"/>
      <c r="Z29" s="17"/>
      <c r="AA29" s="17"/>
      <c r="AB29" s="17"/>
      <c r="AC29" s="18"/>
      <c r="AD29" s="18"/>
    </row>
    <row r="30" spans="1:30" x14ac:dyDescent="0.2">
      <c r="C30" s="55"/>
      <c r="D30" s="64"/>
      <c r="E30" s="64"/>
      <c r="F30" s="114"/>
      <c r="G30" s="64"/>
      <c r="H30" s="64"/>
      <c r="I30" s="64"/>
      <c r="J30" s="74"/>
      <c r="K30" s="74"/>
      <c r="L30" s="74"/>
      <c r="M30" s="74"/>
      <c r="N30" s="74"/>
      <c r="O30" s="79"/>
      <c r="P30" s="79"/>
      <c r="Q30" s="79"/>
      <c r="R30" s="79"/>
      <c r="S30" s="79"/>
    </row>
    <row r="31" spans="1:30" ht="10.5" x14ac:dyDescent="0.25">
      <c r="C31" s="29" t="s">
        <v>159</v>
      </c>
      <c r="D31" s="64"/>
      <c r="E31" s="64"/>
      <c r="F31" s="20"/>
      <c r="H31" s="64"/>
      <c r="I31" s="64"/>
      <c r="J31" s="74"/>
      <c r="K31" s="74"/>
      <c r="L31" s="74"/>
      <c r="M31" s="62">
        <f t="shared" ref="M31" si="2">IF(YEAR(M$4)&lt;=PPLastYear,M$4,"")</f>
        <v>45078</v>
      </c>
      <c r="N31" s="74"/>
      <c r="O31" s="175">
        <f>IF(YEAR(O$4)&gt;=FPFirstYear,IF(YEAR(O$4)&lt;=FPLastYear,O$4,""),"")</f>
        <v>45809</v>
      </c>
      <c r="P31" s="175">
        <f>IF(YEAR(P$4)&gt;=FPFirstYear,IF(YEAR(P$4)&lt;=FPLastYear,P$4,""),"")</f>
        <v>46174</v>
      </c>
      <c r="Q31" s="175">
        <f>IF(YEAR(Q$4)&gt;=FPFirstYear,IF(YEAR(Q$4)&lt;=FPLastYear,Q$4,""),"")</f>
        <v>46539</v>
      </c>
      <c r="R31" s="175">
        <f>IF(YEAR(R$4)&gt;=FPFirstYear,IF(YEAR(R$4)&lt;=FPLastYear,R$4,""),"")</f>
        <v>46905</v>
      </c>
      <c r="S31" s="175">
        <f>IF(YEAR(S$4)&gt;=FPFirstYear,IF(YEAR(S$4)&lt;=FPLastYear,S$4,""),"")</f>
        <v>47270</v>
      </c>
      <c r="T31" s="130" t="s">
        <v>169</v>
      </c>
    </row>
    <row r="32" spans="1:30" x14ac:dyDescent="0.2">
      <c r="C32" s="55" t="s">
        <v>160</v>
      </c>
      <c r="D32" s="167" t="s">
        <v>41</v>
      </c>
      <c r="E32" s="21" t="s">
        <v>46</v>
      </c>
      <c r="F32" s="69">
        <f>$F$8</f>
        <v>45444</v>
      </c>
      <c r="G32" s="20"/>
      <c r="H32" s="64"/>
      <c r="J32" s="74"/>
      <c r="K32" s="74"/>
      <c r="L32" s="74"/>
      <c r="M32" s="118">
        <v>0</v>
      </c>
      <c r="N32" s="74"/>
      <c r="O32" s="118">
        <v>1405309.9222267605</v>
      </c>
      <c r="P32" s="118">
        <v>1282761.2014469029</v>
      </c>
      <c r="Q32" s="118">
        <v>1067560.293188585</v>
      </c>
      <c r="R32" s="118">
        <v>1220641.2632887217</v>
      </c>
      <c r="S32" s="118">
        <v>1017309.6092945168</v>
      </c>
      <c r="T32" s="20">
        <f>AVERAGE(O32:S32)</f>
        <v>1198716.4578890973</v>
      </c>
    </row>
    <row r="33" spans="1:30" x14ac:dyDescent="0.2">
      <c r="C33" s="55" t="s">
        <v>161</v>
      </c>
      <c r="D33" s="167" t="s">
        <v>41</v>
      </c>
      <c r="E33" s="21" t="s">
        <v>46</v>
      </c>
      <c r="F33" s="69">
        <f t="shared" ref="F33:F37" si="3">$F$8</f>
        <v>45444</v>
      </c>
      <c r="G33" s="20"/>
      <c r="H33" s="64"/>
      <c r="I33" s="64"/>
      <c r="J33" s="74"/>
      <c r="K33" s="74"/>
      <c r="L33" s="74"/>
      <c r="M33" s="118">
        <v>6147441.2517062277</v>
      </c>
      <c r="N33" s="74"/>
      <c r="O33" s="118">
        <v>9132074.5641330518</v>
      </c>
      <c r="P33" s="118">
        <v>7079846.2835377781</v>
      </c>
      <c r="Q33" s="118">
        <v>6960745.7194866939</v>
      </c>
      <c r="R33" s="118">
        <v>7928112.3665431207</v>
      </c>
      <c r="S33" s="118">
        <v>7575226.4195375303</v>
      </c>
      <c r="T33" s="20">
        <f t="shared" ref="T33:T37" si="4">AVERAGE(O33:S33)</f>
        <v>7735201.0706476364</v>
      </c>
    </row>
    <row r="34" spans="1:30" x14ac:dyDescent="0.2">
      <c r="C34" s="55" t="s">
        <v>162</v>
      </c>
      <c r="D34" s="167" t="s">
        <v>41</v>
      </c>
      <c r="E34" s="21" t="s">
        <v>46</v>
      </c>
      <c r="F34" s="69">
        <f t="shared" si="3"/>
        <v>45444</v>
      </c>
      <c r="G34" s="20"/>
      <c r="H34" s="64"/>
      <c r="I34" s="64"/>
      <c r="J34" s="74"/>
      <c r="K34" s="74"/>
      <c r="L34" s="74"/>
      <c r="M34" s="118">
        <v>5160990.0878410153</v>
      </c>
      <c r="N34" s="74"/>
      <c r="O34" s="118">
        <v>35553175.958577171</v>
      </c>
      <c r="P34" s="118">
        <v>47358286.103912339</v>
      </c>
      <c r="Q34" s="118">
        <v>27446240.937422965</v>
      </c>
      <c r="R34" s="118">
        <v>14164273.883620232</v>
      </c>
      <c r="S34" s="118">
        <v>8773361.6945816446</v>
      </c>
      <c r="T34" s="20">
        <f t="shared" si="4"/>
        <v>26659067.715622868</v>
      </c>
    </row>
    <row r="35" spans="1:30" x14ac:dyDescent="0.2">
      <c r="C35" s="55" t="s">
        <v>163</v>
      </c>
      <c r="D35" s="167" t="s">
        <v>41</v>
      </c>
      <c r="E35" s="21" t="s">
        <v>46</v>
      </c>
      <c r="F35" s="69">
        <f t="shared" si="3"/>
        <v>45444</v>
      </c>
      <c r="G35" s="20"/>
      <c r="H35" s="64"/>
      <c r="I35" s="64"/>
      <c r="J35" s="74"/>
      <c r="K35" s="74"/>
      <c r="L35" s="74"/>
      <c r="M35" s="118">
        <v>5432686.3037450546</v>
      </c>
      <c r="N35" s="74"/>
      <c r="O35" s="118">
        <v>0</v>
      </c>
      <c r="P35" s="118">
        <v>0</v>
      </c>
      <c r="Q35" s="118">
        <v>0</v>
      </c>
      <c r="R35" s="118">
        <v>0</v>
      </c>
      <c r="S35" s="118">
        <v>0</v>
      </c>
      <c r="T35" s="20">
        <f t="shared" si="4"/>
        <v>0</v>
      </c>
    </row>
    <row r="36" spans="1:30" x14ac:dyDescent="0.2">
      <c r="C36" s="55" t="s">
        <v>164</v>
      </c>
      <c r="D36" s="167" t="s">
        <v>41</v>
      </c>
      <c r="E36" s="21" t="s">
        <v>46</v>
      </c>
      <c r="F36" s="69">
        <f t="shared" si="3"/>
        <v>45444</v>
      </c>
      <c r="G36" s="20"/>
      <c r="H36" s="64"/>
      <c r="I36" s="64"/>
      <c r="J36" s="74"/>
      <c r="K36" s="74"/>
      <c r="L36" s="74"/>
      <c r="M36" s="118">
        <v>250359.40470398471</v>
      </c>
      <c r="N36" s="74"/>
      <c r="O36" s="118">
        <v>0</v>
      </c>
      <c r="P36" s="118">
        <v>0</v>
      </c>
      <c r="Q36" s="118">
        <v>0</v>
      </c>
      <c r="R36" s="118">
        <v>0</v>
      </c>
      <c r="S36" s="118">
        <v>0</v>
      </c>
      <c r="T36" s="20">
        <f t="shared" si="4"/>
        <v>0</v>
      </c>
    </row>
    <row r="37" spans="1:30" x14ac:dyDescent="0.2">
      <c r="C37" s="55" t="s">
        <v>165</v>
      </c>
      <c r="D37" s="167" t="s">
        <v>41</v>
      </c>
      <c r="E37" s="21" t="s">
        <v>46</v>
      </c>
      <c r="F37" s="69">
        <f t="shared" si="3"/>
        <v>45444</v>
      </c>
      <c r="G37" s="20"/>
      <c r="H37" s="64"/>
      <c r="I37" s="64"/>
      <c r="J37" s="74"/>
      <c r="K37" s="74"/>
      <c r="L37" s="74"/>
      <c r="M37" s="118">
        <v>2675928.2639090195</v>
      </c>
      <c r="N37" s="74"/>
      <c r="O37" s="118">
        <v>0</v>
      </c>
      <c r="P37" s="118">
        <v>0</v>
      </c>
      <c r="Q37" s="118">
        <v>0</v>
      </c>
      <c r="R37" s="118">
        <v>0</v>
      </c>
      <c r="S37" s="118">
        <v>0</v>
      </c>
      <c r="T37" s="20">
        <f t="shared" si="4"/>
        <v>0</v>
      </c>
    </row>
    <row r="38" spans="1:30" ht="10.5" x14ac:dyDescent="0.25">
      <c r="C38" s="116" t="s">
        <v>166</v>
      </c>
      <c r="D38" s="21" t="s">
        <v>23</v>
      </c>
      <c r="E38" s="21" t="s">
        <v>46</v>
      </c>
      <c r="F38" s="114">
        <f>F37</f>
        <v>45444</v>
      </c>
      <c r="G38" s="64"/>
      <c r="H38" s="64"/>
      <c r="I38" s="64"/>
      <c r="J38" s="74"/>
      <c r="K38" s="74"/>
      <c r="L38" s="74"/>
      <c r="M38" s="115">
        <f t="shared" ref="M38:T38" si="5">SUM(M32:M37)</f>
        <v>19667405.311905302</v>
      </c>
      <c r="N38" s="74"/>
      <c r="O38" s="115">
        <f t="shared" si="5"/>
        <v>46090560.444936983</v>
      </c>
      <c r="P38" s="115">
        <f t="shared" si="5"/>
        <v>55720893.58889702</v>
      </c>
      <c r="Q38" s="115">
        <f t="shared" si="5"/>
        <v>35474546.950098246</v>
      </c>
      <c r="R38" s="115">
        <f t="shared" si="5"/>
        <v>23313027.513452075</v>
      </c>
      <c r="S38" s="115">
        <f t="shared" si="5"/>
        <v>17365897.723413691</v>
      </c>
      <c r="T38" s="115">
        <f t="shared" si="5"/>
        <v>35592985.244159602</v>
      </c>
    </row>
    <row r="39" spans="1:30" x14ac:dyDescent="0.2">
      <c r="C39" s="55"/>
      <c r="D39" s="64"/>
      <c r="E39" s="64"/>
      <c r="F39" s="114"/>
      <c r="G39" s="64"/>
      <c r="H39" s="64"/>
      <c r="I39" s="64"/>
      <c r="J39" s="74"/>
      <c r="K39" s="74"/>
      <c r="L39" s="74"/>
      <c r="M39" s="74"/>
      <c r="N39" s="74"/>
      <c r="O39" s="142"/>
      <c r="P39" s="79"/>
      <c r="Q39" s="79"/>
      <c r="R39" s="79"/>
      <c r="S39" s="79"/>
    </row>
    <row r="40" spans="1:30" ht="10.5" x14ac:dyDescent="0.25">
      <c r="C40" s="29" t="s">
        <v>103</v>
      </c>
      <c r="D40" s="167" t="s">
        <v>41</v>
      </c>
      <c r="E40" s="21" t="s">
        <v>34</v>
      </c>
      <c r="F40" s="114"/>
      <c r="G40" s="64"/>
      <c r="H40" s="64"/>
      <c r="I40" s="64"/>
      <c r="J40" s="74"/>
      <c r="K40" s="74"/>
      <c r="L40" s="74"/>
      <c r="M40" s="139">
        <v>0.86908742620805379</v>
      </c>
      <c r="N40" s="74"/>
      <c r="O40" s="139">
        <v>0.86908742620805379</v>
      </c>
      <c r="P40" s="139">
        <v>0.86908742620805379</v>
      </c>
      <c r="Q40" s="139">
        <v>0.86908742620805379</v>
      </c>
      <c r="R40" s="139">
        <v>0.86908742620805379</v>
      </c>
      <c r="S40" s="139">
        <v>0.86908742620805379</v>
      </c>
    </row>
    <row r="41" spans="1:30" x14ac:dyDescent="0.2">
      <c r="C41" s="55"/>
      <c r="D41" s="64"/>
      <c r="E41" s="64"/>
      <c r="F41" s="114"/>
      <c r="G41" s="64"/>
      <c r="H41" s="64"/>
      <c r="I41" s="64"/>
      <c r="J41" s="74"/>
      <c r="K41" s="74"/>
      <c r="L41" s="74"/>
      <c r="M41" s="74"/>
      <c r="N41" s="74"/>
      <c r="O41" s="79"/>
      <c r="P41" s="79"/>
      <c r="Q41" s="79"/>
      <c r="R41" s="79"/>
      <c r="S41" s="79"/>
    </row>
    <row r="42" spans="1:30" ht="10.5" x14ac:dyDescent="0.25">
      <c r="C42" s="29" t="s">
        <v>167</v>
      </c>
      <c r="D42" s="64"/>
      <c r="E42" s="64"/>
      <c r="F42" s="114"/>
      <c r="G42" s="64"/>
      <c r="H42" s="64"/>
      <c r="I42" s="64"/>
      <c r="J42" s="74"/>
      <c r="K42" s="74"/>
      <c r="L42" s="74"/>
      <c r="M42" s="62">
        <f t="shared" ref="M42" si="6">IF(YEAR(M$4)&lt;=PPLastYear,M$4,"")</f>
        <v>45078</v>
      </c>
      <c r="N42" s="74"/>
      <c r="O42" s="175">
        <f>IF(YEAR(O$4)&gt;=FPFirstYear,IF(YEAR(O$4)&lt;=FPLastYear,O$4,""),"")</f>
        <v>45809</v>
      </c>
      <c r="P42" s="175">
        <f>IF(YEAR(P$4)&gt;=FPFirstYear,IF(YEAR(P$4)&lt;=FPLastYear,P$4,""),"")</f>
        <v>46174</v>
      </c>
      <c r="Q42" s="175">
        <f>IF(YEAR(Q$4)&gt;=FPFirstYear,IF(YEAR(Q$4)&lt;=FPLastYear,Q$4,""),"")</f>
        <v>46539</v>
      </c>
      <c r="R42" s="175">
        <f>IF(YEAR(R$4)&gt;=FPFirstYear,IF(YEAR(R$4)&lt;=FPLastYear,R$4,""),"")</f>
        <v>46905</v>
      </c>
      <c r="S42" s="175">
        <f>IF(YEAR(S$4)&gt;=FPFirstYear,IF(YEAR(S$4)&lt;=FPLastYear,S$4,""),"")</f>
        <v>47270</v>
      </c>
      <c r="T42" s="130" t="s">
        <v>169</v>
      </c>
    </row>
    <row r="43" spans="1:30" x14ac:dyDescent="0.2">
      <c r="C43" s="55" t="s">
        <v>168</v>
      </c>
      <c r="D43" s="21" t="s">
        <v>23</v>
      </c>
      <c r="E43" s="21" t="str">
        <f t="shared" ref="E43" si="7">$E$8</f>
        <v>$millions</v>
      </c>
      <c r="F43" s="114">
        <f>F38</f>
        <v>45444</v>
      </c>
      <c r="G43" s="64"/>
      <c r="H43" s="64"/>
      <c r="I43" s="64"/>
      <c r="J43" s="74"/>
      <c r="K43" s="74"/>
      <c r="L43" s="74"/>
      <c r="M43" s="143">
        <f>M38*M40/10^6</f>
        <v>17.092694662714383</v>
      </c>
      <c r="N43" s="74"/>
      <c r="O43" s="143">
        <f t="shared" ref="O43:S43" si="8">O38*O40/10^6</f>
        <v>40.056726549577014</v>
      </c>
      <c r="P43" s="143">
        <f t="shared" si="8"/>
        <v>48.426327995187357</v>
      </c>
      <c r="Q43" s="143">
        <f t="shared" si="8"/>
        <v>30.83048270475765</v>
      </c>
      <c r="R43" s="143">
        <f t="shared" si="8"/>
        <v>20.26105907878361</v>
      </c>
      <c r="S43" s="143">
        <f t="shared" si="8"/>
        <v>15.092483356233906</v>
      </c>
      <c r="T43" s="145">
        <f>AVERAGE(O43:S43)</f>
        <v>30.93341593690791</v>
      </c>
    </row>
    <row r="44" spans="1:30" x14ac:dyDescent="0.2">
      <c r="C44" s="55"/>
      <c r="D44" s="64"/>
      <c r="E44" s="64"/>
      <c r="F44" s="114"/>
      <c r="G44" s="64"/>
      <c r="H44" s="64"/>
      <c r="I44" s="64"/>
      <c r="J44" s="74"/>
      <c r="K44" s="74"/>
      <c r="L44" s="74"/>
      <c r="M44" s="74"/>
      <c r="N44" s="74"/>
      <c r="O44" s="79"/>
      <c r="P44" s="79"/>
      <c r="Q44" s="79"/>
      <c r="R44" s="79"/>
      <c r="S44" s="79"/>
    </row>
    <row r="45" spans="1:30" x14ac:dyDescent="0.2">
      <c r="C45" s="55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144"/>
      <c r="O45" s="144"/>
      <c r="P45" s="144"/>
      <c r="Q45" s="144"/>
      <c r="R45" s="144"/>
      <c r="S45" s="144"/>
    </row>
    <row r="46" spans="1:30" s="19" customFormat="1" ht="13" x14ac:dyDescent="0.3">
      <c r="A46" s="12"/>
      <c r="B46" s="13" t="s">
        <v>18</v>
      </c>
      <c r="C46" s="12"/>
      <c r="D46" s="12"/>
      <c r="E46" s="12"/>
      <c r="F46" s="14"/>
      <c r="G46" s="14"/>
      <c r="H46" s="14"/>
      <c r="I46" s="14"/>
      <c r="J46" s="15"/>
      <c r="K46" s="16"/>
      <c r="L46" s="15"/>
      <c r="M46" s="16"/>
      <c r="N46" s="15"/>
      <c r="O46" s="15"/>
      <c r="P46" s="15"/>
      <c r="Q46" s="15"/>
      <c r="R46" s="15"/>
      <c r="S46" s="15"/>
      <c r="T46" s="15"/>
      <c r="U46" s="15"/>
      <c r="V46" s="16"/>
      <c r="W46" s="16"/>
      <c r="X46" s="17"/>
      <c r="Y46" s="17"/>
      <c r="Z46" s="17"/>
      <c r="AA46" s="17"/>
      <c r="AB46" s="17"/>
      <c r="AC46" s="18"/>
      <c r="AD46" s="18"/>
    </row>
  </sheetData>
  <mergeCells count="1">
    <mergeCell ref="N3:S3"/>
  </mergeCells>
  <conditionalFormatting sqref="O42:S42 O31:S31">
    <cfRule type="expression" dxfId="12" priority="1">
      <formula>O$10=O$4</formula>
    </cfRule>
  </conditionalFormatting>
  <dataValidations count="1">
    <dataValidation type="list" allowBlank="1" showInputMessage="1" showErrorMessage="1" sqref="F45" xr:uid="{C29A951C-82D0-45DD-A251-3DCB14989134}">
      <formula1>"Real 2010,Real 2011,Real 2012,Real 2013,Real 2014,Real 2015,Nominal"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F46A-00AE-4810-90C7-B1741434D3BE}">
  <sheetPr>
    <tabColor rgb="FFCCFFCC"/>
  </sheetPr>
  <dimension ref="A1:AF41"/>
  <sheetViews>
    <sheetView showGridLines="0" zoomScale="75" zoomScaleNormal="75" workbookViewId="0"/>
  </sheetViews>
  <sheetFormatPr defaultColWidth="0" defaultRowHeight="10" zeroHeight="1" x14ac:dyDescent="0.2"/>
  <cols>
    <col min="1" max="2" width="1.1796875" style="20" customWidth="1"/>
    <col min="3" max="3" width="62.5429687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7" width="4.54296875" style="21" customWidth="1"/>
    <col min="8" max="9" width="7.6328125" style="21" bestFit="1" customWidth="1"/>
    <col min="10" max="15" width="8.81640625" style="20" customWidth="1"/>
    <col min="16" max="17" width="9.81640625" style="20" customWidth="1"/>
    <col min="18" max="18" width="10.1796875" style="20" customWidth="1"/>
    <col min="19" max="19" width="8.81640625" style="20" customWidth="1"/>
    <col min="20" max="20" width="9.1796875" style="20" bestFit="1" customWidth="1"/>
    <col min="21" max="21" width="4.1796875" style="20" customWidth="1"/>
    <col min="22" max="25" width="8.81640625" style="20" customWidth="1"/>
    <col min="26" max="40" width="8.54296875" style="20" hidden="1" customWidth="1"/>
    <col min="41" max="16384" width="8.54296875" style="20" hidden="1"/>
  </cols>
  <sheetData>
    <row r="1" spans="1:32" s="1" customFormat="1" ht="15.5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96" t="s">
        <v>1</v>
      </c>
      <c r="M1" s="97" t="s">
        <v>2</v>
      </c>
      <c r="N1" s="98" t="s">
        <v>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2" s="7" customFormat="1" ht="13.5" thickBot="1" x14ac:dyDescent="0.35">
      <c r="B2" s="8" t="s">
        <v>350</v>
      </c>
      <c r="C2" s="8"/>
      <c r="D2" s="8"/>
      <c r="E2" s="8"/>
      <c r="F2" s="9"/>
      <c r="G2" s="9"/>
      <c r="H2" s="9"/>
      <c r="I2" s="9"/>
    </row>
    <row r="3" spans="1:32" s="38" customFormat="1" ht="10.5" x14ac:dyDescent="0.25">
      <c r="D3" s="141"/>
      <c r="E3" s="141"/>
      <c r="F3" s="141"/>
      <c r="G3" s="141"/>
      <c r="H3" s="141"/>
      <c r="I3" s="141"/>
      <c r="J3" s="65" t="s">
        <v>12</v>
      </c>
      <c r="K3" s="65"/>
      <c r="L3" s="65"/>
      <c r="M3" s="141"/>
      <c r="N3" s="211"/>
      <c r="O3" s="211"/>
      <c r="P3" s="211"/>
      <c r="Q3" s="211"/>
      <c r="R3" s="211"/>
      <c r="S3" s="211"/>
      <c r="T3" s="42"/>
      <c r="U3" s="42"/>
      <c r="V3" s="42"/>
      <c r="W3" s="42"/>
      <c r="X3" s="42"/>
      <c r="Y3" s="42"/>
      <c r="Z3" s="42"/>
      <c r="AA3" s="42"/>
      <c r="AB3" s="42"/>
    </row>
    <row r="4" spans="1:32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7">
        <f>DATE(PPFirstYear-2,MONTH('Input|General'!$G$9),1)</f>
        <v>43252</v>
      </c>
      <c r="I4" s="47">
        <f>DATE(PPFirstYear-1,MONTH('Input|General'!$G$9),1)</f>
        <v>43617</v>
      </c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  <c r="X4" s="49"/>
      <c r="Y4" s="49"/>
    </row>
    <row r="5" spans="1:32" s="10" customFormat="1" ht="3" customHeight="1" x14ac:dyDescent="0.2">
      <c r="D5" s="11"/>
      <c r="E5" s="11"/>
      <c r="F5" s="11"/>
      <c r="G5" s="11"/>
      <c r="H5" s="11"/>
      <c r="I5" s="11"/>
    </row>
    <row r="6" spans="1:32" s="10" customFormat="1" x14ac:dyDescent="0.2">
      <c r="D6" s="11"/>
      <c r="E6" s="11"/>
      <c r="F6" s="11"/>
      <c r="G6" s="11"/>
      <c r="H6" s="11"/>
      <c r="I6" s="11"/>
    </row>
    <row r="7" spans="1:32" s="10" customFormat="1" ht="3" customHeight="1" x14ac:dyDescent="0.2">
      <c r="D7" s="11"/>
      <c r="E7" s="11"/>
      <c r="F7" s="11"/>
      <c r="G7" s="11"/>
      <c r="H7" s="11"/>
      <c r="I7" s="11"/>
    </row>
    <row r="8" spans="1:32" s="19" customFormat="1" ht="13" x14ac:dyDescent="0.3">
      <c r="A8" s="12"/>
      <c r="B8" s="13" t="s">
        <v>193</v>
      </c>
      <c r="C8" s="12"/>
      <c r="D8" s="12"/>
      <c r="E8" s="66" t="s">
        <v>37</v>
      </c>
      <c r="F8" s="82">
        <v>45444</v>
      </c>
      <c r="G8" s="14"/>
      <c r="H8" s="14"/>
      <c r="I8" s="14"/>
      <c r="J8" s="15"/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  <c r="X8" s="16"/>
      <c r="Y8" s="16"/>
      <c r="Z8" s="17"/>
      <c r="AA8" s="17"/>
      <c r="AB8" s="17"/>
      <c r="AC8" s="17"/>
      <c r="AD8" s="17"/>
      <c r="AE8" s="18"/>
      <c r="AF8" s="18"/>
    </row>
    <row r="9" spans="1:32" x14ac:dyDescent="0.2"/>
    <row r="10" spans="1:32" ht="10.5" x14ac:dyDescent="0.25">
      <c r="C10" s="29" t="s">
        <v>351</v>
      </c>
      <c r="D10" s="23" t="s">
        <v>6</v>
      </c>
      <c r="E10" s="23" t="s">
        <v>24</v>
      </c>
      <c r="F10" s="23" t="s">
        <v>28</v>
      </c>
      <c r="J10" s="62"/>
      <c r="K10" s="62"/>
      <c r="L10" s="62"/>
      <c r="M10" s="62">
        <f t="shared" ref="M10" si="0">IF(YEAR(M$4)&lt;=PPLastYear,M$4,"")</f>
        <v>45078</v>
      </c>
      <c r="N10" s="62"/>
      <c r="O10" s="62"/>
      <c r="P10" s="62"/>
      <c r="Q10" s="62"/>
      <c r="R10" s="62"/>
      <c r="S10" s="62"/>
    </row>
    <row r="11" spans="1:32" x14ac:dyDescent="0.2">
      <c r="C11" s="55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32" x14ac:dyDescent="0.2">
      <c r="C12" s="55" t="s">
        <v>285</v>
      </c>
      <c r="D12" s="167" t="s">
        <v>41</v>
      </c>
      <c r="E12" s="21" t="str">
        <f>$E$8</f>
        <v>$millions</v>
      </c>
      <c r="F12" s="69" t="s">
        <v>42</v>
      </c>
      <c r="J12" s="70"/>
      <c r="K12" s="70"/>
      <c r="L12" s="70"/>
      <c r="M12" s="81">
        <v>8.8000000000000007</v>
      </c>
      <c r="N12" s="64"/>
      <c r="O12" s="79"/>
      <c r="P12" s="79"/>
      <c r="Q12" s="79"/>
      <c r="R12" s="79"/>
      <c r="S12" s="79"/>
    </row>
    <row r="13" spans="1:32" x14ac:dyDescent="0.2">
      <c r="C13" s="55" t="str">
        <f>C12</f>
        <v xml:space="preserve">FY23 Opex forecast </v>
      </c>
      <c r="D13" s="21" t="s">
        <v>23</v>
      </c>
      <c r="E13" s="21" t="str">
        <f>$E$8</f>
        <v>$millions</v>
      </c>
      <c r="F13" s="71">
        <f>$F$8</f>
        <v>45444</v>
      </c>
      <c r="J13" s="70"/>
      <c r="K13" s="70"/>
      <c r="L13" s="70"/>
      <c r="M13" s="79">
        <f>M12*IF($F12="nominal",LOOKUP($F13,'Lookup|Tables'!Nominal_to_Real,'Calc|CPI Indexes'!N$31:N$42),INDEX('Calc|CPI Indexes'!$C$14:$T$27,MATCH($F12,'Calc|CPI Indexes'!$C$14:$C$27,0),MATCH($F13,'Calc|CPI Indexes'!$C$14:$T$14,0)))</f>
        <v>9.4540310292530787</v>
      </c>
      <c r="N13" s="64"/>
      <c r="O13" s="79"/>
      <c r="P13" s="79"/>
      <c r="Q13" s="79"/>
      <c r="R13" s="79"/>
      <c r="S13" s="79"/>
    </row>
    <row r="14" spans="1:32" x14ac:dyDescent="0.2">
      <c r="J14" s="64"/>
      <c r="K14" s="64"/>
      <c r="L14" s="64"/>
    </row>
    <row r="15" spans="1:32" s="19" customFormat="1" ht="13" x14ac:dyDescent="0.3">
      <c r="A15" s="12"/>
      <c r="B15" s="13" t="s">
        <v>359</v>
      </c>
      <c r="C15" s="12"/>
      <c r="D15" s="12"/>
      <c r="E15" s="12"/>
      <c r="F15" s="14"/>
      <c r="G15" s="14"/>
      <c r="H15" s="14"/>
      <c r="I15" s="14"/>
      <c r="J15" s="15"/>
      <c r="K15" s="16"/>
      <c r="L15" s="15"/>
      <c r="M15" s="16"/>
      <c r="N15" s="15"/>
      <c r="O15" s="15"/>
      <c r="P15" s="15"/>
      <c r="Q15" s="15"/>
      <c r="R15" s="15"/>
      <c r="S15" s="15"/>
      <c r="T15" s="15"/>
      <c r="U15" s="15"/>
      <c r="V15" s="16"/>
      <c r="W15" s="16"/>
      <c r="X15" s="16"/>
      <c r="Y15" s="16"/>
      <c r="Z15" s="17"/>
      <c r="AA15" s="17"/>
      <c r="AB15" s="17"/>
      <c r="AC15" s="17"/>
      <c r="AD15" s="17"/>
      <c r="AE15" s="18"/>
      <c r="AF15" s="18"/>
    </row>
    <row r="16" spans="1:32" x14ac:dyDescent="0.2">
      <c r="C16" s="55"/>
      <c r="J16" s="64"/>
      <c r="K16" s="64"/>
      <c r="L16" s="64"/>
    </row>
    <row r="17" spans="1:32" ht="10.5" x14ac:dyDescent="0.25">
      <c r="C17" s="29" t="s">
        <v>352</v>
      </c>
      <c r="D17" s="23" t="s">
        <v>6</v>
      </c>
      <c r="E17" s="23" t="s">
        <v>24</v>
      </c>
      <c r="F17" s="23" t="s">
        <v>28</v>
      </c>
      <c r="J17" s="62"/>
      <c r="K17" s="62"/>
      <c r="L17" s="62"/>
      <c r="M17" s="62">
        <f t="shared" ref="M17" si="1">IF(YEAR(M$4)&lt;=PPLastYear,M$4,"")</f>
        <v>45078</v>
      </c>
      <c r="N17" s="62"/>
      <c r="O17" s="62"/>
      <c r="P17" s="62"/>
      <c r="Q17" s="62"/>
      <c r="R17" s="62"/>
      <c r="S17" s="62"/>
      <c r="T17" s="146"/>
    </row>
    <row r="18" spans="1:32" ht="10.5" x14ac:dyDescent="0.25">
      <c r="C18" s="29"/>
      <c r="J18" s="149"/>
      <c r="K18" s="149"/>
      <c r="L18" s="149"/>
      <c r="M18" s="149"/>
      <c r="N18" s="149"/>
      <c r="O18" s="149"/>
      <c r="P18" s="149"/>
      <c r="Q18" s="149"/>
      <c r="R18" s="149"/>
      <c r="S18" s="149"/>
    </row>
    <row r="19" spans="1:32" x14ac:dyDescent="0.2">
      <c r="C19" s="55" t="s">
        <v>358</v>
      </c>
      <c r="D19" s="21" t="s">
        <v>23</v>
      </c>
      <c r="E19" s="21" t="str">
        <f>$E$8</f>
        <v>$millions</v>
      </c>
      <c r="F19" s="71">
        <f>F39</f>
        <v>45444</v>
      </c>
      <c r="J19" s="74"/>
      <c r="K19" s="74"/>
      <c r="L19" s="74"/>
      <c r="M19" s="79">
        <f>M39</f>
        <v>13.816786604453601</v>
      </c>
      <c r="N19" s="74"/>
      <c r="O19" s="74"/>
      <c r="P19" s="74"/>
      <c r="Q19" s="74"/>
      <c r="R19" s="74"/>
      <c r="S19" s="74"/>
      <c r="T19" s="74"/>
      <c r="U19" s="74"/>
    </row>
    <row r="20" spans="1:32" x14ac:dyDescent="0.2">
      <c r="C20" s="73"/>
      <c r="F20" s="71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32" s="19" customFormat="1" ht="13" x14ac:dyDescent="0.3">
      <c r="A21" s="12"/>
      <c r="B21" s="13" t="s">
        <v>283</v>
      </c>
      <c r="C21" s="12"/>
      <c r="D21" s="12"/>
      <c r="E21" s="12"/>
      <c r="F21" s="14"/>
      <c r="G21" s="14"/>
      <c r="H21" s="14"/>
      <c r="I21" s="14"/>
      <c r="J21" s="15"/>
      <c r="K21" s="16"/>
      <c r="L21" s="15"/>
      <c r="M21" s="16"/>
      <c r="N21" s="15"/>
      <c r="O21" s="15"/>
      <c r="P21" s="15"/>
      <c r="Q21" s="15"/>
      <c r="R21" s="15"/>
      <c r="S21" s="15"/>
      <c r="T21" s="15"/>
      <c r="U21" s="15"/>
      <c r="V21" s="16"/>
      <c r="W21" s="16"/>
      <c r="X21" s="16"/>
      <c r="Y21" s="16"/>
      <c r="Z21" s="17"/>
      <c r="AA21" s="17"/>
      <c r="AB21" s="17"/>
      <c r="AC21" s="17"/>
      <c r="AD21" s="17"/>
      <c r="AE21" s="18"/>
      <c r="AF21" s="18"/>
    </row>
    <row r="22" spans="1:32" x14ac:dyDescent="0.2">
      <c r="C22" s="55"/>
      <c r="J22" s="64"/>
      <c r="K22" s="64"/>
      <c r="L22" s="64"/>
    </row>
    <row r="23" spans="1:32" ht="10.5" x14ac:dyDescent="0.25">
      <c r="C23" s="29" t="s">
        <v>284</v>
      </c>
      <c r="D23" s="23" t="s">
        <v>6</v>
      </c>
      <c r="E23" s="23" t="s">
        <v>24</v>
      </c>
      <c r="F23" s="23" t="s">
        <v>28</v>
      </c>
      <c r="J23" s="62"/>
      <c r="K23" s="62"/>
      <c r="L23" s="62"/>
      <c r="M23" s="62">
        <f t="shared" ref="M23" si="2">IF(YEAR(M$4)&lt;=PPLastYear,M$4,"")</f>
        <v>45078</v>
      </c>
      <c r="N23" s="62"/>
      <c r="O23" s="62"/>
      <c r="P23" s="62"/>
      <c r="Q23" s="62"/>
      <c r="R23" s="62"/>
      <c r="S23" s="62"/>
      <c r="T23" s="62"/>
      <c r="U23" s="62"/>
    </row>
    <row r="24" spans="1:32" ht="10.5" x14ac:dyDescent="0.25">
      <c r="C24" s="29"/>
      <c r="D24" s="23"/>
      <c r="E24" s="23"/>
      <c r="F24" s="23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32" x14ac:dyDescent="0.2">
      <c r="C25" s="55" t="s">
        <v>353</v>
      </c>
      <c r="D25" s="21" t="s">
        <v>23</v>
      </c>
      <c r="E25" s="21" t="str">
        <f>$E$8</f>
        <v>$millions</v>
      </c>
      <c r="F25" s="71">
        <f>F19</f>
        <v>45444</v>
      </c>
      <c r="J25" s="74"/>
      <c r="K25" s="74"/>
      <c r="L25" s="74"/>
      <c r="M25" s="74">
        <f>M19</f>
        <v>13.816786604453601</v>
      </c>
      <c r="N25" s="74"/>
      <c r="O25" s="74"/>
      <c r="P25" s="74"/>
      <c r="Q25" s="74"/>
      <c r="R25" s="74"/>
      <c r="S25" s="74"/>
      <c r="T25" s="74"/>
      <c r="U25" s="74"/>
    </row>
    <row r="26" spans="1:32" ht="10.5" x14ac:dyDescent="0.25">
      <c r="C26" s="55" t="s">
        <v>354</v>
      </c>
      <c r="D26" s="21" t="s">
        <v>23</v>
      </c>
      <c r="E26" s="21" t="str">
        <f>$E$8</f>
        <v>$millions</v>
      </c>
      <c r="F26" s="71">
        <f>F13</f>
        <v>45444</v>
      </c>
      <c r="J26" s="149"/>
      <c r="K26" s="149"/>
      <c r="L26" s="149"/>
      <c r="M26" s="74">
        <f>M13</f>
        <v>9.4540310292530787</v>
      </c>
      <c r="N26" s="149"/>
      <c r="O26" s="149"/>
      <c r="P26" s="149"/>
      <c r="Q26" s="149"/>
      <c r="R26" s="149"/>
      <c r="S26" s="149"/>
      <c r="T26" s="149"/>
      <c r="U26" s="149"/>
    </row>
    <row r="27" spans="1:32" ht="3" customHeight="1" x14ac:dyDescent="0.2">
      <c r="F27" s="108"/>
      <c r="M27" s="101"/>
    </row>
    <row r="28" spans="1:32" ht="10.5" x14ac:dyDescent="0.25">
      <c r="C28" s="75" t="s">
        <v>290</v>
      </c>
      <c r="D28" s="76" t="s">
        <v>23</v>
      </c>
      <c r="E28" s="76" t="str">
        <f>$E$8</f>
        <v>$millions</v>
      </c>
      <c r="F28" s="77">
        <f>F26</f>
        <v>45444</v>
      </c>
      <c r="G28" s="23"/>
      <c r="H28" s="23"/>
      <c r="I28" s="23"/>
      <c r="J28" s="78"/>
      <c r="K28" s="78"/>
      <c r="L28" s="78"/>
      <c r="M28" s="80">
        <f>M25-M26</f>
        <v>4.3627555752005218</v>
      </c>
      <c r="N28" s="78"/>
      <c r="O28" s="78"/>
      <c r="P28" s="78"/>
      <c r="Q28" s="78"/>
      <c r="R28" s="78"/>
      <c r="S28" s="78"/>
      <c r="T28" s="78"/>
      <c r="U28" s="78"/>
    </row>
    <row r="29" spans="1:32" ht="10.5" x14ac:dyDescent="0.25">
      <c r="C29" s="116"/>
      <c r="D29" s="23"/>
      <c r="E29" s="23"/>
      <c r="F29" s="77"/>
      <c r="G29" s="23"/>
      <c r="H29" s="23"/>
      <c r="I29" s="23"/>
      <c r="J29" s="78"/>
      <c r="K29" s="78"/>
      <c r="L29" s="78"/>
      <c r="M29" s="78"/>
      <c r="N29" s="78"/>
      <c r="O29" s="80"/>
      <c r="P29" s="80"/>
      <c r="Q29" s="80"/>
      <c r="R29" s="80"/>
      <c r="S29" s="80"/>
    </row>
    <row r="30" spans="1:32" s="19" customFormat="1" ht="13" x14ac:dyDescent="0.3">
      <c r="A30" s="12"/>
      <c r="B30" s="13" t="s">
        <v>197</v>
      </c>
      <c r="C30" s="12"/>
      <c r="D30" s="12"/>
      <c r="E30" s="12"/>
      <c r="F30" s="14"/>
      <c r="G30" s="14"/>
      <c r="H30" s="14"/>
      <c r="I30" s="14"/>
      <c r="J30" s="15"/>
      <c r="K30" s="16"/>
      <c r="L30" s="15"/>
      <c r="M30" s="16"/>
      <c r="N30" s="15"/>
      <c r="O30" s="15"/>
      <c r="P30" s="15"/>
      <c r="Q30" s="15"/>
      <c r="R30" s="15"/>
      <c r="S30" s="15"/>
      <c r="T30" s="15"/>
      <c r="U30" s="15"/>
      <c r="V30" s="16"/>
      <c r="W30" s="16"/>
      <c r="X30" s="16"/>
      <c r="Y30" s="16"/>
      <c r="Z30" s="17"/>
      <c r="AA30" s="17"/>
      <c r="AB30" s="17"/>
      <c r="AC30" s="17"/>
      <c r="AD30" s="17"/>
      <c r="AE30" s="18"/>
      <c r="AF30" s="18"/>
    </row>
    <row r="31" spans="1:32" x14ac:dyDescent="0.2">
      <c r="C31" s="55"/>
      <c r="D31" s="64"/>
      <c r="E31" s="64"/>
      <c r="F31" s="114"/>
      <c r="G31" s="64"/>
      <c r="H31" s="64"/>
      <c r="I31" s="64"/>
      <c r="J31" s="74"/>
      <c r="K31" s="74"/>
      <c r="L31" s="74"/>
      <c r="M31" s="74"/>
      <c r="N31" s="74"/>
      <c r="O31" s="79"/>
      <c r="P31" s="79"/>
      <c r="Q31" s="79"/>
      <c r="R31" s="79"/>
      <c r="S31" s="79"/>
    </row>
    <row r="32" spans="1:32" ht="10.5" x14ac:dyDescent="0.25">
      <c r="C32" s="29" t="s">
        <v>355</v>
      </c>
      <c r="F32" s="71"/>
      <c r="G32" s="64"/>
      <c r="H32" s="175">
        <f>IF(YEAR(H$4)&lt;=PPLastYear,H$4,IF(YEAR(H$4)&gt;=FPFirstYear,IF(YEAR(H$4)&lt;=FPLastYear,H$4,""),""))</f>
        <v>43252</v>
      </c>
      <c r="I32" s="175">
        <f>IF(YEAR(I$4)&lt;=PPLastYear,I$4,IF(YEAR(I$4)&gt;=FPFirstYear,IF(YEAR(I$4)&lt;=FPLastYear,I$4,""),""))</f>
        <v>43617</v>
      </c>
      <c r="J32" s="175">
        <f>IF(YEAR(J$4)&lt;=PPLastYear,J$4,IF(YEAR(J$4)&gt;=FPFirstYear,IF(YEAR(J$4)&lt;=FPLastYear,J$4,""),""))</f>
        <v>43983</v>
      </c>
      <c r="K32" s="175">
        <f>IF(YEAR(K$4)&lt;=PPLastYear,K$4,IF(YEAR(K$4)&gt;=FPFirstYear,IF(YEAR(K$4)&lt;=FPLastYear,K$4,""),""))</f>
        <v>44348</v>
      </c>
      <c r="L32" s="175">
        <f>IF(YEAR(L$4)&lt;=PPLastYear,L$4,IF(YEAR(L$4)&gt;=FPFirstYear,IF(YEAR(L$4)&lt;=FPLastYear,L$4,""),""))</f>
        <v>44713</v>
      </c>
      <c r="M32" s="146" t="s">
        <v>242</v>
      </c>
      <c r="N32" s="117"/>
      <c r="R32" s="145"/>
      <c r="Y32" s="74"/>
    </row>
    <row r="33" spans="1:32" x14ac:dyDescent="0.2">
      <c r="C33" s="55"/>
      <c r="F33" s="71"/>
      <c r="G33" s="64"/>
      <c r="H33" s="64"/>
      <c r="I33" s="64"/>
      <c r="N33" s="117"/>
      <c r="R33" s="145"/>
      <c r="Y33" s="74"/>
    </row>
    <row r="34" spans="1:32" x14ac:dyDescent="0.2">
      <c r="C34" s="55" t="s">
        <v>356</v>
      </c>
      <c r="D34" s="167" t="s">
        <v>41</v>
      </c>
      <c r="E34" s="21" t="str">
        <f t="shared" ref="E34:E35" si="3">$E$8</f>
        <v>$millions</v>
      </c>
      <c r="F34" s="69" t="s">
        <v>42</v>
      </c>
      <c r="G34" s="64"/>
      <c r="H34" s="148">
        <v>6.2224289900000027</v>
      </c>
      <c r="I34" s="148">
        <v>10.925880929999998</v>
      </c>
      <c r="J34" s="148">
        <v>31.927288800000028</v>
      </c>
      <c r="K34" s="148">
        <v>11.410204950000026</v>
      </c>
      <c r="L34" s="148">
        <v>11.100068590000001</v>
      </c>
      <c r="N34" s="117"/>
      <c r="R34" s="145"/>
      <c r="Y34" s="74"/>
    </row>
    <row r="35" spans="1:32" x14ac:dyDescent="0.2">
      <c r="C35" s="55" t="s">
        <v>247</v>
      </c>
      <c r="D35" s="167" t="s">
        <v>41</v>
      </c>
      <c r="E35" s="21" t="str">
        <f t="shared" si="3"/>
        <v>$millions</v>
      </c>
      <c r="F35" s="69" t="s">
        <v>42</v>
      </c>
      <c r="G35" s="64"/>
      <c r="H35" s="148">
        <v>0</v>
      </c>
      <c r="I35" s="148">
        <v>0</v>
      </c>
      <c r="J35" s="148">
        <v>14.223956529999999</v>
      </c>
      <c r="K35" s="148">
        <v>0</v>
      </c>
      <c r="L35" s="148">
        <v>0</v>
      </c>
      <c r="N35" s="117"/>
      <c r="R35" s="145"/>
      <c r="Y35" s="74"/>
    </row>
    <row r="36" spans="1:32" x14ac:dyDescent="0.2">
      <c r="C36" s="55" t="s">
        <v>196</v>
      </c>
      <c r="D36" s="21" t="s">
        <v>23</v>
      </c>
      <c r="E36" s="21" t="str">
        <f t="shared" ref="E36:E39" si="4">$E$8</f>
        <v>$millions</v>
      </c>
      <c r="F36" s="71" t="str">
        <f>F35</f>
        <v>nominal</v>
      </c>
      <c r="G36" s="64"/>
      <c r="H36" s="151">
        <f>H34-H35</f>
        <v>6.2224289900000027</v>
      </c>
      <c r="I36" s="151">
        <f t="shared" ref="I36:L36" si="5">I34-I35</f>
        <v>10.925880929999998</v>
      </c>
      <c r="J36" s="151">
        <f t="shared" si="5"/>
        <v>17.703332270000029</v>
      </c>
      <c r="K36" s="151">
        <f t="shared" si="5"/>
        <v>11.410204950000026</v>
      </c>
      <c r="L36" s="151">
        <f t="shared" si="5"/>
        <v>11.100068590000001</v>
      </c>
      <c r="N36" s="117"/>
      <c r="R36" s="145"/>
      <c r="Y36" s="74"/>
    </row>
    <row r="37" spans="1:32" x14ac:dyDescent="0.2">
      <c r="C37" s="55" t="s">
        <v>196</v>
      </c>
      <c r="D37" s="21" t="s">
        <v>23</v>
      </c>
      <c r="E37" s="21" t="str">
        <f t="shared" si="4"/>
        <v>$millions</v>
      </c>
      <c r="F37" s="71">
        <f>$F$8</f>
        <v>45444</v>
      </c>
      <c r="G37" s="64"/>
      <c r="H37" s="151">
        <f>H36*IF($F36="nominal",LOOKUP($F37,'Lookup|Tables'!Nominal_to_Real,'Calc|CPI Indexes'!I$31:I$42),INDEX('Calc|CPI Indexes'!$C$14:$T$27,MATCH($F36,'Calc|CPI Indexes'!$C$14:$C$27,0),MATCH($F37,'Calc|CPI Indexes'!$C$14:$T$14,0)))</f>
        <v>7.7707508937379632</v>
      </c>
      <c r="I37" s="151">
        <f>I36*IF($F36="nominal",LOOKUP($F37,'Lookup|Tables'!Nominal_to_Real,'Calc|CPI Indexes'!J$31:J$42),INDEX('Calc|CPI Indexes'!$C$14:$T$27,MATCH($F36,'Calc|CPI Indexes'!$C$14:$C$27,0),MATCH($F37,'Calc|CPI Indexes'!$C$14:$T$14,0)))</f>
        <v>13.398690876741721</v>
      </c>
      <c r="J37" s="151">
        <f>J36*IF($F36="nominal",LOOKUP($F37,'Lookup|Tables'!Nominal_to_Real,'Calc|CPI Indexes'!K$31:K$42),INDEX('Calc|CPI Indexes'!$C$14:$T$27,MATCH($F36,'Calc|CPI Indexes'!$C$14:$C$27,0),MATCH($F37,'Calc|CPI Indexes'!$C$14:$T$14,0)))</f>
        <v>21.576804888512292</v>
      </c>
      <c r="K37" s="151">
        <f>K36*IF($F36="nominal",LOOKUP($F37,'Lookup|Tables'!Nominal_to_Real,'Calc|CPI Indexes'!L$31:L$42),INDEX('Calc|CPI Indexes'!$C$14:$T$27,MATCH($F36,'Calc|CPI Indexes'!$C$14:$C$27,0),MATCH($F37,'Calc|CPI Indexes'!$C$14:$T$14,0)))</f>
        <v>13.67062224543082</v>
      </c>
      <c r="L37" s="151">
        <f>L36*IF($F36="nominal",LOOKUP($F37,'Lookup|Tables'!Nominal_to_Real,'Calc|CPI Indexes'!M$31:M$42),INDEX('Calc|CPI Indexes'!$C$14:$T$27,MATCH($F36,'Calc|CPI Indexes'!$C$14:$C$27,0),MATCH($F37,'Calc|CPI Indexes'!$C$14:$T$14,0)))</f>
        <v>12.667064117845204</v>
      </c>
      <c r="N37" s="117"/>
      <c r="R37" s="145"/>
      <c r="Y37" s="74"/>
    </row>
    <row r="38" spans="1:32" x14ac:dyDescent="0.2">
      <c r="C38" s="55"/>
      <c r="F38" s="71"/>
      <c r="G38" s="64"/>
      <c r="H38" s="150"/>
      <c r="I38" s="150"/>
      <c r="J38" s="150"/>
      <c r="K38" s="150"/>
      <c r="L38" s="150"/>
      <c r="N38" s="117"/>
      <c r="R38" s="145"/>
      <c r="Y38" s="74"/>
    </row>
    <row r="39" spans="1:32" x14ac:dyDescent="0.2">
      <c r="C39" s="55" t="s">
        <v>357</v>
      </c>
      <c r="D39" s="21" t="s">
        <v>23</v>
      </c>
      <c r="E39" s="21" t="str">
        <f t="shared" si="4"/>
        <v>$millions</v>
      </c>
      <c r="F39" s="71">
        <f>F37</f>
        <v>45444</v>
      </c>
      <c r="G39" s="20"/>
      <c r="H39" s="64"/>
      <c r="I39" s="64"/>
      <c r="J39" s="74"/>
      <c r="K39" s="74"/>
      <c r="M39" s="150">
        <f>AVERAGE(H37:L37)</f>
        <v>13.816786604453601</v>
      </c>
      <c r="N39" s="74"/>
      <c r="O39" s="74"/>
      <c r="P39" s="74"/>
      <c r="Q39" s="74"/>
      <c r="S39" s="74"/>
      <c r="T39" s="74"/>
      <c r="U39" s="74"/>
      <c r="V39" s="74"/>
      <c r="W39" s="74"/>
      <c r="X39" s="74"/>
      <c r="Y39" s="74"/>
    </row>
    <row r="40" spans="1:32" x14ac:dyDescent="0.2">
      <c r="C40" s="55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144"/>
      <c r="O40" s="144"/>
      <c r="P40" s="144"/>
      <c r="Q40" s="144"/>
      <c r="R40" s="144"/>
      <c r="S40" s="144"/>
    </row>
    <row r="41" spans="1:32" s="19" customFormat="1" ht="13" x14ac:dyDescent="0.3">
      <c r="A41" s="12"/>
      <c r="B41" s="13" t="s">
        <v>18</v>
      </c>
      <c r="C41" s="12"/>
      <c r="D41" s="12"/>
      <c r="E41" s="12"/>
      <c r="F41" s="14"/>
      <c r="G41" s="14"/>
      <c r="H41" s="14"/>
      <c r="I41" s="14"/>
      <c r="J41" s="15"/>
      <c r="K41" s="16"/>
      <c r="L41" s="15"/>
      <c r="M41" s="16"/>
      <c r="N41" s="15"/>
      <c r="O41" s="15"/>
      <c r="P41" s="15"/>
      <c r="Q41" s="15"/>
      <c r="R41" s="15"/>
      <c r="S41" s="15"/>
      <c r="T41" s="15"/>
      <c r="U41" s="15"/>
      <c r="V41" s="16"/>
      <c r="W41" s="16"/>
      <c r="X41" s="16"/>
      <c r="Y41" s="16"/>
      <c r="Z41" s="17"/>
      <c r="AA41" s="17"/>
      <c r="AB41" s="17"/>
      <c r="AC41" s="17"/>
      <c r="AD41" s="17"/>
      <c r="AE41" s="18"/>
      <c r="AF41" s="18"/>
    </row>
  </sheetData>
  <mergeCells count="1">
    <mergeCell ref="N3:S3"/>
  </mergeCells>
  <phoneticPr fontId="20" type="noConversion"/>
  <dataValidations count="1">
    <dataValidation type="list" allowBlank="1" showInputMessage="1" showErrorMessage="1" sqref="F40" xr:uid="{812D5D46-EB07-40FE-A82B-E276BB2AD89F}">
      <formula1>"Real 2010,Real 2011,Real 2012,Real 2013,Real 2014,Real 2015,Nominal"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F855-E584-4A69-A37C-785D81906E2A}">
  <sheetPr>
    <tabColor rgb="FFCCFFCC"/>
  </sheetPr>
  <dimension ref="A1:AF162"/>
  <sheetViews>
    <sheetView showGridLines="0" zoomScale="75" zoomScaleNormal="75" workbookViewId="0"/>
  </sheetViews>
  <sheetFormatPr defaultColWidth="0" defaultRowHeight="10" zeroHeight="1" x14ac:dyDescent="0.2"/>
  <cols>
    <col min="1" max="2" width="1.1796875" style="20" customWidth="1"/>
    <col min="3" max="3" width="62.5429687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7" width="4.54296875" style="21" customWidth="1"/>
    <col min="8" max="8" width="2.81640625" style="21" customWidth="1"/>
    <col min="9" max="9" width="7.6328125" style="21" bestFit="1" customWidth="1"/>
    <col min="10" max="19" width="8.81640625" style="20" customWidth="1"/>
    <col min="20" max="20" width="9.1796875" style="20" bestFit="1" customWidth="1"/>
    <col min="21" max="21" width="4.1796875" style="20" customWidth="1"/>
    <col min="22" max="25" width="8.81640625" style="20" customWidth="1"/>
    <col min="26" max="40" width="8.54296875" style="20" hidden="1" customWidth="1"/>
    <col min="41" max="16384" width="8.54296875" style="20" hidden="1"/>
  </cols>
  <sheetData>
    <row r="1" spans="1:32" s="1" customFormat="1" ht="15.5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96" t="s">
        <v>1</v>
      </c>
      <c r="M1" s="97" t="s">
        <v>2</v>
      </c>
      <c r="N1" s="98" t="s">
        <v>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2" s="7" customFormat="1" ht="13.5" thickBot="1" x14ac:dyDescent="0.35">
      <c r="B2" s="8" t="s">
        <v>288</v>
      </c>
      <c r="C2" s="8"/>
      <c r="D2" s="8"/>
      <c r="E2" s="8"/>
      <c r="F2" s="9"/>
      <c r="G2" s="9"/>
      <c r="H2" s="9"/>
      <c r="I2" s="9"/>
    </row>
    <row r="3" spans="1:32" s="38" customFormat="1" ht="10.5" x14ac:dyDescent="0.25">
      <c r="D3" s="134"/>
      <c r="E3" s="134"/>
      <c r="F3" s="134"/>
      <c r="G3" s="134"/>
      <c r="H3" s="134"/>
      <c r="I3" s="134"/>
      <c r="J3" s="65" t="s">
        <v>12</v>
      </c>
      <c r="K3" s="65"/>
      <c r="L3" s="65"/>
      <c r="M3" s="134"/>
      <c r="N3" s="211"/>
      <c r="O3" s="211"/>
      <c r="P3" s="211"/>
      <c r="Q3" s="211"/>
      <c r="R3" s="211"/>
      <c r="S3" s="211"/>
      <c r="T3" s="42"/>
      <c r="U3" s="42"/>
      <c r="V3" s="42"/>
      <c r="W3" s="42"/>
      <c r="X3" s="42"/>
      <c r="Y3" s="42"/>
      <c r="Z3" s="42"/>
      <c r="AA3" s="42"/>
      <c r="AB3" s="42"/>
    </row>
    <row r="4" spans="1:32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7">
        <f>DATE(PPFirstYear-1,MONTH('Input|General'!$G$9),1)</f>
        <v>43617</v>
      </c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  <c r="X4" s="49"/>
      <c r="Y4" s="49"/>
    </row>
    <row r="5" spans="1:32" s="10" customFormat="1" ht="3" customHeight="1" x14ac:dyDescent="0.2">
      <c r="D5" s="11"/>
      <c r="E5" s="11"/>
      <c r="F5" s="11"/>
      <c r="G5" s="11"/>
      <c r="H5" s="11"/>
      <c r="I5" s="11"/>
    </row>
    <row r="6" spans="1:32" s="10" customFormat="1" x14ac:dyDescent="0.2">
      <c r="D6" s="11"/>
      <c r="E6" s="11"/>
      <c r="F6" s="11"/>
      <c r="G6" s="11"/>
      <c r="H6" s="11"/>
      <c r="I6" s="11"/>
    </row>
    <row r="7" spans="1:32" s="10" customFormat="1" ht="3" customHeight="1" x14ac:dyDescent="0.2">
      <c r="D7" s="11"/>
      <c r="E7" s="11"/>
      <c r="F7" s="11"/>
      <c r="G7" s="11"/>
      <c r="H7" s="11"/>
      <c r="I7" s="11"/>
    </row>
    <row r="8" spans="1:32" s="19" customFormat="1" ht="13" x14ac:dyDescent="0.3">
      <c r="A8" s="12"/>
      <c r="B8" s="13" t="s">
        <v>276</v>
      </c>
      <c r="C8" s="12"/>
      <c r="D8" s="12"/>
      <c r="E8" s="66" t="s">
        <v>37</v>
      </c>
      <c r="F8" s="82">
        <v>45444</v>
      </c>
      <c r="G8" s="14"/>
      <c r="H8" s="14"/>
      <c r="I8" s="14"/>
      <c r="J8" s="15"/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  <c r="X8" s="16"/>
      <c r="Y8" s="16"/>
      <c r="Z8" s="17"/>
      <c r="AA8" s="17"/>
      <c r="AB8" s="17"/>
      <c r="AC8" s="17"/>
      <c r="AD8" s="17"/>
      <c r="AE8" s="18"/>
      <c r="AF8" s="18"/>
    </row>
    <row r="9" spans="1:32" x14ac:dyDescent="0.2"/>
    <row r="10" spans="1:32" ht="10.5" x14ac:dyDescent="0.25">
      <c r="C10" s="29" t="s">
        <v>236</v>
      </c>
      <c r="D10" s="23" t="s">
        <v>6</v>
      </c>
      <c r="E10" s="23" t="s">
        <v>24</v>
      </c>
      <c r="F10" s="23" t="s">
        <v>28</v>
      </c>
      <c r="J10" s="62"/>
      <c r="K10" s="62"/>
      <c r="L10" s="62"/>
      <c r="M10" s="62">
        <f t="shared" ref="M10" si="0">IF(YEAR(M$4)&lt;=PPLastYear,M$4,"")</f>
        <v>45078</v>
      </c>
      <c r="N10" s="62"/>
      <c r="O10" s="62"/>
      <c r="P10" s="62"/>
      <c r="Q10" s="62"/>
      <c r="R10" s="62"/>
      <c r="S10" s="62"/>
    </row>
    <row r="11" spans="1:32" x14ac:dyDescent="0.2">
      <c r="C11" s="55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32" x14ac:dyDescent="0.2">
      <c r="C12" s="55" t="s">
        <v>243</v>
      </c>
      <c r="D12" s="21" t="s">
        <v>23</v>
      </c>
      <c r="E12" s="21" t="str">
        <f>$E$8</f>
        <v>$millions</v>
      </c>
      <c r="F12" s="71">
        <f>F151</f>
        <v>45444</v>
      </c>
      <c r="J12" s="70"/>
      <c r="K12" s="70"/>
      <c r="L12" s="70"/>
      <c r="M12" s="79">
        <f>N151</f>
        <v>460.90368091957424</v>
      </c>
      <c r="N12" s="64"/>
      <c r="O12" s="79"/>
      <c r="P12" s="79"/>
      <c r="Q12" s="79"/>
      <c r="R12" s="79"/>
      <c r="S12" s="79"/>
    </row>
    <row r="13" spans="1:32" x14ac:dyDescent="0.2">
      <c r="J13" s="64"/>
      <c r="K13" s="64"/>
      <c r="L13" s="64"/>
    </row>
    <row r="14" spans="1:32" s="19" customFormat="1" ht="13" x14ac:dyDescent="0.3">
      <c r="A14" s="12"/>
      <c r="B14" s="13" t="s">
        <v>277</v>
      </c>
      <c r="C14" s="12"/>
      <c r="D14" s="12"/>
      <c r="E14" s="12"/>
      <c r="F14" s="14"/>
      <c r="G14" s="14"/>
      <c r="H14" s="14"/>
      <c r="I14" s="14"/>
      <c r="J14" s="15"/>
      <c r="K14" s="16"/>
      <c r="L14" s="15"/>
      <c r="M14" s="16"/>
      <c r="N14" s="15"/>
      <c r="O14" s="15"/>
      <c r="P14" s="15"/>
      <c r="Q14" s="15"/>
      <c r="R14" s="15"/>
      <c r="S14" s="15"/>
      <c r="T14" s="15"/>
      <c r="U14" s="15"/>
      <c r="V14" s="16"/>
      <c r="W14" s="16"/>
      <c r="X14" s="16"/>
      <c r="Y14" s="16"/>
      <c r="Z14" s="17"/>
      <c r="AA14" s="17"/>
      <c r="AB14" s="17"/>
      <c r="AC14" s="17"/>
      <c r="AD14" s="17"/>
      <c r="AE14" s="18"/>
      <c r="AF14" s="18"/>
    </row>
    <row r="15" spans="1:32" x14ac:dyDescent="0.2">
      <c r="C15" s="55"/>
      <c r="J15" s="64"/>
      <c r="K15" s="64"/>
      <c r="L15" s="64"/>
    </row>
    <row r="16" spans="1:32" ht="10.5" x14ac:dyDescent="0.25">
      <c r="C16" s="29" t="s">
        <v>237</v>
      </c>
      <c r="D16" s="23" t="s">
        <v>6</v>
      </c>
      <c r="E16" s="23" t="s">
        <v>24</v>
      </c>
      <c r="F16" s="23" t="s">
        <v>28</v>
      </c>
      <c r="J16" s="62"/>
      <c r="K16" s="62"/>
      <c r="L16" s="62"/>
      <c r="M16" s="62">
        <f t="shared" ref="M16" si="1">IF(YEAR(M$4)&lt;=PPLastYear,M$4,"")</f>
        <v>45078</v>
      </c>
      <c r="N16" s="62"/>
      <c r="O16" s="62"/>
      <c r="P16" s="62"/>
      <c r="Q16" s="62"/>
      <c r="R16" s="62"/>
      <c r="S16" s="62"/>
      <c r="T16" s="146"/>
    </row>
    <row r="17" spans="1:32" ht="10.5" x14ac:dyDescent="0.25">
      <c r="C17" s="29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32" x14ac:dyDescent="0.2">
      <c r="C18" s="55" t="s">
        <v>243</v>
      </c>
      <c r="D18" s="21" t="s">
        <v>23</v>
      </c>
      <c r="E18" s="21" t="str">
        <f>$E$8</f>
        <v>$millions</v>
      </c>
      <c r="F18" s="71">
        <f>F155</f>
        <v>45444</v>
      </c>
      <c r="J18" s="74"/>
      <c r="K18" s="74"/>
      <c r="L18" s="74"/>
      <c r="M18" s="79">
        <f>N155</f>
        <v>468.23991688798895</v>
      </c>
      <c r="N18" s="74"/>
      <c r="O18" s="74"/>
      <c r="P18" s="74"/>
      <c r="Q18" s="74"/>
      <c r="R18" s="74"/>
      <c r="S18" s="74"/>
      <c r="T18" s="74"/>
      <c r="U18" s="74"/>
    </row>
    <row r="19" spans="1:32" x14ac:dyDescent="0.2">
      <c r="C19" s="73"/>
      <c r="F19" s="71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32" s="19" customFormat="1" ht="13" x14ac:dyDescent="0.3">
      <c r="A20" s="12"/>
      <c r="B20" s="13" t="s">
        <v>283</v>
      </c>
      <c r="C20" s="12"/>
      <c r="D20" s="12"/>
      <c r="E20" s="12"/>
      <c r="F20" s="14"/>
      <c r="G20" s="14"/>
      <c r="H20" s="14"/>
      <c r="I20" s="14"/>
      <c r="J20" s="15"/>
      <c r="K20" s="16"/>
      <c r="L20" s="15"/>
      <c r="M20" s="16"/>
      <c r="N20" s="15"/>
      <c r="O20" s="15"/>
      <c r="P20" s="15"/>
      <c r="Q20" s="15"/>
      <c r="R20" s="15"/>
      <c r="S20" s="15"/>
      <c r="T20" s="15"/>
      <c r="U20" s="15"/>
      <c r="V20" s="16"/>
      <c r="W20" s="16"/>
      <c r="X20" s="16"/>
      <c r="Y20" s="16"/>
      <c r="Z20" s="17"/>
      <c r="AA20" s="17"/>
      <c r="AB20" s="17"/>
      <c r="AC20" s="17"/>
      <c r="AD20" s="17"/>
      <c r="AE20" s="18"/>
      <c r="AF20" s="18"/>
    </row>
    <row r="21" spans="1:32" x14ac:dyDescent="0.2">
      <c r="C21" s="55"/>
      <c r="J21" s="64"/>
      <c r="K21" s="64"/>
      <c r="L21" s="64"/>
    </row>
    <row r="22" spans="1:32" ht="10.5" x14ac:dyDescent="0.25">
      <c r="C22" s="29" t="s">
        <v>284</v>
      </c>
      <c r="D22" s="23" t="s">
        <v>6</v>
      </c>
      <c r="E22" s="23" t="s">
        <v>24</v>
      </c>
      <c r="F22" s="23" t="s">
        <v>28</v>
      </c>
      <c r="J22" s="62"/>
      <c r="K22" s="62"/>
      <c r="L22" s="62"/>
      <c r="M22" s="62">
        <f t="shared" ref="M22" si="2">IF(YEAR(M$4)&lt;=PPLastYear,M$4,"")</f>
        <v>45078</v>
      </c>
      <c r="N22" s="62"/>
      <c r="O22" s="62"/>
      <c r="P22" s="62"/>
      <c r="Q22" s="62"/>
      <c r="R22" s="62"/>
      <c r="S22" s="62"/>
      <c r="T22" s="62"/>
      <c r="U22" s="62"/>
    </row>
    <row r="23" spans="1:32" ht="10.5" x14ac:dyDescent="0.25">
      <c r="C23" s="29"/>
      <c r="D23" s="23"/>
      <c r="E23" s="23"/>
      <c r="F23" s="23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spans="1:32" x14ac:dyDescent="0.2">
      <c r="C24" s="55" t="s">
        <v>278</v>
      </c>
      <c r="D24" s="21" t="s">
        <v>23</v>
      </c>
      <c r="E24" s="21" t="str">
        <f>$E$8</f>
        <v>$millions</v>
      </c>
      <c r="F24" s="71">
        <f>F18</f>
        <v>45444</v>
      </c>
      <c r="J24" s="74"/>
      <c r="K24" s="74"/>
      <c r="L24" s="74"/>
      <c r="M24" s="74">
        <f>M18</f>
        <v>468.23991688798895</v>
      </c>
      <c r="N24" s="74"/>
      <c r="O24" s="74"/>
      <c r="P24" s="74"/>
      <c r="Q24" s="74"/>
      <c r="R24" s="74"/>
      <c r="S24" s="74"/>
      <c r="T24" s="74"/>
      <c r="U24" s="74"/>
    </row>
    <row r="25" spans="1:32" ht="10.5" x14ac:dyDescent="0.25">
      <c r="C25" s="55" t="s">
        <v>279</v>
      </c>
      <c r="D25" s="21" t="s">
        <v>23</v>
      </c>
      <c r="E25" s="21" t="str">
        <f>$E$8</f>
        <v>$millions</v>
      </c>
      <c r="F25" s="71">
        <f>F12</f>
        <v>45444</v>
      </c>
      <c r="J25" s="24"/>
      <c r="K25" s="24"/>
      <c r="L25" s="24"/>
      <c r="M25" s="74">
        <f>M12</f>
        <v>460.90368091957424</v>
      </c>
      <c r="N25" s="24"/>
      <c r="O25" s="24"/>
      <c r="P25" s="24"/>
      <c r="Q25" s="24"/>
      <c r="R25" s="24"/>
      <c r="S25" s="24"/>
      <c r="T25" s="24"/>
      <c r="U25" s="24"/>
    </row>
    <row r="26" spans="1:32" ht="3" customHeight="1" x14ac:dyDescent="0.2">
      <c r="F26" s="108"/>
      <c r="M26" s="101"/>
    </row>
    <row r="27" spans="1:32" ht="10.5" x14ac:dyDescent="0.25">
      <c r="C27" s="75" t="s">
        <v>289</v>
      </c>
      <c r="D27" s="76" t="s">
        <v>23</v>
      </c>
      <c r="E27" s="76" t="str">
        <f>$E$8</f>
        <v>$millions</v>
      </c>
      <c r="F27" s="77">
        <f>F25</f>
        <v>45444</v>
      </c>
      <c r="G27" s="23"/>
      <c r="H27" s="23"/>
      <c r="I27" s="23"/>
      <c r="J27" s="78"/>
      <c r="K27" s="78"/>
      <c r="L27" s="78"/>
      <c r="M27" s="80">
        <f>M24-M25</f>
        <v>7.3362359684147123</v>
      </c>
      <c r="N27" s="78"/>
      <c r="O27" s="78"/>
      <c r="P27" s="78"/>
      <c r="Q27" s="78"/>
      <c r="R27" s="78"/>
      <c r="S27" s="78"/>
      <c r="T27" s="78"/>
      <c r="U27" s="78"/>
    </row>
    <row r="28" spans="1:32" ht="10.5" x14ac:dyDescent="0.25">
      <c r="C28" s="116"/>
      <c r="D28" s="23"/>
      <c r="E28" s="23"/>
      <c r="F28" s="77"/>
      <c r="G28" s="23"/>
      <c r="H28" s="23"/>
      <c r="I28" s="23"/>
      <c r="J28" s="78"/>
      <c r="K28" s="78"/>
      <c r="L28" s="78"/>
      <c r="M28" s="78"/>
      <c r="N28" s="78"/>
      <c r="O28" s="80"/>
      <c r="P28" s="80"/>
      <c r="Q28" s="80"/>
      <c r="R28" s="80"/>
      <c r="S28" s="80"/>
    </row>
    <row r="29" spans="1:32" s="19" customFormat="1" ht="13" x14ac:dyDescent="0.3">
      <c r="A29" s="12"/>
      <c r="B29" s="13" t="s">
        <v>191</v>
      </c>
      <c r="C29" s="12"/>
      <c r="D29" s="12"/>
      <c r="E29" s="12"/>
      <c r="F29" s="14"/>
      <c r="G29" s="14"/>
      <c r="H29" s="14"/>
      <c r="I29" s="14"/>
      <c r="J29" s="15"/>
      <c r="K29" s="16"/>
      <c r="L29" s="15"/>
      <c r="M29" s="16"/>
      <c r="N29" s="15"/>
      <c r="O29" s="15"/>
      <c r="P29" s="15"/>
      <c r="Q29" s="15"/>
      <c r="R29" s="15"/>
      <c r="S29" s="15"/>
      <c r="T29" s="15"/>
      <c r="U29" s="15"/>
      <c r="V29" s="16"/>
      <c r="W29" s="16"/>
      <c r="X29" s="16"/>
      <c r="Y29" s="16"/>
      <c r="Z29" s="17"/>
      <c r="AA29" s="17"/>
      <c r="AB29" s="17"/>
      <c r="AC29" s="17"/>
      <c r="AD29" s="17"/>
      <c r="AE29" s="18"/>
      <c r="AF29" s="18"/>
    </row>
    <row r="30" spans="1:32" x14ac:dyDescent="0.2">
      <c r="C30" s="55"/>
      <c r="D30" s="64"/>
      <c r="E30" s="64"/>
      <c r="F30" s="114"/>
      <c r="G30" s="64"/>
      <c r="H30" s="64"/>
      <c r="I30" s="64"/>
      <c r="J30" s="74"/>
      <c r="K30" s="74"/>
      <c r="L30" s="74"/>
      <c r="M30" s="74"/>
      <c r="N30" s="74"/>
      <c r="O30" s="79"/>
      <c r="P30" s="79"/>
      <c r="Q30" s="79"/>
      <c r="R30" s="79"/>
      <c r="S30" s="79"/>
    </row>
    <row r="31" spans="1:32" ht="14.5" customHeight="1" x14ac:dyDescent="0.25">
      <c r="C31" s="29" t="s">
        <v>225</v>
      </c>
      <c r="D31" s="64"/>
      <c r="E31" s="64"/>
      <c r="F31" s="20"/>
      <c r="H31" s="64"/>
      <c r="I31" s="64"/>
      <c r="N31" s="212" t="s">
        <v>188</v>
      </c>
      <c r="O31" s="212"/>
      <c r="P31" s="212"/>
      <c r="R31" s="212" t="s">
        <v>189</v>
      </c>
      <c r="S31" s="212"/>
      <c r="T31" s="212"/>
      <c r="V31" s="212" t="s">
        <v>190</v>
      </c>
      <c r="W31" s="212"/>
      <c r="X31" s="212"/>
      <c r="Y31" s="74"/>
    </row>
    <row r="32" spans="1:32" ht="10.5" x14ac:dyDescent="0.25">
      <c r="C32" s="29"/>
      <c r="D32" s="64"/>
      <c r="E32" s="64"/>
      <c r="F32" s="20"/>
      <c r="H32" s="64"/>
      <c r="I32" s="64"/>
      <c r="N32" s="132" t="s">
        <v>186</v>
      </c>
      <c r="O32" s="132" t="s">
        <v>187</v>
      </c>
      <c r="P32" s="132" t="s">
        <v>107</v>
      </c>
      <c r="R32" s="132" t="s">
        <v>186</v>
      </c>
      <c r="S32" s="132" t="s">
        <v>187</v>
      </c>
      <c r="T32" s="132" t="s">
        <v>107</v>
      </c>
      <c r="V32" s="132" t="s">
        <v>186</v>
      </c>
      <c r="W32" s="132" t="s">
        <v>187</v>
      </c>
      <c r="X32" s="132" t="s">
        <v>107</v>
      </c>
      <c r="Y32" s="74"/>
    </row>
    <row r="33" spans="3:25" x14ac:dyDescent="0.2">
      <c r="C33" s="55" t="s">
        <v>171</v>
      </c>
      <c r="D33" s="167" t="s">
        <v>41</v>
      </c>
      <c r="E33" s="21" t="str">
        <f>$E$8</f>
        <v>$millions</v>
      </c>
      <c r="F33" s="69" t="s">
        <v>42</v>
      </c>
      <c r="G33" s="20"/>
      <c r="H33" s="64"/>
      <c r="N33" s="148">
        <v>208.56087690559878</v>
      </c>
      <c r="O33" s="148">
        <v>149.58959140931591</v>
      </c>
      <c r="P33" s="117">
        <f>N33+O33</f>
        <v>358.15046831491469</v>
      </c>
      <c r="R33" s="148">
        <v>208.56087690559878</v>
      </c>
      <c r="S33" s="148">
        <v>151.85821012891614</v>
      </c>
      <c r="T33" s="117">
        <f>R33+S33</f>
        <v>360.41908703451492</v>
      </c>
      <c r="V33" s="117">
        <f>R33-N33</f>
        <v>0</v>
      </c>
      <c r="W33" s="117">
        <f>S33-O33</f>
        <v>2.2686187196002265</v>
      </c>
      <c r="X33" s="117">
        <f>V33+W33</f>
        <v>2.2686187196002265</v>
      </c>
      <c r="Y33" s="74"/>
    </row>
    <row r="34" spans="3:25" x14ac:dyDescent="0.2">
      <c r="C34" s="55" t="s">
        <v>172</v>
      </c>
      <c r="D34" s="167" t="s">
        <v>41</v>
      </c>
      <c r="E34" s="21" t="str">
        <f>$E$8</f>
        <v>$millions</v>
      </c>
      <c r="F34" s="69" t="s">
        <v>42</v>
      </c>
      <c r="G34" s="20"/>
      <c r="H34" s="64"/>
      <c r="I34" s="64"/>
      <c r="N34" s="148">
        <v>12.794331017983023</v>
      </c>
      <c r="O34" s="148">
        <v>9.1766911308198402</v>
      </c>
      <c r="P34" s="117">
        <f>N34+O34</f>
        <v>21.971022148802863</v>
      </c>
      <c r="R34" s="148">
        <v>12.794331017983023</v>
      </c>
      <c r="S34" s="148">
        <v>11.518037229190039</v>
      </c>
      <c r="T34" s="117">
        <f>R34+S34</f>
        <v>24.312368247173062</v>
      </c>
      <c r="V34" s="117">
        <f>R34-N34</f>
        <v>0</v>
      </c>
      <c r="W34" s="117">
        <f>S34-O34</f>
        <v>2.3413460983701988</v>
      </c>
      <c r="X34" s="117">
        <f>V34+W34</f>
        <v>2.3413460983701988</v>
      </c>
      <c r="Y34" s="74"/>
    </row>
    <row r="35" spans="3:25" ht="10.5" x14ac:dyDescent="0.25">
      <c r="C35" s="55" t="s">
        <v>173</v>
      </c>
      <c r="D35" s="21" t="s">
        <v>23</v>
      </c>
      <c r="E35" s="21" t="str">
        <f>$E$8</f>
        <v>$millions</v>
      </c>
      <c r="F35" s="69" t="s">
        <v>42</v>
      </c>
      <c r="G35" s="20"/>
      <c r="H35" s="64"/>
      <c r="I35" s="64"/>
      <c r="N35" s="117">
        <f t="shared" ref="N35:O35" si="3">N33+N34</f>
        <v>221.35520792358179</v>
      </c>
      <c r="O35" s="117">
        <f t="shared" si="3"/>
        <v>158.76628254013576</v>
      </c>
      <c r="P35" s="132">
        <f>P33+P34</f>
        <v>380.12149046371758</v>
      </c>
      <c r="R35" s="117">
        <f t="shared" ref="R35" si="4">R33+R34</f>
        <v>221.35520792358179</v>
      </c>
      <c r="S35" s="117">
        <f t="shared" ref="S35" si="5">S33+S34</f>
        <v>163.37624735810618</v>
      </c>
      <c r="T35" s="132">
        <f>T33+T34</f>
        <v>384.731455281688</v>
      </c>
      <c r="V35" s="117">
        <f t="shared" ref="V35" si="6">V33+V34</f>
        <v>0</v>
      </c>
      <c r="W35" s="117">
        <f t="shared" ref="W35" si="7">W33+W34</f>
        <v>4.6099648179704253</v>
      </c>
      <c r="X35" s="117">
        <f>X33+X34</f>
        <v>4.6099648179704253</v>
      </c>
      <c r="Y35" s="74"/>
    </row>
    <row r="36" spans="3:25" x14ac:dyDescent="0.2">
      <c r="C36" s="55"/>
      <c r="D36" s="55"/>
      <c r="G36" s="20"/>
      <c r="H36" s="64"/>
      <c r="I36" s="64"/>
      <c r="N36" s="117"/>
      <c r="O36" s="117"/>
      <c r="P36" s="117"/>
      <c r="R36" s="117"/>
      <c r="S36" s="117"/>
      <c r="T36" s="117"/>
      <c r="V36" s="117"/>
      <c r="W36" s="117"/>
      <c r="X36" s="117"/>
      <c r="Y36" s="74"/>
    </row>
    <row r="37" spans="3:25" x14ac:dyDescent="0.2">
      <c r="C37" s="55" t="s">
        <v>174</v>
      </c>
      <c r="D37" s="167" t="s">
        <v>41</v>
      </c>
      <c r="E37" s="21" t="str">
        <f>$E$8</f>
        <v>$millions</v>
      </c>
      <c r="F37" s="69" t="s">
        <v>42</v>
      </c>
      <c r="G37" s="20"/>
      <c r="H37" s="64"/>
      <c r="I37" s="64"/>
      <c r="N37" s="148">
        <v>9.3770903409641839</v>
      </c>
      <c r="O37" s="148">
        <v>5.4936816898552188</v>
      </c>
      <c r="P37" s="117">
        <f t="shared" ref="P37:P40" si="8">N37+O37</f>
        <v>14.870772030819403</v>
      </c>
      <c r="R37" s="148">
        <v>9.3770903409641839</v>
      </c>
      <c r="S37" s="148">
        <v>3.071449580305754</v>
      </c>
      <c r="T37" s="117">
        <f t="shared" ref="T37:T40" si="9">R37+S37</f>
        <v>12.448539921269937</v>
      </c>
      <c r="V37" s="117">
        <f t="shared" ref="V37:V40" si="10">R37-N37</f>
        <v>0</v>
      </c>
      <c r="W37" s="117">
        <f t="shared" ref="W37:W40" si="11">S37-O37</f>
        <v>-2.4222321095494648</v>
      </c>
      <c r="X37" s="117">
        <f t="shared" ref="X37:X40" si="12">V37+W37</f>
        <v>-2.4222321095494648</v>
      </c>
      <c r="Y37" s="74"/>
    </row>
    <row r="38" spans="3:25" x14ac:dyDescent="0.2">
      <c r="C38" s="55" t="s">
        <v>175</v>
      </c>
      <c r="D38" s="167" t="s">
        <v>41</v>
      </c>
      <c r="E38" s="21" t="str">
        <f>$E$8</f>
        <v>$millions</v>
      </c>
      <c r="F38" s="69" t="s">
        <v>42</v>
      </c>
      <c r="G38" s="20"/>
      <c r="H38" s="64"/>
      <c r="I38" s="64"/>
      <c r="N38" s="148">
        <v>19.221555074479202</v>
      </c>
      <c r="O38" s="148">
        <v>1.6744174688497298</v>
      </c>
      <c r="P38" s="117">
        <f t="shared" si="8"/>
        <v>20.895972543328931</v>
      </c>
      <c r="R38" s="148">
        <v>19.221555074479202</v>
      </c>
      <c r="S38" s="148">
        <v>4.4966712931841606</v>
      </c>
      <c r="T38" s="117">
        <f t="shared" si="9"/>
        <v>23.718226367663362</v>
      </c>
      <c r="V38" s="117">
        <f t="shared" si="10"/>
        <v>0</v>
      </c>
      <c r="W38" s="117">
        <f t="shared" si="11"/>
        <v>2.8222538243344308</v>
      </c>
      <c r="X38" s="117">
        <f t="shared" si="12"/>
        <v>2.8222538243344308</v>
      </c>
      <c r="Y38" s="74"/>
    </row>
    <row r="39" spans="3:25" x14ac:dyDescent="0.2">
      <c r="C39" s="55" t="s">
        <v>176</v>
      </c>
      <c r="D39" s="167" t="s">
        <v>41</v>
      </c>
      <c r="E39" s="21" t="str">
        <f>$E$8</f>
        <v>$millions</v>
      </c>
      <c r="F39" s="69" t="s">
        <v>42</v>
      </c>
      <c r="G39" s="20"/>
      <c r="H39" s="64"/>
      <c r="I39" s="64"/>
      <c r="N39" s="148">
        <v>10.715854446920597</v>
      </c>
      <c r="O39" s="148">
        <v>0.54755144134083333</v>
      </c>
      <c r="P39" s="117">
        <f t="shared" si="8"/>
        <v>11.263405888261429</v>
      </c>
      <c r="R39" s="148">
        <v>10.715854446920597</v>
      </c>
      <c r="S39" s="148">
        <v>1.2851014894367312</v>
      </c>
      <c r="T39" s="117">
        <f t="shared" si="9"/>
        <v>12.000955936357329</v>
      </c>
      <c r="V39" s="117">
        <f t="shared" si="10"/>
        <v>0</v>
      </c>
      <c r="W39" s="117">
        <f t="shared" si="11"/>
        <v>0.73755004809589786</v>
      </c>
      <c r="X39" s="117">
        <f t="shared" si="12"/>
        <v>0.73755004809589786</v>
      </c>
      <c r="Y39" s="74"/>
    </row>
    <row r="40" spans="3:25" x14ac:dyDescent="0.2">
      <c r="C40" s="55" t="s">
        <v>177</v>
      </c>
      <c r="D40" s="167" t="s">
        <v>41</v>
      </c>
      <c r="E40" s="21" t="str">
        <f>$E$8</f>
        <v>$millions</v>
      </c>
      <c r="F40" s="69" t="s">
        <v>42</v>
      </c>
      <c r="G40" s="20"/>
      <c r="H40" s="64"/>
      <c r="I40" s="64"/>
      <c r="N40" s="148">
        <v>42.913490015802147</v>
      </c>
      <c r="O40" s="148">
        <v>10.331741893669365</v>
      </c>
      <c r="P40" s="117">
        <f t="shared" si="8"/>
        <v>53.245231909471514</v>
      </c>
      <c r="R40" s="148">
        <v>42.913490015802147</v>
      </c>
      <c r="S40" s="148">
        <v>5.0837843264069296</v>
      </c>
      <c r="T40" s="117">
        <f t="shared" si="9"/>
        <v>47.997274342209074</v>
      </c>
      <c r="V40" s="117">
        <f t="shared" si="10"/>
        <v>0</v>
      </c>
      <c r="W40" s="117">
        <f t="shared" si="11"/>
        <v>-5.2479575672624357</v>
      </c>
      <c r="X40" s="117">
        <f t="shared" si="12"/>
        <v>-5.2479575672624357</v>
      </c>
      <c r="Y40" s="74"/>
    </row>
    <row r="41" spans="3:25" x14ac:dyDescent="0.2">
      <c r="C41" s="55" t="s">
        <v>178</v>
      </c>
      <c r="D41" s="21" t="s">
        <v>23</v>
      </c>
      <c r="E41" s="21" t="str">
        <f>$E$8</f>
        <v>$millions</v>
      </c>
      <c r="F41" s="69" t="s">
        <v>42</v>
      </c>
      <c r="G41" s="20"/>
      <c r="H41" s="64"/>
      <c r="I41" s="64"/>
      <c r="N41" s="117">
        <f>SUM(N37:N40)</f>
        <v>82.227989878166127</v>
      </c>
      <c r="O41" s="117">
        <f t="shared" ref="O41:P41" si="13">SUM(O37:O40)</f>
        <v>18.047392493715147</v>
      </c>
      <c r="P41" s="117">
        <f t="shared" si="13"/>
        <v>100.27538237188128</v>
      </c>
      <c r="R41" s="117">
        <f>SUM(R37:R40)</f>
        <v>82.227989878166127</v>
      </c>
      <c r="S41" s="117">
        <f>SUM(S37:S40)</f>
        <v>13.937006689333575</v>
      </c>
      <c r="T41" s="117">
        <f>SUM(T37:T40)</f>
        <v>96.164996567499713</v>
      </c>
      <c r="V41" s="117">
        <f t="shared" ref="V41" si="14">SUM(V37:V40)</f>
        <v>0</v>
      </c>
      <c r="W41" s="117">
        <f t="shared" ref="W41" si="15">SUM(W37:W40)</f>
        <v>-4.110385804381572</v>
      </c>
      <c r="X41" s="117">
        <f t="shared" ref="X41" si="16">SUM(X37:X40)</f>
        <v>-4.110385804381572</v>
      </c>
      <c r="Y41" s="74"/>
    </row>
    <row r="42" spans="3:25" x14ac:dyDescent="0.2">
      <c r="C42" s="55"/>
      <c r="D42" s="68"/>
      <c r="G42" s="20"/>
      <c r="H42" s="64"/>
      <c r="I42" s="64"/>
      <c r="N42" s="117"/>
      <c r="O42" s="117"/>
      <c r="P42" s="117"/>
      <c r="R42" s="117"/>
      <c r="S42" s="117"/>
      <c r="T42" s="117"/>
      <c r="V42" s="117"/>
      <c r="W42" s="117"/>
      <c r="X42" s="117"/>
      <c r="Y42" s="74"/>
    </row>
    <row r="43" spans="3:25" x14ac:dyDescent="0.2">
      <c r="C43" s="55" t="s">
        <v>179</v>
      </c>
      <c r="D43" s="167" t="s">
        <v>41</v>
      </c>
      <c r="E43" s="21" t="str">
        <f>$E$8</f>
        <v>$millions</v>
      </c>
      <c r="F43" s="69" t="s">
        <v>42</v>
      </c>
      <c r="G43" s="20"/>
      <c r="H43" s="64"/>
      <c r="I43" s="64"/>
      <c r="N43" s="148">
        <v>10.831293793594913</v>
      </c>
      <c r="O43" s="148">
        <v>0.89106275892163489</v>
      </c>
      <c r="P43" s="117">
        <f t="shared" ref="P43:P44" si="17">N43+O43</f>
        <v>11.722356552516548</v>
      </c>
      <c r="R43" s="148">
        <v>10.831293793594913</v>
      </c>
      <c r="S43" s="148">
        <v>2.1161988138825061</v>
      </c>
      <c r="T43" s="117">
        <f t="shared" ref="T43:T44" si="18">R43+S43</f>
        <v>12.947492607477418</v>
      </c>
      <c r="V43" s="117">
        <f t="shared" ref="V43:V45" si="19">R43-N43</f>
        <v>0</v>
      </c>
      <c r="W43" s="117">
        <f t="shared" ref="W43:W45" si="20">S43-O43</f>
        <v>1.2251360549608712</v>
      </c>
      <c r="X43" s="117">
        <f t="shared" ref="X43:X44" si="21">V43+W43</f>
        <v>1.2251360549608712</v>
      </c>
      <c r="Y43" s="74"/>
    </row>
    <row r="44" spans="3:25" x14ac:dyDescent="0.2">
      <c r="C44" s="55" t="s">
        <v>180</v>
      </c>
      <c r="D44" s="167" t="s">
        <v>41</v>
      </c>
      <c r="E44" s="21" t="str">
        <f>$E$8</f>
        <v>$millions</v>
      </c>
      <c r="F44" s="69" t="s">
        <v>42</v>
      </c>
      <c r="G44" s="20"/>
      <c r="H44" s="64"/>
      <c r="I44" s="64"/>
      <c r="N44" s="148">
        <v>41.819055118221044</v>
      </c>
      <c r="O44" s="148">
        <v>4.44721875364701</v>
      </c>
      <c r="P44" s="117">
        <f t="shared" si="17"/>
        <v>46.266273871868052</v>
      </c>
      <c r="R44" s="148">
        <v>41.819055118221044</v>
      </c>
      <c r="S44" s="148">
        <v>2.7225036850973523</v>
      </c>
      <c r="T44" s="117">
        <f t="shared" si="18"/>
        <v>44.541558803318395</v>
      </c>
      <c r="V44" s="117">
        <f t="shared" si="19"/>
        <v>0</v>
      </c>
      <c r="W44" s="117">
        <f t="shared" si="20"/>
        <v>-1.7247150685496577</v>
      </c>
      <c r="X44" s="117">
        <f t="shared" si="21"/>
        <v>-1.7247150685496577</v>
      </c>
      <c r="Y44" s="74"/>
    </row>
    <row r="45" spans="3:25" x14ac:dyDescent="0.2">
      <c r="C45" s="55" t="s">
        <v>181</v>
      </c>
      <c r="D45" s="21" t="s">
        <v>23</v>
      </c>
      <c r="E45" s="21" t="str">
        <f>$E$8</f>
        <v>$millions</v>
      </c>
      <c r="F45" s="69" t="s">
        <v>42</v>
      </c>
      <c r="G45" s="20"/>
      <c r="H45" s="64"/>
      <c r="I45" s="64"/>
      <c r="N45" s="117">
        <f t="shared" ref="N45" si="22">N43+N44</f>
        <v>52.650348911815954</v>
      </c>
      <c r="O45" s="117">
        <f t="shared" ref="O45" si="23">O43+O44</f>
        <v>5.3382815125686447</v>
      </c>
      <c r="P45" s="117">
        <f>P43+P44</f>
        <v>57.988630424384596</v>
      </c>
      <c r="R45" s="117">
        <f t="shared" ref="R45" si="24">R43+R44</f>
        <v>52.650348911815954</v>
      </c>
      <c r="S45" s="117">
        <f t="shared" ref="S45" si="25">S43+S44</f>
        <v>4.8387024989798579</v>
      </c>
      <c r="T45" s="117">
        <f>T43+T44</f>
        <v>57.48905141079581</v>
      </c>
      <c r="V45" s="117">
        <f t="shared" si="19"/>
        <v>0</v>
      </c>
      <c r="W45" s="117">
        <f t="shared" si="20"/>
        <v>-0.49957901358878676</v>
      </c>
      <c r="X45" s="117">
        <f>X43+X44</f>
        <v>-0.49957901358878654</v>
      </c>
      <c r="Y45" s="74"/>
    </row>
    <row r="46" spans="3:25" x14ac:dyDescent="0.2">
      <c r="C46" s="55"/>
      <c r="F46" s="114"/>
      <c r="G46" s="64"/>
      <c r="H46" s="64"/>
      <c r="I46" s="64"/>
      <c r="N46" s="117"/>
      <c r="O46" s="117"/>
      <c r="P46" s="117"/>
      <c r="R46" s="117"/>
      <c r="S46" s="117"/>
      <c r="T46" s="117"/>
      <c r="V46" s="117"/>
      <c r="W46" s="117"/>
      <c r="X46" s="117"/>
      <c r="Y46" s="74"/>
    </row>
    <row r="47" spans="3:25" x14ac:dyDescent="0.2">
      <c r="C47" s="55" t="s">
        <v>182</v>
      </c>
      <c r="D47" s="21" t="s">
        <v>23</v>
      </c>
      <c r="E47" s="21" t="str">
        <f t="shared" ref="E47" si="26">$E$8</f>
        <v>$millions</v>
      </c>
      <c r="F47" s="69" t="s">
        <v>42</v>
      </c>
      <c r="G47" s="64"/>
      <c r="H47" s="64"/>
      <c r="I47" s="64"/>
      <c r="N47" s="117">
        <f>N35+N41+N45</f>
        <v>356.2335467135639</v>
      </c>
      <c r="O47" s="117">
        <f t="shared" ref="O47:P47" si="27">O35+O41+O45</f>
        <v>182.15195654641954</v>
      </c>
      <c r="P47" s="117">
        <f t="shared" si="27"/>
        <v>538.38550325998347</v>
      </c>
      <c r="R47" s="117">
        <f>R35+R41+R45</f>
        <v>356.2335467135639</v>
      </c>
      <c r="S47" s="117">
        <f>S35+S41+S45</f>
        <v>182.15195654641963</v>
      </c>
      <c r="T47" s="117">
        <f>T35+T41+T45</f>
        <v>538.38550325998358</v>
      </c>
      <c r="V47" s="117">
        <f t="shared" ref="V47:X47" si="28">V35+V41+V45</f>
        <v>0</v>
      </c>
      <c r="W47" s="117">
        <f t="shared" si="28"/>
        <v>6.6613381477509392E-14</v>
      </c>
      <c r="X47" s="117">
        <f t="shared" si="28"/>
        <v>6.6835426082434424E-14</v>
      </c>
      <c r="Y47" s="74"/>
    </row>
    <row r="48" spans="3:25" x14ac:dyDescent="0.2">
      <c r="C48" s="55"/>
      <c r="D48" s="68"/>
      <c r="F48" s="114"/>
      <c r="G48" s="64"/>
      <c r="H48" s="64"/>
      <c r="I48" s="64"/>
      <c r="N48" s="117"/>
      <c r="O48" s="117"/>
      <c r="P48" s="117"/>
      <c r="R48" s="117"/>
      <c r="S48" s="117"/>
      <c r="T48" s="117"/>
      <c r="V48" s="117"/>
      <c r="W48" s="117"/>
      <c r="X48" s="117"/>
      <c r="Y48" s="74"/>
    </row>
    <row r="49" spans="3:25" x14ac:dyDescent="0.2">
      <c r="C49" s="55" t="s">
        <v>183</v>
      </c>
      <c r="D49" s="167" t="s">
        <v>41</v>
      </c>
      <c r="E49" s="21" t="str">
        <f>$E$8</f>
        <v>$millions</v>
      </c>
      <c r="F49" s="69" t="s">
        <v>42</v>
      </c>
      <c r="G49" s="64"/>
      <c r="H49" s="64"/>
      <c r="I49" s="64"/>
      <c r="N49" s="148">
        <v>98.787719053465906</v>
      </c>
      <c r="O49" s="148">
        <v>0</v>
      </c>
      <c r="P49" s="117">
        <f t="shared" ref="P49:P50" si="29">N49+O49</f>
        <v>98.787719053465906</v>
      </c>
      <c r="R49" s="148">
        <v>98.787719053465906</v>
      </c>
      <c r="S49" s="148">
        <v>0</v>
      </c>
      <c r="T49" s="117">
        <f t="shared" ref="T49:T50" si="30">R49+S49</f>
        <v>98.787719053465906</v>
      </c>
      <c r="V49" s="117">
        <f t="shared" ref="V49:V50" si="31">R49-N49</f>
        <v>0</v>
      </c>
      <c r="W49" s="117">
        <f t="shared" ref="W49:W50" si="32">S49-O49</f>
        <v>0</v>
      </c>
      <c r="X49" s="117">
        <f t="shared" ref="X49:X50" si="33">V49+W49</f>
        <v>0</v>
      </c>
      <c r="Y49" s="74"/>
    </row>
    <row r="50" spans="3:25" x14ac:dyDescent="0.2">
      <c r="C50" s="55" t="s">
        <v>184</v>
      </c>
      <c r="D50" s="167" t="s">
        <v>41</v>
      </c>
      <c r="E50" s="21" t="str">
        <f>$E$8</f>
        <v>$millions</v>
      </c>
      <c r="F50" s="69" t="s">
        <v>42</v>
      </c>
      <c r="G50" s="64"/>
      <c r="H50" s="64"/>
      <c r="I50" s="64"/>
      <c r="N50" s="148">
        <v>-99.526257999999999</v>
      </c>
      <c r="O50" s="148">
        <v>0</v>
      </c>
      <c r="P50" s="117">
        <f t="shared" si="29"/>
        <v>-99.526257999999999</v>
      </c>
      <c r="R50" s="148">
        <v>-99.526257999999999</v>
      </c>
      <c r="S50" s="148">
        <v>0</v>
      </c>
      <c r="T50" s="117">
        <f t="shared" si="30"/>
        <v>-99.526257999999999</v>
      </c>
      <c r="V50" s="117">
        <f t="shared" si="31"/>
        <v>0</v>
      </c>
      <c r="W50" s="117">
        <f t="shared" si="32"/>
        <v>0</v>
      </c>
      <c r="X50" s="117">
        <f t="shared" si="33"/>
        <v>0</v>
      </c>
      <c r="Y50" s="74"/>
    </row>
    <row r="51" spans="3:25" x14ac:dyDescent="0.2">
      <c r="C51" s="55"/>
      <c r="D51" s="55"/>
      <c r="E51" s="55"/>
      <c r="F51" s="55"/>
      <c r="G51" s="64"/>
      <c r="H51" s="64"/>
      <c r="I51" s="64"/>
      <c r="N51" s="117"/>
      <c r="O51" s="117"/>
      <c r="P51" s="117"/>
      <c r="R51" s="117"/>
      <c r="S51" s="117"/>
      <c r="T51" s="117"/>
      <c r="V51" s="117"/>
      <c r="W51" s="117"/>
      <c r="X51" s="117"/>
      <c r="Y51" s="74"/>
    </row>
    <row r="52" spans="3:25" x14ac:dyDescent="0.2">
      <c r="C52" s="55" t="s">
        <v>185</v>
      </c>
      <c r="D52" s="21" t="s">
        <v>23</v>
      </c>
      <c r="E52" s="21" t="str">
        <f t="shared" ref="E52" si="34">$E$8</f>
        <v>$millions</v>
      </c>
      <c r="F52" s="69" t="s">
        <v>42</v>
      </c>
      <c r="G52" s="64"/>
      <c r="H52" s="64"/>
      <c r="I52" s="64"/>
      <c r="N52" s="117">
        <f>N47+N49+N50</f>
        <v>355.49500776702985</v>
      </c>
      <c r="O52" s="117">
        <f t="shared" ref="O52:P52" si="35">O47+O49+O50</f>
        <v>182.15195654641954</v>
      </c>
      <c r="P52" s="117">
        <f t="shared" si="35"/>
        <v>537.64696431344942</v>
      </c>
      <c r="R52" s="117">
        <f>R47+R49+R50</f>
        <v>355.49500776702985</v>
      </c>
      <c r="S52" s="117">
        <f>S47+S49+S50</f>
        <v>182.15195654641963</v>
      </c>
      <c r="T52" s="117">
        <f>T47+T49+T50</f>
        <v>537.64696431344953</v>
      </c>
      <c r="V52" s="117">
        <f t="shared" ref="V52:X52" si="36">V47+V49+V50</f>
        <v>0</v>
      </c>
      <c r="W52" s="117">
        <f t="shared" si="36"/>
        <v>6.6613381477509392E-14</v>
      </c>
      <c r="X52" s="117">
        <f t="shared" si="36"/>
        <v>6.6835426082434424E-14</v>
      </c>
      <c r="Y52" s="74"/>
    </row>
    <row r="53" spans="3:25" x14ac:dyDescent="0.2">
      <c r="C53" s="55"/>
      <c r="G53" s="64"/>
      <c r="H53" s="64"/>
      <c r="I53" s="64"/>
      <c r="N53" s="117"/>
      <c r="O53" s="117"/>
      <c r="P53" s="117"/>
      <c r="R53" s="117"/>
      <c r="S53" s="117"/>
      <c r="T53" s="117"/>
      <c r="V53" s="117"/>
      <c r="W53" s="117"/>
      <c r="X53" s="117"/>
      <c r="Y53" s="74"/>
    </row>
    <row r="54" spans="3:25" ht="10.5" x14ac:dyDescent="0.25">
      <c r="C54" s="29" t="s">
        <v>226</v>
      </c>
      <c r="D54" s="64"/>
      <c r="E54" s="64"/>
      <c r="F54" s="20"/>
      <c r="H54" s="64"/>
      <c r="I54" s="64"/>
      <c r="N54" s="212" t="s">
        <v>223</v>
      </c>
      <c r="O54" s="212"/>
      <c r="P54" s="212"/>
      <c r="R54" s="212" t="s">
        <v>224</v>
      </c>
      <c r="S54" s="212"/>
      <c r="T54" s="212"/>
      <c r="V54" s="212" t="s">
        <v>190</v>
      </c>
      <c r="W54" s="212"/>
      <c r="X54" s="212"/>
      <c r="Y54" s="74"/>
    </row>
    <row r="55" spans="3:25" ht="10.5" x14ac:dyDescent="0.25">
      <c r="C55" s="29"/>
      <c r="D55" s="64"/>
      <c r="E55" s="64"/>
      <c r="F55" s="20"/>
      <c r="H55" s="64"/>
      <c r="I55" s="64"/>
      <c r="N55" s="132" t="s">
        <v>186</v>
      </c>
      <c r="O55" s="132" t="s">
        <v>187</v>
      </c>
      <c r="P55" s="132" t="s">
        <v>107</v>
      </c>
      <c r="R55" s="132" t="s">
        <v>186</v>
      </c>
      <c r="S55" s="132" t="s">
        <v>187</v>
      </c>
      <c r="T55" s="132" t="s">
        <v>107</v>
      </c>
      <c r="V55" s="132" t="s">
        <v>186</v>
      </c>
      <c r="W55" s="132" t="s">
        <v>187</v>
      </c>
      <c r="X55" s="132" t="s">
        <v>107</v>
      </c>
      <c r="Y55" s="74"/>
    </row>
    <row r="56" spans="3:25" x14ac:dyDescent="0.2">
      <c r="C56" s="55" t="s">
        <v>171</v>
      </c>
      <c r="D56" s="167" t="s">
        <v>41</v>
      </c>
      <c r="E56" s="21" t="str">
        <f>$E$8</f>
        <v>$millions</v>
      </c>
      <c r="F56" s="69" t="s">
        <v>42</v>
      </c>
      <c r="G56" s="20"/>
      <c r="H56" s="64"/>
      <c r="N56" s="148">
        <v>205.30142811169463</v>
      </c>
      <c r="O56" s="148">
        <v>120.77954184228179</v>
      </c>
      <c r="P56" s="117">
        <f>N56+O56</f>
        <v>326.08096995397642</v>
      </c>
      <c r="R56" s="148">
        <v>205.30142811169463</v>
      </c>
      <c r="S56" s="148">
        <v>121.70325434288644</v>
      </c>
      <c r="T56" s="117">
        <f>R56+S56</f>
        <v>327.00468245458109</v>
      </c>
      <c r="V56" s="117">
        <f>R56-N56</f>
        <v>0</v>
      </c>
      <c r="W56" s="117">
        <f>S56-O56</f>
        <v>0.92371250060465115</v>
      </c>
      <c r="X56" s="117">
        <f>V56+W56</f>
        <v>0.92371250060465115</v>
      </c>
      <c r="Y56" s="74"/>
    </row>
    <row r="57" spans="3:25" x14ac:dyDescent="0.2">
      <c r="C57" s="55" t="s">
        <v>172</v>
      </c>
      <c r="D57" s="167" t="s">
        <v>41</v>
      </c>
      <c r="E57" s="21" t="str">
        <f>$E$8</f>
        <v>$millions</v>
      </c>
      <c r="F57" s="69" t="s">
        <v>42</v>
      </c>
      <c r="G57" s="20"/>
      <c r="H57" s="64"/>
      <c r="I57" s="64"/>
      <c r="N57" s="148">
        <v>12.594377568303909</v>
      </c>
      <c r="O57" s="148">
        <v>7.4093159822584189</v>
      </c>
      <c r="P57" s="117">
        <f>N57+O57</f>
        <v>20.003693550562328</v>
      </c>
      <c r="R57" s="148">
        <v>12.594377568303909</v>
      </c>
      <c r="S57" s="148">
        <v>9.230864852449816</v>
      </c>
      <c r="T57" s="117">
        <f>R57+S57</f>
        <v>21.825242420753725</v>
      </c>
      <c r="V57" s="117">
        <f>R57-N57</f>
        <v>0</v>
      </c>
      <c r="W57" s="117">
        <f>S57-O57</f>
        <v>1.8215488701913971</v>
      </c>
      <c r="X57" s="117">
        <f>V57+W57</f>
        <v>1.8215488701913971</v>
      </c>
      <c r="Y57" s="74"/>
    </row>
    <row r="58" spans="3:25" ht="10.5" x14ac:dyDescent="0.25">
      <c r="C58" s="55" t="s">
        <v>173</v>
      </c>
      <c r="D58" s="21" t="s">
        <v>23</v>
      </c>
      <c r="E58" s="21" t="str">
        <f>$E$8</f>
        <v>$millions</v>
      </c>
      <c r="F58" s="69" t="s">
        <v>42</v>
      </c>
      <c r="G58" s="20"/>
      <c r="H58" s="64"/>
      <c r="I58" s="64"/>
      <c r="N58" s="117">
        <f t="shared" ref="N58:O58" si="37">N56+N57</f>
        <v>217.89580567999855</v>
      </c>
      <c r="O58" s="117">
        <f t="shared" si="37"/>
        <v>128.18885782454021</v>
      </c>
      <c r="P58" s="132">
        <f>P56+P57</f>
        <v>346.08466350453875</v>
      </c>
      <c r="R58" s="117">
        <f t="shared" ref="R58:S58" si="38">R56+R57</f>
        <v>217.89580567999855</v>
      </c>
      <c r="S58" s="117">
        <f t="shared" si="38"/>
        <v>130.93411919533625</v>
      </c>
      <c r="T58" s="132">
        <f>T56+T57</f>
        <v>348.82992487533483</v>
      </c>
      <c r="V58" s="117">
        <f t="shared" ref="V58:W58" si="39">V56+V57</f>
        <v>0</v>
      </c>
      <c r="W58" s="117">
        <f t="shared" si="39"/>
        <v>2.7452613707960483</v>
      </c>
      <c r="X58" s="117">
        <f>X56+X57</f>
        <v>2.7452613707960483</v>
      </c>
      <c r="Y58" s="74"/>
    </row>
    <row r="59" spans="3:25" x14ac:dyDescent="0.2">
      <c r="C59" s="55"/>
      <c r="D59" s="55"/>
      <c r="G59" s="20"/>
      <c r="H59" s="64"/>
      <c r="I59" s="64"/>
      <c r="N59" s="117"/>
      <c r="O59" s="117"/>
      <c r="P59" s="117"/>
      <c r="R59" s="117"/>
      <c r="S59" s="117"/>
      <c r="T59" s="117"/>
      <c r="V59" s="117"/>
      <c r="W59" s="117"/>
      <c r="X59" s="117"/>
      <c r="Y59" s="74"/>
    </row>
    <row r="60" spans="3:25" x14ac:dyDescent="0.2">
      <c r="C60" s="55" t="s">
        <v>174</v>
      </c>
      <c r="D60" s="167" t="s">
        <v>41</v>
      </c>
      <c r="E60" s="21" t="str">
        <f>$E$8</f>
        <v>$millions</v>
      </c>
      <c r="F60" s="69" t="s">
        <v>42</v>
      </c>
      <c r="G60" s="20"/>
      <c r="H60" s="64"/>
      <c r="I60" s="64"/>
      <c r="N60" s="148">
        <v>7.7495770800000319</v>
      </c>
      <c r="O60" s="148">
        <v>3.5898835486682632</v>
      </c>
      <c r="P60" s="117">
        <f t="shared" ref="P60:P63" si="40">N60+O60</f>
        <v>11.339460628668295</v>
      </c>
      <c r="R60" s="148">
        <v>7.7495770800000319</v>
      </c>
      <c r="S60" s="148">
        <v>2.2646282918438656</v>
      </c>
      <c r="T60" s="117">
        <f t="shared" ref="T60:T63" si="41">R60+S60</f>
        <v>10.014205371843897</v>
      </c>
      <c r="V60" s="117">
        <f t="shared" ref="V60:V63" si="42">R60-N60</f>
        <v>0</v>
      </c>
      <c r="W60" s="117">
        <f t="shared" ref="W60:W63" si="43">S60-O60</f>
        <v>-1.3252552568243976</v>
      </c>
      <c r="X60" s="117">
        <f t="shared" ref="X60:X63" si="44">V60+W60</f>
        <v>-1.3252552568243976</v>
      </c>
      <c r="Y60" s="74"/>
    </row>
    <row r="61" spans="3:25" x14ac:dyDescent="0.2">
      <c r="C61" s="55" t="s">
        <v>175</v>
      </c>
      <c r="D61" s="167" t="s">
        <v>41</v>
      </c>
      <c r="E61" s="21" t="str">
        <f>$E$8</f>
        <v>$millions</v>
      </c>
      <c r="F61" s="69" t="s">
        <v>42</v>
      </c>
      <c r="G61" s="20"/>
      <c r="H61" s="64"/>
      <c r="I61" s="64"/>
      <c r="N61" s="148">
        <v>19.264815719999959</v>
      </c>
      <c r="O61" s="148">
        <v>1.3411994148869255</v>
      </c>
      <c r="P61" s="117">
        <f t="shared" si="40"/>
        <v>20.606015134886885</v>
      </c>
      <c r="R61" s="148">
        <v>19.264815719999959</v>
      </c>
      <c r="S61" s="148">
        <v>3.5983098637320596</v>
      </c>
      <c r="T61" s="117">
        <f t="shared" si="41"/>
        <v>22.863125583732018</v>
      </c>
      <c r="V61" s="117">
        <f t="shared" si="42"/>
        <v>0</v>
      </c>
      <c r="W61" s="117">
        <f t="shared" si="43"/>
        <v>2.2571104488451343</v>
      </c>
      <c r="X61" s="117">
        <f t="shared" si="44"/>
        <v>2.2571104488451343</v>
      </c>
      <c r="Y61" s="74"/>
    </row>
    <row r="62" spans="3:25" x14ac:dyDescent="0.2">
      <c r="C62" s="55" t="s">
        <v>176</v>
      </c>
      <c r="D62" s="167" t="s">
        <v>41</v>
      </c>
      <c r="E62" s="21" t="str">
        <f>$E$8</f>
        <v>$millions</v>
      </c>
      <c r="F62" s="69" t="s">
        <v>42</v>
      </c>
      <c r="G62" s="20"/>
      <c r="H62" s="64"/>
      <c r="I62" s="64"/>
      <c r="N62" s="148">
        <v>9.3585662399999858</v>
      </c>
      <c r="O62" s="148">
        <v>0.42511321769203658</v>
      </c>
      <c r="P62" s="117">
        <f t="shared" si="40"/>
        <v>9.7836794576920223</v>
      </c>
      <c r="R62" s="148">
        <v>9.3585662399999858</v>
      </c>
      <c r="S62" s="148">
        <v>0.88450705701065324</v>
      </c>
      <c r="T62" s="117">
        <f t="shared" si="41"/>
        <v>10.243073297010639</v>
      </c>
      <c r="V62" s="117">
        <f t="shared" si="42"/>
        <v>0</v>
      </c>
      <c r="W62" s="117">
        <f t="shared" si="43"/>
        <v>0.45939383931861666</v>
      </c>
      <c r="X62" s="117">
        <f t="shared" si="44"/>
        <v>0.45939383931861666</v>
      </c>
      <c r="Y62" s="74"/>
    </row>
    <row r="63" spans="3:25" x14ac:dyDescent="0.2">
      <c r="C63" s="55" t="s">
        <v>177</v>
      </c>
      <c r="D63" s="167" t="s">
        <v>41</v>
      </c>
      <c r="E63" s="21" t="str">
        <f>$E$8</f>
        <v>$millions</v>
      </c>
      <c r="F63" s="69" t="s">
        <v>42</v>
      </c>
      <c r="G63" s="20"/>
      <c r="H63" s="64"/>
      <c r="I63" s="64"/>
      <c r="N63" s="148">
        <v>42.813992669999791</v>
      </c>
      <c r="O63" s="148">
        <v>7.0319825831675278</v>
      </c>
      <c r="P63" s="117">
        <f t="shared" si="40"/>
        <v>49.845975253167317</v>
      </c>
      <c r="R63" s="148">
        <v>42.813992669999791</v>
      </c>
      <c r="S63" s="148">
        <v>3.3252289041137115</v>
      </c>
      <c r="T63" s="117">
        <f t="shared" si="41"/>
        <v>46.139221574113506</v>
      </c>
      <c r="V63" s="117">
        <f t="shared" si="42"/>
        <v>0</v>
      </c>
      <c r="W63" s="117">
        <f t="shared" si="43"/>
        <v>-3.7067536790538163</v>
      </c>
      <c r="X63" s="117">
        <f t="shared" si="44"/>
        <v>-3.7067536790538163</v>
      </c>
      <c r="Y63" s="74"/>
    </row>
    <row r="64" spans="3:25" x14ac:dyDescent="0.2">
      <c r="C64" s="55" t="s">
        <v>178</v>
      </c>
      <c r="D64" s="21" t="s">
        <v>23</v>
      </c>
      <c r="E64" s="21" t="str">
        <f>$E$8</f>
        <v>$millions</v>
      </c>
      <c r="F64" s="69" t="s">
        <v>42</v>
      </c>
      <c r="G64" s="20"/>
      <c r="H64" s="64"/>
      <c r="I64" s="64"/>
      <c r="N64" s="117">
        <f>SUM(N60:N63)</f>
        <v>79.186951709999761</v>
      </c>
      <c r="O64" s="117">
        <f t="shared" ref="O64:P64" si="45">SUM(O60:O63)</f>
        <v>12.388178764414754</v>
      </c>
      <c r="P64" s="117">
        <f t="shared" si="45"/>
        <v>91.575130474414522</v>
      </c>
      <c r="R64" s="117">
        <f>SUM(R60:R63)</f>
        <v>79.186951709999761</v>
      </c>
      <c r="S64" s="117">
        <f>SUM(S60:S63)</f>
        <v>10.07267411670029</v>
      </c>
      <c r="T64" s="117">
        <f>SUM(T60:T63)</f>
        <v>89.259625826700059</v>
      </c>
      <c r="V64" s="117">
        <f t="shared" ref="V64:X64" si="46">SUM(V60:V63)</f>
        <v>0</v>
      </c>
      <c r="W64" s="117">
        <f t="shared" si="46"/>
        <v>-2.3155046477144627</v>
      </c>
      <c r="X64" s="117">
        <f t="shared" si="46"/>
        <v>-2.3155046477144627</v>
      </c>
      <c r="Y64" s="74"/>
    </row>
    <row r="65" spans="3:25" x14ac:dyDescent="0.2">
      <c r="C65" s="55"/>
      <c r="D65" s="68"/>
      <c r="G65" s="20"/>
      <c r="H65" s="64"/>
      <c r="I65" s="64"/>
      <c r="N65" s="117"/>
      <c r="O65" s="117"/>
      <c r="P65" s="117"/>
      <c r="R65" s="117"/>
      <c r="S65" s="117"/>
      <c r="T65" s="117"/>
      <c r="V65" s="117"/>
      <c r="W65" s="117"/>
      <c r="X65" s="117"/>
      <c r="Y65" s="74"/>
    </row>
    <row r="66" spans="3:25" x14ac:dyDescent="0.2">
      <c r="C66" s="55" t="s">
        <v>179</v>
      </c>
      <c r="D66" s="167" t="s">
        <v>41</v>
      </c>
      <c r="E66" s="21" t="str">
        <f>$E$8</f>
        <v>$millions</v>
      </c>
      <c r="F66" s="69" t="s">
        <v>42</v>
      </c>
      <c r="G66" s="20"/>
      <c r="H66" s="64"/>
      <c r="I66" s="64"/>
      <c r="N66" s="148">
        <v>6.8592892499997529</v>
      </c>
      <c r="O66" s="148">
        <v>0.78895712158346631</v>
      </c>
      <c r="P66" s="117">
        <f t="shared" ref="P66:P67" si="47">N66+O66</f>
        <v>7.6482463715832196</v>
      </c>
      <c r="R66" s="148">
        <v>6.8592892499997529</v>
      </c>
      <c r="S66" s="148">
        <v>1.692863491354424</v>
      </c>
      <c r="T66" s="117">
        <f t="shared" ref="T66:T67" si="48">R66+S66</f>
        <v>8.5521527413541776</v>
      </c>
      <c r="V66" s="117">
        <f t="shared" ref="V66:V68" si="49">R66-N66</f>
        <v>0</v>
      </c>
      <c r="W66" s="117">
        <f t="shared" ref="W66:W68" si="50">S66-O66</f>
        <v>0.90390636977095773</v>
      </c>
      <c r="X66" s="117">
        <f t="shared" ref="X66:X67" si="51">V66+W66</f>
        <v>0.90390636977095773</v>
      </c>
      <c r="Y66" s="74"/>
    </row>
    <row r="67" spans="3:25" x14ac:dyDescent="0.2">
      <c r="C67" s="55" t="s">
        <v>180</v>
      </c>
      <c r="D67" s="167" t="s">
        <v>41</v>
      </c>
      <c r="E67" s="21" t="str">
        <f>$E$8</f>
        <v>$millions</v>
      </c>
      <c r="F67" s="69" t="s">
        <v>42</v>
      </c>
      <c r="G67" s="20"/>
      <c r="H67" s="64"/>
      <c r="I67" s="64"/>
      <c r="N67" s="148">
        <v>44.82524772999993</v>
      </c>
      <c r="O67" s="148">
        <v>3.6718101394615217</v>
      </c>
      <c r="P67" s="117">
        <f t="shared" si="47"/>
        <v>48.49705786946145</v>
      </c>
      <c r="R67" s="148">
        <v>44.82524772999993</v>
      </c>
      <c r="S67" s="148">
        <v>2.3381470466089764</v>
      </c>
      <c r="T67" s="117">
        <f t="shared" si="48"/>
        <v>47.163394776608904</v>
      </c>
      <c r="V67" s="117">
        <f t="shared" si="49"/>
        <v>0</v>
      </c>
      <c r="W67" s="117">
        <f t="shared" si="50"/>
        <v>-1.3336630928525453</v>
      </c>
      <c r="X67" s="117">
        <f t="shared" si="51"/>
        <v>-1.3336630928525453</v>
      </c>
      <c r="Y67" s="74"/>
    </row>
    <row r="68" spans="3:25" x14ac:dyDescent="0.2">
      <c r="C68" s="55" t="s">
        <v>181</v>
      </c>
      <c r="D68" s="21" t="s">
        <v>23</v>
      </c>
      <c r="E68" s="21" t="str">
        <f>$E$8</f>
        <v>$millions</v>
      </c>
      <c r="F68" s="69" t="s">
        <v>42</v>
      </c>
      <c r="G68" s="20"/>
      <c r="H68" s="64"/>
      <c r="I68" s="64"/>
      <c r="N68" s="117">
        <f t="shared" ref="N68:O68" si="52">N66+N67</f>
        <v>51.684536979999685</v>
      </c>
      <c r="O68" s="117">
        <f t="shared" si="52"/>
        <v>4.460767261044988</v>
      </c>
      <c r="P68" s="117">
        <f>P66+P67</f>
        <v>56.14530424104467</v>
      </c>
      <c r="R68" s="117">
        <f t="shared" ref="R68:S68" si="53">R66+R67</f>
        <v>51.684536979999685</v>
      </c>
      <c r="S68" s="117">
        <f t="shared" si="53"/>
        <v>4.0310105379634003</v>
      </c>
      <c r="T68" s="117">
        <f>T66+T67</f>
        <v>55.715547517963081</v>
      </c>
      <c r="V68" s="117">
        <f t="shared" si="49"/>
        <v>0</v>
      </c>
      <c r="W68" s="117">
        <f t="shared" si="50"/>
        <v>-0.42975672308158774</v>
      </c>
      <c r="X68" s="117">
        <f>X66+X67</f>
        <v>-0.42975672308158752</v>
      </c>
      <c r="Y68" s="74"/>
    </row>
    <row r="69" spans="3:25" x14ac:dyDescent="0.2">
      <c r="C69" s="55"/>
      <c r="F69" s="114"/>
      <c r="G69" s="64"/>
      <c r="H69" s="64"/>
      <c r="I69" s="64"/>
      <c r="N69" s="117"/>
      <c r="O69" s="117"/>
      <c r="P69" s="117"/>
      <c r="R69" s="117"/>
      <c r="S69" s="117"/>
      <c r="T69" s="117"/>
      <c r="V69" s="117"/>
      <c r="W69" s="117"/>
      <c r="X69" s="117"/>
      <c r="Y69" s="74"/>
    </row>
    <row r="70" spans="3:25" x14ac:dyDescent="0.2">
      <c r="C70" s="55" t="s">
        <v>182</v>
      </c>
      <c r="D70" s="21" t="s">
        <v>23</v>
      </c>
      <c r="E70" s="21" t="str">
        <f t="shared" ref="E70" si="54">$E$8</f>
        <v>$millions</v>
      </c>
      <c r="F70" s="69" t="s">
        <v>42</v>
      </c>
      <c r="G70" s="64"/>
      <c r="H70" s="64"/>
      <c r="I70" s="64"/>
      <c r="N70" s="117">
        <f>N58+N64+N68</f>
        <v>348.76729436999796</v>
      </c>
      <c r="O70" s="117">
        <f t="shared" ref="O70:P70" si="55">O58+O64+O68</f>
        <v>145.03780384999996</v>
      </c>
      <c r="P70" s="117">
        <f t="shared" si="55"/>
        <v>493.80509821999794</v>
      </c>
      <c r="R70" s="117">
        <f>R58+R64+R68</f>
        <v>348.76729436999796</v>
      </c>
      <c r="S70" s="117">
        <f>S58+S64+S68</f>
        <v>145.03780384999993</v>
      </c>
      <c r="T70" s="117">
        <f>T58+T64+T68</f>
        <v>493.805098219998</v>
      </c>
      <c r="V70" s="117">
        <f t="shared" ref="V70:X70" si="56">V58+V64+V68</f>
        <v>0</v>
      </c>
      <c r="W70" s="117">
        <f t="shared" si="56"/>
        <v>-2.2204460492503131E-15</v>
      </c>
      <c r="X70" s="117">
        <f t="shared" si="56"/>
        <v>-1.9984014443252818E-15</v>
      </c>
      <c r="Y70" s="74"/>
    </row>
    <row r="71" spans="3:25" x14ac:dyDescent="0.2">
      <c r="C71" s="55"/>
      <c r="D71" s="68"/>
      <c r="F71" s="114"/>
      <c r="G71" s="64"/>
      <c r="H71" s="64"/>
      <c r="I71" s="64"/>
      <c r="N71" s="117"/>
      <c r="O71" s="117"/>
      <c r="P71" s="117"/>
      <c r="R71" s="117"/>
      <c r="S71" s="117"/>
      <c r="T71" s="117"/>
      <c r="V71" s="117"/>
      <c r="W71" s="117"/>
      <c r="X71" s="117"/>
      <c r="Y71" s="74"/>
    </row>
    <row r="72" spans="3:25" x14ac:dyDescent="0.2">
      <c r="C72" s="55" t="s">
        <v>183</v>
      </c>
      <c r="D72" s="167" t="s">
        <v>41</v>
      </c>
      <c r="E72" s="21" t="str">
        <f>$E$8</f>
        <v>$millions</v>
      </c>
      <c r="F72" s="69" t="s">
        <v>42</v>
      </c>
      <c r="G72" s="64"/>
      <c r="H72" s="64"/>
      <c r="I72" s="64"/>
      <c r="N72" s="148">
        <v>82.593427940000566</v>
      </c>
      <c r="O72" s="148">
        <v>0</v>
      </c>
      <c r="P72" s="117">
        <f t="shared" ref="P72:P73" si="57">N72+O72</f>
        <v>82.593427940000566</v>
      </c>
      <c r="R72" s="148">
        <v>82.593427940000566</v>
      </c>
      <c r="S72" s="148">
        <v>0</v>
      </c>
      <c r="T72" s="117">
        <f t="shared" ref="T72:T73" si="58">R72+S72</f>
        <v>82.593427940000566</v>
      </c>
      <c r="V72" s="117">
        <f t="shared" ref="V72:V73" si="59">R72-N72</f>
        <v>0</v>
      </c>
      <c r="W72" s="117">
        <f t="shared" ref="W72:W73" si="60">S72-O72</f>
        <v>0</v>
      </c>
      <c r="X72" s="117">
        <f t="shared" ref="X72:X73" si="61">V72+W72</f>
        <v>0</v>
      </c>
      <c r="Y72" s="74"/>
    </row>
    <row r="73" spans="3:25" x14ac:dyDescent="0.2">
      <c r="C73" s="55" t="s">
        <v>184</v>
      </c>
      <c r="D73" s="167" t="s">
        <v>41</v>
      </c>
      <c r="E73" s="21" t="str">
        <f>$E$8</f>
        <v>$millions</v>
      </c>
      <c r="F73" s="69" t="s">
        <v>42</v>
      </c>
      <c r="G73" s="64"/>
      <c r="H73" s="64"/>
      <c r="I73" s="64"/>
      <c r="N73" s="148">
        <v>-99.988508049999879</v>
      </c>
      <c r="O73" s="148">
        <v>0</v>
      </c>
      <c r="P73" s="117">
        <f t="shared" si="57"/>
        <v>-99.988508049999879</v>
      </c>
      <c r="R73" s="148">
        <v>-99.988508049999879</v>
      </c>
      <c r="S73" s="148">
        <v>0</v>
      </c>
      <c r="T73" s="117">
        <f t="shared" si="58"/>
        <v>-99.988508049999879</v>
      </c>
      <c r="V73" s="117">
        <f t="shared" si="59"/>
        <v>0</v>
      </c>
      <c r="W73" s="117">
        <f t="shared" si="60"/>
        <v>0</v>
      </c>
      <c r="X73" s="117">
        <f t="shared" si="61"/>
        <v>0</v>
      </c>
      <c r="Y73" s="74"/>
    </row>
    <row r="74" spans="3:25" x14ac:dyDescent="0.2">
      <c r="C74" s="55"/>
      <c r="D74" s="55"/>
      <c r="E74" s="55"/>
      <c r="F74" s="55"/>
      <c r="G74" s="64"/>
      <c r="H74" s="64"/>
      <c r="I74" s="64"/>
      <c r="N74" s="117"/>
      <c r="O74" s="117"/>
      <c r="P74" s="117"/>
      <c r="R74" s="117"/>
      <c r="S74" s="117"/>
      <c r="T74" s="117"/>
      <c r="V74" s="117"/>
      <c r="W74" s="117"/>
      <c r="X74" s="117"/>
      <c r="Y74" s="74"/>
    </row>
    <row r="75" spans="3:25" x14ac:dyDescent="0.2">
      <c r="C75" s="55" t="s">
        <v>185</v>
      </c>
      <c r="D75" s="21" t="s">
        <v>23</v>
      </c>
      <c r="E75" s="21" t="str">
        <f t="shared" ref="E75" si="62">$E$8</f>
        <v>$millions</v>
      </c>
      <c r="F75" s="69" t="s">
        <v>42</v>
      </c>
      <c r="G75" s="64"/>
      <c r="H75" s="64"/>
      <c r="I75" s="64"/>
      <c r="N75" s="117">
        <f>N70+N72+N73</f>
        <v>331.37221425999866</v>
      </c>
      <c r="O75" s="117">
        <f t="shared" ref="O75:P75" si="63">O70+O72+O73</f>
        <v>145.03780384999996</v>
      </c>
      <c r="P75" s="117">
        <f t="shared" si="63"/>
        <v>476.41001810999859</v>
      </c>
      <c r="R75" s="117">
        <f>R70+R72+R73</f>
        <v>331.37221425999866</v>
      </c>
      <c r="S75" s="117">
        <f>S70+S72+S73</f>
        <v>145.03780384999993</v>
      </c>
      <c r="T75" s="117">
        <f>T70+T72+T73</f>
        <v>476.4100181099987</v>
      </c>
      <c r="V75" s="117">
        <f t="shared" ref="V75:X75" si="64">V70+V72+V73</f>
        <v>0</v>
      </c>
      <c r="W75" s="117">
        <f t="shared" si="64"/>
        <v>-2.2204460492503131E-15</v>
      </c>
      <c r="X75" s="117">
        <f t="shared" si="64"/>
        <v>-1.9984014443252818E-15</v>
      </c>
      <c r="Y75" s="74"/>
    </row>
    <row r="76" spans="3:25" x14ac:dyDescent="0.2">
      <c r="C76" s="55"/>
      <c r="G76" s="64"/>
      <c r="H76" s="64"/>
      <c r="I76" s="64"/>
      <c r="N76" s="117"/>
      <c r="O76" s="117"/>
      <c r="P76" s="117"/>
      <c r="R76" s="117"/>
      <c r="S76" s="117"/>
      <c r="T76" s="117"/>
      <c r="V76" s="117"/>
      <c r="W76" s="117"/>
      <c r="X76" s="117"/>
      <c r="Y76" s="74"/>
    </row>
    <row r="77" spans="3:25" ht="10.5" x14ac:dyDescent="0.25">
      <c r="C77" s="29" t="s">
        <v>227</v>
      </c>
      <c r="D77" s="64"/>
      <c r="E77" s="64"/>
      <c r="F77" s="20"/>
      <c r="H77" s="64"/>
      <c r="I77" s="64"/>
      <c r="N77" s="212" t="s">
        <v>228</v>
      </c>
      <c r="O77" s="212"/>
      <c r="P77" s="212"/>
      <c r="R77" s="212" t="s">
        <v>229</v>
      </c>
      <c r="S77" s="212"/>
      <c r="T77" s="212"/>
      <c r="V77" s="212" t="s">
        <v>190</v>
      </c>
      <c r="W77" s="212"/>
      <c r="X77" s="212"/>
      <c r="Y77" s="74"/>
    </row>
    <row r="78" spans="3:25" ht="10.5" x14ac:dyDescent="0.25">
      <c r="C78" s="29"/>
      <c r="D78" s="64"/>
      <c r="E78" s="64"/>
      <c r="F78" s="20"/>
      <c r="H78" s="64"/>
      <c r="I78" s="64"/>
      <c r="N78" s="132" t="s">
        <v>186</v>
      </c>
      <c r="O78" s="132" t="s">
        <v>187</v>
      </c>
      <c r="P78" s="132" t="s">
        <v>107</v>
      </c>
      <c r="R78" s="132" t="s">
        <v>186</v>
      </c>
      <c r="S78" s="132" t="s">
        <v>187</v>
      </c>
      <c r="T78" s="132" t="s">
        <v>107</v>
      </c>
      <c r="V78" s="132" t="s">
        <v>186</v>
      </c>
      <c r="W78" s="132" t="s">
        <v>187</v>
      </c>
      <c r="X78" s="132" t="s">
        <v>107</v>
      </c>
      <c r="Y78" s="74"/>
    </row>
    <row r="79" spans="3:25" x14ac:dyDescent="0.2">
      <c r="C79" s="55" t="s">
        <v>171</v>
      </c>
      <c r="D79" s="167" t="s">
        <v>41</v>
      </c>
      <c r="E79" s="21" t="str">
        <f>$E$8</f>
        <v>$millions</v>
      </c>
      <c r="F79" s="69" t="s">
        <v>42</v>
      </c>
      <c r="G79" s="20"/>
      <c r="H79" s="64"/>
      <c r="N79" s="148">
        <v>202.7977491827595</v>
      </c>
      <c r="O79" s="148">
        <v>161.18845831756721</v>
      </c>
      <c r="P79" s="117">
        <f>N79+O79</f>
        <v>363.98620750032671</v>
      </c>
      <c r="R79" s="148">
        <v>202.7977491827595</v>
      </c>
      <c r="S79" s="148">
        <v>165.68493198956642</v>
      </c>
      <c r="T79" s="117">
        <f>R79+S79</f>
        <v>368.4826811723259</v>
      </c>
      <c r="V79" s="117">
        <f>R79-N79</f>
        <v>0</v>
      </c>
      <c r="W79" s="117">
        <f>S79-O79</f>
        <v>4.4964736719992118</v>
      </c>
      <c r="X79" s="117">
        <f>V79+W79</f>
        <v>4.4964736719992118</v>
      </c>
      <c r="Y79" s="74"/>
    </row>
    <row r="80" spans="3:25" x14ac:dyDescent="0.2">
      <c r="C80" s="55" t="s">
        <v>172</v>
      </c>
      <c r="D80" s="167" t="s">
        <v>41</v>
      </c>
      <c r="E80" s="21" t="str">
        <f>$E$8</f>
        <v>$millions</v>
      </c>
      <c r="F80" s="69" t="s">
        <v>42</v>
      </c>
      <c r="G80" s="20"/>
      <c r="H80" s="64"/>
      <c r="I80" s="64"/>
      <c r="N80" s="148">
        <v>12.440787415371991</v>
      </c>
      <c r="O80" s="148">
        <v>9.8882327433192305</v>
      </c>
      <c r="P80" s="117">
        <f>N80+O80</f>
        <v>22.329020158691222</v>
      </c>
      <c r="R80" s="148">
        <v>12.440787415371991</v>
      </c>
      <c r="S80" s="148">
        <v>12.56675693300736</v>
      </c>
      <c r="T80" s="117">
        <f>R80+S80</f>
        <v>25.007544348379351</v>
      </c>
      <c r="V80" s="117">
        <f>R80-N80</f>
        <v>0</v>
      </c>
      <c r="W80" s="117">
        <f>S80-O80</f>
        <v>2.6785241896881296</v>
      </c>
      <c r="X80" s="117">
        <f>V80+W80</f>
        <v>2.6785241896881296</v>
      </c>
      <c r="Y80" s="74"/>
    </row>
    <row r="81" spans="3:25" ht="10.5" x14ac:dyDescent="0.25">
      <c r="C81" s="55" t="s">
        <v>173</v>
      </c>
      <c r="D81" s="21" t="s">
        <v>23</v>
      </c>
      <c r="E81" s="21" t="str">
        <f>$E$8</f>
        <v>$millions</v>
      </c>
      <c r="F81" s="69" t="s">
        <v>42</v>
      </c>
      <c r="G81" s="20"/>
      <c r="H81" s="64"/>
      <c r="I81" s="64"/>
      <c r="N81" s="117">
        <f t="shared" ref="N81:O81" si="65">N79+N80</f>
        <v>215.2385365981315</v>
      </c>
      <c r="O81" s="117">
        <f t="shared" si="65"/>
        <v>171.07669106088645</v>
      </c>
      <c r="P81" s="132">
        <f>P79+P80</f>
        <v>386.31522765901792</v>
      </c>
      <c r="R81" s="117">
        <f t="shared" ref="R81:S81" si="66">R79+R80</f>
        <v>215.2385365981315</v>
      </c>
      <c r="S81" s="117">
        <f t="shared" si="66"/>
        <v>178.25168892257378</v>
      </c>
      <c r="T81" s="132">
        <f>T79+T80</f>
        <v>393.49022552070522</v>
      </c>
      <c r="V81" s="117">
        <f t="shared" ref="V81:W81" si="67">V79+V80</f>
        <v>0</v>
      </c>
      <c r="W81" s="117">
        <f t="shared" si="67"/>
        <v>7.1749978616873413</v>
      </c>
      <c r="X81" s="117">
        <f>X79+X80</f>
        <v>7.1749978616873413</v>
      </c>
      <c r="Y81" s="74"/>
    </row>
    <row r="82" spans="3:25" x14ac:dyDescent="0.2">
      <c r="C82" s="55"/>
      <c r="D82" s="55"/>
      <c r="G82" s="20"/>
      <c r="H82" s="64"/>
      <c r="I82" s="64"/>
      <c r="N82" s="117"/>
      <c r="O82" s="117"/>
      <c r="P82" s="117"/>
      <c r="R82" s="117"/>
      <c r="S82" s="117"/>
      <c r="T82" s="117"/>
      <c r="V82" s="117"/>
      <c r="W82" s="117"/>
      <c r="X82" s="117"/>
      <c r="Y82" s="74"/>
    </row>
    <row r="83" spans="3:25" x14ac:dyDescent="0.2">
      <c r="C83" s="55" t="s">
        <v>174</v>
      </c>
      <c r="D83" s="167" t="s">
        <v>41</v>
      </c>
      <c r="E83" s="21" t="str">
        <f>$E$8</f>
        <v>$millions</v>
      </c>
      <c r="F83" s="69" t="s">
        <v>42</v>
      </c>
      <c r="G83" s="20"/>
      <c r="H83" s="64"/>
      <c r="I83" s="64"/>
      <c r="N83" s="148">
        <v>9.0612556762589858</v>
      </c>
      <c r="O83" s="148">
        <v>6.8025495514112428</v>
      </c>
      <c r="P83" s="117">
        <f t="shared" ref="P83:P86" si="68">N83+O83</f>
        <v>15.863805227670229</v>
      </c>
      <c r="R83" s="148">
        <v>9.0612556762589858</v>
      </c>
      <c r="S83" s="148">
        <v>2.9941694872505331</v>
      </c>
      <c r="T83" s="117">
        <f t="shared" ref="T83:T86" si="69">R83+S83</f>
        <v>12.055425163509518</v>
      </c>
      <c r="V83" s="117">
        <f t="shared" ref="V83:V86" si="70">R83-N83</f>
        <v>0</v>
      </c>
      <c r="W83" s="117">
        <f t="shared" ref="W83:W86" si="71">S83-O83</f>
        <v>-3.8083800641607097</v>
      </c>
      <c r="X83" s="117">
        <f t="shared" ref="X83:X86" si="72">V83+W83</f>
        <v>-3.8083800641607097</v>
      </c>
      <c r="Y83" s="74"/>
    </row>
    <row r="84" spans="3:25" x14ac:dyDescent="0.2">
      <c r="C84" s="55" t="s">
        <v>175</v>
      </c>
      <c r="D84" s="167" t="s">
        <v>41</v>
      </c>
      <c r="E84" s="21" t="str">
        <f>$E$8</f>
        <v>$millions</v>
      </c>
      <c r="F84" s="69" t="s">
        <v>42</v>
      </c>
      <c r="G84" s="20"/>
      <c r="H84" s="64"/>
      <c r="I84" s="64"/>
      <c r="N84" s="148">
        <v>19.253010172710191</v>
      </c>
      <c r="O84" s="148">
        <v>1.3635907396942617</v>
      </c>
      <c r="P84" s="117">
        <f t="shared" si="68"/>
        <v>20.616600912404451</v>
      </c>
      <c r="R84" s="148">
        <v>19.253010172710191</v>
      </c>
      <c r="S84" s="148">
        <v>5.2159814990087385</v>
      </c>
      <c r="T84" s="117">
        <f t="shared" si="69"/>
        <v>24.468991671718928</v>
      </c>
      <c r="V84" s="117">
        <f t="shared" si="70"/>
        <v>0</v>
      </c>
      <c r="W84" s="117">
        <f t="shared" si="71"/>
        <v>3.8523907593144768</v>
      </c>
      <c r="X84" s="117">
        <f t="shared" si="72"/>
        <v>3.8523907593144768</v>
      </c>
      <c r="Y84" s="74"/>
    </row>
    <row r="85" spans="3:25" x14ac:dyDescent="0.2">
      <c r="C85" s="55" t="s">
        <v>176</v>
      </c>
      <c r="D85" s="167" t="s">
        <v>41</v>
      </c>
      <c r="E85" s="21" t="str">
        <f>$E$8</f>
        <v>$millions</v>
      </c>
      <c r="F85" s="69" t="s">
        <v>42</v>
      </c>
      <c r="G85" s="20"/>
      <c r="H85" s="64"/>
      <c r="I85" s="64"/>
      <c r="N85" s="148">
        <v>11.05747757466276</v>
      </c>
      <c r="O85" s="148">
        <v>0.64426049371417404</v>
      </c>
      <c r="P85" s="117">
        <f t="shared" si="68"/>
        <v>11.701738068376935</v>
      </c>
      <c r="R85" s="148">
        <v>11.05747757466276</v>
      </c>
      <c r="S85" s="148">
        <v>1.4657272834095816</v>
      </c>
      <c r="T85" s="117">
        <f t="shared" si="69"/>
        <v>12.523204858072342</v>
      </c>
      <c r="V85" s="117">
        <f t="shared" si="70"/>
        <v>0</v>
      </c>
      <c r="W85" s="117">
        <f t="shared" si="71"/>
        <v>0.82146678969540754</v>
      </c>
      <c r="X85" s="117">
        <f t="shared" si="72"/>
        <v>0.82146678969540754</v>
      </c>
      <c r="Y85" s="74"/>
    </row>
    <row r="86" spans="3:25" x14ac:dyDescent="0.2">
      <c r="C86" s="55" t="s">
        <v>177</v>
      </c>
      <c r="D86" s="167" t="s">
        <v>41</v>
      </c>
      <c r="E86" s="21" t="str">
        <f>$E$8</f>
        <v>$millions</v>
      </c>
      <c r="F86" s="69" t="s">
        <v>42</v>
      </c>
      <c r="G86" s="20"/>
      <c r="H86" s="64"/>
      <c r="I86" s="64"/>
      <c r="N86" s="148">
        <v>44.615722303171232</v>
      </c>
      <c r="O86" s="148">
        <v>13.593812757808834</v>
      </c>
      <c r="P86" s="117">
        <f t="shared" si="68"/>
        <v>58.209535060980066</v>
      </c>
      <c r="R86" s="148">
        <v>44.615722303171232</v>
      </c>
      <c r="S86" s="148">
        <v>5.0223714397242842</v>
      </c>
      <c r="T86" s="117">
        <f t="shared" si="69"/>
        <v>49.638093742895514</v>
      </c>
      <c r="V86" s="117">
        <f t="shared" si="70"/>
        <v>0</v>
      </c>
      <c r="W86" s="117">
        <f t="shared" si="71"/>
        <v>-8.571441318084549</v>
      </c>
      <c r="X86" s="117">
        <f t="shared" si="72"/>
        <v>-8.571441318084549</v>
      </c>
      <c r="Y86" s="74"/>
    </row>
    <row r="87" spans="3:25" x14ac:dyDescent="0.2">
      <c r="C87" s="55" t="s">
        <v>178</v>
      </c>
      <c r="D87" s="21" t="s">
        <v>23</v>
      </c>
      <c r="E87" s="21" t="str">
        <f>$E$8</f>
        <v>$millions</v>
      </c>
      <c r="F87" s="69" t="s">
        <v>42</v>
      </c>
      <c r="G87" s="20"/>
      <c r="H87" s="64"/>
      <c r="I87" s="64"/>
      <c r="N87" s="117">
        <f>SUM(N83:N86)</f>
        <v>83.98746572680318</v>
      </c>
      <c r="O87" s="117">
        <f t="shared" ref="O87:P87" si="73">SUM(O83:O86)</f>
        <v>22.404213542628511</v>
      </c>
      <c r="P87" s="117">
        <f t="shared" si="73"/>
        <v>106.39167926943168</v>
      </c>
      <c r="R87" s="117">
        <f>SUM(R83:R86)</f>
        <v>83.98746572680318</v>
      </c>
      <c r="S87" s="117">
        <f>SUM(S83:S86)</f>
        <v>14.698249709393139</v>
      </c>
      <c r="T87" s="117">
        <f>SUM(T83:T86)</f>
        <v>98.685715436196304</v>
      </c>
      <c r="V87" s="117">
        <f t="shared" ref="V87:X87" si="74">SUM(V83:V86)</f>
        <v>0</v>
      </c>
      <c r="W87" s="117">
        <f t="shared" si="74"/>
        <v>-7.7059638332353746</v>
      </c>
      <c r="X87" s="117">
        <f t="shared" si="74"/>
        <v>-7.7059638332353746</v>
      </c>
      <c r="Y87" s="74"/>
    </row>
    <row r="88" spans="3:25" x14ac:dyDescent="0.2">
      <c r="C88" s="55"/>
      <c r="D88" s="68"/>
      <c r="G88" s="20"/>
      <c r="H88" s="64"/>
      <c r="I88" s="64"/>
      <c r="N88" s="117"/>
      <c r="O88" s="117"/>
      <c r="P88" s="117"/>
      <c r="R88" s="117"/>
      <c r="S88" s="117"/>
      <c r="T88" s="117"/>
      <c r="V88" s="117"/>
      <c r="W88" s="117"/>
      <c r="X88" s="117"/>
      <c r="Y88" s="74"/>
    </row>
    <row r="89" spans="3:25" x14ac:dyDescent="0.2">
      <c r="C89" s="55" t="s">
        <v>179</v>
      </c>
      <c r="D89" s="167" t="s">
        <v>41</v>
      </c>
      <c r="E89" s="21" t="str">
        <f>$E$8</f>
        <v>$millions</v>
      </c>
      <c r="F89" s="69" t="s">
        <v>42</v>
      </c>
      <c r="G89" s="20"/>
      <c r="H89" s="64"/>
      <c r="I89" s="64"/>
      <c r="N89" s="148">
        <v>4.2702548956666728</v>
      </c>
      <c r="O89" s="148">
        <v>0.65456260819574963</v>
      </c>
      <c r="P89" s="117">
        <f t="shared" ref="P89:P90" si="75">N89+O89</f>
        <v>4.9248175038624229</v>
      </c>
      <c r="R89" s="148">
        <v>4.2702548956666728</v>
      </c>
      <c r="S89" s="148">
        <v>2.0989636601066386</v>
      </c>
      <c r="T89" s="117">
        <f t="shared" ref="T89:T90" si="76">R89+S89</f>
        <v>6.3692185557733119</v>
      </c>
      <c r="V89" s="117">
        <f t="shared" ref="V89:V91" si="77">R89-N89</f>
        <v>0</v>
      </c>
      <c r="W89" s="117">
        <f t="shared" ref="W89:W91" si="78">S89-O89</f>
        <v>1.444401051910889</v>
      </c>
      <c r="X89" s="117">
        <f t="shared" ref="X89:X90" si="79">V89+W89</f>
        <v>1.444401051910889</v>
      </c>
      <c r="Y89" s="74"/>
    </row>
    <row r="90" spans="3:25" x14ac:dyDescent="0.2">
      <c r="C90" s="55" t="s">
        <v>180</v>
      </c>
      <c r="D90" s="167" t="s">
        <v>41</v>
      </c>
      <c r="E90" s="21" t="str">
        <f>$E$8</f>
        <v>$millions</v>
      </c>
      <c r="F90" s="69" t="s">
        <v>42</v>
      </c>
      <c r="G90" s="20"/>
      <c r="H90" s="64"/>
      <c r="I90" s="64"/>
      <c r="N90" s="148">
        <v>42.673140629401395</v>
      </c>
      <c r="O90" s="148">
        <v>4.3336588982894915</v>
      </c>
      <c r="P90" s="117">
        <f t="shared" si="75"/>
        <v>47.006799527690887</v>
      </c>
      <c r="R90" s="148">
        <v>42.673140629401395</v>
      </c>
      <c r="S90" s="148">
        <v>3.4202238179265647</v>
      </c>
      <c r="T90" s="117">
        <f t="shared" si="76"/>
        <v>46.093364447327957</v>
      </c>
      <c r="V90" s="117">
        <f t="shared" si="77"/>
        <v>0</v>
      </c>
      <c r="W90" s="117">
        <f t="shared" si="78"/>
        <v>-0.91343508036292675</v>
      </c>
      <c r="X90" s="117">
        <f t="shared" si="79"/>
        <v>-0.91343508036292675</v>
      </c>
      <c r="Y90" s="74"/>
    </row>
    <row r="91" spans="3:25" x14ac:dyDescent="0.2">
      <c r="C91" s="55" t="s">
        <v>181</v>
      </c>
      <c r="D91" s="21" t="s">
        <v>23</v>
      </c>
      <c r="E91" s="21" t="str">
        <f>$E$8</f>
        <v>$millions</v>
      </c>
      <c r="F91" s="69" t="s">
        <v>42</v>
      </c>
      <c r="G91" s="20"/>
      <c r="H91" s="64"/>
      <c r="I91" s="64"/>
      <c r="N91" s="117">
        <f t="shared" ref="N91:O91" si="80">N89+N90</f>
        <v>46.94339552506807</v>
      </c>
      <c r="O91" s="117">
        <f t="shared" si="80"/>
        <v>4.9882215064852407</v>
      </c>
      <c r="P91" s="117">
        <f>P89+P90</f>
        <v>51.931617031553309</v>
      </c>
      <c r="R91" s="117">
        <f t="shared" ref="R91:S91" si="81">R89+R90</f>
        <v>46.94339552506807</v>
      </c>
      <c r="S91" s="117">
        <f t="shared" si="81"/>
        <v>5.5191874780332029</v>
      </c>
      <c r="T91" s="117">
        <f>T89+T90</f>
        <v>52.462583003101273</v>
      </c>
      <c r="V91" s="117">
        <f t="shared" si="77"/>
        <v>0</v>
      </c>
      <c r="W91" s="117">
        <f t="shared" si="78"/>
        <v>0.53096597154796221</v>
      </c>
      <c r="X91" s="117">
        <f>X89+X90</f>
        <v>0.53096597154796221</v>
      </c>
      <c r="Y91" s="74"/>
    </row>
    <row r="92" spans="3:25" x14ac:dyDescent="0.2">
      <c r="C92" s="55"/>
      <c r="F92" s="114"/>
      <c r="G92" s="64"/>
      <c r="H92" s="64"/>
      <c r="I92" s="64"/>
      <c r="N92" s="117"/>
      <c r="O92" s="117"/>
      <c r="P92" s="117"/>
      <c r="R92" s="117"/>
      <c r="S92" s="117"/>
      <c r="T92" s="117"/>
      <c r="V92" s="117"/>
      <c r="W92" s="117"/>
      <c r="X92" s="117"/>
      <c r="Y92" s="74"/>
    </row>
    <row r="93" spans="3:25" x14ac:dyDescent="0.2">
      <c r="C93" s="55" t="s">
        <v>182</v>
      </c>
      <c r="D93" s="21" t="s">
        <v>23</v>
      </c>
      <c r="E93" s="21" t="str">
        <f t="shared" ref="E93" si="82">$E$8</f>
        <v>$millions</v>
      </c>
      <c r="F93" s="69" t="s">
        <v>42</v>
      </c>
      <c r="G93" s="64"/>
      <c r="H93" s="64"/>
      <c r="I93" s="64"/>
      <c r="N93" s="117">
        <f>N81+N87+N91</f>
        <v>346.16939785000278</v>
      </c>
      <c r="O93" s="117">
        <f t="shared" ref="O93:P93" si="83">O81+O87+O91</f>
        <v>198.46912611000019</v>
      </c>
      <c r="P93" s="117">
        <f t="shared" si="83"/>
        <v>544.63852396000289</v>
      </c>
      <c r="R93" s="117">
        <f>R81+R87+R91</f>
        <v>346.16939785000278</v>
      </c>
      <c r="S93" s="117">
        <f>S81+S87+S91</f>
        <v>198.4691261100001</v>
      </c>
      <c r="T93" s="117">
        <f>T81+T87+T91</f>
        <v>544.63852396000277</v>
      </c>
      <c r="V93" s="117">
        <f t="shared" ref="V93:X93" si="84">V81+V87+V91</f>
        <v>0</v>
      </c>
      <c r="W93" s="117">
        <f t="shared" si="84"/>
        <v>-7.1054273576010019E-14</v>
      </c>
      <c r="X93" s="117">
        <f t="shared" si="84"/>
        <v>-7.1054273576010019E-14</v>
      </c>
      <c r="Y93" s="74"/>
    </row>
    <row r="94" spans="3:25" x14ac:dyDescent="0.2">
      <c r="C94" s="55"/>
      <c r="D94" s="68"/>
      <c r="F94" s="114"/>
      <c r="G94" s="64"/>
      <c r="H94" s="64"/>
      <c r="I94" s="64"/>
      <c r="N94" s="117"/>
      <c r="O94" s="117"/>
      <c r="P94" s="117"/>
      <c r="R94" s="117"/>
      <c r="S94" s="117"/>
      <c r="T94" s="117"/>
      <c r="V94" s="117"/>
      <c r="W94" s="117"/>
      <c r="X94" s="117"/>
      <c r="Y94" s="74"/>
    </row>
    <row r="95" spans="3:25" x14ac:dyDescent="0.2">
      <c r="C95" s="55" t="s">
        <v>183</v>
      </c>
      <c r="D95" s="167" t="s">
        <v>41</v>
      </c>
      <c r="E95" s="21" t="str">
        <f>$E$8</f>
        <v>$millions</v>
      </c>
      <c r="F95" s="69" t="s">
        <v>42</v>
      </c>
      <c r="G95" s="64"/>
      <c r="H95" s="64"/>
      <c r="I95" s="64"/>
      <c r="N95" s="148">
        <v>89.292905340000132</v>
      </c>
      <c r="O95" s="148">
        <v>0</v>
      </c>
      <c r="P95" s="117">
        <f t="shared" ref="P95:P96" si="85">N95+O95</f>
        <v>89.292905340000132</v>
      </c>
      <c r="R95" s="148">
        <v>89.292905340000132</v>
      </c>
      <c r="S95" s="148">
        <v>0</v>
      </c>
      <c r="T95" s="117">
        <f t="shared" ref="T95:T96" si="86">R95+S95</f>
        <v>89.292905340000132</v>
      </c>
      <c r="V95" s="117">
        <f t="shared" ref="V95:V96" si="87">R95-N95</f>
        <v>0</v>
      </c>
      <c r="W95" s="117">
        <f t="shared" ref="W95:W96" si="88">S95-O95</f>
        <v>0</v>
      </c>
      <c r="X95" s="117">
        <f t="shared" ref="X95:X96" si="89">V95+W95</f>
        <v>0</v>
      </c>
      <c r="Y95" s="74"/>
    </row>
    <row r="96" spans="3:25" x14ac:dyDescent="0.2">
      <c r="C96" s="55" t="s">
        <v>184</v>
      </c>
      <c r="D96" s="167" t="s">
        <v>41</v>
      </c>
      <c r="E96" s="21" t="str">
        <f>$E$8</f>
        <v>$millions</v>
      </c>
      <c r="F96" s="69" t="s">
        <v>42</v>
      </c>
      <c r="G96" s="64"/>
      <c r="H96" s="64"/>
      <c r="I96" s="64"/>
      <c r="N96" s="148">
        <v>-93.082981729999929</v>
      </c>
      <c r="O96" s="148">
        <v>0</v>
      </c>
      <c r="P96" s="117">
        <f t="shared" si="85"/>
        <v>-93.082981729999929</v>
      </c>
      <c r="R96" s="148">
        <v>-93.082981729999929</v>
      </c>
      <c r="S96" s="148">
        <v>0</v>
      </c>
      <c r="T96" s="117">
        <f t="shared" si="86"/>
        <v>-93.082981729999929</v>
      </c>
      <c r="V96" s="117">
        <f t="shared" si="87"/>
        <v>0</v>
      </c>
      <c r="W96" s="117">
        <f t="shared" si="88"/>
        <v>0</v>
      </c>
      <c r="X96" s="117">
        <f t="shared" si="89"/>
        <v>0</v>
      </c>
      <c r="Y96" s="74"/>
    </row>
    <row r="97" spans="3:25" x14ac:dyDescent="0.2">
      <c r="C97" s="55"/>
      <c r="D97" s="55"/>
      <c r="E97" s="55"/>
      <c r="F97" s="55"/>
      <c r="G97" s="64"/>
      <c r="H97" s="64"/>
      <c r="I97" s="64"/>
      <c r="N97" s="117"/>
      <c r="O97" s="117"/>
      <c r="P97" s="117"/>
      <c r="R97" s="117"/>
      <c r="S97" s="117"/>
      <c r="T97" s="117"/>
      <c r="V97" s="117"/>
      <c r="W97" s="117"/>
      <c r="X97" s="117"/>
      <c r="Y97" s="74"/>
    </row>
    <row r="98" spans="3:25" x14ac:dyDescent="0.2">
      <c r="C98" s="55" t="s">
        <v>185</v>
      </c>
      <c r="D98" s="21" t="s">
        <v>23</v>
      </c>
      <c r="E98" s="21" t="str">
        <f t="shared" ref="E98" si="90">$E$8</f>
        <v>$millions</v>
      </c>
      <c r="F98" s="69" t="s">
        <v>42</v>
      </c>
      <c r="G98" s="64"/>
      <c r="H98" s="64"/>
      <c r="I98" s="64"/>
      <c r="N98" s="117">
        <f>N93+N95+N96</f>
        <v>342.37932146000298</v>
      </c>
      <c r="O98" s="117">
        <f t="shared" ref="O98:P98" si="91">O93+O95+O96</f>
        <v>198.46912611000019</v>
      </c>
      <c r="P98" s="117">
        <f t="shared" si="91"/>
        <v>540.84844757000315</v>
      </c>
      <c r="R98" s="117">
        <f>R93+R95+R96</f>
        <v>342.37932146000298</v>
      </c>
      <c r="S98" s="117">
        <f>S93+S95+S96</f>
        <v>198.4691261100001</v>
      </c>
      <c r="T98" s="117">
        <f>T93+T95+T96</f>
        <v>540.84844757000303</v>
      </c>
      <c r="V98" s="117">
        <f t="shared" ref="V98:X98" si="92">V93+V95+V96</f>
        <v>0</v>
      </c>
      <c r="W98" s="117">
        <f t="shared" si="92"/>
        <v>-7.1054273576010019E-14</v>
      </c>
      <c r="X98" s="117">
        <f t="shared" si="92"/>
        <v>-7.1054273576010019E-14</v>
      </c>
      <c r="Y98" s="74"/>
    </row>
    <row r="99" spans="3:25" x14ac:dyDescent="0.2">
      <c r="C99" s="55"/>
      <c r="G99" s="64"/>
      <c r="H99" s="64"/>
      <c r="I99" s="64"/>
      <c r="N99" s="117"/>
      <c r="O99" s="117"/>
      <c r="P99" s="117"/>
      <c r="R99" s="117"/>
      <c r="S99" s="117"/>
      <c r="T99" s="117"/>
      <c r="V99" s="117"/>
      <c r="W99" s="117"/>
      <c r="X99" s="117"/>
      <c r="Y99" s="74"/>
    </row>
    <row r="100" spans="3:25" ht="10.5" x14ac:dyDescent="0.25">
      <c r="C100" s="29" t="s">
        <v>230</v>
      </c>
      <c r="D100" s="64"/>
      <c r="E100" s="64"/>
      <c r="F100" s="20"/>
      <c r="H100" s="64"/>
      <c r="I100" s="64"/>
      <c r="N100" s="212" t="s">
        <v>231</v>
      </c>
      <c r="O100" s="212"/>
      <c r="P100" s="212"/>
      <c r="R100" s="212" t="s">
        <v>232</v>
      </c>
      <c r="S100" s="212"/>
      <c r="T100" s="212"/>
      <c r="V100" s="212" t="s">
        <v>190</v>
      </c>
      <c r="W100" s="212"/>
      <c r="X100" s="212"/>
      <c r="Y100" s="74"/>
    </row>
    <row r="101" spans="3:25" ht="10.5" x14ac:dyDescent="0.25">
      <c r="C101" s="29"/>
      <c r="D101" s="64"/>
      <c r="E101" s="64"/>
      <c r="F101" s="20"/>
      <c r="H101" s="64"/>
      <c r="I101" s="64"/>
      <c r="N101" s="132" t="s">
        <v>186</v>
      </c>
      <c r="O101" s="132" t="s">
        <v>187</v>
      </c>
      <c r="P101" s="132" t="s">
        <v>107</v>
      </c>
      <c r="R101" s="132" t="s">
        <v>186</v>
      </c>
      <c r="S101" s="132" t="s">
        <v>187</v>
      </c>
      <c r="T101" s="132" t="s">
        <v>107</v>
      </c>
      <c r="V101" s="132" t="s">
        <v>186</v>
      </c>
      <c r="W101" s="132" t="s">
        <v>187</v>
      </c>
      <c r="X101" s="132" t="s">
        <v>107</v>
      </c>
      <c r="Y101" s="74"/>
    </row>
    <row r="102" spans="3:25" x14ac:dyDescent="0.2">
      <c r="C102" s="55" t="s">
        <v>171</v>
      </c>
      <c r="D102" s="167" t="s">
        <v>41</v>
      </c>
      <c r="E102" s="21" t="str">
        <f>$E$8</f>
        <v>$millions</v>
      </c>
      <c r="F102" s="69" t="s">
        <v>42</v>
      </c>
      <c r="G102" s="20"/>
      <c r="H102" s="64"/>
      <c r="N102" s="148">
        <v>237.62165568286588</v>
      </c>
      <c r="O102" s="148">
        <v>142.50740618661268</v>
      </c>
      <c r="P102" s="117">
        <f>N102+O102</f>
        <v>380.12906186947856</v>
      </c>
      <c r="R102" s="148">
        <v>237.62165568286588</v>
      </c>
      <c r="S102" s="148">
        <v>148.00275065571338</v>
      </c>
      <c r="T102" s="117">
        <f>R102+S102</f>
        <v>385.62440633857926</v>
      </c>
      <c r="V102" s="117">
        <f>R102-N102</f>
        <v>0</v>
      </c>
      <c r="W102" s="117">
        <f>S102-O102</f>
        <v>5.4953444691007007</v>
      </c>
      <c r="X102" s="117">
        <f>V102+W102</f>
        <v>5.4953444691007007</v>
      </c>
      <c r="Y102" s="74"/>
    </row>
    <row r="103" spans="3:25" x14ac:dyDescent="0.2">
      <c r="C103" s="55" t="s">
        <v>172</v>
      </c>
      <c r="D103" s="167" t="s">
        <v>41</v>
      </c>
      <c r="E103" s="21" t="str">
        <f>$E$8</f>
        <v>$millions</v>
      </c>
      <c r="F103" s="69" t="s">
        <v>42</v>
      </c>
      <c r="G103" s="20"/>
      <c r="H103" s="64"/>
      <c r="I103" s="64"/>
      <c r="N103" s="148">
        <v>14.577087347133984</v>
      </c>
      <c r="O103" s="148">
        <v>8.7422289084973546</v>
      </c>
      <c r="P103" s="117">
        <f>N103+O103</f>
        <v>23.319316255631339</v>
      </c>
      <c r="R103" s="148">
        <v>14.577087347133984</v>
      </c>
      <c r="S103" s="148">
        <v>11.225610986905979</v>
      </c>
      <c r="T103" s="117">
        <f>R103+S103</f>
        <v>25.802698334039963</v>
      </c>
      <c r="V103" s="117">
        <f>R103-N103</f>
        <v>0</v>
      </c>
      <c r="W103" s="117">
        <f>S103-O103</f>
        <v>2.4833820784086242</v>
      </c>
      <c r="X103" s="117">
        <f>V103+W103</f>
        <v>2.4833820784086242</v>
      </c>
      <c r="Y103" s="74"/>
    </row>
    <row r="104" spans="3:25" ht="10.5" x14ac:dyDescent="0.25">
      <c r="C104" s="55" t="s">
        <v>173</v>
      </c>
      <c r="D104" s="21" t="s">
        <v>23</v>
      </c>
      <c r="E104" s="21" t="str">
        <f>$E$8</f>
        <v>$millions</v>
      </c>
      <c r="F104" s="69" t="s">
        <v>42</v>
      </c>
      <c r="G104" s="20"/>
      <c r="H104" s="64"/>
      <c r="I104" s="64"/>
      <c r="N104" s="117">
        <f t="shared" ref="N104:O104" si="93">N102+N103</f>
        <v>252.19874302999986</v>
      </c>
      <c r="O104" s="117">
        <f t="shared" si="93"/>
        <v>151.24963509511005</v>
      </c>
      <c r="P104" s="132">
        <f>P102+P103</f>
        <v>403.44837812510991</v>
      </c>
      <c r="R104" s="117">
        <f t="shared" ref="R104:S104" si="94">R102+R103</f>
        <v>252.19874302999986</v>
      </c>
      <c r="S104" s="117">
        <f t="shared" si="94"/>
        <v>159.22836164261938</v>
      </c>
      <c r="T104" s="132">
        <f>T102+T103</f>
        <v>411.42710467261924</v>
      </c>
      <c r="V104" s="117">
        <f t="shared" ref="V104:W104" si="95">V102+V103</f>
        <v>0</v>
      </c>
      <c r="W104" s="117">
        <f t="shared" si="95"/>
        <v>7.978726547509325</v>
      </c>
      <c r="X104" s="117">
        <f>X102+X103</f>
        <v>7.978726547509325</v>
      </c>
      <c r="Y104" s="74"/>
    </row>
    <row r="105" spans="3:25" x14ac:dyDescent="0.2">
      <c r="C105" s="55"/>
      <c r="D105" s="55"/>
      <c r="G105" s="20"/>
      <c r="H105" s="64"/>
      <c r="I105" s="64"/>
      <c r="N105" s="117"/>
      <c r="O105" s="117"/>
      <c r="P105" s="117"/>
      <c r="R105" s="117"/>
      <c r="S105" s="117"/>
      <c r="T105" s="117"/>
      <c r="V105" s="117"/>
      <c r="W105" s="117"/>
      <c r="X105" s="117"/>
      <c r="Y105" s="74"/>
    </row>
    <row r="106" spans="3:25" x14ac:dyDescent="0.2">
      <c r="C106" s="55" t="s">
        <v>174</v>
      </c>
      <c r="D106" s="167" t="s">
        <v>41</v>
      </c>
      <c r="E106" s="21" t="str">
        <f>$E$8</f>
        <v>$millions</v>
      </c>
      <c r="F106" s="69" t="s">
        <v>42</v>
      </c>
      <c r="G106" s="20"/>
      <c r="H106" s="64"/>
      <c r="I106" s="64"/>
      <c r="N106" s="148">
        <v>11.409169099999996</v>
      </c>
      <c r="O106" s="148">
        <v>8.1416011269425113</v>
      </c>
      <c r="P106" s="117">
        <f t="shared" ref="P106:P109" si="96">N106+O106</f>
        <v>19.550770226942507</v>
      </c>
      <c r="R106" s="148">
        <v>11.409169099999996</v>
      </c>
      <c r="S106" s="148">
        <v>2.6033323788251721</v>
      </c>
      <c r="T106" s="117">
        <f t="shared" ref="T106:T109" si="97">R106+S106</f>
        <v>14.012501478825168</v>
      </c>
      <c r="V106" s="117">
        <f t="shared" ref="V106:V109" si="98">R106-N106</f>
        <v>0</v>
      </c>
      <c r="W106" s="117">
        <f t="shared" ref="W106:W109" si="99">S106-O106</f>
        <v>-5.5382687481173392</v>
      </c>
      <c r="X106" s="117">
        <f t="shared" ref="X106:X109" si="100">V106+W106</f>
        <v>-5.5382687481173392</v>
      </c>
      <c r="Y106" s="74"/>
    </row>
    <row r="107" spans="3:25" x14ac:dyDescent="0.2">
      <c r="C107" s="55" t="s">
        <v>175</v>
      </c>
      <c r="D107" s="167" t="s">
        <v>41</v>
      </c>
      <c r="E107" s="21" t="str">
        <f>$E$8</f>
        <v>$millions</v>
      </c>
      <c r="F107" s="69" t="s">
        <v>42</v>
      </c>
      <c r="G107" s="20"/>
      <c r="H107" s="64"/>
      <c r="I107" s="64"/>
      <c r="N107" s="148">
        <v>19.973258380000008</v>
      </c>
      <c r="O107" s="148">
        <v>1.3171179942859652</v>
      </c>
      <c r="P107" s="117">
        <f t="shared" si="96"/>
        <v>21.290376374285973</v>
      </c>
      <c r="R107" s="148">
        <v>19.973258380000008</v>
      </c>
      <c r="S107" s="148">
        <v>4.7497029156105608</v>
      </c>
      <c r="T107" s="117">
        <f t="shared" si="97"/>
        <v>24.722961295610567</v>
      </c>
      <c r="V107" s="117">
        <f t="shared" si="98"/>
        <v>0</v>
      </c>
      <c r="W107" s="117">
        <f t="shared" si="99"/>
        <v>3.4325849213245956</v>
      </c>
      <c r="X107" s="117">
        <f t="shared" si="100"/>
        <v>3.4325849213245956</v>
      </c>
      <c r="Y107" s="74"/>
    </row>
    <row r="108" spans="3:25" x14ac:dyDescent="0.2">
      <c r="C108" s="55" t="s">
        <v>176</v>
      </c>
      <c r="D108" s="167" t="s">
        <v>41</v>
      </c>
      <c r="E108" s="21" t="str">
        <f>$E$8</f>
        <v>$millions</v>
      </c>
      <c r="F108" s="69" t="s">
        <v>42</v>
      </c>
      <c r="G108" s="20"/>
      <c r="H108" s="64"/>
      <c r="I108" s="64"/>
      <c r="N108" s="148">
        <v>10.644281460000002</v>
      </c>
      <c r="O108" s="148">
        <v>0.703635863290199</v>
      </c>
      <c r="P108" s="117">
        <f t="shared" si="96"/>
        <v>11.347917323290201</v>
      </c>
      <c r="R108" s="148">
        <v>10.644281460000002</v>
      </c>
      <c r="S108" s="148">
        <v>1.2008494687832163</v>
      </c>
      <c r="T108" s="117">
        <f t="shared" si="97"/>
        <v>11.845130928783218</v>
      </c>
      <c r="V108" s="117">
        <f t="shared" si="98"/>
        <v>0</v>
      </c>
      <c r="W108" s="117">
        <f t="shared" si="99"/>
        <v>0.4972136054930173</v>
      </c>
      <c r="X108" s="117">
        <f t="shared" si="100"/>
        <v>0.4972136054930173</v>
      </c>
      <c r="Y108" s="74"/>
    </row>
    <row r="109" spans="3:25" x14ac:dyDescent="0.2">
      <c r="C109" s="55" t="s">
        <v>177</v>
      </c>
      <c r="D109" s="167" t="s">
        <v>41</v>
      </c>
      <c r="E109" s="21" t="str">
        <f>$E$8</f>
        <v>$millions</v>
      </c>
      <c r="F109" s="69" t="s">
        <v>42</v>
      </c>
      <c r="G109" s="20"/>
      <c r="H109" s="64"/>
      <c r="I109" s="64"/>
      <c r="N109" s="148">
        <v>44.871100459999994</v>
      </c>
      <c r="O109" s="148">
        <v>8.1043935066437882</v>
      </c>
      <c r="P109" s="117">
        <f t="shared" si="96"/>
        <v>52.975493966643782</v>
      </c>
      <c r="R109" s="148">
        <v>44.871100459999994</v>
      </c>
      <c r="S109" s="148">
        <v>4.279130572715359</v>
      </c>
      <c r="T109" s="117">
        <f t="shared" si="97"/>
        <v>49.150231032715354</v>
      </c>
      <c r="V109" s="117">
        <f t="shared" si="98"/>
        <v>0</v>
      </c>
      <c r="W109" s="117">
        <f t="shared" si="99"/>
        <v>-3.8252629339284292</v>
      </c>
      <c r="X109" s="117">
        <f t="shared" si="100"/>
        <v>-3.8252629339284292</v>
      </c>
      <c r="Y109" s="74"/>
    </row>
    <row r="110" spans="3:25" x14ac:dyDescent="0.2">
      <c r="C110" s="55" t="s">
        <v>178</v>
      </c>
      <c r="D110" s="21" t="s">
        <v>23</v>
      </c>
      <c r="E110" s="21" t="str">
        <f>$E$8</f>
        <v>$millions</v>
      </c>
      <c r="F110" s="69" t="s">
        <v>42</v>
      </c>
      <c r="G110" s="20"/>
      <c r="H110" s="64"/>
      <c r="I110" s="64"/>
      <c r="N110" s="117">
        <f>SUM(N106:N109)</f>
        <v>86.8978094</v>
      </c>
      <c r="O110" s="117">
        <f t="shared" ref="O110:P110" si="101">SUM(O106:O109)</f>
        <v>18.266748491162463</v>
      </c>
      <c r="P110" s="117">
        <f t="shared" si="101"/>
        <v>105.16455789116246</v>
      </c>
      <c r="R110" s="117">
        <f>SUM(R106:R109)</f>
        <v>86.8978094</v>
      </c>
      <c r="S110" s="117">
        <f>SUM(S106:S109)</f>
        <v>12.833015335934309</v>
      </c>
      <c r="T110" s="117">
        <f>SUM(T106:T109)</f>
        <v>99.730824735934306</v>
      </c>
      <c r="V110" s="117">
        <f t="shared" ref="V110:X110" si="102">SUM(V106:V109)</f>
        <v>0</v>
      </c>
      <c r="W110" s="117">
        <f t="shared" si="102"/>
        <v>-5.4337331552281558</v>
      </c>
      <c r="X110" s="117">
        <f t="shared" si="102"/>
        <v>-5.4337331552281558</v>
      </c>
      <c r="Y110" s="74"/>
    </row>
    <row r="111" spans="3:25" x14ac:dyDescent="0.2">
      <c r="C111" s="55"/>
      <c r="D111" s="68"/>
      <c r="G111" s="20"/>
      <c r="H111" s="64"/>
      <c r="I111" s="64"/>
      <c r="N111" s="117"/>
      <c r="O111" s="117"/>
      <c r="P111" s="117"/>
      <c r="R111" s="117"/>
      <c r="S111" s="117"/>
      <c r="T111" s="117"/>
      <c r="V111" s="117"/>
      <c r="W111" s="117"/>
      <c r="X111" s="117"/>
      <c r="Y111" s="74"/>
    </row>
    <row r="112" spans="3:25" x14ac:dyDescent="0.2">
      <c r="C112" s="55" t="s">
        <v>179</v>
      </c>
      <c r="D112" s="167" t="s">
        <v>41</v>
      </c>
      <c r="E112" s="21" t="str">
        <f>$E$8</f>
        <v>$millions</v>
      </c>
      <c r="F112" s="69" t="s">
        <v>42</v>
      </c>
      <c r="G112" s="20"/>
      <c r="H112" s="64"/>
      <c r="I112" s="64"/>
      <c r="N112" s="148">
        <v>5.212077819999795</v>
      </c>
      <c r="O112" s="148">
        <v>1.3386125302253571</v>
      </c>
      <c r="P112" s="117">
        <f t="shared" ref="P112:P113" si="103">N112+O112</f>
        <v>6.5506903502251523</v>
      </c>
      <c r="R112" s="148">
        <v>5.212077819999795</v>
      </c>
      <c r="S112" s="148">
        <v>1.3938649582949418</v>
      </c>
      <c r="T112" s="117">
        <f t="shared" ref="T112:T113" si="104">R112+S112</f>
        <v>6.6059427782947369</v>
      </c>
      <c r="V112" s="117">
        <f t="shared" ref="V112:V114" si="105">R112-N112</f>
        <v>0</v>
      </c>
      <c r="W112" s="117">
        <f t="shared" ref="W112:W114" si="106">S112-O112</f>
        <v>5.5252428069584747E-2</v>
      </c>
      <c r="X112" s="117">
        <f t="shared" ref="X112:X113" si="107">V112+W112</f>
        <v>5.5252428069584747E-2</v>
      </c>
      <c r="Y112" s="74"/>
    </row>
    <row r="113" spans="3:25" x14ac:dyDescent="0.2">
      <c r="C113" s="55" t="s">
        <v>180</v>
      </c>
      <c r="D113" s="167" t="s">
        <v>41</v>
      </c>
      <c r="E113" s="21" t="str">
        <f>$E$8</f>
        <v>$millions</v>
      </c>
      <c r="F113" s="69" t="s">
        <v>42</v>
      </c>
      <c r="G113" s="20"/>
      <c r="H113" s="64"/>
      <c r="I113" s="64"/>
      <c r="N113" s="148">
        <v>52.413955489999999</v>
      </c>
      <c r="O113" s="148">
        <v>5.4216481852293645</v>
      </c>
      <c r="P113" s="117">
        <f t="shared" si="103"/>
        <v>57.835603675229365</v>
      </c>
      <c r="R113" s="148">
        <v>52.413955489999999</v>
      </c>
      <c r="S113" s="148">
        <v>2.8214023648785762</v>
      </c>
      <c r="T113" s="117">
        <f t="shared" si="104"/>
        <v>55.235357854878572</v>
      </c>
      <c r="V113" s="117">
        <f t="shared" si="105"/>
        <v>0</v>
      </c>
      <c r="W113" s="117">
        <f t="shared" si="106"/>
        <v>-2.6002458203507883</v>
      </c>
      <c r="X113" s="117">
        <f t="shared" si="107"/>
        <v>-2.6002458203507883</v>
      </c>
      <c r="Y113" s="74"/>
    </row>
    <row r="114" spans="3:25" x14ac:dyDescent="0.2">
      <c r="C114" s="55" t="s">
        <v>181</v>
      </c>
      <c r="D114" s="21" t="s">
        <v>23</v>
      </c>
      <c r="E114" s="21" t="str">
        <f>$E$8</f>
        <v>$millions</v>
      </c>
      <c r="F114" s="69" t="s">
        <v>42</v>
      </c>
      <c r="G114" s="20"/>
      <c r="H114" s="64"/>
      <c r="I114" s="64"/>
      <c r="N114" s="117">
        <f t="shared" ref="N114:O114" si="108">N112+N113</f>
        <v>57.626033309999798</v>
      </c>
      <c r="O114" s="117">
        <f t="shared" si="108"/>
        <v>6.7602607154547218</v>
      </c>
      <c r="P114" s="117">
        <f>P112+P113</f>
        <v>64.386294025454518</v>
      </c>
      <c r="R114" s="117">
        <f t="shared" ref="R114:S114" si="109">R112+R113</f>
        <v>57.626033309999798</v>
      </c>
      <c r="S114" s="117">
        <f t="shared" si="109"/>
        <v>4.215267323173518</v>
      </c>
      <c r="T114" s="117">
        <f>T112+T113</f>
        <v>61.841300633173311</v>
      </c>
      <c r="V114" s="117">
        <f t="shared" si="105"/>
        <v>0</v>
      </c>
      <c r="W114" s="117">
        <f t="shared" si="106"/>
        <v>-2.5449933922812038</v>
      </c>
      <c r="X114" s="117">
        <f>X112+X113</f>
        <v>-2.5449933922812038</v>
      </c>
      <c r="Y114" s="74"/>
    </row>
    <row r="115" spans="3:25" x14ac:dyDescent="0.2">
      <c r="C115" s="55"/>
      <c r="F115" s="114"/>
      <c r="G115" s="64"/>
      <c r="H115" s="64"/>
      <c r="I115" s="64"/>
      <c r="N115" s="117"/>
      <c r="O115" s="117"/>
      <c r="P115" s="117"/>
      <c r="R115" s="117"/>
      <c r="S115" s="117"/>
      <c r="T115" s="117"/>
      <c r="V115" s="117"/>
      <c r="W115" s="117"/>
      <c r="X115" s="117"/>
      <c r="Y115" s="74"/>
    </row>
    <row r="116" spans="3:25" x14ac:dyDescent="0.2">
      <c r="C116" s="55" t="s">
        <v>182</v>
      </c>
      <c r="D116" s="21" t="s">
        <v>23</v>
      </c>
      <c r="E116" s="21" t="str">
        <f t="shared" ref="E116" si="110">$E$8</f>
        <v>$millions</v>
      </c>
      <c r="F116" s="69" t="s">
        <v>42</v>
      </c>
      <c r="G116" s="64"/>
      <c r="H116" s="64"/>
      <c r="I116" s="64"/>
      <c r="N116" s="117">
        <f>N104+N110+N114</f>
        <v>396.72258573999966</v>
      </c>
      <c r="O116" s="117">
        <f t="shared" ref="O116:P116" si="111">O104+O110+O114</f>
        <v>176.27664430172726</v>
      </c>
      <c r="P116" s="117">
        <f t="shared" si="111"/>
        <v>572.99923004172695</v>
      </c>
      <c r="R116" s="117">
        <f>R104+R110+R114</f>
        <v>396.72258573999966</v>
      </c>
      <c r="S116" s="117">
        <f>S104+S110+S114</f>
        <v>176.2766443017272</v>
      </c>
      <c r="T116" s="117">
        <f>T104+T110+T114</f>
        <v>572.99923004172683</v>
      </c>
      <c r="V116" s="117">
        <f t="shared" ref="V116:X116" si="112">V104+V110+V114</f>
        <v>0</v>
      </c>
      <c r="W116" s="117">
        <f t="shared" si="112"/>
        <v>-3.4638958368304884E-14</v>
      </c>
      <c r="X116" s="117">
        <f t="shared" si="112"/>
        <v>-3.4638958368304884E-14</v>
      </c>
      <c r="Y116" s="74"/>
    </row>
    <row r="117" spans="3:25" x14ac:dyDescent="0.2">
      <c r="C117" s="55"/>
      <c r="D117" s="68"/>
      <c r="F117" s="114"/>
      <c r="G117" s="64"/>
      <c r="H117" s="64"/>
      <c r="I117" s="64"/>
      <c r="N117" s="117"/>
      <c r="O117" s="117"/>
      <c r="P117" s="117"/>
      <c r="R117" s="117"/>
      <c r="S117" s="117"/>
      <c r="T117" s="117"/>
      <c r="V117" s="117"/>
      <c r="W117" s="117"/>
      <c r="X117" s="117"/>
      <c r="Y117" s="74"/>
    </row>
    <row r="118" spans="3:25" x14ac:dyDescent="0.2">
      <c r="C118" s="55" t="s">
        <v>183</v>
      </c>
      <c r="D118" s="167" t="s">
        <v>41</v>
      </c>
      <c r="E118" s="21" t="str">
        <f>$E$8</f>
        <v>$millions</v>
      </c>
      <c r="F118" s="69" t="s">
        <v>42</v>
      </c>
      <c r="G118" s="64"/>
      <c r="H118" s="64"/>
      <c r="I118" s="64"/>
      <c r="N118" s="148">
        <v>101.93126688999943</v>
      </c>
      <c r="O118" s="148">
        <v>0</v>
      </c>
      <c r="P118" s="117">
        <f t="shared" ref="P118:P119" si="113">N118+O118</f>
        <v>101.93126688999943</v>
      </c>
      <c r="R118" s="148">
        <v>101.93126688999943</v>
      </c>
      <c r="S118" s="148">
        <v>0</v>
      </c>
      <c r="T118" s="117">
        <f t="shared" ref="T118:T119" si="114">R118+S118</f>
        <v>101.93126688999943</v>
      </c>
      <c r="V118" s="117">
        <f t="shared" ref="V118:V119" si="115">R118-N118</f>
        <v>0</v>
      </c>
      <c r="W118" s="117">
        <f t="shared" ref="W118:W119" si="116">S118-O118</f>
        <v>0</v>
      </c>
      <c r="X118" s="117">
        <f t="shared" ref="X118:X119" si="117">V118+W118</f>
        <v>0</v>
      </c>
      <c r="Y118" s="74"/>
    </row>
    <row r="119" spans="3:25" x14ac:dyDescent="0.2">
      <c r="C119" s="55" t="s">
        <v>184</v>
      </c>
      <c r="D119" s="167" t="s">
        <v>41</v>
      </c>
      <c r="E119" s="21" t="str">
        <f>$E$8</f>
        <v>$millions</v>
      </c>
      <c r="F119" s="69" t="s">
        <v>42</v>
      </c>
      <c r="G119" s="64"/>
      <c r="H119" s="64"/>
      <c r="I119" s="64"/>
      <c r="N119" s="148">
        <v>-98.811911090000024</v>
      </c>
      <c r="O119" s="148">
        <v>0</v>
      </c>
      <c r="P119" s="117">
        <f t="shared" si="113"/>
        <v>-98.811911090000024</v>
      </c>
      <c r="R119" s="148">
        <v>-98.811911090000024</v>
      </c>
      <c r="S119" s="148">
        <v>0</v>
      </c>
      <c r="T119" s="117">
        <f t="shared" si="114"/>
        <v>-98.811911090000024</v>
      </c>
      <c r="V119" s="117">
        <f t="shared" si="115"/>
        <v>0</v>
      </c>
      <c r="W119" s="117">
        <f t="shared" si="116"/>
        <v>0</v>
      </c>
      <c r="X119" s="117">
        <f t="shared" si="117"/>
        <v>0</v>
      </c>
      <c r="Y119" s="74"/>
    </row>
    <row r="120" spans="3:25" x14ac:dyDescent="0.2">
      <c r="C120" s="55"/>
      <c r="D120" s="55"/>
      <c r="E120" s="55"/>
      <c r="F120" s="55"/>
      <c r="G120" s="64"/>
      <c r="H120" s="64"/>
      <c r="I120" s="64"/>
      <c r="N120" s="117"/>
      <c r="O120" s="117"/>
      <c r="P120" s="117"/>
      <c r="R120" s="117"/>
      <c r="S120" s="117"/>
      <c r="T120" s="117"/>
      <c r="V120" s="117"/>
      <c r="W120" s="117"/>
      <c r="X120" s="117"/>
      <c r="Y120" s="74"/>
    </row>
    <row r="121" spans="3:25" x14ac:dyDescent="0.2">
      <c r="C121" s="55" t="s">
        <v>185</v>
      </c>
      <c r="D121" s="21" t="s">
        <v>23</v>
      </c>
      <c r="E121" s="21" t="str">
        <f t="shared" ref="E121" si="118">$E$8</f>
        <v>$millions</v>
      </c>
      <c r="F121" s="69" t="s">
        <v>42</v>
      </c>
      <c r="G121" s="64"/>
      <c r="H121" s="64"/>
      <c r="I121" s="64"/>
      <c r="N121" s="117">
        <f>N116+N118+N119</f>
        <v>399.84194153999908</v>
      </c>
      <c r="O121" s="117">
        <f t="shared" ref="O121:P121" si="119">O116+O118+O119</f>
        <v>176.27664430172726</v>
      </c>
      <c r="P121" s="117">
        <f t="shared" si="119"/>
        <v>576.11858584172637</v>
      </c>
      <c r="R121" s="117">
        <f>R116+R118+R119</f>
        <v>399.84194153999908</v>
      </c>
      <c r="S121" s="117">
        <f>S116+S118+S119</f>
        <v>176.2766443017272</v>
      </c>
      <c r="T121" s="117">
        <f>T116+T118+T119</f>
        <v>576.11858584172614</v>
      </c>
      <c r="V121" s="117">
        <f t="shared" ref="V121:X121" si="120">V116+V118+V119</f>
        <v>0</v>
      </c>
      <c r="W121" s="117">
        <f t="shared" si="120"/>
        <v>-3.4638958368304884E-14</v>
      </c>
      <c r="X121" s="117">
        <f t="shared" si="120"/>
        <v>-3.4638958368304884E-14</v>
      </c>
      <c r="Y121" s="74"/>
    </row>
    <row r="122" spans="3:25" x14ac:dyDescent="0.2">
      <c r="C122" s="55"/>
      <c r="G122" s="64"/>
      <c r="H122" s="64"/>
      <c r="I122" s="64"/>
      <c r="N122" s="117"/>
      <c r="O122" s="117"/>
      <c r="P122" s="117"/>
      <c r="R122" s="117"/>
      <c r="S122" s="117"/>
      <c r="T122" s="117"/>
      <c r="V122" s="117"/>
      <c r="W122" s="117"/>
      <c r="X122" s="117"/>
      <c r="Y122" s="74"/>
    </row>
    <row r="123" spans="3:25" ht="10.5" x14ac:dyDescent="0.25">
      <c r="C123" s="29" t="s">
        <v>235</v>
      </c>
      <c r="D123" s="64"/>
      <c r="E123" s="64"/>
      <c r="F123" s="20"/>
      <c r="H123" s="64"/>
      <c r="I123" s="64"/>
      <c r="N123" s="212" t="s">
        <v>233</v>
      </c>
      <c r="O123" s="212"/>
      <c r="P123" s="212"/>
      <c r="R123" s="212" t="s">
        <v>234</v>
      </c>
      <c r="S123" s="212"/>
      <c r="T123" s="212"/>
      <c r="V123" s="212" t="s">
        <v>190</v>
      </c>
      <c r="W123" s="212"/>
      <c r="X123" s="212"/>
      <c r="Y123" s="74"/>
    </row>
    <row r="124" spans="3:25" ht="10.5" x14ac:dyDescent="0.25">
      <c r="C124" s="29"/>
      <c r="D124" s="64"/>
      <c r="E124" s="64"/>
      <c r="F124" s="20"/>
      <c r="H124" s="64"/>
      <c r="I124" s="64"/>
      <c r="N124" s="132" t="s">
        <v>186</v>
      </c>
      <c r="O124" s="132" t="s">
        <v>187</v>
      </c>
      <c r="P124" s="132" t="s">
        <v>107</v>
      </c>
      <c r="R124" s="132" t="s">
        <v>186</v>
      </c>
      <c r="S124" s="132" t="s">
        <v>187</v>
      </c>
      <c r="T124" s="132" t="s">
        <v>107</v>
      </c>
      <c r="V124" s="132" t="s">
        <v>186</v>
      </c>
      <c r="W124" s="132" t="s">
        <v>187</v>
      </c>
      <c r="X124" s="132" t="s">
        <v>107</v>
      </c>
      <c r="Y124" s="74"/>
    </row>
    <row r="125" spans="3:25" x14ac:dyDescent="0.2">
      <c r="C125" s="55" t="s">
        <v>171</v>
      </c>
      <c r="D125" s="167" t="s">
        <v>41</v>
      </c>
      <c r="E125" s="21" t="str">
        <f>$E$8</f>
        <v>$millions</v>
      </c>
      <c r="F125" s="69" t="s">
        <v>42</v>
      </c>
      <c r="G125" s="20"/>
      <c r="H125" s="64"/>
      <c r="N125" s="148">
        <v>196.27555918905313</v>
      </c>
      <c r="O125" s="148">
        <v>223.71070106044181</v>
      </c>
      <c r="P125" s="117">
        <f>N125+O125</f>
        <v>419.98626024949493</v>
      </c>
      <c r="R125" s="148">
        <v>196.27555918905313</v>
      </c>
      <c r="S125" s="148">
        <v>228.48319488268561</v>
      </c>
      <c r="T125" s="117">
        <f>R125+S125</f>
        <v>424.75875407173874</v>
      </c>
      <c r="V125" s="117">
        <f>R125-N125</f>
        <v>0</v>
      </c>
      <c r="W125" s="117">
        <f>S125-O125</f>
        <v>4.7724938222438027</v>
      </c>
      <c r="X125" s="117">
        <f>V125+W125</f>
        <v>4.7724938222438027</v>
      </c>
      <c r="Y125" s="74"/>
    </row>
    <row r="126" spans="3:25" x14ac:dyDescent="0.2">
      <c r="C126" s="55" t="s">
        <v>172</v>
      </c>
      <c r="D126" s="167" t="s">
        <v>41</v>
      </c>
      <c r="E126" s="21" t="str">
        <f>$E$8</f>
        <v>$millions</v>
      </c>
      <c r="F126" s="69" t="s">
        <v>42</v>
      </c>
      <c r="G126" s="20"/>
      <c r="H126" s="64"/>
      <c r="I126" s="64"/>
      <c r="N126" s="148">
        <v>12.040678540784615</v>
      </c>
      <c r="O126" s="148">
        <v>13.723708895450571</v>
      </c>
      <c r="P126" s="117">
        <f>N126+O126</f>
        <v>25.764387436235186</v>
      </c>
      <c r="R126" s="148">
        <v>12.040678540784615</v>
      </c>
      <c r="S126" s="148">
        <v>17.329836448546018</v>
      </c>
      <c r="T126" s="117">
        <f>R126+S126</f>
        <v>29.370514989330633</v>
      </c>
      <c r="V126" s="117">
        <f>R126-N126</f>
        <v>0</v>
      </c>
      <c r="W126" s="117">
        <f>S126-O126</f>
        <v>3.6061275530954475</v>
      </c>
      <c r="X126" s="117">
        <f>V126+W126</f>
        <v>3.6061275530954475</v>
      </c>
      <c r="Y126" s="74"/>
    </row>
    <row r="127" spans="3:25" ht="10.5" x14ac:dyDescent="0.25">
      <c r="C127" s="55" t="s">
        <v>173</v>
      </c>
      <c r="D127" s="21" t="s">
        <v>23</v>
      </c>
      <c r="E127" s="21" t="str">
        <f>$E$8</f>
        <v>$millions</v>
      </c>
      <c r="F127" s="69" t="s">
        <v>42</v>
      </c>
      <c r="G127" s="20"/>
      <c r="H127" s="64"/>
      <c r="I127" s="64"/>
      <c r="N127" s="117">
        <f t="shared" ref="N127:O127" si="121">N125+N126</f>
        <v>208.31623772983775</v>
      </c>
      <c r="O127" s="117">
        <f t="shared" si="121"/>
        <v>237.43440995589236</v>
      </c>
      <c r="P127" s="132">
        <f>P125+P126</f>
        <v>445.75064768573014</v>
      </c>
      <c r="R127" s="117">
        <f t="shared" ref="R127:S127" si="122">R125+R126</f>
        <v>208.31623772983775</v>
      </c>
      <c r="S127" s="117">
        <f t="shared" si="122"/>
        <v>245.81303133123163</v>
      </c>
      <c r="T127" s="132">
        <f>T125+T126</f>
        <v>454.12926906106935</v>
      </c>
      <c r="V127" s="117">
        <f t="shared" ref="V127:W127" si="123">V125+V126</f>
        <v>0</v>
      </c>
      <c r="W127" s="117">
        <f t="shared" si="123"/>
        <v>8.3786213753392502</v>
      </c>
      <c r="X127" s="117">
        <f>X125+X126</f>
        <v>8.3786213753392502</v>
      </c>
      <c r="Y127" s="74"/>
    </row>
    <row r="128" spans="3:25" x14ac:dyDescent="0.2">
      <c r="C128" s="55"/>
      <c r="D128" s="55"/>
      <c r="G128" s="20"/>
      <c r="H128" s="64"/>
      <c r="I128" s="64"/>
      <c r="N128" s="117"/>
      <c r="O128" s="117"/>
      <c r="P128" s="117"/>
      <c r="R128" s="117"/>
      <c r="S128" s="117"/>
      <c r="T128" s="117"/>
      <c r="V128" s="117"/>
      <c r="W128" s="117"/>
      <c r="X128" s="117"/>
      <c r="Y128" s="74"/>
    </row>
    <row r="129" spans="3:25" x14ac:dyDescent="0.2">
      <c r="C129" s="55" t="s">
        <v>174</v>
      </c>
      <c r="D129" s="167" t="s">
        <v>41</v>
      </c>
      <c r="E129" s="21" t="str">
        <f>$E$8</f>
        <v>$millions</v>
      </c>
      <c r="F129" s="69" t="s">
        <v>42</v>
      </c>
      <c r="G129" s="20"/>
      <c r="H129" s="64"/>
      <c r="I129" s="64"/>
      <c r="N129" s="148">
        <v>8.9711775036571737</v>
      </c>
      <c r="O129" s="148">
        <v>5.4686729103446083</v>
      </c>
      <c r="P129" s="117">
        <f t="shared" ref="P129:P132" si="124">N129+O129</f>
        <v>14.439850414001782</v>
      </c>
      <c r="R129" s="148">
        <v>8.9711775036571737</v>
      </c>
      <c r="S129" s="148">
        <v>4.7293647599565061</v>
      </c>
      <c r="T129" s="117">
        <f t="shared" ref="T129:T132" si="125">R129+S129</f>
        <v>13.700542263613681</v>
      </c>
      <c r="V129" s="117">
        <f t="shared" ref="V129:V132" si="126">R129-N129</f>
        <v>0</v>
      </c>
      <c r="W129" s="117">
        <f t="shared" ref="W129:W132" si="127">S129-O129</f>
        <v>-0.73930815038810227</v>
      </c>
      <c r="X129" s="117">
        <f t="shared" ref="X129:X132" si="128">V129+W129</f>
        <v>-0.73930815038810227</v>
      </c>
      <c r="Y129" s="74"/>
    </row>
    <row r="130" spans="3:25" x14ac:dyDescent="0.2">
      <c r="C130" s="55" t="s">
        <v>175</v>
      </c>
      <c r="D130" s="167" t="s">
        <v>41</v>
      </c>
      <c r="E130" s="21" t="str">
        <f>$E$8</f>
        <v>$millions</v>
      </c>
      <c r="F130" s="69" t="s">
        <v>42</v>
      </c>
      <c r="G130" s="20"/>
      <c r="H130" s="64"/>
      <c r="I130" s="64"/>
      <c r="N130" s="148">
        <v>21.030670919327516</v>
      </c>
      <c r="O130" s="148">
        <v>2.4210366815369966</v>
      </c>
      <c r="P130" s="117">
        <f t="shared" si="124"/>
        <v>23.451707600864513</v>
      </c>
      <c r="R130" s="148">
        <v>21.030670919327516</v>
      </c>
      <c r="S130" s="148">
        <v>7.1795349375537549</v>
      </c>
      <c r="T130" s="117">
        <f t="shared" si="125"/>
        <v>28.21020585688127</v>
      </c>
      <c r="V130" s="117">
        <f t="shared" si="126"/>
        <v>0</v>
      </c>
      <c r="W130" s="117">
        <f t="shared" si="127"/>
        <v>4.7584982560167584</v>
      </c>
      <c r="X130" s="117">
        <f t="shared" si="128"/>
        <v>4.7584982560167584</v>
      </c>
      <c r="Y130" s="74"/>
    </row>
    <row r="131" spans="3:25" x14ac:dyDescent="0.2">
      <c r="C131" s="55" t="s">
        <v>176</v>
      </c>
      <c r="D131" s="167" t="s">
        <v>41</v>
      </c>
      <c r="E131" s="21" t="str">
        <f>$E$8</f>
        <v>$millions</v>
      </c>
      <c r="F131" s="69" t="s">
        <v>42</v>
      </c>
      <c r="G131" s="20"/>
      <c r="H131" s="64"/>
      <c r="I131" s="64"/>
      <c r="N131" s="148">
        <v>14.07441154283978</v>
      </c>
      <c r="O131" s="148">
        <v>1.3607208238143349</v>
      </c>
      <c r="P131" s="117">
        <f t="shared" si="124"/>
        <v>15.435132366654114</v>
      </c>
      <c r="R131" s="148">
        <v>14.07441154283978</v>
      </c>
      <c r="S131" s="148">
        <v>2.0638686550220031</v>
      </c>
      <c r="T131" s="117">
        <f t="shared" si="125"/>
        <v>16.138280197861782</v>
      </c>
      <c r="V131" s="117">
        <f t="shared" si="126"/>
        <v>0</v>
      </c>
      <c r="W131" s="117">
        <f t="shared" si="127"/>
        <v>0.70314783120766822</v>
      </c>
      <c r="X131" s="117">
        <f t="shared" si="128"/>
        <v>0.70314783120766822</v>
      </c>
      <c r="Y131" s="74"/>
    </row>
    <row r="132" spans="3:25" x14ac:dyDescent="0.2">
      <c r="C132" s="55" t="s">
        <v>177</v>
      </c>
      <c r="D132" s="167" t="s">
        <v>41</v>
      </c>
      <c r="E132" s="21" t="str">
        <f>$E$8</f>
        <v>$millions</v>
      </c>
      <c r="F132" s="69" t="s">
        <v>42</v>
      </c>
      <c r="G132" s="20"/>
      <c r="H132" s="64"/>
      <c r="I132" s="64"/>
      <c r="N132" s="148">
        <v>23.5517134659543</v>
      </c>
      <c r="O132" s="148">
        <v>11.570504179003736</v>
      </c>
      <c r="P132" s="117">
        <f t="shared" si="124"/>
        <v>35.122217644958035</v>
      </c>
      <c r="R132" s="148">
        <v>23.5517134659543</v>
      </c>
      <c r="S132" s="148">
        <v>3.3657460317894436</v>
      </c>
      <c r="T132" s="117">
        <f t="shared" si="125"/>
        <v>26.917459497743742</v>
      </c>
      <c r="V132" s="117">
        <f t="shared" si="126"/>
        <v>0</v>
      </c>
      <c r="W132" s="117">
        <f t="shared" si="127"/>
        <v>-8.2047581472142923</v>
      </c>
      <c r="X132" s="117">
        <f t="shared" si="128"/>
        <v>-8.2047581472142923</v>
      </c>
      <c r="Y132" s="74"/>
    </row>
    <row r="133" spans="3:25" x14ac:dyDescent="0.2">
      <c r="C133" s="55" t="s">
        <v>178</v>
      </c>
      <c r="D133" s="21" t="s">
        <v>23</v>
      </c>
      <c r="E133" s="21" t="str">
        <f>$E$8</f>
        <v>$millions</v>
      </c>
      <c r="F133" s="69" t="s">
        <v>42</v>
      </c>
      <c r="G133" s="20"/>
      <c r="H133" s="64"/>
      <c r="I133" s="64"/>
      <c r="N133" s="117">
        <f>SUM(N129:N132)</f>
        <v>67.62797343177877</v>
      </c>
      <c r="O133" s="117">
        <f t="shared" ref="O133:P133" si="129">SUM(O129:O132)</f>
        <v>20.820934594699676</v>
      </c>
      <c r="P133" s="117">
        <f t="shared" si="129"/>
        <v>88.448908026478449</v>
      </c>
      <c r="R133" s="117">
        <f>SUM(R129:R132)</f>
        <v>67.62797343177877</v>
      </c>
      <c r="S133" s="117">
        <f>SUM(S129:S132)</f>
        <v>17.338514384321705</v>
      </c>
      <c r="T133" s="117">
        <f>SUM(T129:T132)</f>
        <v>84.966487816100482</v>
      </c>
      <c r="V133" s="117">
        <f t="shared" ref="V133:X133" si="130">SUM(V129:V132)</f>
        <v>0</v>
      </c>
      <c r="W133" s="117">
        <f t="shared" si="130"/>
        <v>-3.4824202103779678</v>
      </c>
      <c r="X133" s="117">
        <f t="shared" si="130"/>
        <v>-3.4824202103779678</v>
      </c>
      <c r="Y133" s="74"/>
    </row>
    <row r="134" spans="3:25" x14ac:dyDescent="0.2">
      <c r="C134" s="55"/>
      <c r="D134" s="68"/>
      <c r="G134" s="20"/>
      <c r="H134" s="64"/>
      <c r="I134" s="64"/>
      <c r="N134" s="117"/>
      <c r="O134" s="117"/>
      <c r="P134" s="117"/>
      <c r="R134" s="117"/>
      <c r="S134" s="117"/>
      <c r="T134" s="117"/>
      <c r="V134" s="117"/>
      <c r="W134" s="117"/>
      <c r="X134" s="117"/>
      <c r="Y134" s="74"/>
    </row>
    <row r="135" spans="3:25" x14ac:dyDescent="0.2">
      <c r="C135" s="55" t="s">
        <v>179</v>
      </c>
      <c r="D135" s="167" t="s">
        <v>41</v>
      </c>
      <c r="E135" s="21" t="str">
        <f>$E$8</f>
        <v>$millions</v>
      </c>
      <c r="F135" s="69" t="s">
        <v>42</v>
      </c>
      <c r="G135" s="20"/>
      <c r="H135" s="64"/>
      <c r="I135" s="64"/>
      <c r="N135" s="148">
        <v>33.884754688383353</v>
      </c>
      <c r="O135" s="148">
        <v>4.1752153932900136</v>
      </c>
      <c r="P135" s="117">
        <f t="shared" ref="P135:P136" si="131">N135+O135</f>
        <v>38.05997008167337</v>
      </c>
      <c r="R135" s="148">
        <v>33.884754688383353</v>
      </c>
      <c r="S135" s="148">
        <v>3.8908268201500591</v>
      </c>
      <c r="T135" s="117">
        <f t="shared" ref="T135:T136" si="132">R135+S135</f>
        <v>37.775581508533413</v>
      </c>
      <c r="V135" s="117">
        <f t="shared" ref="V135:V137" si="133">R135-N135</f>
        <v>0</v>
      </c>
      <c r="W135" s="117">
        <f t="shared" ref="W135:W137" si="134">S135-O135</f>
        <v>-0.28438857313995447</v>
      </c>
      <c r="X135" s="117">
        <f t="shared" ref="X135:X136" si="135">V135+W135</f>
        <v>-0.28438857313995447</v>
      </c>
      <c r="Y135" s="74"/>
    </row>
    <row r="136" spans="3:25" x14ac:dyDescent="0.2">
      <c r="C136" s="55" t="s">
        <v>180</v>
      </c>
      <c r="D136" s="167" t="s">
        <v>41</v>
      </c>
      <c r="E136" s="21" t="str">
        <f>$E$8</f>
        <v>$millions</v>
      </c>
      <c r="F136" s="69" t="s">
        <v>42</v>
      </c>
      <c r="G136" s="20"/>
      <c r="H136" s="64"/>
      <c r="I136" s="64"/>
      <c r="N136" s="148">
        <v>56.051025399999979</v>
      </c>
      <c r="O136" s="148">
        <v>8.8294508557074565</v>
      </c>
      <c r="P136" s="117">
        <f t="shared" si="131"/>
        <v>64.880476255707435</v>
      </c>
      <c r="R136" s="148">
        <v>56.051025399999979</v>
      </c>
      <c r="S136" s="148">
        <v>4.2176382638864656</v>
      </c>
      <c r="T136" s="117">
        <f t="shared" si="132"/>
        <v>60.268663663886443</v>
      </c>
      <c r="V136" s="117">
        <f t="shared" si="133"/>
        <v>0</v>
      </c>
      <c r="W136" s="117">
        <f t="shared" si="134"/>
        <v>-4.6118125918209909</v>
      </c>
      <c r="X136" s="117">
        <f t="shared" si="135"/>
        <v>-4.6118125918209909</v>
      </c>
      <c r="Y136" s="74"/>
    </row>
    <row r="137" spans="3:25" x14ac:dyDescent="0.2">
      <c r="C137" s="55" t="s">
        <v>181</v>
      </c>
      <c r="D137" s="21" t="s">
        <v>23</v>
      </c>
      <c r="E137" s="21" t="str">
        <f>$E$8</f>
        <v>$millions</v>
      </c>
      <c r="F137" s="69" t="s">
        <v>42</v>
      </c>
      <c r="G137" s="20"/>
      <c r="H137" s="64"/>
      <c r="I137" s="64"/>
      <c r="N137" s="117">
        <f t="shared" ref="N137:O137" si="136">N135+N136</f>
        <v>89.935780088383325</v>
      </c>
      <c r="O137" s="117">
        <f t="shared" si="136"/>
        <v>13.00466624899747</v>
      </c>
      <c r="P137" s="117">
        <f>P135+P136</f>
        <v>102.94044633738081</v>
      </c>
      <c r="R137" s="117">
        <f t="shared" ref="R137:S137" si="137">R135+R136</f>
        <v>89.935780088383325</v>
      </c>
      <c r="S137" s="117">
        <f t="shared" si="137"/>
        <v>8.1084650840365242</v>
      </c>
      <c r="T137" s="117">
        <f>T135+T136</f>
        <v>98.044245172419863</v>
      </c>
      <c r="V137" s="117">
        <f t="shared" si="133"/>
        <v>0</v>
      </c>
      <c r="W137" s="117">
        <f t="shared" si="134"/>
        <v>-4.8962011649609458</v>
      </c>
      <c r="X137" s="117">
        <f>X135+X136</f>
        <v>-4.8962011649609458</v>
      </c>
      <c r="Y137" s="74"/>
    </row>
    <row r="138" spans="3:25" x14ac:dyDescent="0.2">
      <c r="C138" s="55"/>
      <c r="F138" s="114"/>
      <c r="G138" s="64"/>
      <c r="H138" s="64"/>
      <c r="I138" s="64"/>
      <c r="N138" s="117"/>
      <c r="O138" s="117"/>
      <c r="P138" s="117"/>
      <c r="R138" s="117"/>
      <c r="S138" s="117"/>
      <c r="T138" s="117"/>
      <c r="V138" s="117"/>
      <c r="W138" s="117"/>
      <c r="X138" s="117"/>
      <c r="Y138" s="74"/>
    </row>
    <row r="139" spans="3:25" x14ac:dyDescent="0.2">
      <c r="C139" s="55" t="s">
        <v>182</v>
      </c>
      <c r="D139" s="21" t="s">
        <v>23</v>
      </c>
      <c r="E139" s="21" t="str">
        <f t="shared" ref="E139" si="138">$E$8</f>
        <v>$millions</v>
      </c>
      <c r="F139" s="69" t="s">
        <v>42</v>
      </c>
      <c r="G139" s="64"/>
      <c r="H139" s="64"/>
      <c r="I139" s="64"/>
      <c r="N139" s="117">
        <f>N127+N133+N137</f>
        <v>365.87999124999988</v>
      </c>
      <c r="O139" s="117">
        <f t="shared" ref="O139:P139" si="139">O127+O133+O137</f>
        <v>271.26001079958951</v>
      </c>
      <c r="P139" s="117">
        <f t="shared" si="139"/>
        <v>637.14000204958938</v>
      </c>
      <c r="R139" s="117">
        <f>R127+R133+R137</f>
        <v>365.87999124999988</v>
      </c>
      <c r="S139" s="117">
        <f>S127+S133+S137</f>
        <v>271.26001079958985</v>
      </c>
      <c r="T139" s="117">
        <f>T127+T133+T137</f>
        <v>637.14000204958973</v>
      </c>
      <c r="V139" s="117">
        <f t="shared" ref="V139:X139" si="140">V127+V133+V137</f>
        <v>0</v>
      </c>
      <c r="W139" s="117">
        <f t="shared" si="140"/>
        <v>3.3661962106634746E-13</v>
      </c>
      <c r="X139" s="117">
        <f t="shared" si="140"/>
        <v>3.3661962106634746E-13</v>
      </c>
      <c r="Y139" s="74"/>
    </row>
    <row r="140" spans="3:25" x14ac:dyDescent="0.2">
      <c r="C140" s="55"/>
      <c r="D140" s="68"/>
      <c r="F140" s="114"/>
      <c r="G140" s="64"/>
      <c r="H140" s="64"/>
      <c r="I140" s="64"/>
      <c r="N140" s="117"/>
      <c r="O140" s="117"/>
      <c r="P140" s="117"/>
      <c r="R140" s="117"/>
      <c r="S140" s="117"/>
      <c r="T140" s="117"/>
      <c r="V140" s="117"/>
      <c r="W140" s="117"/>
      <c r="X140" s="117"/>
      <c r="Y140" s="74"/>
    </row>
    <row r="141" spans="3:25" x14ac:dyDescent="0.2">
      <c r="C141" s="55" t="s">
        <v>183</v>
      </c>
      <c r="D141" s="167" t="s">
        <v>41</v>
      </c>
      <c r="E141" s="21" t="str">
        <f>$E$8</f>
        <v>$millions</v>
      </c>
      <c r="F141" s="69" t="s">
        <v>42</v>
      </c>
      <c r="G141" s="64"/>
      <c r="H141" s="64"/>
      <c r="I141" s="64"/>
      <c r="N141" s="148">
        <v>111.70402754000003</v>
      </c>
      <c r="O141" s="148">
        <v>0</v>
      </c>
      <c r="P141" s="117">
        <f t="shared" ref="P141:P142" si="141">N141+O141</f>
        <v>111.70402754000003</v>
      </c>
      <c r="R141" s="148">
        <v>111.70402754000003</v>
      </c>
      <c r="S141" s="148">
        <v>0</v>
      </c>
      <c r="T141" s="117">
        <f t="shared" ref="T141:T142" si="142">R141+S141</f>
        <v>111.70402754000003</v>
      </c>
      <c r="V141" s="117">
        <f t="shared" ref="V141:V142" si="143">R141-N141</f>
        <v>0</v>
      </c>
      <c r="W141" s="117">
        <f t="shared" ref="W141:W142" si="144">S141-O141</f>
        <v>0</v>
      </c>
      <c r="X141" s="117">
        <f t="shared" ref="X141:X142" si="145">V141+W141</f>
        <v>0</v>
      </c>
      <c r="Y141" s="74"/>
    </row>
    <row r="142" spans="3:25" x14ac:dyDescent="0.2">
      <c r="C142" s="55" t="s">
        <v>184</v>
      </c>
      <c r="D142" s="167" t="s">
        <v>41</v>
      </c>
      <c r="E142" s="21" t="str">
        <f>$E$8</f>
        <v>$millions</v>
      </c>
      <c r="F142" s="69" t="s">
        <v>42</v>
      </c>
      <c r="G142" s="64"/>
      <c r="H142" s="64"/>
      <c r="I142" s="64"/>
      <c r="N142" s="148">
        <v>-107.51453781999999</v>
      </c>
      <c r="O142" s="148">
        <v>0</v>
      </c>
      <c r="P142" s="117">
        <f t="shared" si="141"/>
        <v>-107.51453781999999</v>
      </c>
      <c r="R142" s="148">
        <v>-107.51453781999999</v>
      </c>
      <c r="S142" s="148">
        <v>0</v>
      </c>
      <c r="T142" s="117">
        <f t="shared" si="142"/>
        <v>-107.51453781999999</v>
      </c>
      <c r="V142" s="117">
        <f t="shared" si="143"/>
        <v>0</v>
      </c>
      <c r="W142" s="117">
        <f t="shared" si="144"/>
        <v>0</v>
      </c>
      <c r="X142" s="117">
        <f t="shared" si="145"/>
        <v>0</v>
      </c>
      <c r="Y142" s="74"/>
    </row>
    <row r="143" spans="3:25" x14ac:dyDescent="0.2">
      <c r="C143" s="55"/>
      <c r="D143" s="55"/>
      <c r="E143" s="55"/>
      <c r="F143" s="55"/>
      <c r="G143" s="64"/>
      <c r="H143" s="64"/>
      <c r="I143" s="64"/>
      <c r="N143" s="117"/>
      <c r="O143" s="117"/>
      <c r="P143" s="117"/>
      <c r="R143" s="117"/>
      <c r="S143" s="117"/>
      <c r="T143" s="117"/>
      <c r="V143" s="117"/>
      <c r="W143" s="117"/>
      <c r="X143" s="117"/>
      <c r="Y143" s="74"/>
    </row>
    <row r="144" spans="3:25" x14ac:dyDescent="0.2">
      <c r="C144" s="55" t="s">
        <v>185</v>
      </c>
      <c r="D144" s="21" t="s">
        <v>23</v>
      </c>
      <c r="E144" s="21" t="str">
        <f t="shared" ref="E144" si="146">$E$8</f>
        <v>$millions</v>
      </c>
      <c r="F144" s="69" t="s">
        <v>42</v>
      </c>
      <c r="G144" s="64"/>
      <c r="H144" s="64"/>
      <c r="I144" s="64"/>
      <c r="N144" s="117">
        <f>N139+N141+N142</f>
        <v>370.06948096999992</v>
      </c>
      <c r="O144" s="117">
        <f t="shared" ref="O144:P144" si="147">O139+O141+O142</f>
        <v>271.26001079958951</v>
      </c>
      <c r="P144" s="117">
        <f t="shared" si="147"/>
        <v>641.32949176958937</v>
      </c>
      <c r="R144" s="117">
        <f>R139+R141+R142</f>
        <v>370.06948096999992</v>
      </c>
      <c r="S144" s="117">
        <f>S139+S141+S142</f>
        <v>271.26001079958985</v>
      </c>
      <c r="T144" s="117">
        <f>T139+T141+T142</f>
        <v>641.32949176958982</v>
      </c>
      <c r="V144" s="117">
        <f t="shared" ref="V144:X144" si="148">V139+V141+V142</f>
        <v>0</v>
      </c>
      <c r="W144" s="117">
        <f t="shared" si="148"/>
        <v>3.3661962106634746E-13</v>
      </c>
      <c r="X144" s="117">
        <f t="shared" si="148"/>
        <v>3.3661962106634746E-13</v>
      </c>
      <c r="Y144" s="74"/>
    </row>
    <row r="145" spans="3:25" x14ac:dyDescent="0.2">
      <c r="C145" s="55"/>
      <c r="G145" s="64"/>
      <c r="H145" s="64"/>
      <c r="I145" s="64"/>
      <c r="N145" s="117"/>
      <c r="O145" s="117"/>
      <c r="P145" s="117"/>
      <c r="R145" s="117"/>
      <c r="S145" s="117"/>
      <c r="T145" s="117"/>
      <c r="V145" s="117"/>
      <c r="W145" s="117"/>
      <c r="X145" s="117"/>
      <c r="Y145" s="74"/>
    </row>
    <row r="146" spans="3:25" ht="10.5" x14ac:dyDescent="0.25">
      <c r="C146" s="29"/>
      <c r="G146" s="64"/>
      <c r="H146" s="64"/>
      <c r="I146" s="64"/>
      <c r="N146" s="117"/>
      <c r="O146" s="117"/>
      <c r="P146" s="117"/>
      <c r="R146" s="117"/>
      <c r="S146" s="117"/>
      <c r="T146" s="117"/>
      <c r="V146" s="117"/>
      <c r="W146" s="117"/>
      <c r="X146" s="117"/>
      <c r="Y146" s="74"/>
    </row>
    <row r="147" spans="3:25" ht="10.5" x14ac:dyDescent="0.25">
      <c r="C147" s="29" t="s">
        <v>238</v>
      </c>
      <c r="G147" s="64"/>
      <c r="H147" s="64"/>
      <c r="I147" s="175">
        <f>IF(YEAR(I$4)&lt;=PPLastYear,I$4,IF(YEAR(I$4)&gt;=FPFirstYear,IF(YEAR(I$4)&lt;=FPLastYear,I$4,""),""))</f>
        <v>43617</v>
      </c>
      <c r="J147" s="175">
        <f>IF(YEAR(J$4)&lt;=PPLastYear,J$4,IF(YEAR(J$4)&gt;=FPFirstYear,IF(YEAR(J$4)&lt;=FPLastYear,J$4,""),""))</f>
        <v>43983</v>
      </c>
      <c r="K147" s="175">
        <f>IF(YEAR(K$4)&lt;=PPLastYear,K$4,IF(YEAR(K$4)&gt;=FPFirstYear,IF(YEAR(K$4)&lt;=FPLastYear,K$4,""),""))</f>
        <v>44348</v>
      </c>
      <c r="L147" s="175">
        <f>IF(YEAR(L$4)&lt;=PPLastYear,L$4,IF(YEAR(L$4)&gt;=FPFirstYear,IF(YEAR(L$4)&lt;=FPLastYear,L$4,""),""))</f>
        <v>44713</v>
      </c>
      <c r="M147" s="175">
        <f>IF(YEAR(M$4)&lt;=PPLastYear,M$4,IF(YEAR(M$4)&gt;=FPFirstYear,IF(YEAR(M$4)&lt;=FPLastYear,M$4,""),""))</f>
        <v>45078</v>
      </c>
      <c r="N147" s="119" t="s">
        <v>242</v>
      </c>
      <c r="O147" s="62"/>
      <c r="P147" s="62"/>
      <c r="R147" s="117"/>
      <c r="S147" s="117"/>
      <c r="T147" s="117"/>
      <c r="V147" s="117"/>
      <c r="W147" s="117"/>
      <c r="X147" s="117"/>
      <c r="Y147" s="74"/>
    </row>
    <row r="148" spans="3:25" x14ac:dyDescent="0.2">
      <c r="C148" s="55"/>
      <c r="G148" s="64"/>
      <c r="H148" s="64"/>
      <c r="I148" s="129"/>
      <c r="J148" s="129"/>
      <c r="K148" s="129"/>
      <c r="L148" s="129"/>
      <c r="M148" s="129"/>
      <c r="N148" s="117"/>
      <c r="O148" s="117"/>
      <c r="P148" s="117"/>
      <c r="R148" s="117"/>
      <c r="S148" s="117"/>
      <c r="T148" s="117"/>
      <c r="V148" s="117"/>
      <c r="W148" s="117"/>
      <c r="X148" s="117"/>
      <c r="Y148" s="74"/>
    </row>
    <row r="149" spans="3:25" x14ac:dyDescent="0.2">
      <c r="C149" s="55" t="s">
        <v>240</v>
      </c>
      <c r="D149" s="21" t="s">
        <v>23</v>
      </c>
      <c r="E149" s="21" t="str">
        <f t="shared" ref="E149:E159" si="149">$E$8</f>
        <v>$millions</v>
      </c>
      <c r="F149" s="69" t="s">
        <v>42</v>
      </c>
      <c r="G149" s="64"/>
      <c r="H149" s="64"/>
      <c r="I149" s="143">
        <f>P127</f>
        <v>445.75064768573014</v>
      </c>
      <c r="J149" s="143">
        <f>P104</f>
        <v>403.44837812510991</v>
      </c>
      <c r="K149" s="143">
        <f>P81</f>
        <v>386.31522765901792</v>
      </c>
      <c r="L149" s="143">
        <f>P58</f>
        <v>346.08466350453875</v>
      </c>
      <c r="M149" s="143">
        <f>P35</f>
        <v>380.12149046371758</v>
      </c>
      <c r="N149" s="143"/>
      <c r="O149" s="117"/>
      <c r="P149" s="117"/>
      <c r="R149" s="117"/>
      <c r="S149" s="117"/>
      <c r="T149" s="117"/>
      <c r="V149" s="117"/>
      <c r="W149" s="117"/>
      <c r="X149" s="117"/>
      <c r="Y149" s="74"/>
    </row>
    <row r="150" spans="3:25" x14ac:dyDescent="0.2">
      <c r="C150" s="55" t="s">
        <v>240</v>
      </c>
      <c r="D150" s="21" t="s">
        <v>23</v>
      </c>
      <c r="E150" s="21" t="str">
        <f t="shared" si="149"/>
        <v>$millions</v>
      </c>
      <c r="F150" s="71">
        <f t="shared" ref="F150:F151" si="150">$F$8</f>
        <v>45444</v>
      </c>
      <c r="G150" s="64"/>
      <c r="H150" s="64"/>
      <c r="I150" s="143">
        <f>I149*IF($F149="nominal",LOOKUP($F150,'Lookup|Tables'!Nominal_to_Real,'Calc|CPI Indexes'!J$31:J$42),INDEX('Calc|CPI Indexes'!$C$14:$T$27,MATCH($F149,'Calc|CPI Indexes'!$C$14:$C$27,0),MATCH($F150,'Calc|CPI Indexes'!$C$14:$T$14,0)))</f>
        <v>546.63556876676557</v>
      </c>
      <c r="J150" s="143">
        <f>J149*IF($F149="nominal",LOOKUP($F150,'Lookup|Tables'!Nominal_to_Real,'Calc|CPI Indexes'!K$31:K$42),INDEX('Calc|CPI Indexes'!$C$14:$T$27,MATCH($F149,'Calc|CPI Indexes'!$C$14:$C$27,0),MATCH($F150,'Calc|CPI Indexes'!$C$14:$T$14,0)))</f>
        <v>491.72250764020782</v>
      </c>
      <c r="K150" s="143">
        <f>K149*IF($F149="nominal",LOOKUP($F150,'Lookup|Tables'!Nominal_to_Real,'Calc|CPI Indexes'!L$31:L$42),INDEX('Calc|CPI Indexes'!$C$14:$T$27,MATCH($F149,'Calc|CPI Indexes'!$C$14:$C$27,0),MATCH($F150,'Calc|CPI Indexes'!$C$14:$T$14,0)))</f>
        <v>462.84615991792771</v>
      </c>
      <c r="L150" s="143">
        <f>L149*IF($F149="nominal",LOOKUP($F150,'Lookup|Tables'!Nominal_to_Real,'Calc|CPI Indexes'!M$31:M$42),INDEX('Calc|CPI Indexes'!$C$14:$T$27,MATCH($F149,'Calc|CPI Indexes'!$C$14:$C$27,0),MATCH($F150,'Calc|CPI Indexes'!$C$14:$T$14,0)))</f>
        <v>394.94139944002575</v>
      </c>
      <c r="M150" s="143">
        <f>M149*IF($F149="nominal",LOOKUP($F150,'Lookup|Tables'!Nominal_to_Real,'Calc|CPI Indexes'!N$31:N$42),INDEX('Calc|CPI Indexes'!$C$14:$T$27,MATCH($F149,'Calc|CPI Indexes'!$C$14:$C$27,0),MATCH($F150,'Calc|CPI Indexes'!$C$14:$T$14,0)))</f>
        <v>408.37276883294476</v>
      </c>
      <c r="N150" s="143"/>
      <c r="O150" s="117"/>
      <c r="P150" s="117"/>
      <c r="R150" s="117"/>
      <c r="S150" s="117"/>
      <c r="T150" s="117"/>
      <c r="V150" s="117"/>
      <c r="W150" s="117"/>
      <c r="X150" s="117"/>
      <c r="Y150" s="74"/>
    </row>
    <row r="151" spans="3:25" x14ac:dyDescent="0.2">
      <c r="C151" s="55" t="s">
        <v>244</v>
      </c>
      <c r="D151" s="21" t="s">
        <v>23</v>
      </c>
      <c r="E151" s="21" t="str">
        <f t="shared" si="149"/>
        <v>$millions</v>
      </c>
      <c r="F151" s="71">
        <f t="shared" si="150"/>
        <v>45444</v>
      </c>
      <c r="G151" s="64"/>
      <c r="H151" s="64"/>
      <c r="I151" s="143"/>
      <c r="J151" s="143"/>
      <c r="K151" s="143"/>
      <c r="L151" s="143"/>
      <c r="M151" s="143"/>
      <c r="N151" s="143">
        <f>AVERAGE(I150:M150)</f>
        <v>460.90368091957424</v>
      </c>
      <c r="O151" s="117"/>
      <c r="P151" s="117"/>
      <c r="R151" s="117"/>
      <c r="S151" s="117"/>
      <c r="T151" s="117"/>
      <c r="V151" s="117"/>
      <c r="W151" s="117"/>
      <c r="X151" s="117"/>
      <c r="Y151" s="74"/>
    </row>
    <row r="152" spans="3:25" x14ac:dyDescent="0.2">
      <c r="C152" s="55"/>
      <c r="F152" s="71"/>
      <c r="G152" s="64"/>
      <c r="H152" s="64"/>
      <c r="I152" s="143"/>
      <c r="J152" s="143"/>
      <c r="K152" s="143"/>
      <c r="L152" s="143"/>
      <c r="M152" s="143"/>
      <c r="N152" s="143"/>
      <c r="O152" s="117"/>
      <c r="P152" s="117"/>
      <c r="R152" s="117"/>
      <c r="S152" s="117"/>
      <c r="T152" s="117"/>
      <c r="V152" s="117"/>
      <c r="W152" s="117"/>
      <c r="X152" s="117"/>
      <c r="Y152" s="74"/>
    </row>
    <row r="153" spans="3:25" x14ac:dyDescent="0.2">
      <c r="C153" s="55" t="s">
        <v>241</v>
      </c>
      <c r="D153" s="21" t="s">
        <v>23</v>
      </c>
      <c r="E153" s="21" t="str">
        <f t="shared" si="149"/>
        <v>$millions</v>
      </c>
      <c r="F153" s="69" t="s">
        <v>42</v>
      </c>
      <c r="G153" s="64"/>
      <c r="H153" s="64"/>
      <c r="I153" s="143">
        <f>T127</f>
        <v>454.12926906106935</v>
      </c>
      <c r="J153" s="143">
        <f>T104</f>
        <v>411.42710467261924</v>
      </c>
      <c r="K153" s="143">
        <f>T81</f>
        <v>393.49022552070522</v>
      </c>
      <c r="L153" s="143">
        <f>T58</f>
        <v>348.82992487533483</v>
      </c>
      <c r="M153" s="143">
        <f>T35</f>
        <v>384.731455281688</v>
      </c>
      <c r="N153" s="143"/>
      <c r="O153" s="117"/>
      <c r="P153" s="117"/>
      <c r="R153" s="117"/>
      <c r="S153" s="117"/>
      <c r="T153" s="117"/>
      <c r="V153" s="117"/>
      <c r="W153" s="117"/>
      <c r="X153" s="117"/>
      <c r="Y153" s="74"/>
    </row>
    <row r="154" spans="3:25" x14ac:dyDescent="0.2">
      <c r="C154" s="55" t="s">
        <v>241</v>
      </c>
      <c r="D154" s="21" t="s">
        <v>23</v>
      </c>
      <c r="E154" s="21" t="str">
        <f t="shared" si="149"/>
        <v>$millions</v>
      </c>
      <c r="F154" s="71">
        <f t="shared" ref="F154:F155" si="151">$F$8</f>
        <v>45444</v>
      </c>
      <c r="G154" s="64"/>
      <c r="H154" s="64"/>
      <c r="I154" s="143">
        <f>I153*IF($F153="nominal",LOOKUP($F154,'Lookup|Tables'!Nominal_to_Real,'Calc|CPI Indexes'!J$31:J$42),INDEX('Calc|CPI Indexes'!$C$14:$T$27,MATCH($F153,'Calc|CPI Indexes'!$C$14:$C$27,0),MATCH($F154,'Calc|CPI Indexes'!$C$14:$T$14,0)))</f>
        <v>556.91048925150039</v>
      </c>
      <c r="J154" s="143">
        <f>J153*IF($F153="nominal",LOOKUP($F154,'Lookup|Tables'!Nominal_to_Real,'Calc|CPI Indexes'!K$31:K$42),INDEX('Calc|CPI Indexes'!$C$14:$T$27,MATCH($F153,'Calc|CPI Indexes'!$C$14:$C$27,0),MATCH($F154,'Calc|CPI Indexes'!$C$14:$T$14,0)))</f>
        <v>501.44697212795489</v>
      </c>
      <c r="K154" s="143">
        <f>K153*IF($F153="nominal",LOOKUP($F154,'Lookup|Tables'!Nominal_to_Real,'Calc|CPI Indexes'!L$31:L$42),INDEX('Calc|CPI Indexes'!$C$14:$T$27,MATCH($F153,'Calc|CPI Indexes'!$C$14:$C$27,0),MATCH($F154,'Calc|CPI Indexes'!$C$14:$T$14,0)))</f>
        <v>471.44255987820191</v>
      </c>
      <c r="L154" s="143">
        <f>L153*IF($F153="nominal",LOOKUP($F154,'Lookup|Tables'!Nominal_to_Real,'Calc|CPI Indexes'!M$31:M$42),INDEX('Calc|CPI Indexes'!$C$14:$T$27,MATCH($F153,'Calc|CPI Indexes'!$C$14:$C$27,0),MATCH($F154,'Calc|CPI Indexes'!$C$14:$T$14,0)))</f>
        <v>398.07420907288207</v>
      </c>
      <c r="M154" s="143">
        <f>M153*IF($F153="nominal",LOOKUP($F154,'Lookup|Tables'!Nominal_to_Real,'Calc|CPI Indexes'!N$31:N$42),INDEX('Calc|CPI Indexes'!$C$14:$T$27,MATCH($F153,'Calc|CPI Indexes'!$C$14:$C$27,0),MATCH($F154,'Calc|CPI Indexes'!$C$14:$T$14,0)))</f>
        <v>413.32535410940579</v>
      </c>
      <c r="N154" s="143"/>
      <c r="O154" s="117"/>
      <c r="P154" s="117"/>
      <c r="R154" s="117"/>
      <c r="S154" s="117"/>
      <c r="T154" s="117"/>
      <c r="V154" s="117"/>
      <c r="W154" s="117"/>
      <c r="X154" s="117"/>
      <c r="Y154" s="74"/>
    </row>
    <row r="155" spans="3:25" x14ac:dyDescent="0.2">
      <c r="C155" s="55" t="s">
        <v>245</v>
      </c>
      <c r="D155" s="21" t="s">
        <v>23</v>
      </c>
      <c r="E155" s="21" t="str">
        <f t="shared" si="149"/>
        <v>$millions</v>
      </c>
      <c r="F155" s="71">
        <f t="shared" si="151"/>
        <v>45444</v>
      </c>
      <c r="G155" s="64"/>
      <c r="H155" s="64"/>
      <c r="I155" s="143"/>
      <c r="J155" s="143"/>
      <c r="K155" s="143"/>
      <c r="L155" s="143"/>
      <c r="M155" s="143"/>
      <c r="N155" s="143">
        <f>AVERAGE(I154:M154)</f>
        <v>468.23991688798895</v>
      </c>
      <c r="O155" s="117"/>
      <c r="P155" s="117"/>
      <c r="R155" s="117"/>
      <c r="S155" s="117"/>
      <c r="T155" s="117"/>
      <c r="V155" s="117"/>
      <c r="W155" s="117"/>
      <c r="X155" s="117"/>
      <c r="Y155" s="74"/>
    </row>
    <row r="156" spans="3:25" x14ac:dyDescent="0.2">
      <c r="C156" s="55"/>
      <c r="G156" s="64"/>
      <c r="H156" s="64"/>
      <c r="I156" s="143"/>
      <c r="J156" s="143"/>
      <c r="K156" s="143"/>
      <c r="L156" s="143"/>
      <c r="M156" s="143"/>
      <c r="N156" s="143"/>
      <c r="O156" s="117"/>
      <c r="P156" s="117"/>
      <c r="R156" s="117"/>
      <c r="S156" s="117"/>
      <c r="T156" s="117"/>
      <c r="V156" s="117"/>
      <c r="W156" s="117"/>
      <c r="X156" s="117"/>
      <c r="Y156" s="74"/>
    </row>
    <row r="157" spans="3:25" x14ac:dyDescent="0.2">
      <c r="C157" s="55" t="s">
        <v>239</v>
      </c>
      <c r="D157" s="21" t="s">
        <v>23</v>
      </c>
      <c r="E157" s="21" t="str">
        <f t="shared" si="149"/>
        <v>$millions</v>
      </c>
      <c r="F157" s="121" t="str">
        <f>F149</f>
        <v>nominal</v>
      </c>
      <c r="G157" s="64"/>
      <c r="H157" s="64"/>
      <c r="I157" s="143">
        <f>I153-I149</f>
        <v>8.3786213753392076</v>
      </c>
      <c r="J157" s="143">
        <f t="shared" ref="J157:M157" si="152">J153-J149</f>
        <v>7.978726547509325</v>
      </c>
      <c r="K157" s="143">
        <f t="shared" si="152"/>
        <v>7.1749978616873022</v>
      </c>
      <c r="L157" s="143">
        <f t="shared" si="152"/>
        <v>2.7452613707960722</v>
      </c>
      <c r="M157" s="143">
        <f t="shared" si="152"/>
        <v>4.6099648179704218</v>
      </c>
      <c r="N157" s="143"/>
      <c r="O157" s="117"/>
      <c r="P157" s="117"/>
      <c r="R157" s="117"/>
      <c r="S157" s="117"/>
      <c r="T157" s="117"/>
      <c r="V157" s="117"/>
      <c r="W157" s="117"/>
      <c r="X157" s="117"/>
      <c r="Y157" s="74"/>
    </row>
    <row r="158" spans="3:25" x14ac:dyDescent="0.2">
      <c r="C158" s="55" t="s">
        <v>239</v>
      </c>
      <c r="D158" s="21" t="s">
        <v>23</v>
      </c>
      <c r="E158" s="21" t="str">
        <f t="shared" si="149"/>
        <v>$millions</v>
      </c>
      <c r="F158" s="71">
        <f t="shared" ref="F158:F159" si="153">$F$8</f>
        <v>45444</v>
      </c>
      <c r="G158" s="64"/>
      <c r="H158" s="64"/>
      <c r="I158" s="143">
        <f>I157*IF($F157="nominal",LOOKUP($F158,'Lookup|Tables'!Nominal_to_Real,'Calc|CPI Indexes'!J$31:J$42),INDEX('Calc|CPI Indexes'!$C$14:$T$27,MATCH($F157,'Calc|CPI Indexes'!$C$14:$C$27,0),MATCH($F158,'Calc|CPI Indexes'!$C$14:$T$14,0)))</f>
        <v>10.27492048473483</v>
      </c>
      <c r="J158" s="143">
        <f>J157*IF($F157="nominal",LOOKUP($F158,'Lookup|Tables'!Nominal_to_Real,'Calc|CPI Indexes'!K$31:K$42),INDEX('Calc|CPI Indexes'!$C$14:$T$27,MATCH($F157,'Calc|CPI Indexes'!$C$14:$C$27,0),MATCH($F158,'Calc|CPI Indexes'!$C$14:$T$14,0)))</f>
        <v>9.7244644877470705</v>
      </c>
      <c r="K158" s="143">
        <f>K157*IF($F157="nominal",LOOKUP($F158,'Lookup|Tables'!Nominal_to_Real,'Calc|CPI Indexes'!L$31:L$42),INDEX('Calc|CPI Indexes'!$C$14:$T$27,MATCH($F157,'Calc|CPI Indexes'!$C$14:$C$27,0),MATCH($F158,'Calc|CPI Indexes'!$C$14:$T$14,0)))</f>
        <v>8.5963999602742263</v>
      </c>
      <c r="L158" s="143">
        <f>L157*IF($F157="nominal",LOOKUP($F158,'Lookup|Tables'!Nominal_to_Real,'Calc|CPI Indexes'!M$31:M$42),INDEX('Calc|CPI Indexes'!$C$14:$T$27,MATCH($F157,'Calc|CPI Indexes'!$C$14:$C$27,0),MATCH($F158,'Calc|CPI Indexes'!$C$14:$T$14,0)))</f>
        <v>3.1328096328562829</v>
      </c>
      <c r="M158" s="143">
        <f>M157*IF($F157="nominal",LOOKUP($F158,'Lookup|Tables'!Nominal_to_Real,'Calc|CPI Indexes'!N$31:N$42),INDEX('Calc|CPI Indexes'!$C$14:$T$27,MATCH($F157,'Calc|CPI Indexes'!$C$14:$C$27,0),MATCH($F158,'Calc|CPI Indexes'!$C$14:$T$14,0)))</f>
        <v>4.9525852764610656</v>
      </c>
      <c r="N158" s="143"/>
      <c r="O158" s="117"/>
      <c r="P158" s="117"/>
      <c r="R158" s="117"/>
      <c r="S158" s="117"/>
      <c r="T158" s="117"/>
      <c r="V158" s="117"/>
      <c r="W158" s="117"/>
      <c r="X158" s="117"/>
      <c r="Y158" s="74"/>
    </row>
    <row r="159" spans="3:25" x14ac:dyDescent="0.2">
      <c r="C159" s="55" t="s">
        <v>246</v>
      </c>
      <c r="D159" s="21" t="s">
        <v>23</v>
      </c>
      <c r="E159" s="21" t="str">
        <f t="shared" si="149"/>
        <v>$millions</v>
      </c>
      <c r="F159" s="71">
        <f t="shared" si="153"/>
        <v>45444</v>
      </c>
      <c r="G159" s="64"/>
      <c r="H159" s="64"/>
      <c r="I159" s="143"/>
      <c r="J159" s="143"/>
      <c r="K159" s="143"/>
      <c r="L159" s="143"/>
      <c r="M159" s="143"/>
      <c r="N159" s="143">
        <f>AVERAGE(I158:M158)</f>
        <v>7.3362359684146954</v>
      </c>
      <c r="O159" s="117"/>
      <c r="P159" s="117"/>
      <c r="R159" s="117"/>
      <c r="S159" s="117"/>
      <c r="T159" s="117"/>
      <c r="V159" s="117"/>
      <c r="W159" s="117"/>
      <c r="X159" s="117"/>
      <c r="Y159" s="74"/>
    </row>
    <row r="160" spans="3:25" x14ac:dyDescent="0.2">
      <c r="C160" s="55"/>
      <c r="F160" s="71"/>
      <c r="G160" s="64"/>
      <c r="H160" s="64"/>
      <c r="I160" s="79"/>
      <c r="J160" s="79"/>
      <c r="K160" s="79"/>
      <c r="L160" s="79"/>
      <c r="M160" s="79"/>
      <c r="N160" s="117"/>
      <c r="O160" s="117"/>
      <c r="P160" s="117"/>
      <c r="R160" s="117"/>
      <c r="S160" s="117"/>
      <c r="T160" s="117"/>
      <c r="V160" s="117"/>
      <c r="W160" s="117"/>
      <c r="X160" s="117"/>
      <c r="Y160" s="74"/>
    </row>
    <row r="161" spans="1:32" x14ac:dyDescent="0.2">
      <c r="C161" s="55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144"/>
      <c r="O161" s="144"/>
      <c r="P161" s="144"/>
      <c r="Q161" s="144"/>
      <c r="R161" s="144"/>
      <c r="S161" s="144"/>
    </row>
    <row r="162" spans="1:32" s="19" customFormat="1" ht="13" x14ac:dyDescent="0.3">
      <c r="A162" s="12"/>
      <c r="B162" s="13" t="s">
        <v>18</v>
      </c>
      <c r="C162" s="12"/>
      <c r="D162" s="12"/>
      <c r="E162" s="12"/>
      <c r="F162" s="14"/>
      <c r="G162" s="14"/>
      <c r="H162" s="14"/>
      <c r="I162" s="14"/>
      <c r="J162" s="15"/>
      <c r="K162" s="16"/>
      <c r="L162" s="15"/>
      <c r="M162" s="16"/>
      <c r="N162" s="15"/>
      <c r="O162" s="15"/>
      <c r="P162" s="15"/>
      <c r="Q162" s="15"/>
      <c r="R162" s="15"/>
      <c r="S162" s="15"/>
      <c r="T162" s="15"/>
      <c r="U162" s="15"/>
      <c r="V162" s="16"/>
      <c r="W162" s="16"/>
      <c r="X162" s="16"/>
      <c r="Y162" s="16"/>
      <c r="Z162" s="17"/>
      <c r="AA162" s="17"/>
      <c r="AB162" s="17"/>
      <c r="AC162" s="17"/>
      <c r="AD162" s="17"/>
      <c r="AE162" s="18"/>
      <c r="AF162" s="18"/>
    </row>
  </sheetData>
  <mergeCells count="16">
    <mergeCell ref="N77:P77"/>
    <mergeCell ref="V77:X77"/>
    <mergeCell ref="N100:P100"/>
    <mergeCell ref="V100:X100"/>
    <mergeCell ref="N123:P123"/>
    <mergeCell ref="V123:X123"/>
    <mergeCell ref="R100:T100"/>
    <mergeCell ref="R77:T77"/>
    <mergeCell ref="R123:T123"/>
    <mergeCell ref="V31:X31"/>
    <mergeCell ref="N3:S3"/>
    <mergeCell ref="N31:P31"/>
    <mergeCell ref="N54:P54"/>
    <mergeCell ref="V54:X54"/>
    <mergeCell ref="R54:T54"/>
    <mergeCell ref="R31:T31"/>
  </mergeCells>
  <dataValidations count="1">
    <dataValidation type="list" allowBlank="1" showInputMessage="1" showErrorMessage="1" sqref="F161" xr:uid="{F46F0FF7-E957-455C-B6C8-69237C18FD3D}">
      <formula1>"Real 2010,Real 2011,Real 2012,Real 2013,Real 2014,Real 2015,Nominal"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20CF-A442-4ECF-BDD5-60D9800AE2B7}">
  <sheetPr>
    <tabColor theme="4" tint="0.59999389629810485"/>
  </sheetPr>
  <dimension ref="A1:AU28"/>
  <sheetViews>
    <sheetView showGridLines="0" zoomScale="75" zoomScaleNormal="75" workbookViewId="0"/>
  </sheetViews>
  <sheetFormatPr defaultColWidth="0" defaultRowHeight="10" customHeight="1" zeroHeight="1" x14ac:dyDescent="0.2"/>
  <cols>
    <col min="1" max="2" width="1.1796875" style="20" customWidth="1"/>
    <col min="3" max="3" width="48.8164062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9" width="2.81640625" style="21" customWidth="1"/>
    <col min="10" max="23" width="8.81640625" style="20" customWidth="1"/>
    <col min="24" max="47" width="0" style="20" hidden="1" customWidth="1"/>
    <col min="48" max="16384" width="8.54296875" style="20" hidden="1"/>
  </cols>
  <sheetData>
    <row r="1" spans="1:26" s="1" customFormat="1" ht="15.5" x14ac:dyDescent="0.35">
      <c r="B1" s="2" t="s">
        <v>0</v>
      </c>
      <c r="C1" s="2"/>
      <c r="D1" s="2"/>
      <c r="E1" s="2"/>
      <c r="F1" s="3"/>
      <c r="G1" s="3"/>
      <c r="H1" s="3"/>
      <c r="I1" s="3"/>
      <c r="J1" s="3"/>
      <c r="L1" s="4" t="s">
        <v>1</v>
      </c>
      <c r="M1" s="5" t="s">
        <v>2</v>
      </c>
      <c r="N1" s="6" t="s">
        <v>3</v>
      </c>
    </row>
    <row r="2" spans="1:26" s="7" customFormat="1" ht="13.5" thickBot="1" x14ac:dyDescent="0.35">
      <c r="B2" s="8" t="s">
        <v>91</v>
      </c>
      <c r="C2" s="8"/>
      <c r="D2" s="8"/>
      <c r="E2" s="8"/>
      <c r="F2" s="9"/>
      <c r="G2" s="9"/>
      <c r="H2" s="9"/>
      <c r="I2" s="9"/>
    </row>
    <row r="3" spans="1:26" s="38" customFormat="1" ht="14.5" customHeight="1" x14ac:dyDescent="0.25">
      <c r="D3" s="39"/>
      <c r="E3" s="39"/>
      <c r="F3" s="39"/>
      <c r="G3" s="39"/>
      <c r="H3" s="39"/>
      <c r="I3" s="39"/>
      <c r="J3" s="65" t="s">
        <v>12</v>
      </c>
      <c r="K3" s="65"/>
      <c r="L3" s="65"/>
      <c r="M3" s="39"/>
      <c r="N3" s="210"/>
      <c r="O3" s="210"/>
      <c r="P3" s="210"/>
      <c r="Q3" s="210"/>
      <c r="R3" s="210"/>
      <c r="S3" s="210"/>
      <c r="T3" s="42"/>
      <c r="U3" s="42"/>
      <c r="V3" s="42"/>
      <c r="W3" s="42"/>
      <c r="X3" s="42"/>
      <c r="Y3" s="42"/>
      <c r="Z3" s="42"/>
    </row>
    <row r="4" spans="1:26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6"/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</row>
    <row r="5" spans="1:26" s="10" customFormat="1" ht="3" customHeight="1" x14ac:dyDescent="0.2">
      <c r="D5" s="11"/>
      <c r="E5" s="11"/>
      <c r="F5" s="11"/>
      <c r="G5" s="11"/>
      <c r="H5" s="11"/>
      <c r="I5" s="11"/>
    </row>
    <row r="6" spans="1:26" s="10" customFormat="1" ht="9" customHeight="1" x14ac:dyDescent="0.2">
      <c r="D6" s="11"/>
      <c r="E6" s="11"/>
      <c r="F6" s="11"/>
      <c r="G6" s="11"/>
      <c r="H6" s="11"/>
      <c r="I6" s="11"/>
    </row>
    <row r="7" spans="1:26" s="10" customFormat="1" ht="3" customHeight="1" x14ac:dyDescent="0.2">
      <c r="D7" s="11"/>
      <c r="E7" s="11"/>
      <c r="F7" s="11"/>
      <c r="G7" s="11"/>
      <c r="H7" s="11"/>
      <c r="I7" s="11"/>
    </row>
    <row r="8" spans="1:26" s="19" customFormat="1" ht="13" x14ac:dyDescent="0.3">
      <c r="A8" s="12"/>
      <c r="B8" s="13" t="s">
        <v>92</v>
      </c>
      <c r="C8" s="12"/>
      <c r="D8" s="12"/>
      <c r="E8" s="66" t="s">
        <v>37</v>
      </c>
      <c r="F8" s="67">
        <f>DATE(PPLastYear,MONTH('Input|General'!$G$9),1)</f>
        <v>45444</v>
      </c>
      <c r="G8" s="14"/>
      <c r="H8" s="14"/>
      <c r="I8" s="14"/>
      <c r="J8" s="99" t="s">
        <v>89</v>
      </c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</row>
    <row r="9" spans="1:26" ht="4.5" customHeight="1" x14ac:dyDescent="0.2"/>
    <row r="10" spans="1:26" x14ac:dyDescent="0.2">
      <c r="M10" s="64"/>
      <c r="N10" s="64"/>
      <c r="O10" s="64"/>
      <c r="P10" s="64"/>
      <c r="Q10" s="64"/>
      <c r="R10" s="64"/>
      <c r="S10" s="64"/>
    </row>
    <row r="11" spans="1:26" ht="10.5" x14ac:dyDescent="0.25">
      <c r="C11" s="29" t="s">
        <v>93</v>
      </c>
      <c r="D11" s="23" t="s">
        <v>6</v>
      </c>
      <c r="E11" s="23" t="s">
        <v>24</v>
      </c>
      <c r="F11" s="23" t="s">
        <v>28</v>
      </c>
      <c r="H11" s="23"/>
      <c r="I11" s="23"/>
      <c r="J11" s="62" t="str">
        <f>IF(YEAR(J$4)&gt;='Input|General'!$G$13,IF(YEAR(J$4)&lt;='Input|General'!$G$14,J$4,""),"")</f>
        <v/>
      </c>
      <c r="K11" s="62" t="str">
        <f>IF(YEAR(K$4)&gt;='Input|General'!$G$13,IF(YEAR(K$4)&lt;='Input|General'!$G$14,K$4,""),"")</f>
        <v/>
      </c>
      <c r="L11" s="62" t="str">
        <f>IF(YEAR(L$4)&gt;='Input|General'!$G$13,IF(YEAR(L$4)&lt;='Input|General'!$G$14,L$4,""),"")</f>
        <v/>
      </c>
      <c r="M11" s="62" t="str">
        <f>IF(YEAR(M$4)&gt;='Input|General'!$G$13,IF(YEAR(M$4)&lt;='Input|General'!$G$14,M$4,""),"")</f>
        <v/>
      </c>
      <c r="N11" s="62" t="str">
        <f>IF(YEAR(N$4)&gt;='Input|General'!$G$13,IF(YEAR(N$4)&lt;='Input|General'!$G$14,N$4,""),"")</f>
        <v/>
      </c>
      <c r="O11" s="62">
        <f>IF(YEAR(O$4)&gt;=FPFirstYear,IF(YEAR(O$4)&lt;=FPLastYear,O$4,""),"")</f>
        <v>45809</v>
      </c>
      <c r="P11" s="62">
        <f>IF(YEAR(P$4)&gt;=FPFirstYear,IF(YEAR(P$4)&lt;=FPLastYear,P$4,""),"")</f>
        <v>46174</v>
      </c>
      <c r="Q11" s="62">
        <f>IF(YEAR(Q$4)&gt;=FPFirstYear,IF(YEAR(Q$4)&lt;=FPLastYear,Q$4,""),"")</f>
        <v>46539</v>
      </c>
      <c r="R11" s="62">
        <f>IF(YEAR(R$4)&gt;=FPFirstYear,IF(YEAR(R$4)&lt;=FPLastYear,R$4,""),"")</f>
        <v>46905</v>
      </c>
      <c r="S11" s="62">
        <f>IF(YEAR(S$4)&gt;=FPFirstYear,IF(YEAR(S$4)&lt;=FPLastYear,S$4,""),"")</f>
        <v>47270</v>
      </c>
      <c r="U11" s="100" t="s">
        <v>90</v>
      </c>
      <c r="V11" s="101"/>
      <c r="W11" s="101"/>
    </row>
    <row r="12" spans="1:26" ht="10.5" x14ac:dyDescent="0.25">
      <c r="C12" s="29"/>
      <c r="D12" s="23"/>
      <c r="E12" s="23"/>
      <c r="F12" s="23"/>
      <c r="H12" s="23"/>
      <c r="I12" s="23"/>
      <c r="J12" s="62"/>
      <c r="K12" s="62"/>
      <c r="L12" s="62"/>
      <c r="M12" s="62"/>
      <c r="N12" s="62"/>
      <c r="O12" s="62"/>
      <c r="P12" s="62"/>
      <c r="Q12" s="62"/>
      <c r="R12" s="62"/>
      <c r="S12" s="62"/>
      <c r="U12" s="29"/>
    </row>
    <row r="13" spans="1:26" x14ac:dyDescent="0.2">
      <c r="C13" s="55" t="s">
        <v>94</v>
      </c>
      <c r="D13" s="102"/>
      <c r="E13" s="21" t="str">
        <f>$E$8</f>
        <v>$millions</v>
      </c>
      <c r="F13" s="71">
        <f>$F$8</f>
        <v>45444</v>
      </c>
      <c r="H13" s="23"/>
      <c r="I13" s="23"/>
      <c r="J13" s="103"/>
      <c r="K13" s="103"/>
      <c r="L13" s="103"/>
      <c r="M13" s="103"/>
      <c r="N13" s="103"/>
      <c r="O13" s="104">
        <f>'Calc|Cyber security'!O29</f>
        <v>2.353241171329572</v>
      </c>
      <c r="P13" s="104">
        <f>'Calc|Cyber security'!P29</f>
        <v>3.9919906683978525</v>
      </c>
      <c r="Q13" s="104">
        <f>'Calc|Cyber security'!Q29</f>
        <v>4.3576641204926005</v>
      </c>
      <c r="R13" s="104">
        <f>'Calc|Cyber security'!R29</f>
        <v>4.7426020657288994</v>
      </c>
      <c r="S13" s="104">
        <f>'Calc|Cyber security'!S29</f>
        <v>5.1478658108175113</v>
      </c>
      <c r="T13" s="55"/>
      <c r="U13" s="37"/>
    </row>
    <row r="14" spans="1:26" x14ac:dyDescent="0.2">
      <c r="C14" s="55" t="s">
        <v>95</v>
      </c>
      <c r="D14" s="102"/>
      <c r="E14" s="21" t="str">
        <f t="shared" ref="E14:E19" si="0">$E$8</f>
        <v>$millions</v>
      </c>
      <c r="F14" s="71">
        <f t="shared" ref="F14:F19" si="1">$F$8</f>
        <v>45444</v>
      </c>
      <c r="H14" s="23"/>
      <c r="I14" s="23"/>
      <c r="J14" s="103"/>
      <c r="K14" s="103"/>
      <c r="L14" s="103"/>
      <c r="M14" s="103"/>
      <c r="N14" s="103"/>
      <c r="O14" s="103">
        <f>'Calc|Insurance premiums'!O29</f>
        <v>0.81248364664940453</v>
      </c>
      <c r="P14" s="103">
        <f>'Calc|Insurance premiums'!P29</f>
        <v>1.8134613327824276</v>
      </c>
      <c r="Q14" s="103">
        <f>'Calc|Insurance premiums'!Q29</f>
        <v>2.3413585462085003</v>
      </c>
      <c r="R14" s="103">
        <f>'Calc|Insurance premiums'!R29</f>
        <v>2.4642439126038731</v>
      </c>
      <c r="S14" s="103">
        <f>'Calc|Insurance premiums'!S29</f>
        <v>2.0587358549914683</v>
      </c>
      <c r="T14" s="55"/>
      <c r="U14" s="37"/>
    </row>
    <row r="15" spans="1:26" x14ac:dyDescent="0.2">
      <c r="C15" s="55" t="s">
        <v>319</v>
      </c>
      <c r="D15" s="102"/>
      <c r="E15" s="21" t="str">
        <f t="shared" si="0"/>
        <v>$millions</v>
      </c>
      <c r="F15" s="71">
        <f t="shared" si="1"/>
        <v>45444</v>
      </c>
      <c r="H15" s="23"/>
      <c r="I15" s="23"/>
      <c r="J15" s="103"/>
      <c r="K15" s="103"/>
      <c r="L15" s="103"/>
      <c r="M15" s="103"/>
      <c r="N15" s="103"/>
      <c r="O15" s="103">
        <f>'Calc|Community resilience'!O29</f>
        <v>1.0973561222000003</v>
      </c>
      <c r="P15" s="103">
        <f>'Calc|Community resilience'!P29</f>
        <v>1.6882401880000004</v>
      </c>
      <c r="Q15" s="103">
        <f>'Calc|Community resilience'!Q29</f>
        <v>2.1103002350000004</v>
      </c>
      <c r="R15" s="103">
        <f>'Calc|Community resilience'!R29</f>
        <v>1.8570642068000003</v>
      </c>
      <c r="S15" s="103">
        <f>'Calc|Community resilience'!S29</f>
        <v>1.6882401880000004</v>
      </c>
      <c r="T15" s="55"/>
      <c r="U15" s="37"/>
    </row>
    <row r="16" spans="1:26" x14ac:dyDescent="0.2">
      <c r="C16" s="55" t="s">
        <v>320</v>
      </c>
      <c r="D16" s="102"/>
      <c r="E16" s="21" t="str">
        <f t="shared" si="0"/>
        <v>$millions</v>
      </c>
      <c r="F16" s="71">
        <f t="shared" si="1"/>
        <v>45444</v>
      </c>
      <c r="H16" s="23"/>
      <c r="I16" s="23"/>
      <c r="J16" s="103"/>
      <c r="K16" s="103"/>
      <c r="L16" s="103"/>
      <c r="M16" s="103"/>
      <c r="N16" s="103"/>
      <c r="O16" s="103">
        <f>'Calc|Smart meter data'!O29</f>
        <v>3.5998494999999995</v>
      </c>
      <c r="P16" s="103">
        <f>'Calc|Smart meter data'!P29</f>
        <v>4.3087429399999992</v>
      </c>
      <c r="Q16" s="103">
        <f>'Calc|Smart meter data'!Q29</f>
        <v>5.0065599199999999</v>
      </c>
      <c r="R16" s="103">
        <f>'Calc|Smart meter data'!R29</f>
        <v>5.6489946</v>
      </c>
      <c r="S16" s="103">
        <f>'Calc|Smart meter data'!S29</f>
        <v>6.3025057399999991</v>
      </c>
      <c r="T16" s="55"/>
      <c r="U16" s="37"/>
    </row>
    <row r="17" spans="1:23" x14ac:dyDescent="0.2">
      <c r="C17" s="55" t="s">
        <v>321</v>
      </c>
      <c r="D17" s="102"/>
      <c r="E17" s="21" t="str">
        <f t="shared" si="0"/>
        <v>$millions</v>
      </c>
      <c r="F17" s="71">
        <f t="shared" si="1"/>
        <v>45444</v>
      </c>
      <c r="H17" s="23"/>
      <c r="I17" s="23"/>
      <c r="J17" s="103"/>
      <c r="K17" s="103"/>
      <c r="L17" s="103"/>
      <c r="M17" s="103"/>
      <c r="N17" s="103"/>
      <c r="O17" s="103">
        <f>'Calc|Network innovation program'!O29</f>
        <v>1</v>
      </c>
      <c r="P17" s="103">
        <f>'Calc|Network innovation program'!P29</f>
        <v>1</v>
      </c>
      <c r="Q17" s="103">
        <f>'Calc|Network innovation program'!Q29</f>
        <v>1</v>
      </c>
      <c r="R17" s="103">
        <f>'Calc|Network innovation program'!R29</f>
        <v>1</v>
      </c>
      <c r="S17" s="103">
        <f>'Calc|Network innovation program'!S29</f>
        <v>1</v>
      </c>
      <c r="T17" s="55"/>
      <c r="U17" s="37"/>
    </row>
    <row r="18" spans="1:23" x14ac:dyDescent="0.2">
      <c r="C18" s="55" t="s">
        <v>323</v>
      </c>
      <c r="D18" s="102"/>
      <c r="E18" s="21" t="str">
        <f t="shared" si="0"/>
        <v>$millions</v>
      </c>
      <c r="F18" s="71">
        <f t="shared" si="1"/>
        <v>45444</v>
      </c>
      <c r="H18" s="23"/>
      <c r="I18" s="23"/>
      <c r="J18" s="103"/>
      <c r="K18" s="103"/>
      <c r="L18" s="103"/>
      <c r="M18" s="103"/>
      <c r="N18" s="103"/>
      <c r="O18" s="103">
        <f>'Calc|ICT enablement for CER'!O29</f>
        <v>0.94172062919999988</v>
      </c>
      <c r="P18" s="103">
        <f>'Calc|ICT enablement for CER'!P29</f>
        <v>2.0922325293999999</v>
      </c>
      <c r="Q18" s="103">
        <f>'Calc|ICT enablement for CER'!Q29</f>
        <v>2.2419862685999994</v>
      </c>
      <c r="R18" s="103">
        <f>'Calc|ICT enablement for CER'!R29</f>
        <v>2.4997354927999997</v>
      </c>
      <c r="S18" s="103">
        <f>'Calc|ICT enablement for CER'!S29</f>
        <v>2.5774922419999999</v>
      </c>
      <c r="T18" s="55"/>
      <c r="U18" s="37"/>
    </row>
    <row r="19" spans="1:23" x14ac:dyDescent="0.2">
      <c r="C19" s="55" t="s">
        <v>322</v>
      </c>
      <c r="D19" s="102"/>
      <c r="E19" s="21" t="str">
        <f t="shared" si="0"/>
        <v>$millions</v>
      </c>
      <c r="F19" s="71">
        <f t="shared" si="1"/>
        <v>45444</v>
      </c>
      <c r="H19" s="23"/>
      <c r="I19" s="23"/>
      <c r="J19" s="103"/>
      <c r="K19" s="103"/>
      <c r="L19" s="103"/>
      <c r="M19" s="103"/>
      <c r="N19" s="103"/>
      <c r="O19" s="103">
        <f>'Calc|Property'!O29</f>
        <v>-2.9066212099287978</v>
      </c>
      <c r="P19" s="103">
        <f>'Calc|Property'!P29</f>
        <v>-2.9066212099287978</v>
      </c>
      <c r="Q19" s="103">
        <f>'Calc|Property'!Q29</f>
        <v>-2.9066212099287978</v>
      </c>
      <c r="R19" s="103">
        <f>'Calc|Property'!R29</f>
        <v>-2.9066212099287978</v>
      </c>
      <c r="S19" s="103">
        <f>'Calc|Property'!S29</f>
        <v>-2.9066212099287978</v>
      </c>
      <c r="T19" s="55"/>
      <c r="U19" s="105"/>
    </row>
    <row r="20" spans="1:23" ht="10.5" x14ac:dyDescent="0.2">
      <c r="D20" s="102"/>
      <c r="H20" s="23"/>
      <c r="I20" s="23"/>
      <c r="S20" s="63"/>
    </row>
    <row r="21" spans="1:23" x14ac:dyDescent="0.2">
      <c r="D21" s="102"/>
      <c r="H21" s="23"/>
      <c r="I21" s="23"/>
    </row>
    <row r="22" spans="1:23" s="19" customFormat="1" ht="13" x14ac:dyDescent="0.3">
      <c r="A22" s="12"/>
      <c r="B22" s="13" t="s">
        <v>18</v>
      </c>
      <c r="C22" s="12"/>
      <c r="D22" s="12"/>
      <c r="E22" s="12"/>
      <c r="F22" s="14"/>
      <c r="G22" s="14"/>
      <c r="H22" s="14"/>
      <c r="I22" s="14"/>
      <c r="J22" s="15"/>
      <c r="K22" s="16"/>
      <c r="L22" s="15"/>
      <c r="M22" s="16"/>
      <c r="N22" s="15"/>
      <c r="O22" s="15"/>
      <c r="P22" s="15"/>
      <c r="Q22" s="15"/>
      <c r="R22" s="15"/>
      <c r="S22" s="15"/>
      <c r="T22" s="15"/>
      <c r="U22" s="15"/>
      <c r="V22" s="16"/>
      <c r="W22" s="16"/>
    </row>
    <row r="28" spans="1:23" hidden="1" x14ac:dyDescent="0.2">
      <c r="M28" s="61"/>
      <c r="N28" s="61"/>
      <c r="O28" s="61"/>
      <c r="P28" s="61"/>
      <c r="Q28" s="61"/>
      <c r="R28" s="61"/>
      <c r="S28" s="61"/>
    </row>
  </sheetData>
  <mergeCells count="1">
    <mergeCell ref="N3:S3"/>
  </mergeCells>
  <conditionalFormatting sqref="J13:S19">
    <cfRule type="expression" dxfId="11" priority="12">
      <formula>AND($C13=0,J$11=J$4)</formula>
    </cfRule>
    <cfRule type="expression" dxfId="10" priority="13">
      <formula>NOT(J$11=J$4)</formula>
    </cfRule>
    <cfRule type="expression" dxfId="9" priority="14">
      <formula>J$11=J$4</formula>
    </cfRule>
  </conditionalFormatting>
  <conditionalFormatting sqref="J11:S11">
    <cfRule type="expression" dxfId="8" priority="15">
      <formula>J$11=J$4</formula>
    </cfRule>
  </conditionalFormatting>
  <dataValidations count="1">
    <dataValidation type="list" allowBlank="1" showInputMessage="1" showErrorMessage="1" sqref="F20:F21" xr:uid="{ED23FBC8-D1FD-493A-8592-0F418E5FACAB}">
      <formula1>#REF!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7AE4-CFB1-4CD3-8F58-C220DF300402}">
  <sheetPr>
    <tabColor theme="4" tint="0.59999389629810485"/>
  </sheetPr>
  <dimension ref="A1:AU24"/>
  <sheetViews>
    <sheetView showGridLines="0" zoomScale="75" zoomScaleNormal="75" workbookViewId="0"/>
  </sheetViews>
  <sheetFormatPr defaultColWidth="0" defaultRowHeight="10" customHeight="1" zeroHeight="1" x14ac:dyDescent="0.2"/>
  <cols>
    <col min="1" max="2" width="1.1796875" style="20" customWidth="1"/>
    <col min="3" max="3" width="48.81640625" style="20" bestFit="1" customWidth="1"/>
    <col min="4" max="4" width="22.54296875" style="21" customWidth="1"/>
    <col min="5" max="5" width="12.81640625" style="21" customWidth="1"/>
    <col min="6" max="6" width="8.81640625" style="21" customWidth="1"/>
    <col min="7" max="9" width="2.81640625" style="21" customWidth="1"/>
    <col min="10" max="23" width="8.81640625" style="20" customWidth="1"/>
    <col min="24" max="47" width="0" style="20" hidden="1" customWidth="1"/>
    <col min="48" max="16384" width="8.54296875" style="20" hidden="1"/>
  </cols>
  <sheetData>
    <row r="1" spans="1:26" s="1" customFormat="1" ht="15.5" x14ac:dyDescent="0.35">
      <c r="B1" s="2" t="s">
        <v>0</v>
      </c>
      <c r="C1" s="2"/>
      <c r="D1" s="2"/>
      <c r="E1" s="2"/>
      <c r="F1" s="3"/>
      <c r="G1" s="3"/>
      <c r="H1" s="3"/>
      <c r="I1" s="3"/>
      <c r="J1" s="3"/>
      <c r="L1" s="4" t="s">
        <v>1</v>
      </c>
      <c r="M1" s="5" t="s">
        <v>2</v>
      </c>
      <c r="N1" s="6" t="s">
        <v>3</v>
      </c>
    </row>
    <row r="2" spans="1:26" s="7" customFormat="1" ht="13.5" thickBot="1" x14ac:dyDescent="0.35">
      <c r="B2" s="8" t="s">
        <v>194</v>
      </c>
      <c r="C2" s="8"/>
      <c r="D2" s="8"/>
      <c r="E2" s="8"/>
      <c r="F2" s="9"/>
      <c r="G2" s="9"/>
      <c r="H2" s="9"/>
      <c r="I2" s="9"/>
    </row>
    <row r="3" spans="1:26" s="38" customFormat="1" ht="14.5" customHeight="1" x14ac:dyDescent="0.25">
      <c r="D3" s="141"/>
      <c r="E3" s="141"/>
      <c r="F3" s="141"/>
      <c r="G3" s="141"/>
      <c r="H3" s="141"/>
      <c r="I3" s="141"/>
      <c r="J3" s="65" t="s">
        <v>12</v>
      </c>
      <c r="K3" s="65"/>
      <c r="L3" s="65"/>
      <c r="M3" s="141"/>
      <c r="N3" s="210"/>
      <c r="O3" s="210"/>
      <c r="P3" s="210"/>
      <c r="Q3" s="210"/>
      <c r="R3" s="210"/>
      <c r="S3" s="210"/>
      <c r="T3" s="42"/>
      <c r="U3" s="42"/>
      <c r="V3" s="42"/>
      <c r="W3" s="42"/>
      <c r="X3" s="42"/>
      <c r="Y3" s="42"/>
      <c r="Z3" s="42"/>
    </row>
    <row r="4" spans="1:26" s="19" customFormat="1" x14ac:dyDescent="0.2">
      <c r="A4" s="43"/>
      <c r="B4" s="43"/>
      <c r="C4" s="43"/>
      <c r="D4" s="44" t="s">
        <v>6</v>
      </c>
      <c r="E4" s="44" t="s">
        <v>24</v>
      </c>
      <c r="F4" s="45" t="s">
        <v>28</v>
      </c>
      <c r="G4" s="46"/>
      <c r="H4" s="46"/>
      <c r="I4" s="46"/>
      <c r="J4" s="47">
        <f>DATE(PPFirstYear,MONTH('Input|General'!$G$9),1)</f>
        <v>43983</v>
      </c>
      <c r="K4" s="47">
        <f>DATE(PPFirstYear+1,MONTH('Input|General'!$G$9),1)</f>
        <v>44348</v>
      </c>
      <c r="L4" s="47">
        <f>DATE(PPFirstYear+2,MONTH('Input|General'!$G$9),1)</f>
        <v>44713</v>
      </c>
      <c r="M4" s="47">
        <f>DATE(PPFirstYear+3,MONTH('Input|General'!$G$9),1)</f>
        <v>45078</v>
      </c>
      <c r="N4" s="47">
        <f>DATE(PPFirstYear+4,MONTH('Input|General'!$G$9),1)</f>
        <v>45444</v>
      </c>
      <c r="O4" s="47">
        <f>DATE(PPFirstYear+5,MONTH('Input|General'!$G$9),1)</f>
        <v>45809</v>
      </c>
      <c r="P4" s="47">
        <f>DATE(PPFirstYear+6,MONTH('Input|General'!$G$9),1)</f>
        <v>46174</v>
      </c>
      <c r="Q4" s="47">
        <f>DATE(PPFirstYear+7,MONTH('Input|General'!$G$9),1)</f>
        <v>46539</v>
      </c>
      <c r="R4" s="47">
        <f>DATE(PPFirstYear+8,MONTH('Input|General'!$G$9),1)</f>
        <v>46905</v>
      </c>
      <c r="S4" s="47">
        <f>DATE(PPFirstYear+9,MONTH('Input|General'!$G$9),1)</f>
        <v>47270</v>
      </c>
      <c r="T4" s="48"/>
      <c r="U4" s="48"/>
      <c r="V4" s="49"/>
      <c r="W4" s="49"/>
    </row>
    <row r="5" spans="1:26" s="10" customFormat="1" ht="3" customHeight="1" x14ac:dyDescent="0.2">
      <c r="D5" s="11"/>
      <c r="E5" s="11"/>
      <c r="F5" s="11"/>
      <c r="G5" s="11"/>
      <c r="H5" s="11"/>
      <c r="I5" s="11"/>
    </row>
    <row r="6" spans="1:26" s="10" customFormat="1" ht="9" customHeight="1" x14ac:dyDescent="0.2">
      <c r="D6" s="11"/>
      <c r="E6" s="11"/>
      <c r="F6" s="11"/>
      <c r="G6" s="11"/>
      <c r="H6" s="11"/>
      <c r="I6" s="11"/>
    </row>
    <row r="7" spans="1:26" s="10" customFormat="1" ht="3" customHeight="1" x14ac:dyDescent="0.2">
      <c r="D7" s="11"/>
      <c r="E7" s="11"/>
      <c r="F7" s="11"/>
      <c r="G7" s="11"/>
      <c r="H7" s="11"/>
      <c r="I7" s="11"/>
    </row>
    <row r="8" spans="1:26" s="19" customFormat="1" ht="13" x14ac:dyDescent="0.3">
      <c r="A8" s="12"/>
      <c r="B8" s="13" t="s">
        <v>92</v>
      </c>
      <c r="C8" s="12"/>
      <c r="D8" s="12"/>
      <c r="E8" s="66" t="s">
        <v>37</v>
      </c>
      <c r="F8" s="67">
        <f>DATE(PPLastYear,MONTH('Input|General'!$G$9),1)</f>
        <v>45444</v>
      </c>
      <c r="G8" s="14"/>
      <c r="H8" s="14"/>
      <c r="I8" s="14"/>
      <c r="J8" s="99" t="s">
        <v>89</v>
      </c>
      <c r="K8" s="16"/>
      <c r="L8" s="15"/>
      <c r="M8" s="16"/>
      <c r="N8" s="15"/>
      <c r="O8" s="15"/>
      <c r="P8" s="15"/>
      <c r="Q8" s="15"/>
      <c r="R8" s="15"/>
      <c r="S8" s="15"/>
      <c r="T8" s="15"/>
      <c r="U8" s="15"/>
      <c r="V8" s="16"/>
      <c r="W8" s="16"/>
    </row>
    <row r="9" spans="1:26" ht="4.5" customHeight="1" x14ac:dyDescent="0.2"/>
    <row r="10" spans="1:26" x14ac:dyDescent="0.2">
      <c r="M10" s="64"/>
      <c r="N10" s="64"/>
      <c r="O10" s="64"/>
      <c r="P10" s="64"/>
      <c r="Q10" s="64"/>
      <c r="R10" s="64"/>
      <c r="S10" s="64"/>
    </row>
    <row r="11" spans="1:26" ht="10.5" x14ac:dyDescent="0.25">
      <c r="C11" s="29" t="s">
        <v>195</v>
      </c>
      <c r="D11" s="23" t="s">
        <v>6</v>
      </c>
      <c r="E11" s="23" t="s">
        <v>24</v>
      </c>
      <c r="F11" s="23" t="s">
        <v>28</v>
      </c>
      <c r="H11" s="23"/>
      <c r="I11" s="23"/>
      <c r="J11" s="23"/>
      <c r="K11" s="23"/>
      <c r="L11" s="23"/>
      <c r="M11" s="62">
        <f t="shared" ref="M11" si="0">IF(YEAR(M$4)&lt;=PPLastYear,M$4,"")</f>
        <v>45078</v>
      </c>
      <c r="N11" s="62"/>
      <c r="O11" s="62"/>
      <c r="P11" s="62"/>
      <c r="Q11" s="62"/>
      <c r="R11" s="62"/>
      <c r="S11" s="62"/>
      <c r="U11" s="100" t="s">
        <v>90</v>
      </c>
      <c r="V11" s="101"/>
      <c r="W11" s="101"/>
    </row>
    <row r="12" spans="1:26" ht="10.5" x14ac:dyDescent="0.25">
      <c r="C12" s="29"/>
      <c r="D12" s="23"/>
      <c r="E12" s="23"/>
      <c r="F12" s="23"/>
      <c r="H12" s="23"/>
      <c r="I12" s="23"/>
      <c r="J12" s="62"/>
      <c r="K12" s="62"/>
      <c r="L12" s="62"/>
      <c r="M12" s="62"/>
      <c r="N12" s="62"/>
      <c r="O12" s="62"/>
      <c r="P12" s="62"/>
      <c r="Q12" s="62"/>
      <c r="R12" s="62"/>
      <c r="S12" s="62"/>
      <c r="U12" s="29"/>
    </row>
    <row r="13" spans="1:26" x14ac:dyDescent="0.2">
      <c r="C13" s="55" t="s">
        <v>286</v>
      </c>
      <c r="D13" s="102"/>
      <c r="E13" s="21" t="str">
        <f>$E$8</f>
        <v>$millions</v>
      </c>
      <c r="F13" s="71">
        <f>$F$8</f>
        <v>45444</v>
      </c>
      <c r="H13" s="23"/>
      <c r="I13" s="23"/>
      <c r="J13" s="103"/>
      <c r="K13" s="103"/>
      <c r="L13" s="103"/>
      <c r="M13" s="103">
        <f>'Calc|BY Adj SaaS'!M27</f>
        <v>30.93341593690791</v>
      </c>
      <c r="N13" s="103"/>
      <c r="O13" s="103"/>
      <c r="P13" s="103"/>
      <c r="Q13" s="103"/>
      <c r="R13" s="103"/>
      <c r="S13" s="103"/>
      <c r="U13" s="37"/>
    </row>
    <row r="14" spans="1:26" x14ac:dyDescent="0.2">
      <c r="C14" s="55" t="s">
        <v>287</v>
      </c>
      <c r="D14" s="102"/>
      <c r="E14" s="21" t="str">
        <f t="shared" ref="E14:E15" si="1">$E$8</f>
        <v>$millions</v>
      </c>
      <c r="F14" s="71">
        <f>$F$8</f>
        <v>45444</v>
      </c>
      <c r="H14" s="23"/>
      <c r="I14" s="23"/>
      <c r="J14" s="103"/>
      <c r="K14" s="103"/>
      <c r="L14" s="103"/>
      <c r="M14" s="103">
        <f>'Calc|BY Adj CAM adjustment'!M27</f>
        <v>7.3362359684147123</v>
      </c>
      <c r="N14" s="103"/>
      <c r="O14" s="103"/>
      <c r="P14" s="103"/>
      <c r="Q14" s="103"/>
      <c r="R14" s="103"/>
      <c r="S14" s="103"/>
      <c r="U14" s="37"/>
    </row>
    <row r="15" spans="1:26" x14ac:dyDescent="0.2">
      <c r="C15" s="55" t="s">
        <v>360</v>
      </c>
      <c r="D15" s="102"/>
      <c r="E15" s="21" t="str">
        <f t="shared" si="1"/>
        <v>$millions</v>
      </c>
      <c r="F15" s="71">
        <f>$F$8</f>
        <v>45444</v>
      </c>
      <c r="H15" s="23"/>
      <c r="I15" s="23"/>
      <c r="J15" s="103"/>
      <c r="K15" s="103"/>
      <c r="L15" s="103"/>
      <c r="M15" s="103">
        <f>'Calc|BY Adj Nature induced cost'!M28</f>
        <v>4.3627555752005218</v>
      </c>
      <c r="N15" s="103"/>
      <c r="O15" s="103"/>
      <c r="P15" s="103"/>
      <c r="Q15" s="103"/>
      <c r="R15" s="103"/>
      <c r="S15" s="103"/>
      <c r="U15" s="37"/>
    </row>
    <row r="16" spans="1:26" ht="10.5" x14ac:dyDescent="0.2">
      <c r="D16" s="102"/>
      <c r="H16" s="23"/>
      <c r="I16" s="23"/>
      <c r="S16" s="63"/>
    </row>
    <row r="17" spans="1:23" x14ac:dyDescent="0.2">
      <c r="D17" s="102"/>
      <c r="H17" s="23"/>
      <c r="I17" s="23"/>
    </row>
    <row r="18" spans="1:23" s="19" customFormat="1" ht="13" x14ac:dyDescent="0.3">
      <c r="A18" s="12"/>
      <c r="B18" s="13" t="s">
        <v>18</v>
      </c>
      <c r="C18" s="12"/>
      <c r="D18" s="12"/>
      <c r="E18" s="12"/>
      <c r="F18" s="14"/>
      <c r="G18" s="14"/>
      <c r="H18" s="14"/>
      <c r="I18" s="14"/>
      <c r="J18" s="15"/>
      <c r="K18" s="16"/>
      <c r="L18" s="15"/>
      <c r="M18" s="16"/>
      <c r="N18" s="15"/>
      <c r="O18" s="15"/>
      <c r="P18" s="15"/>
      <c r="Q18" s="15"/>
      <c r="R18" s="15"/>
      <c r="S18" s="15"/>
      <c r="T18" s="15"/>
      <c r="U18" s="15"/>
      <c r="V18" s="16"/>
      <c r="W18" s="16"/>
    </row>
    <row r="24" spans="1:23" hidden="1" x14ac:dyDescent="0.2">
      <c r="M24" s="61"/>
      <c r="N24" s="61"/>
      <c r="O24" s="61"/>
      <c r="P24" s="61"/>
      <c r="Q24" s="61"/>
      <c r="R24" s="61"/>
      <c r="S24" s="61"/>
    </row>
  </sheetData>
  <mergeCells count="1">
    <mergeCell ref="N3:S3"/>
  </mergeCells>
  <conditionalFormatting sqref="J13:S15">
    <cfRule type="expression" dxfId="7" priority="4">
      <formula>AND($C13=0,J$11=J$4)</formula>
    </cfRule>
    <cfRule type="expression" dxfId="6" priority="5">
      <formula>NOT(J$11=J$4)</formula>
    </cfRule>
    <cfRule type="expression" dxfId="5" priority="6">
      <formula>J$11=J$4</formula>
    </cfRule>
  </conditionalFormatting>
  <conditionalFormatting sqref="M11:S11">
    <cfRule type="expression" dxfId="4" priority="7">
      <formula>M$11=M$4</formula>
    </cfRule>
  </conditionalFormatting>
  <dataValidations count="1">
    <dataValidation type="list" allowBlank="1" showInputMessage="1" showErrorMessage="1" sqref="F16:F17" xr:uid="{A391B3EF-1152-4632-890D-92C028F76A71}">
      <formula1>#REF!</formula1>
    </dataValidation>
  </dataValidation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1A6D-BB6C-4ED4-82E5-24569059A229}">
  <sheetPr>
    <tabColor theme="1"/>
  </sheetPr>
  <dimension ref="A1:XER86"/>
  <sheetViews>
    <sheetView showGridLines="0" zoomScale="75" zoomScaleNormal="75" workbookViewId="0">
      <selection activeCell="R42" sqref="R42"/>
    </sheetView>
  </sheetViews>
  <sheetFormatPr defaultColWidth="0" defaultRowHeight="10" customHeight="1" zeroHeight="1" x14ac:dyDescent="0.2"/>
  <cols>
    <col min="1" max="2" width="1.1796875" style="20" customWidth="1"/>
    <col min="3" max="3" width="34.453125" style="20" customWidth="1"/>
    <col min="4" max="4" width="13.81640625" style="89" customWidth="1"/>
    <col min="5" max="5" width="12.81640625" style="89" customWidth="1"/>
    <col min="6" max="6" width="8.81640625" style="89" customWidth="1"/>
    <col min="7" max="7" width="12.1796875" style="21" customWidth="1"/>
    <col min="8" max="9" width="12.1796875" style="20" customWidth="1"/>
    <col min="10" max="23" width="8.81640625" style="20" customWidth="1"/>
    <col min="24" max="311" width="8.54296875" style="20" hidden="1" customWidth="1"/>
    <col min="312" max="16371" width="8.54296875" style="20" hidden="1"/>
    <col min="16372" max="16372" width="0" style="20" hidden="1"/>
    <col min="16373" max="16384" width="8.54296875" style="20" hidden="1"/>
  </cols>
  <sheetData>
    <row r="1" spans="1:30" s="3" customFormat="1" ht="15.5" x14ac:dyDescent="0.35">
      <c r="A1" s="1"/>
      <c r="B1" s="2" t="s">
        <v>0</v>
      </c>
      <c r="C1" s="2"/>
      <c r="D1" s="2"/>
      <c r="E1" s="2"/>
    </row>
    <row r="2" spans="1:30" s="1" customFormat="1" ht="13" x14ac:dyDescent="0.3">
      <c r="B2" s="83" t="s">
        <v>86</v>
      </c>
      <c r="C2" s="83"/>
      <c r="D2" s="83"/>
      <c r="E2" s="83"/>
      <c r="F2" s="84"/>
      <c r="G2" s="84"/>
      <c r="H2" s="84"/>
      <c r="I2" s="84"/>
    </row>
    <row r="3" spans="1:30" s="87" customFormat="1" ht="13" x14ac:dyDescent="0.3">
      <c r="A3" s="12"/>
      <c r="B3" s="13"/>
      <c r="C3" s="12"/>
      <c r="D3" s="12"/>
      <c r="E3" s="12"/>
      <c r="F3" s="14"/>
      <c r="G3" s="14"/>
      <c r="H3" s="14"/>
      <c r="I3" s="14"/>
      <c r="J3" s="15"/>
      <c r="K3" s="16"/>
      <c r="L3" s="15"/>
      <c r="M3" s="16"/>
      <c r="N3" s="15"/>
      <c r="O3" s="15"/>
      <c r="P3" s="15"/>
      <c r="Q3" s="15"/>
      <c r="R3" s="15"/>
      <c r="S3" s="15"/>
      <c r="T3" s="15"/>
      <c r="U3" s="15"/>
      <c r="V3" s="16"/>
      <c r="W3" s="16"/>
      <c r="X3" s="85"/>
      <c r="Y3" s="85"/>
      <c r="Z3" s="85"/>
      <c r="AA3" s="85"/>
      <c r="AB3" s="85"/>
      <c r="AC3" s="86"/>
      <c r="AD3" s="86"/>
    </row>
    <row r="4" spans="1:30" s="10" customFormat="1" ht="3" customHeight="1" x14ac:dyDescent="0.2">
      <c r="D4" s="88"/>
      <c r="E4" s="88"/>
    </row>
    <row r="5" spans="1:30" s="10" customFormat="1" ht="9" customHeight="1" x14ac:dyDescent="0.2">
      <c r="D5" s="88"/>
      <c r="E5" s="88"/>
    </row>
    <row r="6" spans="1:30" s="10" customFormat="1" ht="3" customHeight="1" x14ac:dyDescent="0.2">
      <c r="D6" s="88"/>
      <c r="E6" s="88"/>
    </row>
    <row r="7" spans="1:30" s="19" customFormat="1" ht="13" x14ac:dyDescent="0.3">
      <c r="A7" s="12"/>
      <c r="B7" s="13" t="s">
        <v>43</v>
      </c>
      <c r="C7" s="12"/>
      <c r="D7" s="12"/>
      <c r="E7" s="12"/>
      <c r="F7" s="14"/>
      <c r="G7" s="14"/>
      <c r="H7" s="14"/>
      <c r="I7" s="14"/>
      <c r="J7" s="15"/>
      <c r="K7" s="16"/>
      <c r="L7" s="15"/>
      <c r="M7" s="16"/>
      <c r="N7" s="15"/>
      <c r="O7" s="15"/>
      <c r="P7" s="15"/>
      <c r="Q7" s="15"/>
      <c r="R7" s="15"/>
      <c r="S7" s="15"/>
      <c r="T7" s="15"/>
      <c r="U7" s="15"/>
      <c r="V7" s="16"/>
      <c r="W7" s="16"/>
      <c r="X7" s="17"/>
      <c r="Y7" s="17"/>
      <c r="Z7" s="17"/>
      <c r="AA7" s="17"/>
      <c r="AB7" s="17"/>
      <c r="AC7" s="18"/>
      <c r="AD7" s="18"/>
    </row>
    <row r="8" spans="1:30" x14ac:dyDescent="0.2"/>
    <row r="9" spans="1:30" ht="10.5" x14ac:dyDescent="0.25">
      <c r="C9" s="22" t="str">
        <f>B7</f>
        <v>Unit Denominations</v>
      </c>
      <c r="D9" s="23" t="s">
        <v>6</v>
      </c>
      <c r="E9" s="23"/>
      <c r="F9" s="24"/>
      <c r="G9" s="24" t="s">
        <v>44</v>
      </c>
      <c r="H9" s="24"/>
    </row>
    <row r="10" spans="1:30" x14ac:dyDescent="0.2">
      <c r="C10" s="55" t="s">
        <v>45</v>
      </c>
      <c r="D10" s="21" t="s">
        <v>11</v>
      </c>
      <c r="E10" s="21"/>
      <c r="F10" s="21"/>
      <c r="G10" s="25" t="s">
        <v>46</v>
      </c>
    </row>
    <row r="11" spans="1:30" x14ac:dyDescent="0.2">
      <c r="C11" s="55" t="s">
        <v>47</v>
      </c>
      <c r="D11" s="21" t="s">
        <v>11</v>
      </c>
      <c r="E11" s="21"/>
      <c r="F11" s="21"/>
      <c r="G11" s="25" t="s">
        <v>48</v>
      </c>
    </row>
    <row r="12" spans="1:30" x14ac:dyDescent="0.2">
      <c r="C12" s="55" t="s">
        <v>49</v>
      </c>
      <c r="D12" s="21" t="s">
        <v>11</v>
      </c>
      <c r="E12" s="21"/>
      <c r="F12" s="21"/>
      <c r="G12" s="25" t="s">
        <v>37</v>
      </c>
      <c r="T12" s="90"/>
    </row>
    <row r="13" spans="1:30" x14ac:dyDescent="0.2">
      <c r="F13" s="20"/>
      <c r="G13" s="20"/>
    </row>
    <row r="14" spans="1:30" x14ac:dyDescent="0.2">
      <c r="C14" s="55" t="s">
        <v>26</v>
      </c>
      <c r="D14" s="21" t="s">
        <v>11</v>
      </c>
      <c r="E14" s="21"/>
      <c r="F14" s="21"/>
      <c r="G14" s="25" t="s">
        <v>34</v>
      </c>
    </row>
    <row r="15" spans="1:30" x14ac:dyDescent="0.2">
      <c r="C15" s="55" t="s">
        <v>24</v>
      </c>
      <c r="D15" s="21" t="s">
        <v>11</v>
      </c>
      <c r="E15" s="21"/>
      <c r="F15" s="21"/>
      <c r="G15" s="25" t="s">
        <v>50</v>
      </c>
    </row>
    <row r="16" spans="1:30" x14ac:dyDescent="0.2">
      <c r="C16" s="55" t="s">
        <v>51</v>
      </c>
      <c r="D16" s="21" t="s">
        <v>11</v>
      </c>
      <c r="E16" s="21"/>
      <c r="F16" s="21"/>
      <c r="G16" s="25" t="s">
        <v>33</v>
      </c>
    </row>
    <row r="17" spans="1:30" x14ac:dyDescent="0.2">
      <c r="C17" s="55" t="s">
        <v>52</v>
      </c>
      <c r="D17" s="21" t="s">
        <v>11</v>
      </c>
      <c r="E17" s="21"/>
      <c r="F17" s="21"/>
      <c r="G17" s="25" t="s">
        <v>53</v>
      </c>
    </row>
    <row r="18" spans="1:30" x14ac:dyDescent="0.2">
      <c r="C18" s="55"/>
      <c r="D18" s="21"/>
      <c r="E18" s="21"/>
      <c r="F18" s="21"/>
      <c r="G18" s="20"/>
    </row>
    <row r="19" spans="1:30" x14ac:dyDescent="0.2">
      <c r="C19" s="55" t="s">
        <v>54</v>
      </c>
      <c r="D19" s="21" t="s">
        <v>11</v>
      </c>
      <c r="E19" s="21"/>
      <c r="F19" s="21"/>
      <c r="G19" s="25" t="s">
        <v>54</v>
      </c>
    </row>
    <row r="20" spans="1:30" x14ac:dyDescent="0.2">
      <c r="C20" s="55" t="s">
        <v>55</v>
      </c>
      <c r="D20" s="21" t="s">
        <v>11</v>
      </c>
      <c r="E20" s="21"/>
      <c r="F20" s="21"/>
      <c r="G20" s="25" t="s">
        <v>55</v>
      </c>
    </row>
    <row r="21" spans="1:30" x14ac:dyDescent="0.2">
      <c r="C21" s="55"/>
      <c r="D21" s="21"/>
      <c r="E21" s="21"/>
      <c r="F21" s="21"/>
      <c r="G21" s="20"/>
    </row>
    <row r="22" spans="1:30" s="19" customFormat="1" ht="13" x14ac:dyDescent="0.3">
      <c r="A22" s="12"/>
      <c r="B22" s="13" t="s">
        <v>56</v>
      </c>
      <c r="C22" s="12"/>
      <c r="D22" s="12"/>
      <c r="E22" s="12"/>
      <c r="F22" s="14"/>
      <c r="G22" s="14"/>
      <c r="H22" s="14"/>
      <c r="I22" s="14"/>
      <c r="J22" s="15"/>
      <c r="K22" s="16"/>
      <c r="L22" s="15"/>
      <c r="M22" s="16"/>
      <c r="N22" s="15"/>
      <c r="O22" s="15"/>
      <c r="P22" s="15"/>
      <c r="Q22" s="15"/>
      <c r="R22" s="15"/>
      <c r="S22" s="15"/>
      <c r="T22" s="15"/>
      <c r="U22" s="15"/>
      <c r="V22" s="16"/>
      <c r="W22" s="16"/>
      <c r="X22" s="17"/>
      <c r="Y22" s="17"/>
      <c r="Z22" s="17"/>
      <c r="AA22" s="17"/>
      <c r="AB22" s="17"/>
      <c r="AC22" s="18"/>
      <c r="AD22" s="18"/>
    </row>
    <row r="23" spans="1:30" x14ac:dyDescent="0.2"/>
    <row r="24" spans="1:30" ht="10.5" x14ac:dyDescent="0.25">
      <c r="C24" s="22" t="str">
        <f>B22</f>
        <v>Months</v>
      </c>
      <c r="D24" s="23" t="s">
        <v>6</v>
      </c>
      <c r="E24" s="23"/>
      <c r="F24" s="24"/>
      <c r="G24" s="24" t="s">
        <v>44</v>
      </c>
      <c r="H24" s="24"/>
    </row>
    <row r="25" spans="1:30" ht="10.5" x14ac:dyDescent="0.25">
      <c r="C25" s="55" t="s">
        <v>57</v>
      </c>
      <c r="D25" s="21" t="s">
        <v>11</v>
      </c>
      <c r="E25" s="21"/>
      <c r="F25" s="21"/>
      <c r="G25" s="26">
        <v>36526</v>
      </c>
      <c r="H25" s="24"/>
    </row>
    <row r="26" spans="1:30" ht="10.5" x14ac:dyDescent="0.25">
      <c r="C26" s="55" t="s">
        <v>58</v>
      </c>
      <c r="D26" s="21" t="s">
        <v>11</v>
      </c>
      <c r="E26" s="21"/>
      <c r="F26" s="21"/>
      <c r="G26" s="26">
        <v>36557</v>
      </c>
      <c r="H26" s="24"/>
    </row>
    <row r="27" spans="1:30" ht="10.5" x14ac:dyDescent="0.25">
      <c r="C27" s="55" t="s">
        <v>59</v>
      </c>
      <c r="D27" s="21" t="s">
        <v>11</v>
      </c>
      <c r="E27" s="21"/>
      <c r="F27" s="21"/>
      <c r="G27" s="26">
        <v>36586</v>
      </c>
      <c r="H27" s="24"/>
    </row>
    <row r="28" spans="1:30" x14ac:dyDescent="0.2">
      <c r="C28" s="55" t="s">
        <v>60</v>
      </c>
      <c r="D28" s="21" t="s">
        <v>11</v>
      </c>
      <c r="E28" s="21"/>
      <c r="F28" s="21"/>
      <c r="G28" s="26">
        <v>36617</v>
      </c>
    </row>
    <row r="29" spans="1:30" x14ac:dyDescent="0.2">
      <c r="C29" s="55" t="s">
        <v>61</v>
      </c>
      <c r="D29" s="21" t="s">
        <v>11</v>
      </c>
      <c r="E29" s="21"/>
      <c r="F29" s="21"/>
      <c r="G29" s="26">
        <v>36647</v>
      </c>
    </row>
    <row r="30" spans="1:30" x14ac:dyDescent="0.2">
      <c r="C30" s="55" t="s">
        <v>62</v>
      </c>
      <c r="D30" s="21" t="s">
        <v>11</v>
      </c>
      <c r="E30" s="21"/>
      <c r="F30" s="21"/>
      <c r="G30" s="26">
        <v>36678</v>
      </c>
      <c r="T30" s="90"/>
    </row>
    <row r="31" spans="1:30" x14ac:dyDescent="0.2">
      <c r="C31" s="55" t="s">
        <v>63</v>
      </c>
      <c r="D31" s="21" t="s">
        <v>11</v>
      </c>
      <c r="E31" s="21"/>
      <c r="F31" s="21"/>
      <c r="G31" s="26">
        <v>36708</v>
      </c>
      <c r="T31" s="90"/>
    </row>
    <row r="32" spans="1:30" x14ac:dyDescent="0.2">
      <c r="C32" s="55" t="s">
        <v>64</v>
      </c>
      <c r="D32" s="21" t="s">
        <v>11</v>
      </c>
      <c r="E32" s="21"/>
      <c r="F32" s="21"/>
      <c r="G32" s="26">
        <v>36739</v>
      </c>
      <c r="T32" s="90"/>
    </row>
    <row r="33" spans="1:30" x14ac:dyDescent="0.2">
      <c r="C33" s="55" t="s">
        <v>65</v>
      </c>
      <c r="D33" s="21" t="s">
        <v>11</v>
      </c>
      <c r="E33" s="21"/>
      <c r="F33" s="21"/>
      <c r="G33" s="26">
        <v>36770</v>
      </c>
      <c r="T33" s="90"/>
    </row>
    <row r="34" spans="1:30" x14ac:dyDescent="0.2">
      <c r="C34" s="55" t="s">
        <v>66</v>
      </c>
      <c r="D34" s="21" t="s">
        <v>11</v>
      </c>
      <c r="E34" s="21"/>
      <c r="F34" s="21"/>
      <c r="G34" s="26">
        <v>36800</v>
      </c>
      <c r="T34" s="90"/>
    </row>
    <row r="35" spans="1:30" x14ac:dyDescent="0.2">
      <c r="C35" s="55" t="s">
        <v>67</v>
      </c>
      <c r="D35" s="21" t="s">
        <v>11</v>
      </c>
      <c r="E35" s="21"/>
      <c r="F35" s="21"/>
      <c r="G35" s="26">
        <v>36831</v>
      </c>
      <c r="T35" s="90"/>
    </row>
    <row r="36" spans="1:30" x14ac:dyDescent="0.2">
      <c r="C36" s="55" t="s">
        <v>68</v>
      </c>
      <c r="D36" s="21" t="s">
        <v>11</v>
      </c>
      <c r="E36" s="21"/>
      <c r="F36" s="21"/>
      <c r="G36" s="26">
        <v>36861</v>
      </c>
      <c r="T36" s="90"/>
    </row>
    <row r="37" spans="1:30" x14ac:dyDescent="0.2">
      <c r="C37" s="55"/>
      <c r="D37" s="21"/>
      <c r="E37" s="21"/>
      <c r="F37" s="21"/>
      <c r="T37" s="90"/>
    </row>
    <row r="38" spans="1:30" s="19" customFormat="1" ht="13" x14ac:dyDescent="0.3">
      <c r="A38" s="12"/>
      <c r="B38" s="13" t="s">
        <v>69</v>
      </c>
      <c r="C38" s="12"/>
      <c r="D38" s="12"/>
      <c r="E38" s="12"/>
      <c r="F38" s="14"/>
      <c r="G38" s="14"/>
      <c r="H38" s="14"/>
      <c r="I38" s="14"/>
      <c r="J38" s="15"/>
      <c r="K38" s="16"/>
      <c r="L38" s="15"/>
      <c r="M38" s="16"/>
      <c r="N38" s="15"/>
      <c r="O38" s="15"/>
      <c r="P38" s="15"/>
      <c r="Q38" s="15"/>
      <c r="R38" s="15"/>
      <c r="S38" s="15"/>
      <c r="T38" s="15"/>
      <c r="U38" s="15"/>
      <c r="V38" s="16"/>
      <c r="W38" s="16"/>
      <c r="X38" s="17"/>
      <c r="Y38" s="17"/>
      <c r="Z38" s="17"/>
      <c r="AA38" s="17"/>
      <c r="AB38" s="17"/>
      <c r="AC38" s="18"/>
      <c r="AD38" s="18"/>
    </row>
    <row r="39" spans="1:30" x14ac:dyDescent="0.2"/>
    <row r="40" spans="1:30" ht="10.5" x14ac:dyDescent="0.25">
      <c r="C40" s="22" t="str">
        <f>B38</f>
        <v>Years</v>
      </c>
      <c r="D40" s="23" t="s">
        <v>6</v>
      </c>
      <c r="E40" s="23"/>
      <c r="F40" s="24"/>
      <c r="G40" s="24" t="s">
        <v>70</v>
      </c>
      <c r="H40" s="24" t="s">
        <v>71</v>
      </c>
      <c r="I40" s="24" t="s">
        <v>72</v>
      </c>
    </row>
    <row r="41" spans="1:30" x14ac:dyDescent="0.2">
      <c r="C41" s="59">
        <v>40695</v>
      </c>
      <c r="D41" s="21" t="s">
        <v>11</v>
      </c>
      <c r="E41" s="21"/>
      <c r="F41" s="21"/>
      <c r="G41" s="27">
        <v>2011</v>
      </c>
      <c r="H41" s="91">
        <f>DATE(G41,MONTH('Input|General'!$G$9),1)</f>
        <v>40695</v>
      </c>
      <c r="I41" s="92" t="str">
        <f>G41-1&amp;"–"&amp;RIGHT(G41,2)</f>
        <v>2010–11</v>
      </c>
    </row>
    <row r="42" spans="1:30" x14ac:dyDescent="0.2">
      <c r="C42" s="59">
        <v>41061</v>
      </c>
      <c r="D42" s="21" t="s">
        <v>11</v>
      </c>
      <c r="E42" s="21"/>
      <c r="F42" s="21"/>
      <c r="G42" s="27">
        <v>2012</v>
      </c>
      <c r="H42" s="91">
        <f>DATE(G42,MONTH('Input|General'!$G$9),1)</f>
        <v>41061</v>
      </c>
      <c r="I42" s="92" t="str">
        <f t="shared" ref="I42:I60" si="0">G42-1&amp;"–"&amp;RIGHT(G42,2)</f>
        <v>2011–12</v>
      </c>
    </row>
    <row r="43" spans="1:30" x14ac:dyDescent="0.2">
      <c r="C43" s="59">
        <v>41426</v>
      </c>
      <c r="D43" s="21" t="s">
        <v>11</v>
      </c>
      <c r="E43" s="21"/>
      <c r="F43" s="21"/>
      <c r="G43" s="27">
        <v>2013</v>
      </c>
      <c r="H43" s="91">
        <f>DATE(G43,MONTH('Input|General'!$G$9),1)</f>
        <v>41426</v>
      </c>
      <c r="I43" s="92" t="str">
        <f t="shared" si="0"/>
        <v>2012–13</v>
      </c>
    </row>
    <row r="44" spans="1:30" x14ac:dyDescent="0.2">
      <c r="C44" s="59">
        <v>41791</v>
      </c>
      <c r="D44" s="21" t="s">
        <v>11</v>
      </c>
      <c r="E44" s="21"/>
      <c r="F44" s="21"/>
      <c r="G44" s="27">
        <v>2014</v>
      </c>
      <c r="H44" s="91">
        <f>DATE(G44,MONTH('Input|General'!$G$9),1)</f>
        <v>41791</v>
      </c>
      <c r="I44" s="92" t="str">
        <f t="shared" si="0"/>
        <v>2013–14</v>
      </c>
    </row>
    <row r="45" spans="1:30" x14ac:dyDescent="0.2">
      <c r="C45" s="59">
        <v>42156</v>
      </c>
      <c r="D45" s="21" t="s">
        <v>11</v>
      </c>
      <c r="E45" s="21"/>
      <c r="F45" s="21"/>
      <c r="G45" s="27">
        <v>2015</v>
      </c>
      <c r="H45" s="91">
        <f>DATE(G45,MONTH('Input|General'!$G$9),1)</f>
        <v>42156</v>
      </c>
      <c r="I45" s="92" t="str">
        <f t="shared" si="0"/>
        <v>2014–15</v>
      </c>
      <c r="T45" s="90"/>
    </row>
    <row r="46" spans="1:30" x14ac:dyDescent="0.2">
      <c r="C46" s="59">
        <v>42522</v>
      </c>
      <c r="D46" s="21" t="s">
        <v>11</v>
      </c>
      <c r="E46" s="21"/>
      <c r="F46" s="21"/>
      <c r="G46" s="27">
        <v>2016</v>
      </c>
      <c r="H46" s="91">
        <f>DATE(G46,MONTH('Input|General'!$G$9),1)</f>
        <v>42522</v>
      </c>
      <c r="I46" s="92" t="str">
        <f t="shared" si="0"/>
        <v>2015–16</v>
      </c>
      <c r="T46" s="90"/>
    </row>
    <row r="47" spans="1:30" x14ac:dyDescent="0.2">
      <c r="C47" s="59">
        <v>42887</v>
      </c>
      <c r="D47" s="21" t="s">
        <v>11</v>
      </c>
      <c r="E47" s="21"/>
      <c r="F47" s="21"/>
      <c r="G47" s="27">
        <v>2017</v>
      </c>
      <c r="H47" s="91">
        <f>DATE(G47,MONTH('Input|General'!$G$9),1)</f>
        <v>42887</v>
      </c>
      <c r="I47" s="92" t="str">
        <f t="shared" si="0"/>
        <v>2016–17</v>
      </c>
      <c r="T47" s="90"/>
    </row>
    <row r="48" spans="1:30" x14ac:dyDescent="0.2">
      <c r="C48" s="59">
        <v>43252</v>
      </c>
      <c r="D48" s="21" t="s">
        <v>11</v>
      </c>
      <c r="E48" s="21"/>
      <c r="F48" s="21"/>
      <c r="G48" s="27">
        <v>2018</v>
      </c>
      <c r="H48" s="91">
        <f>DATE(G48,MONTH('Input|General'!$G$9),1)</f>
        <v>43252</v>
      </c>
      <c r="I48" s="92" t="str">
        <f t="shared" si="0"/>
        <v>2017–18</v>
      </c>
      <c r="T48" s="90"/>
    </row>
    <row r="49" spans="1:30" x14ac:dyDescent="0.2">
      <c r="C49" s="59">
        <v>43617</v>
      </c>
      <c r="D49" s="21" t="s">
        <v>11</v>
      </c>
      <c r="E49" s="21"/>
      <c r="F49" s="21"/>
      <c r="G49" s="27">
        <v>2019</v>
      </c>
      <c r="H49" s="91">
        <f>DATE(G49,MONTH('Input|General'!$G$9),1)</f>
        <v>43617</v>
      </c>
      <c r="I49" s="92" t="str">
        <f t="shared" si="0"/>
        <v>2018–19</v>
      </c>
      <c r="T49" s="90"/>
    </row>
    <row r="50" spans="1:30" x14ac:dyDescent="0.2">
      <c r="C50" s="59">
        <v>43983</v>
      </c>
      <c r="D50" s="21" t="s">
        <v>11</v>
      </c>
      <c r="E50" s="21"/>
      <c r="F50" s="21"/>
      <c r="G50" s="27">
        <v>2020</v>
      </c>
      <c r="H50" s="91">
        <f>DATE(G50,MONTH('Input|General'!$G$9),1)</f>
        <v>43983</v>
      </c>
      <c r="I50" s="92" t="str">
        <f t="shared" si="0"/>
        <v>2019–20</v>
      </c>
      <c r="T50" s="90"/>
    </row>
    <row r="51" spans="1:30" x14ac:dyDescent="0.2">
      <c r="C51" s="59">
        <v>44348</v>
      </c>
      <c r="D51" s="21" t="s">
        <v>11</v>
      </c>
      <c r="E51" s="21"/>
      <c r="F51" s="21"/>
      <c r="G51" s="27">
        <v>2021</v>
      </c>
      <c r="H51" s="91">
        <f>DATE(G51,MONTH('Input|General'!$G$9),1)</f>
        <v>44348</v>
      </c>
      <c r="I51" s="92" t="str">
        <f t="shared" si="0"/>
        <v>2020–21</v>
      </c>
      <c r="T51" s="90"/>
    </row>
    <row r="52" spans="1:30" x14ac:dyDescent="0.2">
      <c r="C52" s="59">
        <v>44713</v>
      </c>
      <c r="D52" s="21" t="s">
        <v>11</v>
      </c>
      <c r="E52" s="21"/>
      <c r="F52" s="21"/>
      <c r="G52" s="27">
        <v>2022</v>
      </c>
      <c r="H52" s="91">
        <f>DATE(G52,MONTH('Input|General'!$G$9),1)</f>
        <v>44713</v>
      </c>
      <c r="I52" s="92" t="str">
        <f t="shared" si="0"/>
        <v>2021–22</v>
      </c>
      <c r="T52" s="90"/>
    </row>
    <row r="53" spans="1:30" x14ac:dyDescent="0.2">
      <c r="C53" s="59">
        <v>45078</v>
      </c>
      <c r="D53" s="21" t="s">
        <v>11</v>
      </c>
      <c r="E53" s="21"/>
      <c r="F53" s="21"/>
      <c r="G53" s="27">
        <v>2023</v>
      </c>
      <c r="H53" s="91">
        <f>DATE(G53,MONTH('Input|General'!$G$9),1)</f>
        <v>45078</v>
      </c>
      <c r="I53" s="92" t="str">
        <f t="shared" si="0"/>
        <v>2022–23</v>
      </c>
      <c r="T53" s="90"/>
    </row>
    <row r="54" spans="1:30" x14ac:dyDescent="0.2">
      <c r="C54" s="59">
        <v>45444</v>
      </c>
      <c r="D54" s="21" t="s">
        <v>11</v>
      </c>
      <c r="E54" s="21"/>
      <c r="F54" s="21"/>
      <c r="G54" s="27">
        <v>2024</v>
      </c>
      <c r="H54" s="91">
        <f>DATE(G54,MONTH('Input|General'!$G$9),1)</f>
        <v>45444</v>
      </c>
      <c r="I54" s="92" t="str">
        <f t="shared" si="0"/>
        <v>2023–24</v>
      </c>
      <c r="T54" s="90"/>
    </row>
    <row r="55" spans="1:30" x14ac:dyDescent="0.2">
      <c r="C55" s="59">
        <v>45809</v>
      </c>
      <c r="D55" s="21" t="s">
        <v>11</v>
      </c>
      <c r="E55" s="21"/>
      <c r="F55" s="21"/>
      <c r="G55" s="27">
        <v>2025</v>
      </c>
      <c r="H55" s="91">
        <f>DATE(G55,MONTH('Input|General'!$G$9),1)</f>
        <v>45809</v>
      </c>
      <c r="I55" s="92" t="str">
        <f t="shared" si="0"/>
        <v>2024–25</v>
      </c>
      <c r="T55" s="90"/>
    </row>
    <row r="56" spans="1:30" x14ac:dyDescent="0.2">
      <c r="C56" s="59">
        <v>46174</v>
      </c>
      <c r="D56" s="21" t="s">
        <v>11</v>
      </c>
      <c r="E56" s="21"/>
      <c r="F56" s="21"/>
      <c r="G56" s="27">
        <v>2026</v>
      </c>
      <c r="H56" s="91">
        <f>DATE(G56,MONTH('Input|General'!$G$9),1)</f>
        <v>46174</v>
      </c>
      <c r="I56" s="92" t="str">
        <f t="shared" si="0"/>
        <v>2025–26</v>
      </c>
      <c r="T56" s="90"/>
    </row>
    <row r="57" spans="1:30" x14ac:dyDescent="0.2">
      <c r="C57" s="59">
        <v>46539</v>
      </c>
      <c r="D57" s="21" t="s">
        <v>11</v>
      </c>
      <c r="E57" s="21"/>
      <c r="F57" s="21"/>
      <c r="G57" s="27">
        <v>2027</v>
      </c>
      <c r="H57" s="91">
        <f>DATE(G57,MONTH('Input|General'!$G$9),1)</f>
        <v>46539</v>
      </c>
      <c r="I57" s="92" t="str">
        <f t="shared" si="0"/>
        <v>2026–27</v>
      </c>
      <c r="T57" s="90"/>
    </row>
    <row r="58" spans="1:30" x14ac:dyDescent="0.2">
      <c r="C58" s="59">
        <v>46905</v>
      </c>
      <c r="D58" s="21" t="s">
        <v>11</v>
      </c>
      <c r="E58" s="21"/>
      <c r="F58" s="21"/>
      <c r="G58" s="27">
        <v>2028</v>
      </c>
      <c r="H58" s="91">
        <f>DATE(G58,MONTH('Input|General'!$G$9),1)</f>
        <v>46905</v>
      </c>
      <c r="I58" s="92" t="str">
        <f t="shared" si="0"/>
        <v>2027–28</v>
      </c>
      <c r="T58" s="90"/>
    </row>
    <row r="59" spans="1:30" x14ac:dyDescent="0.2">
      <c r="C59" s="59">
        <v>47270</v>
      </c>
      <c r="D59" s="21" t="s">
        <v>11</v>
      </c>
      <c r="E59" s="21"/>
      <c r="F59" s="21"/>
      <c r="G59" s="27">
        <v>2029</v>
      </c>
      <c r="H59" s="91">
        <f>DATE(G59,MONTH('Input|General'!$G$9),1)</f>
        <v>47270</v>
      </c>
      <c r="I59" s="92" t="str">
        <f t="shared" si="0"/>
        <v>2028–29</v>
      </c>
      <c r="T59" s="90"/>
    </row>
    <row r="60" spans="1:30" x14ac:dyDescent="0.2">
      <c r="C60" s="59">
        <v>47635</v>
      </c>
      <c r="D60" s="21" t="s">
        <v>11</v>
      </c>
      <c r="E60" s="21"/>
      <c r="F60" s="21"/>
      <c r="G60" s="27">
        <v>2030</v>
      </c>
      <c r="H60" s="91">
        <f>DATE(G60,MONTH('Input|General'!$G$9),1)</f>
        <v>47635</v>
      </c>
      <c r="I60" s="92" t="str">
        <f t="shared" si="0"/>
        <v>2029–30</v>
      </c>
      <c r="T60" s="90"/>
    </row>
    <row r="61" spans="1:30" x14ac:dyDescent="0.2"/>
    <row r="62" spans="1:30" s="19" customFormat="1" ht="13" x14ac:dyDescent="0.3">
      <c r="A62" s="12"/>
      <c r="B62" s="13" t="s">
        <v>73</v>
      </c>
      <c r="C62" s="12"/>
      <c r="D62" s="12"/>
      <c r="E62" s="12"/>
      <c r="F62" s="14"/>
      <c r="G62" s="14"/>
      <c r="H62" s="14"/>
      <c r="I62" s="14"/>
      <c r="J62" s="15"/>
      <c r="K62" s="16"/>
      <c r="L62" s="15"/>
      <c r="M62" s="16"/>
      <c r="N62" s="15"/>
      <c r="O62" s="15"/>
      <c r="P62" s="15"/>
      <c r="Q62" s="15"/>
      <c r="R62" s="15"/>
      <c r="S62" s="15"/>
      <c r="T62" s="15"/>
      <c r="U62" s="15"/>
      <c r="V62" s="16"/>
      <c r="W62" s="16"/>
      <c r="X62" s="17"/>
      <c r="Y62" s="17"/>
      <c r="Z62" s="17"/>
      <c r="AA62" s="17"/>
      <c r="AB62" s="17"/>
      <c r="AC62" s="18"/>
      <c r="AD62" s="18"/>
    </row>
    <row r="63" spans="1:30" x14ac:dyDescent="0.2"/>
    <row r="64" spans="1:30" ht="10.5" x14ac:dyDescent="0.25">
      <c r="C64" s="22" t="str">
        <f>B62</f>
        <v>Regulatory years</v>
      </c>
      <c r="D64" s="23" t="s">
        <v>6</v>
      </c>
      <c r="E64" s="23"/>
      <c r="F64" s="24"/>
      <c r="G64" s="24" t="s">
        <v>74</v>
      </c>
      <c r="H64" s="24" t="s">
        <v>12</v>
      </c>
    </row>
    <row r="65" spans="1:30" ht="10.5" x14ac:dyDescent="0.25">
      <c r="C65" s="55" t="s">
        <v>292</v>
      </c>
      <c r="D65" s="21" t="s">
        <v>30</v>
      </c>
      <c r="E65" s="23"/>
      <c r="F65" s="24"/>
      <c r="G65" s="169" t="str">
        <f>IF(MONTH('Input|General'!$G$9)=12,PPFirstYear-2,PPFirstYear-3&amp;"–"&amp;RIGHT(PPFirstYear-2,2))</f>
        <v>2017–18</v>
      </c>
      <c r="H65" s="170">
        <f>DATE(PPFirstYear-2,MONTH('Input|General'!$G$9),1)</f>
        <v>43252</v>
      </c>
    </row>
    <row r="66" spans="1:30" ht="10.5" x14ac:dyDescent="0.25">
      <c r="C66" s="55" t="s">
        <v>75</v>
      </c>
      <c r="D66" s="21" t="s">
        <v>30</v>
      </c>
      <c r="E66" s="23"/>
      <c r="F66" s="168"/>
      <c r="G66" s="169" t="str">
        <f>IF(MONTH('Input|General'!$G$9)=12,PPFirstYear-1,PPFirstYear-2&amp;"–"&amp;RIGHT(PPFirstYear-1,2))</f>
        <v>2018–19</v>
      </c>
      <c r="H66" s="170">
        <f>DATE(PPFirstYear-1,MONTH('Input|General'!$G$9),1)</f>
        <v>43617</v>
      </c>
    </row>
    <row r="67" spans="1:30" x14ac:dyDescent="0.2">
      <c r="C67" s="55" t="s">
        <v>76</v>
      </c>
      <c r="D67" s="21" t="s">
        <v>30</v>
      </c>
      <c r="E67" s="21"/>
      <c r="F67" s="21"/>
      <c r="G67" s="92" t="str">
        <f>IF(MONTH('Input|General'!$G$9)=12,PPFirstYear,PPFirstYear-1&amp;"–"&amp;RIGHT(PPFirstYear,2))</f>
        <v>2019–20</v>
      </c>
      <c r="H67" s="91">
        <f>DATE(PPFirstYear,MONTH('Input|General'!$G$9),1)</f>
        <v>43983</v>
      </c>
    </row>
    <row r="68" spans="1:30" x14ac:dyDescent="0.2">
      <c r="C68" s="55" t="s">
        <v>77</v>
      </c>
      <c r="D68" s="21" t="s">
        <v>30</v>
      </c>
      <c r="E68" s="21"/>
      <c r="F68" s="21"/>
      <c r="G68" s="92" t="str">
        <f>IF(MONTH('Input|General'!$G$9)=12,PPFirstYear+1,PPFirstYear&amp;"–"&amp;RIGHT(PPFirstYear+1,2))</f>
        <v>2020–21</v>
      </c>
      <c r="H68" s="91">
        <f>IF(PPLastYear-PPFirstYear&lt;1,"",DATE(PPFirstYear+1,MONTH('Input|General'!$G$9),1))</f>
        <v>44348</v>
      </c>
    </row>
    <row r="69" spans="1:30" x14ac:dyDescent="0.2">
      <c r="C69" s="55" t="s">
        <v>78</v>
      </c>
      <c r="D69" s="21" t="s">
        <v>30</v>
      </c>
      <c r="E69" s="21"/>
      <c r="F69" s="21"/>
      <c r="G69" s="92" t="str">
        <f>IF(MONTH('Input|General'!$G$9)=12,PPFirstYear+2,PPFirstYear+1&amp;"–"&amp;RIGHT(PPFirstYear+2,2))</f>
        <v>2021–22</v>
      </c>
      <c r="H69" s="91">
        <f>IF(PPLastYear-PPFirstYear&lt;2,"",DATE(PPFirstYear+2,MONTH('Input|General'!$G$9),1))</f>
        <v>44713</v>
      </c>
    </row>
    <row r="70" spans="1:30" x14ac:dyDescent="0.2">
      <c r="C70" s="55" t="s">
        <v>79</v>
      </c>
      <c r="D70" s="21" t="s">
        <v>30</v>
      </c>
      <c r="E70" s="21"/>
      <c r="F70" s="21"/>
      <c r="G70" s="92" t="str">
        <f>IF(MONTH('Input|General'!$G$9)=12,PPFirstYear+3,PPFirstYear+2&amp;"–"&amp;RIGHT(PPFirstYear+3,2))</f>
        <v>2022–23</v>
      </c>
      <c r="H70" s="91">
        <f>IF(PPLastYear-PPFirstYear&lt;3,"",DATE(PPFirstYear+3,MONTH('Input|General'!$G$9),1))</f>
        <v>45078</v>
      </c>
    </row>
    <row r="71" spans="1:30" x14ac:dyDescent="0.2">
      <c r="C71" s="55" t="s">
        <v>80</v>
      </c>
      <c r="D71" s="21" t="s">
        <v>30</v>
      </c>
      <c r="E71" s="21"/>
      <c r="F71" s="21"/>
      <c r="G71" s="92" t="str">
        <f>IF(MONTH('Input|General'!$G$9)=12,PPFirstYear+4,PPFirstYear+3&amp;"–"&amp;RIGHT(PPFirstYear+4,2))</f>
        <v>2023–24</v>
      </c>
      <c r="H71" s="91">
        <f>IF(PPLastYear-PPFirstYear&lt;4,"",DATE(PPFirstYear+4,MONTH('Input|General'!$G$9),1))</f>
        <v>45444</v>
      </c>
    </row>
    <row r="72" spans="1:30" x14ac:dyDescent="0.2">
      <c r="C72" s="55" t="s">
        <v>81</v>
      </c>
      <c r="D72" s="21" t="s">
        <v>30</v>
      </c>
      <c r="E72" s="21"/>
      <c r="F72" s="21"/>
      <c r="G72" s="93" t="str">
        <f>IF(MONTH('Input|General'!$G$9)=12,FPFirstYear,FPFirstYear-1&amp;"–"&amp;RIGHT(FPFirstYear,2))</f>
        <v>2024–25</v>
      </c>
      <c r="H72" s="91">
        <f>DATE(FPFirstYear,MONTH('Input|General'!$G$9),1)</f>
        <v>45809</v>
      </c>
      <c r="T72" s="90"/>
    </row>
    <row r="73" spans="1:30" x14ac:dyDescent="0.2">
      <c r="C73" s="55" t="s">
        <v>82</v>
      </c>
      <c r="D73" s="21" t="s">
        <v>30</v>
      </c>
      <c r="E73" s="21"/>
      <c r="F73" s="21"/>
      <c r="G73" s="93" t="str">
        <f>IF(MONTH('Input|General'!$G$9)=12,FPFirstYear+1,FPFirstYear&amp;"–"&amp;RIGHT(FPFirstYear+1,2))</f>
        <v>2025–26</v>
      </c>
      <c r="H73" s="91">
        <f>IF(FPLastYear-FPFirstYear&lt;1,"",DATE(FPFirstYear+1,MONTH('Input|General'!$G$9),1))</f>
        <v>46174</v>
      </c>
      <c r="T73" s="90"/>
    </row>
    <row r="74" spans="1:30" x14ac:dyDescent="0.2">
      <c r="C74" s="55" t="s">
        <v>83</v>
      </c>
      <c r="D74" s="21" t="s">
        <v>30</v>
      </c>
      <c r="E74" s="21"/>
      <c r="F74" s="21"/>
      <c r="G74" s="93" t="str">
        <f>IF(MONTH('Input|General'!$G$9)=12,FPFirstYear+2,FPFirstYear+1&amp;"–"&amp;RIGHT(FPFirstYear+2,2))</f>
        <v>2026–27</v>
      </c>
      <c r="H74" s="91">
        <f>IF(FPLastYear-FPFirstYear&lt;2,"",DATE(FPFirstYear+2,MONTH('Input|General'!$G$9),1))</f>
        <v>46539</v>
      </c>
      <c r="T74" s="90"/>
    </row>
    <row r="75" spans="1:30" x14ac:dyDescent="0.2">
      <c r="C75" s="55" t="s">
        <v>84</v>
      </c>
      <c r="D75" s="21" t="s">
        <v>30</v>
      </c>
      <c r="E75" s="21"/>
      <c r="F75" s="21"/>
      <c r="G75" s="93" t="str">
        <f>IF(MONTH('Input|General'!$G$9)=12,FPFirstYear+3,FPFirstYear+2&amp;"–"&amp;RIGHT(FPFirstYear+3,2))</f>
        <v>2027–28</v>
      </c>
      <c r="H75" s="91">
        <f>IF(FPLastYear-FPFirstYear&lt;3,"",DATE(FPFirstYear+3,MONTH('Input|General'!$G$9),1))</f>
        <v>46905</v>
      </c>
      <c r="T75" s="90"/>
    </row>
    <row r="76" spans="1:30" x14ac:dyDescent="0.2">
      <c r="C76" s="55" t="s">
        <v>85</v>
      </c>
      <c r="D76" s="21" t="s">
        <v>30</v>
      </c>
      <c r="E76" s="21"/>
      <c r="F76" s="21"/>
      <c r="G76" s="93" t="str">
        <f>IF(MONTH('Input|General'!$G$9)=12,FPFirstYear+4,FPFirstYear+3&amp;"–"&amp;RIGHT(FPFirstYear+4,2))</f>
        <v>2028–29</v>
      </c>
      <c r="H76" s="91">
        <f>IF(FPLastYear-FPFirstYear&lt;4,"",DATE(FPFirstYear+4,MONTH('Input|General'!$G$9),1))</f>
        <v>47270</v>
      </c>
      <c r="T76" s="90"/>
    </row>
    <row r="77" spans="1:30" x14ac:dyDescent="0.2">
      <c r="C77" s="55"/>
      <c r="D77" s="21"/>
      <c r="E77" s="21"/>
      <c r="F77" s="21"/>
      <c r="G77" s="94"/>
      <c r="H77" s="95"/>
      <c r="T77" s="90"/>
    </row>
    <row r="78" spans="1:30" s="19" customFormat="1" ht="13" x14ac:dyDescent="0.3">
      <c r="A78" s="12"/>
      <c r="B78" s="13" t="s">
        <v>87</v>
      </c>
      <c r="C78" s="12"/>
      <c r="D78" s="12"/>
      <c r="E78" s="12"/>
      <c r="F78" s="14"/>
      <c r="G78" s="14"/>
      <c r="H78" s="14"/>
      <c r="I78" s="14"/>
      <c r="J78" s="15"/>
      <c r="K78" s="16"/>
      <c r="L78" s="15"/>
      <c r="M78" s="16"/>
      <c r="N78" s="15"/>
      <c r="O78" s="15"/>
      <c r="P78" s="15"/>
      <c r="Q78" s="15"/>
      <c r="R78" s="15"/>
      <c r="S78" s="15"/>
      <c r="T78" s="15"/>
      <c r="U78" s="15"/>
      <c r="V78" s="16"/>
      <c r="W78" s="16"/>
      <c r="X78" s="17"/>
      <c r="Y78" s="17"/>
      <c r="Z78" s="17"/>
      <c r="AA78" s="17"/>
      <c r="AB78" s="17"/>
      <c r="AC78" s="18"/>
      <c r="AD78" s="18"/>
    </row>
    <row r="79" spans="1:30" x14ac:dyDescent="0.2"/>
    <row r="80" spans="1:30" ht="10.5" x14ac:dyDescent="0.25">
      <c r="C80" s="22" t="s">
        <v>97</v>
      </c>
      <c r="D80" s="23" t="s">
        <v>6</v>
      </c>
      <c r="E80" s="23"/>
      <c r="F80" s="24"/>
      <c r="G80" s="24"/>
      <c r="H80" s="24"/>
    </row>
    <row r="81" spans="1:30" x14ac:dyDescent="0.2">
      <c r="C81" s="59" t="s">
        <v>88</v>
      </c>
      <c r="D81" s="21" t="s">
        <v>41</v>
      </c>
      <c r="E81" s="21"/>
      <c r="F81" s="21"/>
      <c r="G81" s="92" t="s">
        <v>42</v>
      </c>
      <c r="H81" s="95"/>
    </row>
    <row r="82" spans="1:30" x14ac:dyDescent="0.2">
      <c r="C82" s="59">
        <v>44713</v>
      </c>
      <c r="D82" s="21" t="s">
        <v>41</v>
      </c>
      <c r="E82" s="21"/>
      <c r="F82" s="21"/>
      <c r="G82" s="91">
        <f>IF(PPLastYear-PPFirstYear&lt;3,"",DATE(PPFirstYear+2,MONTH('Input|General'!$G$9),1))</f>
        <v>44713</v>
      </c>
      <c r="H82" s="95"/>
    </row>
    <row r="83" spans="1:30" x14ac:dyDescent="0.2">
      <c r="C83" s="59">
        <v>45078</v>
      </c>
      <c r="D83" s="21" t="s">
        <v>41</v>
      </c>
      <c r="E83" s="21"/>
      <c r="F83" s="21"/>
      <c r="G83" s="91">
        <f>IF(PPLastYear-PPFirstYear&lt;3,"",DATE(PPFirstYear+3,MONTH('Input|General'!$G$9),1))</f>
        <v>45078</v>
      </c>
      <c r="H83" s="95"/>
    </row>
    <row r="84" spans="1:30" x14ac:dyDescent="0.2">
      <c r="C84" s="59">
        <v>45444</v>
      </c>
      <c r="D84" s="21" t="s">
        <v>41</v>
      </c>
      <c r="E84" s="21"/>
      <c r="F84" s="21"/>
      <c r="G84" s="91">
        <f>IF(PPLastYear-PPFirstYear&lt;4,"",DATE(PPFirstYear+4,MONTH('Input|General'!$G$9),1))</f>
        <v>45444</v>
      </c>
      <c r="H84" s="95"/>
    </row>
    <row r="85" spans="1:30" x14ac:dyDescent="0.2">
      <c r="C85" s="59"/>
      <c r="D85" s="21"/>
      <c r="E85" s="21"/>
      <c r="F85" s="21"/>
      <c r="G85" s="133"/>
      <c r="H85" s="95"/>
    </row>
    <row r="86" spans="1:30" s="19" customFormat="1" ht="13" x14ac:dyDescent="0.3">
      <c r="A86" s="12"/>
      <c r="B86" s="13" t="s">
        <v>18</v>
      </c>
      <c r="C86" s="12"/>
      <c r="D86" s="12"/>
      <c r="E86" s="12"/>
      <c r="F86" s="14"/>
      <c r="G86" s="14"/>
      <c r="H86" s="14"/>
      <c r="I86" s="14"/>
      <c r="J86" s="15"/>
      <c r="K86" s="16"/>
      <c r="L86" s="15"/>
      <c r="M86" s="16"/>
      <c r="N86" s="15"/>
      <c r="O86" s="15"/>
      <c r="P86" s="15"/>
      <c r="Q86" s="15"/>
      <c r="R86" s="15"/>
      <c r="S86" s="15"/>
      <c r="T86" s="15"/>
      <c r="U86" s="15"/>
      <c r="V86" s="16"/>
      <c r="W86" s="16"/>
      <c r="X86" s="17"/>
      <c r="Y86" s="17"/>
      <c r="Z86" s="17"/>
      <c r="AA86" s="17"/>
      <c r="AB86" s="17"/>
      <c r="AC86" s="18"/>
      <c r="AD86" s="18"/>
    </row>
  </sheetData>
  <conditionalFormatting sqref="P14:Q21">
    <cfRule type="expression" dxfId="3" priority="10" stopIfTrue="1">
      <formula>#REF!="Actual"</formula>
    </cfRule>
  </conditionalFormatting>
  <conditionalFormatting sqref="P14:P21">
    <cfRule type="expression" dxfId="2" priority="9" stopIfTrue="1">
      <formula>#REF!="Actual"</formula>
    </cfRule>
  </conditionalFormatting>
  <conditionalFormatting sqref="P61">
    <cfRule type="expression" dxfId="1" priority="2" stopIfTrue="1">
      <formula>#REF!="Actual"</formula>
    </cfRule>
  </conditionalFormatting>
  <conditionalFormatting sqref="Q61">
    <cfRule type="expression" dxfId="0" priority="1" stopIfTrue="1">
      <formula>#REF!="Actual"</formula>
    </cfRule>
  </conditionalFormatting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A260D8-1250-4A9F-8196-82CA1BE2404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2bb1572-9652-4799-87f4-00cf85b5992b"/>
    <ds:schemaRef ds:uri="7979ed89-640b-4b5b-af66-a44d5fa4dbe0"/>
  </ds:schemaRefs>
</ds:datastoreItem>
</file>

<file path=customXml/itemProps2.xml><?xml version="1.0" encoding="utf-8"?>
<ds:datastoreItem xmlns:ds="http://schemas.openxmlformats.org/officeDocument/2006/customXml" ds:itemID="{7BA8E2D1-E435-4390-8938-80A82A23B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685E0B-036A-4731-94DE-52FED434FC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19</vt:i4>
      </vt:variant>
    </vt:vector>
  </HeadingPairs>
  <TitlesOfParts>
    <vt:vector size="37" baseType="lpstr">
      <vt:lpstr>Cover sheet</vt:lpstr>
      <vt:lpstr>Index</vt:lpstr>
      <vt:lpstr>Input|General</vt:lpstr>
      <vt:lpstr>Input|Inflation</vt:lpstr>
      <vt:lpstr>Calc|CPI Indexes</vt:lpstr>
      <vt:lpstr>Calc|Cyber security</vt:lpstr>
      <vt:lpstr>Calc|Insurance premiums</vt:lpstr>
      <vt:lpstr>Calc|Community resilience</vt:lpstr>
      <vt:lpstr>Calc|Smart meter data</vt:lpstr>
      <vt:lpstr>Calc|Network innovation program</vt:lpstr>
      <vt:lpstr>Calc|ICT enablement for CER</vt:lpstr>
      <vt:lpstr>Calc|Property</vt:lpstr>
      <vt:lpstr>Calc|BY Adj SaaS</vt:lpstr>
      <vt:lpstr>Calc|BY Adj Nature induced cost</vt:lpstr>
      <vt:lpstr>Calc|BY Adj CAM adjustment</vt:lpstr>
      <vt:lpstr>Output|Step Changes</vt:lpstr>
      <vt:lpstr>Output|Base Year Adjustments</vt:lpstr>
      <vt:lpstr>Lookup|Tables</vt:lpstr>
      <vt:lpstr>BaseYear</vt:lpstr>
      <vt:lpstr>'Lookup|Tables'!dollars</vt:lpstr>
      <vt:lpstr>'Lookup|Tables'!factor</vt:lpstr>
      <vt:lpstr>FPFirstYear</vt:lpstr>
      <vt:lpstr>FPLastYear</vt:lpstr>
      <vt:lpstr>'Lookup|Tables'!millions</vt:lpstr>
      <vt:lpstr>month</vt:lpstr>
      <vt:lpstr>'Lookup|Tables'!Nominal_to_Real</vt:lpstr>
      <vt:lpstr>Nominal_to_Real</vt:lpstr>
      <vt:lpstr>NSP</vt:lpstr>
      <vt:lpstr>'Lookup|Tables'!number</vt:lpstr>
      <vt:lpstr>'Lookup|Tables'!percent</vt:lpstr>
      <vt:lpstr>percent</vt:lpstr>
      <vt:lpstr>'Lookup|Tables'!PPFirstYear</vt:lpstr>
      <vt:lpstr>PPFirstYear</vt:lpstr>
      <vt:lpstr>'Lookup|Tables'!PPLastYear</vt:lpstr>
      <vt:lpstr>PPLastYear</vt:lpstr>
      <vt:lpstr>'Lookup|Tables'!thousands</vt:lpstr>
      <vt:lpstr>'Lookup|Tables'!unit</vt:lpstr>
    </vt:vector>
  </TitlesOfParts>
  <Company>Ausgrid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Garcia</dc:creator>
  <cp:lastModifiedBy>Naomi Wynn</cp:lastModifiedBy>
  <dcterms:created xsi:type="dcterms:W3CDTF">2022-10-24T01:22:36Z</dcterms:created>
  <dcterms:modified xsi:type="dcterms:W3CDTF">2023-01-30T06:54:32Z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2022-11-16T06:53:57Z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cf4a3d76-1cb7-4dc3-a970-a1fc39aa8e48</vt:lpwstr>
  </property>
  <property fmtid="{D5CDD505-2E9C-101B-9397-08002B2CF9AE}" pid="8" name="MSIP_Label_895930eb-db2c-4917-a4e2-4c584d225a4f_ContentBits">
    <vt:lpwstr>2</vt:lpwstr>
  </property>
  <property fmtid="{D5CDD505-2E9C-101B-9397-08002B2CF9AE}" pid="9" name="ContentTypeId">
    <vt:lpwstr>0x010100C491839A9FD1E54B934055EE941647FE</vt:lpwstr>
  </property>
  <property fmtid="{D5CDD505-2E9C-101B-9397-08002B2CF9AE}" pid="10" name="MediaServiceImageTags">
    <vt:lpwstr/>
  </property>
</Properties>
</file>