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usgrid.sharepoint.com/teams/SP0539/Shared Documents/Regulation/24-29 Determination/800 Final Proposal (Jan 23)/804 Reg Proposal attachments - working drafts/Chapter 4 - Proposed Revenue/"/>
    </mc:Choice>
  </mc:AlternateContent>
  <xr:revisionPtr revIDLastSave="12" documentId="13_ncr:1_{DC183F0F-0488-4732-8BA3-E6575BD5D6B1}" xr6:coauthVersionLast="47" xr6:coauthVersionMax="47" xr10:uidLastSave="{B91A46E0-9CAA-4F8B-B5A0-2FBE0F7A433F}"/>
  <bookViews>
    <workbookView xWindow="-2910" yWindow="-16320" windowWidth="29040" windowHeight="15840" tabRatio="691" xr2:uid="{00000000-000D-0000-FFFF-FFFF00000000}"/>
  </bookViews>
  <sheets>
    <sheet name="Cover sheet" sheetId="16" r:id="rId1"/>
    <sheet name="Index" sheetId="5" r:id="rId2"/>
    <sheet name="Input | General" sheetId="2" r:id="rId3"/>
    <sheet name="Input | Inflation and Disc Rate" sheetId="13" r:id="rId4"/>
    <sheet name="FY19 Capex" sheetId="14" r:id="rId5"/>
    <sheet name="Input | Reported Capex" sheetId="3" r:id="rId6"/>
    <sheet name="Calc | CESS Revenue Increments" sheetId="4" r:id="rId7"/>
    <sheet name="Output | Models" sheetId="10" r:id="rId8"/>
    <sheet name="Output|FY19 CESS adjustment" sheetId="15" r:id="rId9"/>
  </sheets>
  <externalReferences>
    <externalReference r:id="rId10"/>
  </externalReferences>
  <definedNames>
    <definedName name="dollars" localSheetId="4">#REF!</definedName>
    <definedName name="dollars">#REF!</definedName>
    <definedName name="factor" localSheetId="4">#REF!</definedName>
    <definedName name="factor">#REF!</definedName>
    <definedName name="millions" localSheetId="4">#REF!</definedName>
    <definedName name="millions">#REF!</definedName>
    <definedName name="Nominal_to_Real">'[1]Input|Rate of change'!$C$23:$C$26</definedName>
    <definedName name="number">#REF!</definedName>
    <definedName name="percent" localSheetId="7">'[1]Lookup|Tables'!$G$14</definedName>
    <definedName name="percent">#REF!</definedName>
    <definedName name="thousands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14" l="1"/>
  <c r="K10" i="14"/>
  <c r="L18" i="3"/>
  <c r="L19" i="3"/>
  <c r="L20" i="3"/>
  <c r="L21" i="3"/>
  <c r="F19" i="15"/>
  <c r="J10" i="15"/>
  <c r="I10" i="15"/>
  <c r="H10" i="15"/>
  <c r="G10" i="15"/>
  <c r="F10" i="15"/>
  <c r="N41" i="4"/>
  <c r="M41" i="4"/>
  <c r="L41" i="4"/>
  <c r="K41" i="4"/>
  <c r="J41" i="4"/>
  <c r="N40" i="4"/>
  <c r="M40" i="4"/>
  <c r="L40" i="4"/>
  <c r="K40" i="4"/>
  <c r="J40" i="4"/>
  <c r="K12" i="14"/>
  <c r="K9" i="14"/>
  <c r="H14" i="14"/>
  <c r="H13" i="2"/>
  <c r="G13" i="2"/>
  <c r="F13" i="2"/>
  <c r="E13" i="2"/>
  <c r="D13" i="2"/>
  <c r="D18" i="2"/>
  <c r="E18" i="2"/>
  <c r="F18" i="2"/>
  <c r="G18" i="2"/>
  <c r="H18" i="2"/>
  <c r="G7" i="13"/>
  <c r="F7" i="13"/>
  <c r="F30" i="3"/>
  <c r="F10" i="3"/>
  <c r="F9" i="3"/>
  <c r="F12" i="3"/>
  <c r="F8" i="3"/>
  <c r="M7" i="13"/>
  <c r="N7" i="13"/>
  <c r="O7" i="13"/>
  <c r="P7" i="13"/>
  <c r="L7" i="13"/>
  <c r="H7" i="13"/>
  <c r="I7" i="13"/>
  <c r="J7" i="13"/>
  <c r="K7" i="13"/>
  <c r="D41" i="4"/>
  <c r="E41" i="4"/>
  <c r="F41" i="4"/>
  <c r="G41" i="4"/>
  <c r="H41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/>
  <c r="H23" i="3"/>
  <c r="H12" i="3"/>
  <c r="I16" i="3"/>
  <c r="I23" i="3"/>
  <c r="I12" i="3"/>
  <c r="L16" i="3"/>
  <c r="L12" i="3"/>
  <c r="K16" i="3"/>
  <c r="K23" i="3"/>
  <c r="K12" i="3"/>
  <c r="J16" i="3"/>
  <c r="J23" i="3"/>
  <c r="J12" i="3"/>
  <c r="L22" i="13"/>
  <c r="G22" i="13"/>
  <c r="H22" i="13"/>
  <c r="I22" i="13"/>
  <c r="J22" i="13"/>
  <c r="K22" i="13"/>
  <c r="H9" i="4"/>
  <c r="H8" i="4"/>
  <c r="G19" i="4"/>
  <c r="D25" i="4"/>
  <c r="D27" i="4"/>
  <c r="M14" i="13"/>
  <c r="M22" i="13"/>
  <c r="E9" i="4"/>
  <c r="M9" i="13"/>
  <c r="N9" i="13"/>
  <c r="O9" i="13"/>
  <c r="P9" i="13"/>
  <c r="C15" i="13"/>
  <c r="G15" i="13"/>
  <c r="H15" i="13"/>
  <c r="I15" i="13"/>
  <c r="J15" i="13"/>
  <c r="K15" i="13"/>
  <c r="C10" i="13"/>
  <c r="G8" i="4"/>
  <c r="F8" i="4"/>
  <c r="E8" i="4"/>
  <c r="F9" i="4"/>
  <c r="B1" i="2"/>
  <c r="B1" i="10"/>
  <c r="G9" i="4"/>
  <c r="D40" i="4"/>
  <c r="J6" i="10"/>
  <c r="F8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H27" i="3"/>
  <c r="I27" i="3"/>
  <c r="J27" i="3"/>
  <c r="K27" i="3"/>
  <c r="L27" i="3"/>
  <c r="C42" i="4"/>
  <c r="C44" i="4"/>
  <c r="G10" i="13"/>
  <c r="H10" i="13"/>
  <c r="I10" i="13"/>
  <c r="J10" i="13"/>
  <c r="K10" i="13"/>
  <c r="L10" i="13"/>
  <c r="I30" i="3"/>
  <c r="F10" i="4"/>
  <c r="E10" i="4"/>
  <c r="G11" i="4"/>
  <c r="F11" i="4"/>
  <c r="E11" i="4"/>
  <c r="F19" i="4"/>
  <c r="E19" i="4"/>
  <c r="E25" i="4"/>
  <c r="E27" i="4"/>
  <c r="G10" i="4"/>
  <c r="H10" i="4"/>
  <c r="N14" i="13"/>
  <c r="L15" i="13"/>
  <c r="M15" i="13"/>
  <c r="B1" i="5"/>
  <c r="B1" i="3"/>
  <c r="B1" i="13"/>
  <c r="B1" i="4"/>
  <c r="F13" i="4"/>
  <c r="G13" i="4"/>
  <c r="E13" i="4"/>
  <c r="H13" i="4"/>
  <c r="H30" i="3"/>
  <c r="H31" i="3"/>
  <c r="D26" i="4"/>
  <c r="D28" i="4"/>
  <c r="F12" i="4"/>
  <c r="F20" i="4"/>
  <c r="E12" i="4"/>
  <c r="G14" i="4"/>
  <c r="N22" i="13"/>
  <c r="F25" i="4"/>
  <c r="F27" i="4"/>
  <c r="G12" i="4"/>
  <c r="G20" i="4"/>
  <c r="N15" i="13"/>
  <c r="M10" i="13"/>
  <c r="N10" i="13"/>
  <c r="K30" i="3"/>
  <c r="O14" i="13"/>
  <c r="O22" i="13"/>
  <c r="I31" i="3"/>
  <c r="E26" i="4"/>
  <c r="E28" i="4"/>
  <c r="E18" i="4"/>
  <c r="G15" i="4"/>
  <c r="G18" i="4"/>
  <c r="H15" i="4"/>
  <c r="H16" i="4"/>
  <c r="H14" i="4"/>
  <c r="E20" i="4"/>
  <c r="F14" i="4"/>
  <c r="F18" i="4"/>
  <c r="J30" i="3"/>
  <c r="J31" i="3"/>
  <c r="F26" i="4"/>
  <c r="F28" i="4"/>
  <c r="O10" i="13"/>
  <c r="P10" i="13"/>
  <c r="P14" i="13"/>
  <c r="G25" i="4"/>
  <c r="G27" i="4"/>
  <c r="K31" i="3"/>
  <c r="G26" i="4"/>
  <c r="O15" i="13"/>
  <c r="F21" i="4"/>
  <c r="G21" i="4"/>
  <c r="E21" i="4"/>
  <c r="H18" i="4"/>
  <c r="P22" i="13"/>
  <c r="H25" i="4"/>
  <c r="H27" i="4"/>
  <c r="P15" i="13"/>
  <c r="L30" i="3"/>
  <c r="L31" i="3"/>
  <c r="H26" i="4"/>
  <c r="G28" i="4"/>
  <c r="H21" i="4"/>
  <c r="H28" i="4"/>
  <c r="D35" i="4"/>
  <c r="I14" i="14" l="1"/>
  <c r="K14" i="14"/>
  <c r="L23" i="3"/>
  <c r="H11" i="4" s="1"/>
  <c r="H12" i="4" s="1"/>
  <c r="H20" i="4" s="1"/>
  <c r="D31" i="4" s="1"/>
  <c r="D34" i="4" s="1"/>
  <c r="D36" i="4" s="1"/>
  <c r="D42" i="4" s="1"/>
  <c r="D33" i="4" l="1"/>
  <c r="F9" i="15"/>
  <c r="F12" i="15" s="1"/>
  <c r="J8" i="10"/>
  <c r="E42" i="4"/>
  <c r="F42" i="4" l="1"/>
  <c r="K8" i="10"/>
  <c r="G9" i="15"/>
  <c r="G12" i="15" s="1"/>
  <c r="H9" i="15" l="1"/>
  <c r="H12" i="15" s="1"/>
  <c r="G42" i="4"/>
  <c r="L8" i="10"/>
  <c r="I9" i="15" l="1"/>
  <c r="I12" i="15" s="1"/>
  <c r="H42" i="4"/>
  <c r="D44" i="4" s="1"/>
  <c r="J46" i="4" s="1"/>
  <c r="M8" i="10"/>
  <c r="N8" i="10" l="1"/>
  <c r="O8" i="10" s="1"/>
  <c r="J9" i="15"/>
  <c r="J12" i="15" s="1"/>
  <c r="G7" i="15" l="1"/>
  <c r="H7" i="15"/>
  <c r="F6" i="15" l="1"/>
  <c r="F7" i="15"/>
  <c r="G6" i="15" l="1"/>
  <c r="F13" i="15"/>
  <c r="G14" i="15" l="1"/>
  <c r="G19" i="15" s="1"/>
  <c r="H14" i="15"/>
  <c r="G13" i="15"/>
  <c r="H15" i="15" s="1"/>
  <c r="H6" i="15"/>
  <c r="I6" i="15" l="1"/>
  <c r="H13" i="15"/>
  <c r="H19" i="15"/>
  <c r="I13" i="15" l="1"/>
  <c r="J6" i="15"/>
  <c r="J13" i="15" s="1"/>
  <c r="J22" i="15" s="1"/>
  <c r="J15" i="15"/>
  <c r="J16" i="15"/>
  <c r="J17" i="15"/>
  <c r="J7" i="15"/>
  <c r="I21" i="15" s="1"/>
  <c r="J14" i="15"/>
  <c r="I7" i="15"/>
  <c r="I14" i="15"/>
  <c r="I15" i="15"/>
  <c r="I16" i="15"/>
  <c r="J19" i="15" l="1"/>
  <c r="J23" i="15" s="1"/>
  <c r="H21" i="15"/>
  <c r="I22" i="15"/>
  <c r="I19" i="15"/>
  <c r="I23" i="15" s="1"/>
  <c r="G21" i="15" l="1"/>
  <c r="H22" i="15"/>
  <c r="H23" i="15"/>
  <c r="F21" i="15" l="1"/>
  <c r="G23" i="15"/>
  <c r="G22" i="15"/>
  <c r="F23" i="15" l="1"/>
  <c r="F22" i="15"/>
  <c r="J24" i="15" l="1"/>
  <c r="F28" i="15" l="1"/>
  <c r="G28" i="15" l="1"/>
  <c r="H28" i="15" s="1"/>
  <c r="I28" i="15" l="1"/>
  <c r="J28" i="15" l="1"/>
  <c r="J29" i="15" s="1"/>
  <c r="G29" i="15"/>
  <c r="I29" i="15" l="1"/>
  <c r="H29" i="15"/>
  <c r="F29" i="15"/>
  <c r="F31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RG</author>
  </authors>
  <commentList>
    <comment ref="C5" authorId="0" shapeId="0" xr:uid="{BDBB1289-E788-4FE0-A73C-47CFA97BC17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9" authorId="1" shapeId="0" xr:uid="{9240850D-4B95-4B07-9737-5948C84D326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RG</author>
    <author>Wellfare, Nicholas</author>
  </authors>
  <commentList>
    <comment ref="C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K18" authorId="2" shapeId="0" xr:uid="{00000000-0006-0000-0300-000005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As per final decision RFM</t>
        </r>
      </text>
    </comment>
    <comment ref="C29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<sst xmlns="http://schemas.openxmlformats.org/spreadsheetml/2006/main" count="296" uniqueCount="150">
  <si>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</si>
  <si>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</si>
  <si>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</si>
  <si>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</si>
  <si>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</si>
  <si>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</si>
  <si>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</si>
  <si>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</si>
  <si>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</si>
  <si>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</si>
  <si>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</si>
  <si>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</si>
  <si>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</si>
  <si>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</si>
  <si>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</si>
  <si>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</si>
  <si>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</si>
  <si>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</si>
  <si>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</si>
  <si>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</si>
  <si>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</si>
  <si>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</si>
  <si>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</si>
  <si>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</si>
  <si>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</si>
  <si>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</si>
  <si>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</si>
  <si>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</si>
  <si>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</si>
  <si>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</si>
  <si>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</si>
  <si>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</si>
  <si>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</si>
  <si>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</si>
  <si>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</si>
  <si>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</si>
  <si>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</si>
  <si>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</si>
  <si>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</si>
  <si>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</si>
  <si>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</si>
  <si>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</si>
  <si>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</si>
  <si>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</si>
  <si>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</si>
  <si>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</si>
  <si>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</si>
  <si>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</si>
  <si>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</si>
  <si>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</si>
  <si>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</si>
  <si>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</si>
  <si>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</si>
  <si>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</si>
  <si>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</si>
  <si>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</si>
  <si>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</si>
  <si>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</si>
  <si>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</si>
  <si>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</si>
  <si>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</si>
  <si>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</si>
  <si>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</si>
  <si>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</si>
  <si>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</si>
  <si>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</si>
  <si>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</si>
  <si>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</si>
  <si>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</si>
  <si>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</si>
  <si>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</si>
  <si>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</si>
  <si>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</si>
  <si>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</si>
  <si>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</si>
  <si>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</si>
  <si>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</si>
  <si>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</si>
  <si>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</si>
  <si>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</si>
  <si>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</si>
  <si>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</si>
  <si>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</si>
  <si>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</si>
  <si>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</si>
  <si>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</si>
  <si>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</si>
  <si>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</si>
  <si>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</si>
  <si>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</si>
  <si>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</si>
  <si>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</si>
  <si>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</si>
  <si>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</si>
  <si>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</si>
  <si>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</si>
  <si>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</si>
  <si>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</si>
  <si>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</si>
  <si>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</si>
  <si>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</si>
  <si>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</si>
  <si>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</si>
  <si>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Ausgrid DX</t>
  </si>
  <si>
    <t>Final Decision</t>
  </si>
  <si>
    <t>2019-24</t>
  </si>
  <si>
    <t>2019-20</t>
  </si>
  <si>
    <t>No</t>
  </si>
  <si>
    <t>AER Final Decision</t>
  </si>
  <si>
    <t>N/A</t>
  </si>
  <si>
    <t>Actual AGD</t>
  </si>
  <si>
    <t>2018–19</t>
  </si>
  <si>
    <t>Final Year Difference</t>
  </si>
  <si>
    <t>Data sources:</t>
  </si>
  <si>
    <t>Column H is from the AER Final Decisision model Ausgrid 2019-24 - Dx CESS model, which was based on forecast FY19 Capex</t>
  </si>
  <si>
    <t>Select which capex data to test in</t>
  </si>
  <si>
    <t>Input|Reported Capex tab, Cell L17</t>
  </si>
  <si>
    <t xml:space="preserve">Based on Ausgrid's FY19 Actual Capex </t>
  </si>
  <si>
    <t xml:space="preserve">Distribution </t>
  </si>
  <si>
    <t>2020–21</t>
  </si>
  <si>
    <t>2021–22</t>
  </si>
  <si>
    <t>2022–23</t>
  </si>
  <si>
    <t>2023–24</t>
  </si>
  <si>
    <t>2024-25</t>
  </si>
  <si>
    <t>2025–26</t>
  </si>
  <si>
    <t>2026–27</t>
  </si>
  <si>
    <t>2027–28</t>
  </si>
  <si>
    <t>2028–29</t>
  </si>
  <si>
    <t>Real vanilla WACC</t>
  </si>
  <si>
    <t>Forecast real vanilla WACC</t>
  </si>
  <si>
    <t>Ausgrid</t>
  </si>
  <si>
    <t xml:space="preserve">Actual CPI </t>
  </si>
  <si>
    <t xml:space="preserve">Cumulative Actual CPI </t>
  </si>
  <si>
    <t>Nominal vanilla WACC (fixed real time varying)</t>
  </si>
  <si>
    <t>AER Final Decision (FY19 Forecast Capex)</t>
  </si>
  <si>
    <t>Difference in CESS increment amounts</t>
  </si>
  <si>
    <t>Benefit A</t>
  </si>
  <si>
    <t>Benefit B</t>
  </si>
  <si>
    <t>NPV Difference in CESS increment amounts</t>
  </si>
  <si>
    <t>NPV of CESS payment adjustments</t>
  </si>
  <si>
    <t>CESS Payment Per Year ($2023–24 million)</t>
  </si>
  <si>
    <t>Total CESS Payment ($2023–24 million)</t>
  </si>
  <si>
    <t>Difference</t>
  </si>
  <si>
    <t>Column I is Actual FY19 capex, rolled into Ausgrid's initial proposal RFM model for the 24-29 Reg reset</t>
  </si>
  <si>
    <t>Adjusted for FY19 Actual Capex</t>
  </si>
  <si>
    <t>AER FD PTRM 2019-24, 2022-23 RoD Update</t>
  </si>
  <si>
    <t>AER FD</t>
  </si>
  <si>
    <t>Calc | Total FY19 CESS Payment Adjustments</t>
  </si>
  <si>
    <t>Ausgrid’s 2024-29 Regulatory Proposal</t>
  </si>
  <si>
    <t>Attachment 4.1.h: FY19 CESS adjustment calculation for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</si>
</sst>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8" formatCode="&quot;$&quot;#,##0.00;[Red]\-&quot;$&quot;#,##0.0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6" formatCode="_(#\ ##0.00_);\(#\ ##0.00\);_(&quot;-&quot;_)"/>
    <numFmt numFmtId="187" formatCode="_-* #,##0.0000_-;\-* #,##0.0000_-;_-* &quot;-&quot;??_-;_-@_-"/>
    <numFmt numFmtId="188" formatCode="#,##0.000"/>
    <numFmt numFmtId="189" formatCode="0.000"/>
    <numFmt numFmtId="190" formatCode="_(* #,##0.0_);_(* \(#,##0.0\);_(* &quot;-&quot;?_);_(@_)"/>
    <numFmt numFmtId="191" formatCode="_-* #,##0.00000_-;\-* #,##0.00000_-;_-* &quot;-&quot;??_-;_-@_-"/>
    <numFmt numFmtId="192" formatCode="_-* #,##0.000_-;\-* #,##0.000_-;_-* &quot;-&quot;??_-;_-@_-"/>
    <numFmt numFmtId="193" formatCode="[$-C09]d\ mmmm\ yyyy;@"/>
  </numFmts>
  <fonts count="110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20"/>
      <color rgb="FF002060"/>
      <name val="Arial"/>
      <family val="2"/>
    </font>
    <font>
      <sz val="14"/>
      <color rgb="FF0070C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4" fillId="0" borderId="0"/>
    <xf numFmtId="166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7" fontId="24" fillId="0" borderId="8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8" fontId="23" fillId="28" borderId="0" applyNumberFormat="0" applyFont="0" applyBorder="0" applyAlignment="0">
      <alignment horizontal="right"/>
    </xf>
    <xf numFmtId="168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69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5" fontId="17" fillId="37" borderId="0" applyProtection="0"/>
    <xf numFmtId="168" fontId="23" fillId="38" borderId="0" applyFont="0" applyBorder="0" applyAlignment="0">
      <alignment horizontal="right"/>
      <protection locked="0"/>
    </xf>
    <xf numFmtId="168" fontId="23" fillId="38" borderId="0" applyFont="0" applyBorder="0" applyAlignment="0">
      <alignment horizontal="right"/>
      <protection locked="0"/>
    </xf>
    <xf numFmtId="176" fontId="23" fillId="5" borderId="0" applyFont="0" applyBorder="0">
      <alignment horizontal="right"/>
      <protection locked="0"/>
    </xf>
    <xf numFmtId="176" fontId="23" fillId="5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7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8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79" fontId="23" fillId="0" borderId="0" applyFill="0" applyBorder="0"/>
    <xf numFmtId="179" fontId="23" fillId="0" borderId="0" applyFill="0" applyBorder="0"/>
    <xf numFmtId="179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0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1" fontId="23" fillId="0" borderId="0"/>
    <xf numFmtId="181" fontId="23" fillId="0" borderId="0"/>
    <xf numFmtId="181" fontId="23" fillId="0" borderId="0"/>
    <xf numFmtId="182" fontId="24" fillId="0" borderId="0" applyFill="0" applyBorder="0">
      <alignment horizontal="right" vertical="center"/>
    </xf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7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7" fontId="24" fillId="0" borderId="27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69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0" fontId="23" fillId="39" borderId="0" applyFont="0" applyBorder="0">
      <alignment horizontal="right"/>
    </xf>
    <xf numFmtId="174" fontId="23" fillId="39" borderId="0" applyFont="0" applyBorder="0" applyAlignment="0"/>
    <xf numFmtId="190" fontId="23" fillId="39" borderId="0" applyFont="0" applyBorder="0">
      <alignment horizontal="right"/>
    </xf>
    <xf numFmtId="168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8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4" fontId="51" fillId="49" borderId="0" applyBorder="0" applyAlignment="0">
      <protection locked="0"/>
    </xf>
    <xf numFmtId="174" fontId="96" fillId="50" borderId="0" applyBorder="0" applyAlignment="0"/>
    <xf numFmtId="190" fontId="97" fillId="28" borderId="35" applyFont="0" applyBorder="0" applyAlignment="0"/>
    <xf numFmtId="174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33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0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6" fontId="20" fillId="0" borderId="24" xfId="55" applyNumberFormat="1" applyFont="1" applyFill="1" applyBorder="1" applyAlignment="1" applyProtection="1">
      <alignment horizontal="center" vertical="center"/>
    </xf>
    <xf numFmtId="187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8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89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4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89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1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6" fontId="20" fillId="0" borderId="0" xfId="55" applyNumberFormat="1" applyFont="1" applyFill="1" applyBorder="1" applyAlignment="1" applyProtection="1">
      <alignment horizontal="center" vertical="center"/>
    </xf>
    <xf numFmtId="189" fontId="24" fillId="3" borderId="26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1" fillId="56" borderId="0" xfId="265" applyFont="1" applyFill="1" applyBorder="1" applyAlignment="1" applyProtection="1">
      <alignment horizontal="center" vertical="center"/>
    </xf>
    <xf numFmtId="10" fontId="24" fillId="56" borderId="26" xfId="0" applyNumberFormat="1" applyFont="1" applyFill="1" applyBorder="1" applyAlignment="1">
      <alignment horizontal="center" vertical="center"/>
    </xf>
    <xf numFmtId="10" fontId="17" fillId="0" borderId="34" xfId="268" applyNumberFormat="1" applyFont="1" applyFill="1" applyBorder="1" applyAlignment="1" applyProtection="1">
      <alignment horizontal="right" vertical="center"/>
    </xf>
    <xf numFmtId="10" fontId="17" fillId="0" borderId="2" xfId="268" applyNumberFormat="1" applyFont="1" applyFill="1" applyBorder="1" applyAlignment="1" applyProtection="1">
      <alignment horizontal="right" vertical="center"/>
    </xf>
    <xf numFmtId="2" fontId="17" fillId="0" borderId="43" xfId="265" applyNumberFormat="1" applyFont="1" applyFill="1" applyBorder="1" applyAlignment="1" applyProtection="1">
      <alignment horizontal="right" vertical="center"/>
    </xf>
    <xf numFmtId="2" fontId="17" fillId="0" borderId="5" xfId="265" applyNumberFormat="1" applyFont="1" applyFill="1" applyBorder="1" applyAlignment="1" applyProtection="1">
      <alignment horizontal="right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89" fillId="3" borderId="0" xfId="0" applyFont="1" applyFill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104" fillId="51" borderId="0" xfId="0" applyFont="1" applyFill="1" applyAlignment="1">
      <alignment vertical="center"/>
    </xf>
    <xf numFmtId="49" fontId="103" fillId="51" borderId="0" xfId="0" applyNumberFormat="1" applyFont="1" applyFill="1" applyAlignment="1" applyProtection="1">
      <alignment horizontal="left" vertical="center"/>
      <protection locked="0"/>
    </xf>
    <xf numFmtId="49" fontId="103" fillId="52" borderId="0" xfId="0" applyNumberFormat="1" applyFont="1" applyFill="1" applyAlignment="1" applyProtection="1">
      <alignment horizontal="left" vertical="center"/>
      <protection locked="0"/>
    </xf>
    <xf numFmtId="165" fontId="22" fillId="3" borderId="2" xfId="0" applyNumberFormat="1" applyFont="1" applyFill="1" applyBorder="1" applyAlignment="1">
      <alignment horizontal="left" vertical="center"/>
    </xf>
    <xf numFmtId="165" fontId="19" fillId="3" borderId="2" xfId="0" applyNumberFormat="1" applyFont="1" applyFill="1" applyBorder="1" applyAlignment="1">
      <alignment horizontal="center" vertical="center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0" fontId="0" fillId="57" borderId="0" xfId="0" applyFill="1" applyAlignment="1">
      <alignment vertical="center"/>
    </xf>
    <xf numFmtId="2" fontId="24" fillId="58" borderId="24" xfId="1" applyNumberFormat="1" applyFont="1" applyFill="1" applyBorder="1" applyAlignment="1">
      <alignment horizontal="center" vertical="center"/>
    </xf>
    <xf numFmtId="43" fontId="24" fillId="0" borderId="34" xfId="304" applyFont="1" applyFill="1" applyBorder="1" applyAlignment="1">
      <alignment horizontal="right" vertical="center"/>
    </xf>
    <xf numFmtId="164" fontId="24" fillId="0" borderId="34" xfId="0" applyNumberFormat="1" applyFont="1" applyFill="1" applyBorder="1" applyAlignment="1">
      <alignment horizontal="right" vertical="center"/>
    </xf>
    <xf numFmtId="0" fontId="15" fillId="57" borderId="0" xfId="0" applyFont="1" applyFill="1" applyBorder="1" applyAlignment="1">
      <alignment horizontal="left" vertical="center"/>
    </xf>
    <xf numFmtId="0" fontId="10" fillId="57" borderId="0" xfId="0" applyFont="1" applyFill="1" applyBorder="1" applyAlignment="1">
      <alignment horizontal="center" vertical="center"/>
    </xf>
    <xf numFmtId="0" fontId="107" fillId="0" borderId="0" xfId="0" applyFont="1"/>
    <xf numFmtId="0" fontId="0" fillId="0" borderId="0" xfId="0" applyAlignment="1">
      <alignment horizontal="right"/>
    </xf>
    <xf numFmtId="10" fontId="0" fillId="0" borderId="0" xfId="268" applyNumberFormat="1" applyFont="1"/>
    <xf numFmtId="10" fontId="0" fillId="0" borderId="0" xfId="0" applyNumberFormat="1"/>
    <xf numFmtId="189" fontId="0" fillId="0" borderId="0" xfId="0" applyNumberFormat="1"/>
    <xf numFmtId="192" fontId="0" fillId="0" borderId="0" xfId="304" applyNumberFormat="1" applyFont="1"/>
    <xf numFmtId="43" fontId="0" fillId="0" borderId="0" xfId="304" applyFont="1"/>
    <xf numFmtId="187" fontId="0" fillId="0" borderId="0" xfId="304" applyNumberFormat="1" applyFont="1"/>
    <xf numFmtId="43" fontId="0" fillId="0" borderId="0" xfId="0" applyNumberFormat="1"/>
    <xf numFmtId="8" fontId="0" fillId="0" borderId="0" xfId="0" applyNumberFormat="1"/>
    <xf numFmtId="43" fontId="107" fillId="0" borderId="0" xfId="304" applyFont="1"/>
    <xf numFmtId="0" fontId="107" fillId="0" borderId="0" xfId="0" applyFont="1" applyAlignment="1">
      <alignment horizontal="right"/>
    </xf>
    <xf numFmtId="43" fontId="0" fillId="0" borderId="0" xfId="304" applyNumberFormat="1" applyFont="1"/>
    <xf numFmtId="164" fontId="15" fillId="3" borderId="6" xfId="0" applyNumberFormat="1" applyFont="1" applyFill="1" applyBorder="1" applyAlignment="1">
      <alignment horizontal="right" vertical="center" wrapText="1"/>
    </xf>
    <xf numFmtId="0" fontId="15" fillId="3" borderId="0" xfId="0" applyFont="1" applyFill="1" applyAlignment="1">
      <alignment horizontal="left" vertical="center" wrapText="1"/>
    </xf>
    <xf numFmtId="0" fontId="88" fillId="3" borderId="23" xfId="3" applyNumberFormat="1" applyFont="1" applyFill="1" applyBorder="1" applyAlignment="1" applyProtection="1">
      <alignment horizontal="center"/>
    </xf>
    <xf numFmtId="193" fontId="92" fillId="0" borderId="0" xfId="0" applyNumberFormat="1" applyFont="1" applyAlignment="1">
      <alignment horizontal="left" vertical="center"/>
    </xf>
    <xf numFmtId="0" fontId="108" fillId="0" borderId="0" xfId="0" applyFont="1" applyAlignment="1">
      <alignment horizontal="left" vertical="top" wrapText="1"/>
    </xf>
    <xf numFmtId="0" fontId="109" fillId="0" borderId="0" xfId="0" applyFont="1"/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17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8DB4E2"/>
      <color rgb="FFCCCCFF"/>
      <color rgb="FFFFCCFF"/>
      <color rgb="FFFFFF99"/>
      <color rgb="FFDAEEF3"/>
      <color rgb="FFFF00FF"/>
      <color rgb="FF0000FF"/>
      <color rgb="FF006100"/>
      <color rgb="FFC6EFCE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359409</xdr:colOff>
      <xdr:row>25</xdr:row>
      <xdr:rowOff>171787</xdr:rowOff>
    </xdr:to>
    <xdr:pic>
      <xdr:nvPicPr>
        <xdr:cNvPr id="2" name="Picture 1" descr="Two people in safety vests looking at a tablet&#10;&#10;Description automatically generated with medium confidence">
          <a:extLst>
            <a:ext uri="{FF2B5EF4-FFF2-40B4-BE49-F238E27FC236}">
              <a16:creationId xmlns:a16="http://schemas.microsoft.com/office/drawing/2014/main" id="{7E76AEB0-927B-43F5-ADF9-6B8907879D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9" r="17106"/>
        <a:stretch/>
      </xdr:blipFill>
      <xdr:spPr bwMode="auto">
        <a:xfrm>
          <a:off x="0" y="0"/>
          <a:ext cx="4929504" cy="46885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</xdr:colOff>
      <xdr:row>38</xdr:row>
      <xdr:rowOff>125189</xdr:rowOff>
    </xdr:from>
    <xdr:to>
      <xdr:col>8</xdr:col>
      <xdr:colOff>381635</xdr:colOff>
      <xdr:row>39</xdr:row>
      <xdr:rowOff>15875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6BBFE0D3-4C82-4FC0-ABB5-749635071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" y="7112729"/>
          <a:ext cx="4932680" cy="64041"/>
        </a:xfrm>
        <a:prstGeom prst="rect">
          <a:avLst/>
        </a:prstGeom>
      </xdr:spPr>
    </xdr:pic>
    <xdr:clientData/>
  </xdr:twoCellAnchor>
  <xdr:twoCellAnchor>
    <xdr:from>
      <xdr:col>6</xdr:col>
      <xdr:colOff>231140</xdr:colOff>
      <xdr:row>36</xdr:row>
      <xdr:rowOff>26035</xdr:rowOff>
    </xdr:from>
    <xdr:to>
      <xdr:col>8</xdr:col>
      <xdr:colOff>199390</xdr:colOff>
      <xdr:row>37</xdr:row>
      <xdr:rowOff>173355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4A15773A-93BA-47F4-AE1E-6D5AB49963D3}"/>
            </a:ext>
          </a:extLst>
        </xdr:cNvPr>
        <xdr:cNvGrpSpPr>
          <a:grpSpLocks/>
        </xdr:cNvGrpSpPr>
      </xdr:nvGrpSpPr>
      <xdr:grpSpPr bwMode="auto">
        <a:xfrm>
          <a:off x="3574415" y="6661150"/>
          <a:ext cx="1189355" cy="328295"/>
          <a:chOff x="8854" y="75"/>
          <a:chExt cx="1867" cy="513"/>
        </a:xfrm>
      </xdr:grpSpPr>
      <xdr:sp macro="" textlink="">
        <xdr:nvSpPr>
          <xdr:cNvPr id="5" name="AutoShape 22">
            <a:extLst>
              <a:ext uri="{FF2B5EF4-FFF2-40B4-BE49-F238E27FC236}">
                <a16:creationId xmlns:a16="http://schemas.microsoft.com/office/drawing/2014/main" id="{D602CF6D-CDD9-58BB-6A24-1FE0F8072595}"/>
              </a:ext>
            </a:extLst>
          </xdr:cNvPr>
          <xdr:cNvSpPr>
            <a:spLocks/>
          </xdr:cNvSpPr>
        </xdr:nvSpPr>
        <xdr:spPr bwMode="auto">
          <a:xfrm>
            <a:off x="9412" y="153"/>
            <a:ext cx="1309" cy="391"/>
          </a:xfrm>
          <a:custGeom>
            <a:avLst/>
            <a:gdLst>
              <a:gd name="T0" fmla="+- 0 9663 9412"/>
              <a:gd name="T1" fmla="*/ T0 w 1309"/>
              <a:gd name="T2" fmla="+- 0 391 154"/>
              <a:gd name="T3" fmla="*/ 391 h 391"/>
              <a:gd name="T4" fmla="+- 0 9504 9412"/>
              <a:gd name="T5" fmla="*/ T4 w 1309"/>
              <a:gd name="T6" fmla="+- 0 346 154"/>
              <a:gd name="T7" fmla="*/ 346 h 391"/>
              <a:gd name="T8" fmla="+- 0 9585 9412"/>
              <a:gd name="T9" fmla="*/ T8 w 1309"/>
              <a:gd name="T10" fmla="+- 0 188 154"/>
              <a:gd name="T11" fmla="*/ 188 h 391"/>
              <a:gd name="T12" fmla="+- 0 9413 9412"/>
              <a:gd name="T13" fmla="*/ T12 w 1309"/>
              <a:gd name="T14" fmla="+- 0 445 154"/>
              <a:gd name="T15" fmla="*/ 445 h 391"/>
              <a:gd name="T16" fmla="+- 0 9467 9412"/>
              <a:gd name="T17" fmla="*/ T16 w 1309"/>
              <a:gd name="T18" fmla="+- 0 452 154"/>
              <a:gd name="T19" fmla="*/ 452 h 391"/>
              <a:gd name="T20" fmla="+- 0 9625 9412"/>
              <a:gd name="T21" fmla="*/ T20 w 1309"/>
              <a:gd name="T22" fmla="+- 0 452 154"/>
              <a:gd name="T23" fmla="*/ 452 h 391"/>
              <a:gd name="T24" fmla="+- 0 9878 9412"/>
              <a:gd name="T25" fmla="*/ T24 w 1309"/>
              <a:gd name="T26" fmla="+- 0 255 154"/>
              <a:gd name="T27" fmla="*/ 255 h 391"/>
              <a:gd name="T28" fmla="+- 0 9816 9412"/>
              <a:gd name="T29" fmla="*/ T28 w 1309"/>
              <a:gd name="T30" fmla="+- 0 397 154"/>
              <a:gd name="T31" fmla="*/ 397 h 391"/>
              <a:gd name="T32" fmla="+- 0 9743 9412"/>
              <a:gd name="T33" fmla="*/ T32 w 1309"/>
              <a:gd name="T34" fmla="+- 0 383 154"/>
              <a:gd name="T35" fmla="*/ 383 h 391"/>
              <a:gd name="T36" fmla="+- 0 9688 9412"/>
              <a:gd name="T37" fmla="*/ T36 w 1309"/>
              <a:gd name="T38" fmla="+- 0 259 154"/>
              <a:gd name="T39" fmla="*/ 259 h 391"/>
              <a:gd name="T40" fmla="+- 0 9763 9412"/>
              <a:gd name="T41" fmla="*/ T40 w 1309"/>
              <a:gd name="T42" fmla="+- 0 460 154"/>
              <a:gd name="T43" fmla="*/ 460 h 391"/>
              <a:gd name="T44" fmla="+- 0 9831 9412"/>
              <a:gd name="T45" fmla="*/ T44 w 1309"/>
              <a:gd name="T46" fmla="+- 0 426 154"/>
              <a:gd name="T47" fmla="*/ 426 h 391"/>
              <a:gd name="T48" fmla="+- 0 9882 9412"/>
              <a:gd name="T49" fmla="*/ T48 w 1309"/>
              <a:gd name="T50" fmla="+- 0 259 154"/>
              <a:gd name="T51" fmla="*/ 259 h 391"/>
              <a:gd name="T52" fmla="+- 0 10000 9412"/>
              <a:gd name="T53" fmla="*/ T52 w 1309"/>
              <a:gd name="T54" fmla="+- 0 337 154"/>
              <a:gd name="T55" fmla="*/ 337 h 391"/>
              <a:gd name="T56" fmla="+- 0 9954 9412"/>
              <a:gd name="T57" fmla="*/ T56 w 1309"/>
              <a:gd name="T58" fmla="+- 0 295 154"/>
              <a:gd name="T59" fmla="*/ 295 h 391"/>
              <a:gd name="T60" fmla="+- 0 10016 9412"/>
              <a:gd name="T61" fmla="*/ T60 w 1309"/>
              <a:gd name="T62" fmla="+- 0 297 154"/>
              <a:gd name="T63" fmla="*/ 297 h 391"/>
              <a:gd name="T64" fmla="+- 0 10036 9412"/>
              <a:gd name="T65" fmla="*/ T64 w 1309"/>
              <a:gd name="T66" fmla="+- 0 263 154"/>
              <a:gd name="T67" fmla="*/ 263 h 391"/>
              <a:gd name="T68" fmla="+- 0 9979 9412"/>
              <a:gd name="T69" fmla="*/ T68 w 1309"/>
              <a:gd name="T70" fmla="+- 0 250 154"/>
              <a:gd name="T71" fmla="*/ 250 h 391"/>
              <a:gd name="T72" fmla="+- 0 9906 9412"/>
              <a:gd name="T73" fmla="*/ T72 w 1309"/>
              <a:gd name="T74" fmla="+- 0 330 154"/>
              <a:gd name="T75" fmla="*/ 330 h 391"/>
              <a:gd name="T76" fmla="+- 0 9984 9412"/>
              <a:gd name="T77" fmla="*/ T76 w 1309"/>
              <a:gd name="T78" fmla="+- 0 385 154"/>
              <a:gd name="T79" fmla="*/ 385 h 391"/>
              <a:gd name="T80" fmla="+- 0 9963 9412"/>
              <a:gd name="T81" fmla="*/ T80 w 1309"/>
              <a:gd name="T82" fmla="+- 0 421 154"/>
              <a:gd name="T83" fmla="*/ 421 h 391"/>
              <a:gd name="T84" fmla="+- 0 9910 9412"/>
              <a:gd name="T85" fmla="*/ T84 w 1309"/>
              <a:gd name="T86" fmla="+- 0 408 154"/>
              <a:gd name="T87" fmla="*/ 408 h 391"/>
              <a:gd name="T88" fmla="+- 0 9923 9412"/>
              <a:gd name="T89" fmla="*/ T88 w 1309"/>
              <a:gd name="T90" fmla="+- 0 454 154"/>
              <a:gd name="T91" fmla="*/ 454 h 391"/>
              <a:gd name="T92" fmla="+- 0 10022 9412"/>
              <a:gd name="T93" fmla="*/ T92 w 1309"/>
              <a:gd name="T94" fmla="+- 0 446 154"/>
              <a:gd name="T95" fmla="*/ 446 h 391"/>
              <a:gd name="T96" fmla="+- 0 10219 9412"/>
              <a:gd name="T97" fmla="*/ T96 w 1309"/>
              <a:gd name="T98" fmla="+- 0 255 154"/>
              <a:gd name="T99" fmla="*/ 255 h 391"/>
              <a:gd name="T100" fmla="+- 0 10210 9412"/>
              <a:gd name="T101" fmla="*/ T100 w 1309"/>
              <a:gd name="T102" fmla="+- 0 378 154"/>
              <a:gd name="T103" fmla="*/ 378 h 391"/>
              <a:gd name="T104" fmla="+- 0 10128 9412"/>
              <a:gd name="T105" fmla="*/ T104 w 1309"/>
              <a:gd name="T106" fmla="+- 0 396 154"/>
              <a:gd name="T107" fmla="*/ 396 h 391"/>
              <a:gd name="T108" fmla="+- 0 10128 9412"/>
              <a:gd name="T109" fmla="*/ T108 w 1309"/>
              <a:gd name="T110" fmla="+- 0 310 154"/>
              <a:gd name="T111" fmla="*/ 310 h 391"/>
              <a:gd name="T112" fmla="+- 0 10210 9412"/>
              <a:gd name="T113" fmla="*/ T112 w 1309"/>
              <a:gd name="T114" fmla="+- 0 328 154"/>
              <a:gd name="T115" fmla="*/ 328 h 391"/>
              <a:gd name="T116" fmla="+- 0 10169 9412"/>
              <a:gd name="T117" fmla="*/ T116 w 1309"/>
              <a:gd name="T118" fmla="+- 0 252 154"/>
              <a:gd name="T119" fmla="*/ 252 h 391"/>
              <a:gd name="T120" fmla="+- 0 10060 9412"/>
              <a:gd name="T121" fmla="*/ T120 w 1309"/>
              <a:gd name="T122" fmla="+- 0 352 154"/>
              <a:gd name="T123" fmla="*/ 352 h 391"/>
              <a:gd name="T124" fmla="+- 0 10168 9412"/>
              <a:gd name="T125" fmla="*/ T124 w 1309"/>
              <a:gd name="T126" fmla="+- 0 454 154"/>
              <a:gd name="T127" fmla="*/ 454 h 391"/>
              <a:gd name="T128" fmla="+- 0 10213 9412"/>
              <a:gd name="T129" fmla="*/ T128 w 1309"/>
              <a:gd name="T130" fmla="+- 0 441 154"/>
              <a:gd name="T131" fmla="*/ 441 h 391"/>
              <a:gd name="T132" fmla="+- 0 10129 9412"/>
              <a:gd name="T133" fmla="*/ T132 w 1309"/>
              <a:gd name="T134" fmla="+- 0 501 154"/>
              <a:gd name="T135" fmla="*/ 501 h 391"/>
              <a:gd name="T136" fmla="+- 0 10084 9412"/>
              <a:gd name="T137" fmla="*/ T136 w 1309"/>
              <a:gd name="T138" fmla="+- 0 491 154"/>
              <a:gd name="T139" fmla="*/ 491 h 391"/>
              <a:gd name="T140" fmla="+- 0 10092 9412"/>
              <a:gd name="T141" fmla="*/ T140 w 1309"/>
              <a:gd name="T142" fmla="+- 0 533 154"/>
              <a:gd name="T143" fmla="*/ 533 h 391"/>
              <a:gd name="T144" fmla="+- 0 10202 9412"/>
              <a:gd name="T145" fmla="*/ T144 w 1309"/>
              <a:gd name="T146" fmla="+- 0 538 154"/>
              <a:gd name="T147" fmla="*/ 538 h 391"/>
              <a:gd name="T148" fmla="+- 0 10267 9412"/>
              <a:gd name="T149" fmla="*/ T148 w 1309"/>
              <a:gd name="T150" fmla="+- 0 426 154"/>
              <a:gd name="T151" fmla="*/ 426 h 391"/>
              <a:gd name="T152" fmla="+- 0 10422 9412"/>
              <a:gd name="T153" fmla="*/ T152 w 1309"/>
              <a:gd name="T154" fmla="+- 0 256 154"/>
              <a:gd name="T155" fmla="*/ 256 h 391"/>
              <a:gd name="T156" fmla="+- 0 10380 9412"/>
              <a:gd name="T157" fmla="*/ T156 w 1309"/>
              <a:gd name="T158" fmla="+- 0 252 154"/>
              <a:gd name="T159" fmla="*/ 252 h 391"/>
              <a:gd name="T160" fmla="+- 0 10343 9412"/>
              <a:gd name="T161" fmla="*/ T160 w 1309"/>
              <a:gd name="T162" fmla="+- 0 259 154"/>
              <a:gd name="T163" fmla="*/ 259 h 391"/>
              <a:gd name="T164" fmla="+- 0 10296 9412"/>
              <a:gd name="T165" fmla="*/ T164 w 1309"/>
              <a:gd name="T166" fmla="+- 0 456 154"/>
              <a:gd name="T167" fmla="*/ 456 h 391"/>
              <a:gd name="T168" fmla="+- 0 10355 9412"/>
              <a:gd name="T169" fmla="*/ T168 w 1309"/>
              <a:gd name="T170" fmla="+- 0 316 154"/>
              <a:gd name="T171" fmla="*/ 316 h 391"/>
              <a:gd name="T172" fmla="+- 0 10418 9412"/>
              <a:gd name="T173" fmla="*/ T172 w 1309"/>
              <a:gd name="T174" fmla="+- 0 298 154"/>
              <a:gd name="T175" fmla="*/ 298 h 391"/>
              <a:gd name="T176" fmla="+- 0 10442 9412"/>
              <a:gd name="T177" fmla="*/ T176 w 1309"/>
              <a:gd name="T178" fmla="+- 0 255 154"/>
              <a:gd name="T179" fmla="*/ 255 h 391"/>
              <a:gd name="T180" fmla="+- 0 10491 9412"/>
              <a:gd name="T181" fmla="*/ T180 w 1309"/>
              <a:gd name="T182" fmla="+- 0 452 154"/>
              <a:gd name="T183" fmla="*/ 452 h 391"/>
              <a:gd name="T184" fmla="+- 0 10476 9412"/>
              <a:gd name="T185" fmla="*/ T184 w 1309"/>
              <a:gd name="T186" fmla="+- 0 158 154"/>
              <a:gd name="T187" fmla="*/ 158 h 391"/>
              <a:gd name="T188" fmla="+- 0 10434 9412"/>
              <a:gd name="T189" fmla="*/ T188 w 1309"/>
              <a:gd name="T190" fmla="+- 0 185 154"/>
              <a:gd name="T191" fmla="*/ 185 h 391"/>
              <a:gd name="T192" fmla="+- 0 10476 9412"/>
              <a:gd name="T193" fmla="*/ T192 w 1309"/>
              <a:gd name="T194" fmla="+- 0 214 154"/>
              <a:gd name="T195" fmla="*/ 214 h 391"/>
              <a:gd name="T196" fmla="+- 0 10717 9412"/>
              <a:gd name="T197" fmla="*/ T196 w 1309"/>
              <a:gd name="T198" fmla="+- 0 154 154"/>
              <a:gd name="T199" fmla="*/ 154 h 391"/>
              <a:gd name="T200" fmla="+- 0 10664 9412"/>
              <a:gd name="T201" fmla="*/ T200 w 1309"/>
              <a:gd name="T202" fmla="+- 0 380 154"/>
              <a:gd name="T203" fmla="*/ 380 h 391"/>
              <a:gd name="T204" fmla="+- 0 10582 9412"/>
              <a:gd name="T205" fmla="*/ T204 w 1309"/>
              <a:gd name="T206" fmla="+- 0 398 154"/>
              <a:gd name="T207" fmla="*/ 398 h 391"/>
              <a:gd name="T208" fmla="+- 0 10597 9412"/>
              <a:gd name="T209" fmla="*/ T208 w 1309"/>
              <a:gd name="T210" fmla="+- 0 297 154"/>
              <a:gd name="T211" fmla="*/ 297 h 391"/>
              <a:gd name="T212" fmla="+- 0 10668 9412"/>
              <a:gd name="T213" fmla="*/ T212 w 1309"/>
              <a:gd name="T214" fmla="+- 0 356 154"/>
              <a:gd name="T215" fmla="*/ 356 h 391"/>
              <a:gd name="T216" fmla="+- 0 10622 9412"/>
              <a:gd name="T217" fmla="*/ T216 w 1309"/>
              <a:gd name="T218" fmla="+- 0 252 154"/>
              <a:gd name="T219" fmla="*/ 252 h 391"/>
              <a:gd name="T220" fmla="+- 0 10515 9412"/>
              <a:gd name="T221" fmla="*/ T220 w 1309"/>
              <a:gd name="T222" fmla="+- 0 352 154"/>
              <a:gd name="T223" fmla="*/ 352 h 391"/>
              <a:gd name="T224" fmla="+- 0 10624 9412"/>
              <a:gd name="T225" fmla="*/ T224 w 1309"/>
              <a:gd name="T226" fmla="+- 0 458 154"/>
              <a:gd name="T227" fmla="*/ 458 h 391"/>
              <a:gd name="T228" fmla="+- 0 10671 9412"/>
              <a:gd name="T229" fmla="*/ T228 w 1309"/>
              <a:gd name="T230" fmla="+- 0 452 154"/>
              <a:gd name="T231" fmla="*/ 452 h 391"/>
              <a:gd name="T232" fmla="+- 0 10721 9412"/>
              <a:gd name="T233" fmla="*/ T232 w 1309"/>
              <a:gd name="T234" fmla="+- 0 418 154"/>
              <a:gd name="T235" fmla="*/ 418 h 391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</a:cxnLst>
            <a:rect l="0" t="0" r="r" b="b"/>
            <a:pathLst>
              <a:path w="1309" h="391">
                <a:moveTo>
                  <a:pt x="273" y="299"/>
                </a:moveTo>
                <a:lnTo>
                  <a:pt x="272" y="293"/>
                </a:lnTo>
                <a:lnTo>
                  <a:pt x="272" y="291"/>
                </a:lnTo>
                <a:lnTo>
                  <a:pt x="271" y="289"/>
                </a:lnTo>
                <a:lnTo>
                  <a:pt x="251" y="237"/>
                </a:lnTo>
                <a:lnTo>
                  <a:pt x="234" y="192"/>
                </a:lnTo>
                <a:lnTo>
                  <a:pt x="189" y="75"/>
                </a:lnTo>
                <a:lnTo>
                  <a:pt x="177" y="45"/>
                </a:lnTo>
                <a:lnTo>
                  <a:pt x="177" y="192"/>
                </a:lnTo>
                <a:lnTo>
                  <a:pt x="92" y="192"/>
                </a:lnTo>
                <a:lnTo>
                  <a:pt x="134" y="75"/>
                </a:lnTo>
                <a:lnTo>
                  <a:pt x="135" y="75"/>
                </a:lnTo>
                <a:lnTo>
                  <a:pt x="177" y="192"/>
                </a:lnTo>
                <a:lnTo>
                  <a:pt x="177" y="45"/>
                </a:lnTo>
                <a:lnTo>
                  <a:pt x="173" y="34"/>
                </a:lnTo>
                <a:lnTo>
                  <a:pt x="170" y="26"/>
                </a:lnTo>
                <a:lnTo>
                  <a:pt x="165" y="21"/>
                </a:lnTo>
                <a:lnTo>
                  <a:pt x="107" y="21"/>
                </a:lnTo>
                <a:lnTo>
                  <a:pt x="102" y="26"/>
                </a:lnTo>
                <a:lnTo>
                  <a:pt x="1" y="291"/>
                </a:lnTo>
                <a:lnTo>
                  <a:pt x="0" y="293"/>
                </a:lnTo>
                <a:lnTo>
                  <a:pt x="0" y="299"/>
                </a:lnTo>
                <a:lnTo>
                  <a:pt x="3" y="302"/>
                </a:lnTo>
                <a:lnTo>
                  <a:pt x="50" y="302"/>
                </a:lnTo>
                <a:lnTo>
                  <a:pt x="55" y="298"/>
                </a:lnTo>
                <a:lnTo>
                  <a:pt x="58" y="289"/>
                </a:lnTo>
                <a:lnTo>
                  <a:pt x="76" y="237"/>
                </a:lnTo>
                <a:lnTo>
                  <a:pt x="192" y="237"/>
                </a:lnTo>
                <a:lnTo>
                  <a:pt x="211" y="289"/>
                </a:lnTo>
                <a:lnTo>
                  <a:pt x="213" y="298"/>
                </a:lnTo>
                <a:lnTo>
                  <a:pt x="218" y="302"/>
                </a:lnTo>
                <a:lnTo>
                  <a:pt x="269" y="302"/>
                </a:lnTo>
                <a:lnTo>
                  <a:pt x="273" y="299"/>
                </a:lnTo>
                <a:close/>
                <a:moveTo>
                  <a:pt x="470" y="105"/>
                </a:moveTo>
                <a:lnTo>
                  <a:pt x="466" y="101"/>
                </a:lnTo>
                <a:lnTo>
                  <a:pt x="421" y="101"/>
                </a:lnTo>
                <a:lnTo>
                  <a:pt x="417" y="105"/>
                </a:lnTo>
                <a:lnTo>
                  <a:pt x="417" y="192"/>
                </a:lnTo>
                <a:lnTo>
                  <a:pt x="414" y="221"/>
                </a:lnTo>
                <a:lnTo>
                  <a:pt x="404" y="243"/>
                </a:lnTo>
                <a:lnTo>
                  <a:pt x="388" y="257"/>
                </a:lnTo>
                <a:lnTo>
                  <a:pt x="367" y="262"/>
                </a:lnTo>
                <a:lnTo>
                  <a:pt x="349" y="258"/>
                </a:lnTo>
                <a:lnTo>
                  <a:pt x="337" y="247"/>
                </a:lnTo>
                <a:lnTo>
                  <a:pt x="331" y="229"/>
                </a:lnTo>
                <a:lnTo>
                  <a:pt x="329" y="205"/>
                </a:lnTo>
                <a:lnTo>
                  <a:pt x="329" y="105"/>
                </a:lnTo>
                <a:lnTo>
                  <a:pt x="325" y="101"/>
                </a:lnTo>
                <a:lnTo>
                  <a:pt x="280" y="101"/>
                </a:lnTo>
                <a:lnTo>
                  <a:pt x="276" y="105"/>
                </a:lnTo>
                <a:lnTo>
                  <a:pt x="276" y="220"/>
                </a:lnTo>
                <a:lnTo>
                  <a:pt x="280" y="252"/>
                </a:lnTo>
                <a:lnTo>
                  <a:pt x="292" y="280"/>
                </a:lnTo>
                <a:lnTo>
                  <a:pt x="315" y="299"/>
                </a:lnTo>
                <a:lnTo>
                  <a:pt x="351" y="306"/>
                </a:lnTo>
                <a:lnTo>
                  <a:pt x="371" y="304"/>
                </a:lnTo>
                <a:lnTo>
                  <a:pt x="388" y="298"/>
                </a:lnTo>
                <a:lnTo>
                  <a:pt x="403" y="288"/>
                </a:lnTo>
                <a:lnTo>
                  <a:pt x="416" y="272"/>
                </a:lnTo>
                <a:lnTo>
                  <a:pt x="419" y="272"/>
                </a:lnTo>
                <a:lnTo>
                  <a:pt x="419" y="298"/>
                </a:lnTo>
                <a:lnTo>
                  <a:pt x="423" y="302"/>
                </a:lnTo>
                <a:lnTo>
                  <a:pt x="466" y="302"/>
                </a:lnTo>
                <a:lnTo>
                  <a:pt x="470" y="298"/>
                </a:lnTo>
                <a:lnTo>
                  <a:pt x="470" y="105"/>
                </a:lnTo>
                <a:close/>
                <a:moveTo>
                  <a:pt x="635" y="243"/>
                </a:moveTo>
                <a:lnTo>
                  <a:pt x="633" y="224"/>
                </a:lnTo>
                <a:lnTo>
                  <a:pt x="624" y="208"/>
                </a:lnTo>
                <a:lnTo>
                  <a:pt x="609" y="195"/>
                </a:lnTo>
                <a:lnTo>
                  <a:pt x="588" y="183"/>
                </a:lnTo>
                <a:lnTo>
                  <a:pt x="569" y="176"/>
                </a:lnTo>
                <a:lnTo>
                  <a:pt x="555" y="168"/>
                </a:lnTo>
                <a:lnTo>
                  <a:pt x="545" y="161"/>
                </a:lnTo>
                <a:lnTo>
                  <a:pt x="542" y="152"/>
                </a:lnTo>
                <a:lnTo>
                  <a:pt x="542" y="141"/>
                </a:lnTo>
                <a:lnTo>
                  <a:pt x="553" y="135"/>
                </a:lnTo>
                <a:lnTo>
                  <a:pt x="569" y="135"/>
                </a:lnTo>
                <a:lnTo>
                  <a:pt x="584" y="137"/>
                </a:lnTo>
                <a:lnTo>
                  <a:pt x="596" y="140"/>
                </a:lnTo>
                <a:lnTo>
                  <a:pt x="604" y="143"/>
                </a:lnTo>
                <a:lnTo>
                  <a:pt x="611" y="145"/>
                </a:lnTo>
                <a:lnTo>
                  <a:pt x="616" y="145"/>
                </a:lnTo>
                <a:lnTo>
                  <a:pt x="618" y="143"/>
                </a:lnTo>
                <a:lnTo>
                  <a:pt x="625" y="111"/>
                </a:lnTo>
                <a:lnTo>
                  <a:pt x="624" y="109"/>
                </a:lnTo>
                <a:lnTo>
                  <a:pt x="616" y="106"/>
                </a:lnTo>
                <a:lnTo>
                  <a:pt x="604" y="101"/>
                </a:lnTo>
                <a:lnTo>
                  <a:pt x="592" y="99"/>
                </a:lnTo>
                <a:lnTo>
                  <a:pt x="579" y="97"/>
                </a:lnTo>
                <a:lnTo>
                  <a:pt x="567" y="96"/>
                </a:lnTo>
                <a:lnTo>
                  <a:pt x="537" y="100"/>
                </a:lnTo>
                <a:lnTo>
                  <a:pt x="513" y="111"/>
                </a:lnTo>
                <a:lnTo>
                  <a:pt x="497" y="129"/>
                </a:lnTo>
                <a:lnTo>
                  <a:pt x="491" y="155"/>
                </a:lnTo>
                <a:lnTo>
                  <a:pt x="494" y="176"/>
                </a:lnTo>
                <a:lnTo>
                  <a:pt x="503" y="192"/>
                </a:lnTo>
                <a:lnTo>
                  <a:pt x="518" y="205"/>
                </a:lnTo>
                <a:lnTo>
                  <a:pt x="538" y="215"/>
                </a:lnTo>
                <a:lnTo>
                  <a:pt x="559" y="223"/>
                </a:lnTo>
                <a:lnTo>
                  <a:pt x="572" y="231"/>
                </a:lnTo>
                <a:lnTo>
                  <a:pt x="580" y="238"/>
                </a:lnTo>
                <a:lnTo>
                  <a:pt x="583" y="247"/>
                </a:lnTo>
                <a:lnTo>
                  <a:pt x="583" y="262"/>
                </a:lnTo>
                <a:lnTo>
                  <a:pt x="567" y="267"/>
                </a:lnTo>
                <a:lnTo>
                  <a:pt x="551" y="267"/>
                </a:lnTo>
                <a:lnTo>
                  <a:pt x="533" y="265"/>
                </a:lnTo>
                <a:lnTo>
                  <a:pt x="520" y="261"/>
                </a:lnTo>
                <a:lnTo>
                  <a:pt x="511" y="256"/>
                </a:lnTo>
                <a:lnTo>
                  <a:pt x="504" y="254"/>
                </a:lnTo>
                <a:lnTo>
                  <a:pt x="498" y="254"/>
                </a:lnTo>
                <a:lnTo>
                  <a:pt x="496" y="257"/>
                </a:lnTo>
                <a:lnTo>
                  <a:pt x="495" y="263"/>
                </a:lnTo>
                <a:lnTo>
                  <a:pt x="491" y="288"/>
                </a:lnTo>
                <a:lnTo>
                  <a:pt x="493" y="293"/>
                </a:lnTo>
                <a:lnTo>
                  <a:pt x="511" y="300"/>
                </a:lnTo>
                <a:lnTo>
                  <a:pt x="524" y="303"/>
                </a:lnTo>
                <a:lnTo>
                  <a:pt x="538" y="305"/>
                </a:lnTo>
                <a:lnTo>
                  <a:pt x="553" y="306"/>
                </a:lnTo>
                <a:lnTo>
                  <a:pt x="583" y="303"/>
                </a:lnTo>
                <a:lnTo>
                  <a:pt x="610" y="292"/>
                </a:lnTo>
                <a:lnTo>
                  <a:pt x="628" y="273"/>
                </a:lnTo>
                <a:lnTo>
                  <a:pt x="635" y="243"/>
                </a:lnTo>
                <a:close/>
                <a:moveTo>
                  <a:pt x="855" y="105"/>
                </a:moveTo>
                <a:lnTo>
                  <a:pt x="851" y="101"/>
                </a:lnTo>
                <a:lnTo>
                  <a:pt x="807" y="101"/>
                </a:lnTo>
                <a:lnTo>
                  <a:pt x="804" y="105"/>
                </a:lnTo>
                <a:lnTo>
                  <a:pt x="804" y="125"/>
                </a:lnTo>
                <a:lnTo>
                  <a:pt x="802" y="125"/>
                </a:lnTo>
                <a:lnTo>
                  <a:pt x="802" y="201"/>
                </a:lnTo>
                <a:lnTo>
                  <a:pt x="798" y="224"/>
                </a:lnTo>
                <a:lnTo>
                  <a:pt x="789" y="244"/>
                </a:lnTo>
                <a:lnTo>
                  <a:pt x="773" y="256"/>
                </a:lnTo>
                <a:lnTo>
                  <a:pt x="751" y="261"/>
                </a:lnTo>
                <a:lnTo>
                  <a:pt x="730" y="256"/>
                </a:lnTo>
                <a:lnTo>
                  <a:pt x="716" y="242"/>
                </a:lnTo>
                <a:lnTo>
                  <a:pt x="707" y="223"/>
                </a:lnTo>
                <a:lnTo>
                  <a:pt x="704" y="201"/>
                </a:lnTo>
                <a:lnTo>
                  <a:pt x="704" y="198"/>
                </a:lnTo>
                <a:lnTo>
                  <a:pt x="707" y="176"/>
                </a:lnTo>
                <a:lnTo>
                  <a:pt x="716" y="156"/>
                </a:lnTo>
                <a:lnTo>
                  <a:pt x="731" y="143"/>
                </a:lnTo>
                <a:lnTo>
                  <a:pt x="752" y="137"/>
                </a:lnTo>
                <a:lnTo>
                  <a:pt x="772" y="142"/>
                </a:lnTo>
                <a:lnTo>
                  <a:pt x="788" y="155"/>
                </a:lnTo>
                <a:lnTo>
                  <a:pt x="798" y="174"/>
                </a:lnTo>
                <a:lnTo>
                  <a:pt x="802" y="201"/>
                </a:lnTo>
                <a:lnTo>
                  <a:pt x="802" y="125"/>
                </a:lnTo>
                <a:lnTo>
                  <a:pt x="789" y="112"/>
                </a:lnTo>
                <a:lnTo>
                  <a:pt x="774" y="103"/>
                </a:lnTo>
                <a:lnTo>
                  <a:pt x="757" y="98"/>
                </a:lnTo>
                <a:lnTo>
                  <a:pt x="737" y="96"/>
                </a:lnTo>
                <a:lnTo>
                  <a:pt x="698" y="105"/>
                </a:lnTo>
                <a:lnTo>
                  <a:pt x="670" y="128"/>
                </a:lnTo>
                <a:lnTo>
                  <a:pt x="654" y="161"/>
                </a:lnTo>
                <a:lnTo>
                  <a:pt x="648" y="198"/>
                </a:lnTo>
                <a:lnTo>
                  <a:pt x="654" y="238"/>
                </a:lnTo>
                <a:lnTo>
                  <a:pt x="671" y="271"/>
                </a:lnTo>
                <a:lnTo>
                  <a:pt x="698" y="293"/>
                </a:lnTo>
                <a:lnTo>
                  <a:pt x="737" y="302"/>
                </a:lnTo>
                <a:lnTo>
                  <a:pt x="756" y="300"/>
                </a:lnTo>
                <a:lnTo>
                  <a:pt x="773" y="295"/>
                </a:lnTo>
                <a:lnTo>
                  <a:pt x="788" y="286"/>
                </a:lnTo>
                <a:lnTo>
                  <a:pt x="800" y="272"/>
                </a:lnTo>
                <a:lnTo>
                  <a:pt x="802" y="272"/>
                </a:lnTo>
                <a:lnTo>
                  <a:pt x="801" y="287"/>
                </a:lnTo>
                <a:lnTo>
                  <a:pt x="798" y="314"/>
                </a:lnTo>
                <a:lnTo>
                  <a:pt x="787" y="333"/>
                </a:lnTo>
                <a:lnTo>
                  <a:pt x="768" y="345"/>
                </a:lnTo>
                <a:lnTo>
                  <a:pt x="741" y="349"/>
                </a:lnTo>
                <a:lnTo>
                  <a:pt x="717" y="347"/>
                </a:lnTo>
                <a:lnTo>
                  <a:pt x="700" y="342"/>
                </a:lnTo>
                <a:lnTo>
                  <a:pt x="688" y="337"/>
                </a:lnTo>
                <a:lnTo>
                  <a:pt x="680" y="335"/>
                </a:lnTo>
                <a:lnTo>
                  <a:pt x="674" y="335"/>
                </a:lnTo>
                <a:lnTo>
                  <a:pt x="672" y="337"/>
                </a:lnTo>
                <a:lnTo>
                  <a:pt x="671" y="343"/>
                </a:lnTo>
                <a:lnTo>
                  <a:pt x="668" y="362"/>
                </a:lnTo>
                <a:lnTo>
                  <a:pt x="667" y="371"/>
                </a:lnTo>
                <a:lnTo>
                  <a:pt x="668" y="374"/>
                </a:lnTo>
                <a:lnTo>
                  <a:pt x="680" y="379"/>
                </a:lnTo>
                <a:lnTo>
                  <a:pt x="693" y="383"/>
                </a:lnTo>
                <a:lnTo>
                  <a:pt x="709" y="387"/>
                </a:lnTo>
                <a:lnTo>
                  <a:pt x="725" y="389"/>
                </a:lnTo>
                <a:lnTo>
                  <a:pt x="741" y="390"/>
                </a:lnTo>
                <a:lnTo>
                  <a:pt x="790" y="384"/>
                </a:lnTo>
                <a:lnTo>
                  <a:pt x="826" y="365"/>
                </a:lnTo>
                <a:lnTo>
                  <a:pt x="837" y="349"/>
                </a:lnTo>
                <a:lnTo>
                  <a:pt x="847" y="333"/>
                </a:lnTo>
                <a:lnTo>
                  <a:pt x="855" y="287"/>
                </a:lnTo>
                <a:lnTo>
                  <a:pt x="855" y="272"/>
                </a:lnTo>
                <a:lnTo>
                  <a:pt x="855" y="261"/>
                </a:lnTo>
                <a:lnTo>
                  <a:pt x="855" y="137"/>
                </a:lnTo>
                <a:lnTo>
                  <a:pt x="855" y="125"/>
                </a:lnTo>
                <a:lnTo>
                  <a:pt x="855" y="105"/>
                </a:lnTo>
                <a:close/>
                <a:moveTo>
                  <a:pt x="1010" y="102"/>
                </a:moveTo>
                <a:lnTo>
                  <a:pt x="1007" y="99"/>
                </a:lnTo>
                <a:lnTo>
                  <a:pt x="999" y="97"/>
                </a:lnTo>
                <a:lnTo>
                  <a:pt x="992" y="96"/>
                </a:lnTo>
                <a:lnTo>
                  <a:pt x="984" y="96"/>
                </a:lnTo>
                <a:lnTo>
                  <a:pt x="968" y="98"/>
                </a:lnTo>
                <a:lnTo>
                  <a:pt x="955" y="104"/>
                </a:lnTo>
                <a:lnTo>
                  <a:pt x="943" y="114"/>
                </a:lnTo>
                <a:lnTo>
                  <a:pt x="933" y="129"/>
                </a:lnTo>
                <a:lnTo>
                  <a:pt x="931" y="129"/>
                </a:lnTo>
                <a:lnTo>
                  <a:pt x="931" y="105"/>
                </a:lnTo>
                <a:lnTo>
                  <a:pt x="927" y="101"/>
                </a:lnTo>
                <a:lnTo>
                  <a:pt x="884" y="101"/>
                </a:lnTo>
                <a:lnTo>
                  <a:pt x="880" y="105"/>
                </a:lnTo>
                <a:lnTo>
                  <a:pt x="880" y="298"/>
                </a:lnTo>
                <a:lnTo>
                  <a:pt x="884" y="302"/>
                </a:lnTo>
                <a:lnTo>
                  <a:pt x="929" y="302"/>
                </a:lnTo>
                <a:lnTo>
                  <a:pt x="933" y="298"/>
                </a:lnTo>
                <a:lnTo>
                  <a:pt x="933" y="211"/>
                </a:lnTo>
                <a:lnTo>
                  <a:pt x="935" y="184"/>
                </a:lnTo>
                <a:lnTo>
                  <a:pt x="943" y="162"/>
                </a:lnTo>
                <a:lnTo>
                  <a:pt x="958" y="147"/>
                </a:lnTo>
                <a:lnTo>
                  <a:pt x="979" y="142"/>
                </a:lnTo>
                <a:lnTo>
                  <a:pt x="989" y="142"/>
                </a:lnTo>
                <a:lnTo>
                  <a:pt x="994" y="144"/>
                </a:lnTo>
                <a:lnTo>
                  <a:pt x="1006" y="144"/>
                </a:lnTo>
                <a:lnTo>
                  <a:pt x="1010" y="141"/>
                </a:lnTo>
                <a:lnTo>
                  <a:pt x="1010" y="102"/>
                </a:lnTo>
                <a:close/>
                <a:moveTo>
                  <a:pt x="1079" y="105"/>
                </a:moveTo>
                <a:lnTo>
                  <a:pt x="1075" y="101"/>
                </a:lnTo>
                <a:lnTo>
                  <a:pt x="1030" y="101"/>
                </a:lnTo>
                <a:lnTo>
                  <a:pt x="1026" y="105"/>
                </a:lnTo>
                <a:lnTo>
                  <a:pt x="1026" y="298"/>
                </a:lnTo>
                <a:lnTo>
                  <a:pt x="1030" y="302"/>
                </a:lnTo>
                <a:lnTo>
                  <a:pt x="1075" y="302"/>
                </a:lnTo>
                <a:lnTo>
                  <a:pt x="1079" y="298"/>
                </a:lnTo>
                <a:lnTo>
                  <a:pt x="1079" y="105"/>
                </a:lnTo>
                <a:close/>
                <a:moveTo>
                  <a:pt x="1083" y="31"/>
                </a:moveTo>
                <a:lnTo>
                  <a:pt x="1080" y="20"/>
                </a:lnTo>
                <a:lnTo>
                  <a:pt x="1074" y="10"/>
                </a:lnTo>
                <a:lnTo>
                  <a:pt x="1064" y="4"/>
                </a:lnTo>
                <a:lnTo>
                  <a:pt x="1052" y="1"/>
                </a:lnTo>
                <a:lnTo>
                  <a:pt x="1041" y="4"/>
                </a:lnTo>
                <a:lnTo>
                  <a:pt x="1031" y="10"/>
                </a:lnTo>
                <a:lnTo>
                  <a:pt x="1024" y="20"/>
                </a:lnTo>
                <a:lnTo>
                  <a:pt x="1022" y="31"/>
                </a:lnTo>
                <a:lnTo>
                  <a:pt x="1024" y="43"/>
                </a:lnTo>
                <a:lnTo>
                  <a:pt x="1031" y="53"/>
                </a:lnTo>
                <a:lnTo>
                  <a:pt x="1041" y="60"/>
                </a:lnTo>
                <a:lnTo>
                  <a:pt x="1052" y="62"/>
                </a:lnTo>
                <a:lnTo>
                  <a:pt x="1064" y="60"/>
                </a:lnTo>
                <a:lnTo>
                  <a:pt x="1074" y="53"/>
                </a:lnTo>
                <a:lnTo>
                  <a:pt x="1080" y="43"/>
                </a:lnTo>
                <a:lnTo>
                  <a:pt x="1083" y="31"/>
                </a:lnTo>
                <a:close/>
                <a:moveTo>
                  <a:pt x="1309" y="4"/>
                </a:moveTo>
                <a:lnTo>
                  <a:pt x="1305" y="0"/>
                </a:lnTo>
                <a:lnTo>
                  <a:pt x="1260" y="0"/>
                </a:lnTo>
                <a:lnTo>
                  <a:pt x="1256" y="4"/>
                </a:lnTo>
                <a:lnTo>
                  <a:pt x="1256" y="125"/>
                </a:lnTo>
                <a:lnTo>
                  <a:pt x="1256" y="202"/>
                </a:lnTo>
                <a:lnTo>
                  <a:pt x="1252" y="226"/>
                </a:lnTo>
                <a:lnTo>
                  <a:pt x="1243" y="246"/>
                </a:lnTo>
                <a:lnTo>
                  <a:pt x="1227" y="259"/>
                </a:lnTo>
                <a:lnTo>
                  <a:pt x="1206" y="264"/>
                </a:lnTo>
                <a:lnTo>
                  <a:pt x="1185" y="259"/>
                </a:lnTo>
                <a:lnTo>
                  <a:pt x="1170" y="244"/>
                </a:lnTo>
                <a:lnTo>
                  <a:pt x="1161" y="224"/>
                </a:lnTo>
                <a:lnTo>
                  <a:pt x="1158" y="200"/>
                </a:lnTo>
                <a:lnTo>
                  <a:pt x="1161" y="177"/>
                </a:lnTo>
                <a:lnTo>
                  <a:pt x="1170" y="157"/>
                </a:lnTo>
                <a:lnTo>
                  <a:pt x="1185" y="143"/>
                </a:lnTo>
                <a:lnTo>
                  <a:pt x="1206" y="138"/>
                </a:lnTo>
                <a:lnTo>
                  <a:pt x="1227" y="143"/>
                </a:lnTo>
                <a:lnTo>
                  <a:pt x="1242" y="156"/>
                </a:lnTo>
                <a:lnTo>
                  <a:pt x="1252" y="176"/>
                </a:lnTo>
                <a:lnTo>
                  <a:pt x="1256" y="202"/>
                </a:lnTo>
                <a:lnTo>
                  <a:pt x="1256" y="125"/>
                </a:lnTo>
                <a:lnTo>
                  <a:pt x="1255" y="125"/>
                </a:lnTo>
                <a:lnTo>
                  <a:pt x="1242" y="112"/>
                </a:lnTo>
                <a:lnTo>
                  <a:pt x="1227" y="103"/>
                </a:lnTo>
                <a:lnTo>
                  <a:pt x="1210" y="98"/>
                </a:lnTo>
                <a:lnTo>
                  <a:pt x="1190" y="96"/>
                </a:lnTo>
                <a:lnTo>
                  <a:pt x="1152" y="105"/>
                </a:lnTo>
                <a:lnTo>
                  <a:pt x="1125" y="128"/>
                </a:lnTo>
                <a:lnTo>
                  <a:pt x="1108" y="161"/>
                </a:lnTo>
                <a:lnTo>
                  <a:pt x="1103" y="198"/>
                </a:lnTo>
                <a:lnTo>
                  <a:pt x="1108" y="239"/>
                </a:lnTo>
                <a:lnTo>
                  <a:pt x="1125" y="274"/>
                </a:lnTo>
                <a:lnTo>
                  <a:pt x="1153" y="297"/>
                </a:lnTo>
                <a:lnTo>
                  <a:pt x="1192" y="306"/>
                </a:lnTo>
                <a:lnTo>
                  <a:pt x="1212" y="304"/>
                </a:lnTo>
                <a:lnTo>
                  <a:pt x="1229" y="298"/>
                </a:lnTo>
                <a:lnTo>
                  <a:pt x="1244" y="289"/>
                </a:lnTo>
                <a:lnTo>
                  <a:pt x="1256" y="275"/>
                </a:lnTo>
                <a:lnTo>
                  <a:pt x="1259" y="275"/>
                </a:lnTo>
                <a:lnTo>
                  <a:pt x="1259" y="298"/>
                </a:lnTo>
                <a:lnTo>
                  <a:pt x="1263" y="302"/>
                </a:lnTo>
                <a:lnTo>
                  <a:pt x="1305" y="302"/>
                </a:lnTo>
                <a:lnTo>
                  <a:pt x="1309" y="298"/>
                </a:lnTo>
                <a:lnTo>
                  <a:pt x="1309" y="275"/>
                </a:lnTo>
                <a:lnTo>
                  <a:pt x="1309" y="264"/>
                </a:lnTo>
                <a:lnTo>
                  <a:pt x="1309" y="138"/>
                </a:lnTo>
                <a:lnTo>
                  <a:pt x="1309" y="125"/>
                </a:lnTo>
                <a:lnTo>
                  <a:pt x="1309" y="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70A37E0D-CB26-F18C-1C43-7E7B66D6297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4" y="75"/>
            <a:ext cx="527" cy="5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36</xdr:row>
      <xdr:rowOff>19051</xdr:rowOff>
    </xdr:from>
    <xdr:to>
      <xdr:col>4</xdr:col>
      <xdr:colOff>339725</xdr:colOff>
      <xdr:row>38</xdr:row>
      <xdr:rowOff>34925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72BA5E0-EBCC-4006-9B3D-63160C998ACE}"/>
            </a:ext>
          </a:extLst>
        </xdr:cNvPr>
        <xdr:cNvSpPr txBox="1"/>
      </xdr:nvSpPr>
      <xdr:spPr>
        <a:xfrm>
          <a:off x="215900" y="6640831"/>
          <a:ext cx="2249805" cy="3816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Empowering communities for a resilient, affordable and net-zero future.</a:t>
          </a:r>
        </a:p>
      </xdr:txBody>
    </xdr:sp>
    <xdr:clientData/>
  </xdr:twoCellAnchor>
  <xdr:twoCellAnchor>
    <xdr:from>
      <xdr:col>1</xdr:col>
      <xdr:colOff>18781</xdr:colOff>
      <xdr:row>32</xdr:row>
      <xdr:rowOff>231907</xdr:rowOff>
    </xdr:from>
    <xdr:to>
      <xdr:col>2</xdr:col>
      <xdr:colOff>285796</xdr:colOff>
      <xdr:row>33</xdr:row>
      <xdr:rowOff>17144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144BD8B-39B9-46E8-AAB8-86DD462BB470}"/>
            </a:ext>
          </a:extLst>
        </xdr:cNvPr>
        <xdr:cNvSpPr/>
      </xdr:nvSpPr>
      <xdr:spPr>
        <a:xfrm flipH="1" flipV="1">
          <a:off x="314056" y="6023107"/>
          <a:ext cx="876615" cy="51937"/>
        </a:xfrm>
        <a:prstGeom prst="rect">
          <a:avLst/>
        </a:prstGeom>
        <a:gradFill flip="none" rotWithShape="1">
          <a:gsLst>
            <a:gs pos="0">
              <a:srgbClr val="70BF43"/>
            </a:gs>
            <a:gs pos="71000">
              <a:srgbClr val="0095D5"/>
            </a:gs>
          </a:gsLst>
          <a:lin ang="2700000" scaled="0"/>
          <a:tileRect/>
        </a:gra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90170">
            <a:lnSpc>
              <a:spcPct val="115000"/>
            </a:lnSpc>
            <a:spcAft>
              <a:spcPts val="600"/>
            </a:spcAft>
          </a:pPr>
          <a:r>
            <a:rPr lang="en-US" sz="1000">
              <a:effectLst/>
              <a:latin typeface="Arial" panose="020B0604020202020204" pitchFamily="34" charset="0"/>
              <a:ea typeface="Arial" panose="020B0604020202020204" pitchFamily="34" charset="0"/>
            </a:rPr>
            <a:t>  </a:t>
          </a:r>
          <a:endParaRPr lang="en-AU" sz="10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826A6-1D0A-44CA-B73C-0A5EAC3078DF}">
  <dimension ref="B27:H34"/>
  <sheetViews>
    <sheetView showGridLines="0" tabSelected="1" workbookViewId="0">
      <selection activeCell="N17" sqref="N17"/>
    </sheetView>
  </sheetViews>
  <sheetFormatPr defaultRowHeight="14.4"/>
  <cols>
    <col min="1" max="1" width="4.33203125" customWidth="1"/>
  </cols>
  <sheetData>
    <row r="27" spans="2:8">
      <c r="B27" s="230">
        <v>44957</v>
      </c>
      <c r="C27" s="230"/>
    </row>
    <row r="29" spans="2:8" ht="14.4" customHeight="1">
      <c r="B29" s="231" t="s">
        <v>149</v>
      </c>
      <c r="C29" s="231"/>
      <c r="D29" s="231"/>
      <c r="E29" s="231"/>
      <c r="F29" s="231"/>
      <c r="G29" s="231"/>
      <c r="H29" s="231"/>
    </row>
    <row r="30" spans="2:8" ht="14.4" customHeight="1">
      <c r="B30" s="231"/>
      <c r="C30" s="231"/>
      <c r="D30" s="231"/>
      <c r="E30" s="231"/>
      <c r="F30" s="231"/>
      <c r="G30" s="231"/>
      <c r="H30" s="231"/>
    </row>
    <row r="31" spans="2:8" ht="14.4" customHeight="1">
      <c r="B31" s="231"/>
      <c r="C31" s="231"/>
      <c r="D31" s="231"/>
      <c r="E31" s="231"/>
      <c r="F31" s="231"/>
      <c r="G31" s="231"/>
      <c r="H31" s="231"/>
    </row>
    <row r="32" spans="2:8" ht="14.4" customHeight="1">
      <c r="B32" s="231"/>
      <c r="C32" s="231"/>
      <c r="D32" s="231"/>
      <c r="E32" s="231"/>
      <c r="F32" s="231"/>
      <c r="G32" s="231"/>
      <c r="H32" s="231"/>
    </row>
    <row r="33" spans="2:8" ht="21" customHeight="1">
      <c r="B33" s="231"/>
      <c r="C33" s="231"/>
      <c r="D33" s="231"/>
      <c r="E33" s="231"/>
      <c r="F33" s="231"/>
      <c r="G33" s="231"/>
      <c r="H33" s="231"/>
    </row>
    <row r="34" spans="2:8" ht="17.399999999999999">
      <c r="B34" s="232" t="s">
        <v>148</v>
      </c>
    </row>
  </sheetData>
  <sheetProtection selectLockedCells="1"/>
  <mergeCells count="2">
    <mergeCell ref="B27:C27"/>
    <mergeCell ref="B29:H33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4"/>
  <sheetViews>
    <sheetView workbookViewId="0">
      <selection activeCell="B1" sqref="B1"/>
    </sheetView>
  </sheetViews>
  <sheetFormatPr defaultColWidth="0" defaultRowHeight="18" customHeight="1" zeroHeight="1"/>
  <cols>
    <col min="1" max="2" width="1.21875" style="2" customWidth="1"/>
    <col min="3" max="3" width="26.44140625" style="1" customWidth="1"/>
    <col min="4" max="4" width="79.21875" style="1" customWidth="1"/>
    <col min="5" max="5" width="2.77734375" style="1" customWidth="1"/>
    <col min="6" max="6" width="2.77734375" style="2" customWidth="1"/>
    <col min="7" max="28" width="12.77734375" style="2" hidden="1" customWidth="1"/>
    <col min="29" max="16384" width="9.21875" style="2" hidden="1"/>
  </cols>
  <sheetData>
    <row r="1" spans="2:13" s="5" customFormat="1" ht="18" customHeight="1">
      <c r="B1" s="3" t="str">
        <f>'Input | General'!$B$1</f>
        <v>Ausgrid DX 2019-24 Final Decision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9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80</v>
      </c>
      <c r="D8" s="32" t="s">
        <v>79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9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81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09" t="s">
        <v>82</v>
      </c>
      <c r="D12" s="32" t="s">
        <v>59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34</v>
      </c>
      <c r="D14" s="7"/>
      <c r="E14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Index!A1" display="Output | Models" xr:uid="{00000000-0004-0000-0000-000004000000}"/>
    <hyperlink ref="C12" location="Index!A1" display="Lookup | Tables" xr:uid="{00000000-0004-0000-0000-000005000000}"/>
  </hyperlinks>
  <pageMargins left="0.7" right="0.7" top="0.75" bottom="0.75" header="0.3" footer="0.3"/>
  <pageSetup paperSize="9" scale="76" orientation="portrait" r:id="rId1"/>
  <headerFooter>
    <oddFooter>&amp;L&amp;1#&amp;"Calibri"&amp;8&amp;K000000For Official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/>
  </sheetViews>
  <sheetFormatPr defaultColWidth="0" defaultRowHeight="0" customHeight="1" zeroHeight="1"/>
  <cols>
    <col min="1" max="2" width="1.21875" style="14" customWidth="1"/>
    <col min="3" max="3" width="56.77734375" style="15" customWidth="1"/>
    <col min="4" max="8" width="12.77734375" style="14" customWidth="1"/>
    <col min="9" max="9" width="9.44140625" style="14" customWidth="1"/>
    <col min="10" max="10" width="9.21875" style="14" customWidth="1"/>
    <col min="11" max="12" width="2.77734375" style="14" customWidth="1"/>
    <col min="13" max="22" width="9.21875" style="14" hidden="1" customWidth="1"/>
    <col min="23" max="16384" width="12.77734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Ausgrid DX 2019-24 Final Decision - Capital expenditure sharing scheme model</v>
      </c>
      <c r="F1" s="105"/>
      <c r="G1" s="106" t="s">
        <v>47</v>
      </c>
      <c r="H1" s="159" t="s">
        <v>48</v>
      </c>
      <c r="I1" s="164" t="s">
        <v>36</v>
      </c>
      <c r="M1" s="107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60" t="s">
        <v>103</v>
      </c>
      <c r="J6" s="79"/>
      <c r="K6" s="79"/>
      <c r="L6" s="79"/>
      <c r="M6" s="79"/>
    </row>
    <row r="7" spans="1:13" s="70" customFormat="1" ht="11.25" customHeight="1">
      <c r="C7" s="69" t="s">
        <v>91</v>
      </c>
      <c r="D7" s="160" t="s">
        <v>104</v>
      </c>
      <c r="I7" s="79"/>
      <c r="J7" s="79"/>
      <c r="K7" s="79"/>
      <c r="L7" s="79"/>
    </row>
    <row r="8" spans="1:13" s="70" customFormat="1" ht="11.25" customHeight="1">
      <c r="C8" s="69" t="s">
        <v>92</v>
      </c>
      <c r="D8" s="160" t="s">
        <v>105</v>
      </c>
      <c r="J8" s="79"/>
      <c r="K8" s="79"/>
      <c r="L8" s="79"/>
      <c r="M8" s="79"/>
    </row>
    <row r="9" spans="1:13" s="70" customFormat="1" ht="11.25" customHeight="1">
      <c r="C9" s="188" t="s">
        <v>102</v>
      </c>
      <c r="D9" s="160" t="s">
        <v>106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5" t="s">
        <v>90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64</v>
      </c>
      <c r="E12" s="71" t="s">
        <v>65</v>
      </c>
      <c r="F12" s="71" t="s">
        <v>66</v>
      </c>
      <c r="G12" s="71" t="s">
        <v>67</v>
      </c>
      <c r="H12" s="71" t="s">
        <v>68</v>
      </c>
      <c r="J12" s="79"/>
      <c r="K12" s="79"/>
      <c r="L12" s="79"/>
      <c r="M12" s="79"/>
    </row>
    <row r="13" spans="1:13" s="70" customFormat="1" ht="11.25" customHeight="1">
      <c r="C13" s="69" t="s">
        <v>62</v>
      </c>
      <c r="D13" s="187" t="str">
        <f t="shared" ref="D13:F13" si="0">IF(LEN(E13)&gt;4,CONCATENATE(LEFT(E13,4)-1&amp;"–"&amp;IF(RIGHT(E13,2)="00","99",IF(RIGHT(E13,2)-1&lt;10,"0","")&amp;RIGHT(E13,2)-1)),E13-1)</f>
        <v>2014–15</v>
      </c>
      <c r="E13" s="187" t="str">
        <f t="shared" si="0"/>
        <v>2015–16</v>
      </c>
      <c r="F13" s="187" t="str">
        <f t="shared" si="0"/>
        <v>2016–17</v>
      </c>
      <c r="G13" s="187" t="str">
        <f>IF(LEN(H13)&gt;4,CONCATENATE(LEFT(H13,4)-1&amp;"–"&amp;IF(RIGHT(H13,2)="00","99",IF(RIGHT(H13,2)-1&lt;10,"0","")&amp;RIGHT(H13,2)-1)),H13-1)</f>
        <v>2017–18</v>
      </c>
      <c r="H13" s="187" t="str">
        <f>IF(LEN(D9)&gt;4,CONCATENATE(LEFT(D9,4)-1&amp;"–"&amp;IF(RIGHT(D9,2)="00","99",IF(RIGHT(D9,2)-1&lt;10,"0","")&amp;RIGHT(D9,2)-1)),D9-1)</f>
        <v>2018–19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60" t="s">
        <v>107</v>
      </c>
      <c r="E14" s="160" t="s">
        <v>8</v>
      </c>
      <c r="F14" s="160" t="s">
        <v>8</v>
      </c>
      <c r="G14" s="160" t="s">
        <v>8</v>
      </c>
      <c r="H14" s="160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60" t="s">
        <v>109</v>
      </c>
      <c r="E15" s="160" t="s">
        <v>7</v>
      </c>
      <c r="F15" s="160" t="s">
        <v>7</v>
      </c>
      <c r="G15" s="160" t="s">
        <v>7</v>
      </c>
      <c r="H15" s="160" t="s">
        <v>29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64</v>
      </c>
      <c r="E17" s="71" t="s">
        <v>65</v>
      </c>
      <c r="F17" s="71" t="s">
        <v>66</v>
      </c>
      <c r="G17" s="71" t="s">
        <v>67</v>
      </c>
      <c r="H17" s="71" t="s">
        <v>68</v>
      </c>
      <c r="J17" s="79"/>
      <c r="K17" s="79"/>
      <c r="L17" s="79"/>
      <c r="M17" s="79"/>
    </row>
    <row r="18" spans="1:13" s="70" customFormat="1" ht="11.25" customHeight="1">
      <c r="C18" s="69" t="s">
        <v>63</v>
      </c>
      <c r="D18" s="187" t="str">
        <f>D9</f>
        <v>2019-20</v>
      </c>
      <c r="E18" s="187" t="str">
        <f>IF(LEN(D18)&gt;4,CONCATENATE(LEFT(D18,4)+1&amp;"–"&amp;IF(RIGHT(D18,2)+1&gt;9,"","0")&amp;RIGHT(D18,2)+1),D18+1)</f>
        <v>2020–21</v>
      </c>
      <c r="F18" s="187" t="str">
        <f t="shared" ref="F18:H18" si="1">IF(LEN(E18)&gt;4,CONCATENATE(LEFT(E18,4)+1&amp;"–"&amp;IF(RIGHT(E18,2)+1&gt;9,"","0")&amp;RIGHT(E18,2)+1),E18+1)</f>
        <v>2021–22</v>
      </c>
      <c r="G18" s="187" t="str">
        <f t="shared" si="1"/>
        <v>2022–23</v>
      </c>
      <c r="H18" s="187" t="str">
        <f t="shared" si="1"/>
        <v>2023–24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  <headerFooter>
    <oddFooter>&amp;L&amp;1#&amp;"Calibri"&amp;8&amp;K000000For Official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zoomScaleNormal="100" workbookViewId="0"/>
  </sheetViews>
  <sheetFormatPr defaultColWidth="0" defaultRowHeight="18" customHeight="1" zeroHeight="1"/>
  <cols>
    <col min="1" max="2" width="1.21875" style="24" customWidth="1"/>
    <col min="3" max="3" width="36.77734375" style="24" customWidth="1"/>
    <col min="4" max="5" width="22.77734375" style="24" customWidth="1"/>
    <col min="6" max="6" width="12.77734375" style="24" customWidth="1"/>
    <col min="7" max="12" width="12.77734375" style="11" customWidth="1"/>
    <col min="13" max="13" width="12.5546875" style="22" customWidth="1"/>
    <col min="14" max="16" width="12.77734375" style="24" customWidth="1"/>
    <col min="17" max="18" width="2.77734375" style="24" customWidth="1"/>
    <col min="19" max="32" width="12.77734375" style="24" hidden="1" customWidth="1"/>
    <col min="33" max="16384" width="9.21875" style="24" hidden="1"/>
  </cols>
  <sheetData>
    <row r="1" spans="1:20" s="11" customFormat="1" ht="18" customHeight="1">
      <c r="B1" s="3" t="str">
        <f>'Input | General'!$B$1</f>
        <v>Ausgrid DX 2019-24 Final Decision - Capital expenditure sharing scheme model</v>
      </c>
      <c r="D1" s="12"/>
      <c r="E1" s="12"/>
      <c r="F1" s="12"/>
      <c r="G1" s="105"/>
      <c r="H1" s="106" t="s">
        <v>47</v>
      </c>
      <c r="I1" s="159" t="s">
        <v>48</v>
      </c>
      <c r="J1" s="164" t="s">
        <v>36</v>
      </c>
      <c r="K1" s="190" t="s">
        <v>108</v>
      </c>
      <c r="N1" s="107"/>
      <c r="O1" s="79"/>
      <c r="P1" s="79"/>
      <c r="Q1" s="79"/>
      <c r="R1" s="79"/>
      <c r="S1" s="79"/>
      <c r="T1" s="79"/>
    </row>
    <row r="2" spans="1:20" s="11" customFormat="1" ht="18" customHeight="1">
      <c r="C2" s="13" t="s">
        <v>93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81" customFormat="1" ht="12.75" customHeight="1">
      <c r="C4" s="29" t="s">
        <v>43</v>
      </c>
      <c r="D4" s="82"/>
      <c r="E4" s="82"/>
      <c r="F4" s="82"/>
      <c r="M4" s="83"/>
    </row>
    <row r="5" spans="1:20" ht="11.25" customHeight="1">
      <c r="A5" s="11"/>
      <c r="B5" s="11"/>
      <c r="C5" s="16"/>
      <c r="D5" s="79"/>
      <c r="E5" s="79"/>
      <c r="F5" s="79"/>
      <c r="N5" s="11"/>
    </row>
    <row r="6" spans="1:20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20" ht="11.25" customHeight="1">
      <c r="A7" s="11"/>
      <c r="B7" s="11"/>
      <c r="C7" s="16"/>
      <c r="D7" s="79"/>
      <c r="E7" s="79"/>
      <c r="F7" s="174" t="str">
        <f>IF(LEN(G7)&gt;4,CONCATENATE(LEFT(G7,4)-1&amp;"–"&amp;IF(RIGHT(G7,2)="00","99",IF(RIGHT(G7,2)-1&lt;10,"0","")&amp;RIGHT(G7,2)-1)),G7-1)</f>
        <v>2013–14</v>
      </c>
      <c r="G7" s="173" t="str">
        <f>'Input | General'!D13</f>
        <v>2014–15</v>
      </c>
      <c r="H7" s="173" t="str">
        <f>'Input | General'!E13</f>
        <v>2015–16</v>
      </c>
      <c r="I7" s="173" t="str">
        <f>'Input | General'!F13</f>
        <v>2016–17</v>
      </c>
      <c r="J7" s="173" t="str">
        <f>'Input | General'!G13</f>
        <v>2017–18</v>
      </c>
      <c r="K7" s="173" t="str">
        <f>'Input | General'!H13</f>
        <v>2018–19</v>
      </c>
      <c r="L7" s="173" t="str">
        <f>'Input | General'!D18</f>
        <v>2019-20</v>
      </c>
      <c r="M7" s="173" t="str">
        <f>'Input | General'!E18</f>
        <v>2020–21</v>
      </c>
      <c r="N7" s="173" t="str">
        <f>'Input | General'!F18</f>
        <v>2021–22</v>
      </c>
      <c r="O7" s="173" t="str">
        <f>'Input | General'!G18</f>
        <v>2022–23</v>
      </c>
      <c r="P7" s="173" t="str">
        <f>'Input | General'!H18</f>
        <v>2023–24</v>
      </c>
    </row>
    <row r="8" spans="1:20" ht="11.25" customHeight="1">
      <c r="A8" s="11"/>
      <c r="B8" s="11"/>
      <c r="C8" s="80" t="s">
        <v>83</v>
      </c>
      <c r="D8" s="78" t="s">
        <v>88</v>
      </c>
      <c r="E8" s="78" t="s">
        <v>51</v>
      </c>
      <c r="F8" s="78"/>
      <c r="G8" s="161">
        <v>2.4498886414253906E-2</v>
      </c>
      <c r="H8" s="161">
        <v>2.4879227053140163E-2</v>
      </c>
      <c r="I8" s="161">
        <v>1.5083667216591934E-2</v>
      </c>
      <c r="J8" s="161">
        <v>1.2769909449732886E-2</v>
      </c>
      <c r="K8" s="161">
        <v>1.95E-2</v>
      </c>
      <c r="L8" s="86"/>
      <c r="M8" s="86"/>
      <c r="N8" s="86"/>
      <c r="O8" s="86"/>
      <c r="P8" s="86"/>
    </row>
    <row r="9" spans="1:20" ht="11.25" customHeight="1">
      <c r="A9" s="11"/>
      <c r="B9" s="11"/>
      <c r="C9" s="80" t="s">
        <v>84</v>
      </c>
      <c r="D9" s="78" t="s">
        <v>88</v>
      </c>
      <c r="E9" s="78" t="s">
        <v>51</v>
      </c>
      <c r="F9" s="78"/>
      <c r="G9" s="130"/>
      <c r="H9" s="130"/>
      <c r="I9" s="130"/>
      <c r="J9" s="130"/>
      <c r="K9" s="130"/>
      <c r="L9" s="161">
        <v>2.5000000000000001E-2</v>
      </c>
      <c r="M9" s="143">
        <f t="shared" ref="M9:P9" si="0">L9</f>
        <v>2.5000000000000001E-2</v>
      </c>
      <c r="N9" s="143">
        <f t="shared" si="0"/>
        <v>2.5000000000000001E-2</v>
      </c>
      <c r="O9" s="143">
        <f t="shared" si="0"/>
        <v>2.5000000000000001E-2</v>
      </c>
      <c r="P9" s="143">
        <f t="shared" si="0"/>
        <v>2.5000000000000001E-2</v>
      </c>
    </row>
    <row r="10" spans="1:20" ht="11.25" customHeight="1">
      <c r="A10" s="11"/>
      <c r="B10" s="11"/>
      <c r="C10" s="140" t="str">
        <f>"CPI Index (base year "&amp;F7&amp;")"</f>
        <v>CPI Index (base year 2013–14)</v>
      </c>
      <c r="D10" s="78" t="s">
        <v>88</v>
      </c>
      <c r="E10" s="78" t="s">
        <v>30</v>
      </c>
      <c r="F10" s="138">
        <v>1</v>
      </c>
      <c r="G10" s="123">
        <f>IF(G7&lt;&gt;"",(F10*(1+G8)),"")</f>
        <v>1.0244988864142539</v>
      </c>
      <c r="H10" s="123">
        <f>IF(H7&lt;&gt;"",(G10*(1+H8)),"")</f>
        <v>1.0499876268250434</v>
      </c>
      <c r="I10" s="123">
        <f>IF(I7&lt;&gt;"",(H10*(1+I8)),"")</f>
        <v>1.0658252907696115</v>
      </c>
      <c r="J10" s="123">
        <f>IF(J7&lt;&gt;"",(I10*(1+J8)),"")</f>
        <v>1.0794357832219748</v>
      </c>
      <c r="K10" s="123">
        <f>IF(K7&lt;&gt;"",(J10*(1+K8)),"")</f>
        <v>1.1004847809948033</v>
      </c>
      <c r="L10" s="87">
        <f t="shared" ref="L10:P10" si="1">IF(L7&lt;&gt;"",(K10*(1+L9)),"")</f>
        <v>1.1279969005196733</v>
      </c>
      <c r="M10" s="87">
        <f t="shared" si="1"/>
        <v>1.1561968230326649</v>
      </c>
      <c r="N10" s="87">
        <f t="shared" si="1"/>
        <v>1.1851017436084814</v>
      </c>
      <c r="O10" s="87">
        <f t="shared" si="1"/>
        <v>1.2147292871986934</v>
      </c>
      <c r="P10" s="87">
        <f t="shared" si="1"/>
        <v>1.2450975193786606</v>
      </c>
    </row>
    <row r="11" spans="1:20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31"/>
      <c r="L11" s="131"/>
      <c r="M11" s="131"/>
      <c r="N11" s="131"/>
      <c r="O11" s="131"/>
      <c r="P11" s="131"/>
    </row>
    <row r="12" spans="1:20" ht="11.25" customHeight="1">
      <c r="A12" s="11"/>
      <c r="B12" s="11"/>
      <c r="C12" s="80"/>
      <c r="D12" s="78"/>
      <c r="E12" s="78"/>
      <c r="F12" s="78"/>
      <c r="G12" s="127"/>
      <c r="H12" s="127"/>
      <c r="I12" s="127"/>
      <c r="J12" s="127"/>
      <c r="K12" s="24"/>
      <c r="L12" s="24"/>
      <c r="M12" s="24"/>
    </row>
    <row r="13" spans="1:20" ht="11.25" customHeight="1">
      <c r="A13" s="11"/>
      <c r="B13" s="11"/>
      <c r="C13" s="80" t="s">
        <v>83</v>
      </c>
      <c r="D13" s="78" t="s">
        <v>49</v>
      </c>
      <c r="E13" s="78" t="s">
        <v>51</v>
      </c>
      <c r="F13" s="78"/>
      <c r="G13" s="161">
        <v>2.4879227053140163E-2</v>
      </c>
      <c r="H13" s="161">
        <v>1.5083667216591934E-2</v>
      </c>
      <c r="I13" s="161">
        <v>1.2769909449732886E-2</v>
      </c>
      <c r="J13" s="161">
        <v>1.9486474094452033E-2</v>
      </c>
      <c r="K13" s="191">
        <v>1.9114009444569424E-2</v>
      </c>
      <c r="L13" s="127"/>
      <c r="M13" s="127"/>
      <c r="N13" s="127"/>
      <c r="O13" s="127"/>
      <c r="P13" s="127"/>
    </row>
    <row r="14" spans="1:20" ht="11.25" customHeight="1">
      <c r="A14" s="11"/>
      <c r="B14" s="11"/>
      <c r="C14" s="80" t="s">
        <v>84</v>
      </c>
      <c r="D14" s="78" t="s">
        <v>49</v>
      </c>
      <c r="E14" s="78" t="s">
        <v>51</v>
      </c>
      <c r="F14" s="78"/>
      <c r="G14" s="86"/>
      <c r="H14" s="86"/>
      <c r="I14" s="86"/>
      <c r="J14" s="86"/>
      <c r="K14" s="86"/>
      <c r="L14" s="191">
        <v>2.4248746575396697E-2</v>
      </c>
      <c r="M14" s="143">
        <f t="shared" ref="M14:P14" si="2">L14</f>
        <v>2.4248746575396697E-2</v>
      </c>
      <c r="N14" s="143">
        <f t="shared" si="2"/>
        <v>2.4248746575396697E-2</v>
      </c>
      <c r="O14" s="143">
        <f t="shared" si="2"/>
        <v>2.4248746575396697E-2</v>
      </c>
      <c r="P14" s="143">
        <f t="shared" si="2"/>
        <v>2.4248746575396697E-2</v>
      </c>
    </row>
    <row r="15" spans="1:20" ht="11.25" customHeight="1">
      <c r="A15" s="11"/>
      <c r="B15" s="11"/>
      <c r="C15" s="140" t="str">
        <f>"CPI Index (base year "&amp;F7&amp;")"</f>
        <v>CPI Index (base year 2013–14)</v>
      </c>
      <c r="D15" s="78" t="s">
        <v>49</v>
      </c>
      <c r="E15" s="78" t="s">
        <v>30</v>
      </c>
      <c r="F15" s="138">
        <v>1</v>
      </c>
      <c r="G15" s="123">
        <f>IF(G7&lt;&gt;"",(F15*(1+G13)),"")</f>
        <v>1.0248792270531402</v>
      </c>
      <c r="H15" s="123">
        <f>IF(H7&lt;&gt;"",(G15*(1+H13)),"")</f>
        <v>1.0403381642512077</v>
      </c>
      <c r="I15" s="123">
        <f>IF(I7&lt;&gt;"",(H15*(1+I13)),"")</f>
        <v>1.0536231884057969</v>
      </c>
      <c r="J15" s="123">
        <f>IF(J7&lt;&gt;"",(I15*(1+J13)),"")</f>
        <v>1.0741545893719804</v>
      </c>
      <c r="K15" s="87">
        <f>IF(K7&lt;&gt;"",(J15*(1+K13)),"")</f>
        <v>1.094685990338164</v>
      </c>
      <c r="L15" s="87">
        <f t="shared" ref="L15:P15" si="3">IF(L7&lt;&gt;"",(K15*(1+L14)),"")</f>
        <v>1.1212307534975112</v>
      </c>
      <c r="M15" s="87">
        <f t="shared" si="3"/>
        <v>1.1484191938916135</v>
      </c>
      <c r="N15" s="87">
        <f t="shared" si="3"/>
        <v>1.1762669198866125</v>
      </c>
      <c r="O15" s="87">
        <f t="shared" si="3"/>
        <v>1.2047899183319652</v>
      </c>
      <c r="P15" s="87">
        <f t="shared" si="3"/>
        <v>1.23400456373819</v>
      </c>
    </row>
    <row r="16" spans="1:20" s="129" customFormat="1" ht="11.25" customHeight="1">
      <c r="A16" s="2"/>
      <c r="B16" s="2"/>
      <c r="C16" s="80"/>
      <c r="D16" s="128"/>
      <c r="E16" s="128"/>
      <c r="F16" s="128"/>
      <c r="G16" s="86"/>
      <c r="H16" s="86"/>
      <c r="I16" s="86"/>
      <c r="J16" s="86"/>
      <c r="K16" s="132"/>
      <c r="L16" s="132"/>
      <c r="M16" s="132"/>
      <c r="N16" s="132"/>
      <c r="O16" s="132"/>
      <c r="P16" s="132"/>
    </row>
    <row r="17" spans="1:16" s="81" customFormat="1" ht="12.75" customHeight="1">
      <c r="C17" s="29" t="s">
        <v>69</v>
      </c>
      <c r="D17" s="82"/>
      <c r="E17" s="82"/>
      <c r="F17" s="82"/>
      <c r="M17" s="83"/>
    </row>
    <row r="18" spans="1:16" ht="11.25" customHeight="1">
      <c r="A18" s="16"/>
      <c r="B18" s="79"/>
      <c r="C18" s="79"/>
      <c r="D18" s="79"/>
      <c r="E18" s="79"/>
      <c r="F18" s="75"/>
      <c r="N18" s="11"/>
    </row>
    <row r="19" spans="1:16" ht="11.25" customHeight="1">
      <c r="C19" s="16"/>
      <c r="D19" s="75" t="s">
        <v>6</v>
      </c>
      <c r="E19" s="75" t="s">
        <v>52</v>
      </c>
      <c r="F19" s="79"/>
      <c r="G19" s="173" t="str">
        <f>G7</f>
        <v>2014–15</v>
      </c>
      <c r="H19" s="173" t="str">
        <f t="shared" ref="H19:P19" si="4">H7</f>
        <v>2015–16</v>
      </c>
      <c r="I19" s="173" t="str">
        <f t="shared" si="4"/>
        <v>2016–17</v>
      </c>
      <c r="J19" s="173" t="str">
        <f t="shared" si="4"/>
        <v>2017–18</v>
      </c>
      <c r="K19" s="173" t="str">
        <f t="shared" si="4"/>
        <v>2018–19</v>
      </c>
      <c r="L19" s="173" t="str">
        <f t="shared" si="4"/>
        <v>2019-20</v>
      </c>
      <c r="M19" s="173" t="str">
        <f t="shared" si="4"/>
        <v>2020–21</v>
      </c>
      <c r="N19" s="173" t="str">
        <f t="shared" si="4"/>
        <v>2021–22</v>
      </c>
      <c r="O19" s="173" t="str">
        <f t="shared" si="4"/>
        <v>2022–23</v>
      </c>
      <c r="P19" s="173" t="str">
        <f t="shared" si="4"/>
        <v>2023–24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161">
        <v>4.2254018761887169E-2</v>
      </c>
      <c r="H20" s="161">
        <v>4.163547694214853E-2</v>
      </c>
      <c r="I20" s="161">
        <v>4.0761033280446446E-2</v>
      </c>
      <c r="J20" s="161">
        <v>3.9860233470544681E-2</v>
      </c>
      <c r="K20" s="161">
        <v>3.8827966039358675E-2</v>
      </c>
      <c r="L20" s="86"/>
      <c r="M20" s="86"/>
      <c r="N20" s="86"/>
      <c r="O20" s="86"/>
      <c r="P20" s="86"/>
    </row>
    <row r="21" spans="1:16" ht="11.25" customHeight="1">
      <c r="C21" s="155" t="s">
        <v>98</v>
      </c>
      <c r="D21" s="78" t="s">
        <v>49</v>
      </c>
      <c r="E21" s="78" t="s">
        <v>51</v>
      </c>
      <c r="F21" s="79"/>
      <c r="G21" s="79"/>
      <c r="H21" s="79"/>
      <c r="I21" s="79"/>
      <c r="J21" s="79"/>
      <c r="K21" s="79"/>
      <c r="L21" s="191">
        <v>3.2190287615159054E-2</v>
      </c>
      <c r="M21" s="191">
        <v>3.1076092433442157E-2</v>
      </c>
      <c r="N21" s="191">
        <v>2.9961897251725531E-2</v>
      </c>
      <c r="O21" s="191">
        <v>2.8847702070008641E-2</v>
      </c>
      <c r="P21" s="191">
        <v>2.7733506888291883E-2</v>
      </c>
    </row>
    <row r="22" spans="1:16" ht="11.25" customHeight="1">
      <c r="C22" s="80" t="s">
        <v>70</v>
      </c>
      <c r="D22" s="78" t="s">
        <v>61</v>
      </c>
      <c r="E22" s="78" t="s">
        <v>51</v>
      </c>
      <c r="F22" s="79"/>
      <c r="G22" s="144">
        <f>IF(AND(G13&lt;&gt;"",G20&lt;&gt;""),((1+G20)*(1+G13)-1),"")</f>
        <v>6.8184493141711933E-2</v>
      </c>
      <c r="H22" s="144">
        <f>IF(AND(H13&lt;&gt;"",H20&lt;&gt;""),((1+H20)*(1+H13)-1),"")</f>
        <v>5.7347159837339845E-2</v>
      </c>
      <c r="I22" s="144">
        <f>IF(AND(I13&lt;&gt;"",I20&lt;&gt;""),((1+I20)*(1+I13)-1),"")</f>
        <v>5.4051457434248107E-2</v>
      </c>
      <c r="J22" s="144">
        <f>IF(AND(J13&lt;&gt;"",J20&lt;&gt;""),((1+J20)*(1+J13)-1),"")</f>
        <v>6.0123442971919294E-2</v>
      </c>
      <c r="K22" s="144">
        <f>IF(AND(K13&lt;&gt;"",K20&lt;&gt;""),((1+K20)*(1+K13)-1),"")</f>
        <v>5.8684133593517762E-2</v>
      </c>
      <c r="L22" s="144">
        <f>IF(AND(L14&lt;&gt;"",L21&lt;&gt;""),((1+L21)*(1+L14)-1),"")</f>
        <v>5.7219608317124804E-2</v>
      </c>
      <c r="M22" s="144">
        <f t="shared" ref="M22:P22" si="5">IF(AND(M14&lt;&gt;"",M21&lt;&gt;""),((1+M21)*(1+M14)-1),"")</f>
        <v>5.6078395298810868E-2</v>
      </c>
      <c r="N22" s="144">
        <f t="shared" si="5"/>
        <v>5.4937182280497376E-2</v>
      </c>
      <c r="O22" s="144">
        <f t="shared" si="5"/>
        <v>5.3795969262183441E-2</v>
      </c>
      <c r="P22" s="144">
        <f t="shared" si="5"/>
        <v>5.2654756243869727E-2</v>
      </c>
    </row>
    <row r="23" spans="1:16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N23" s="11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hidden="1" customHeight="1">
      <c r="G25" s="85"/>
      <c r="H25" s="85"/>
      <c r="I25" s="85"/>
      <c r="J25" s="85"/>
      <c r="K25" s="85"/>
      <c r="L25" s="85"/>
      <c r="M25" s="85"/>
    </row>
    <row r="26" spans="1:16" ht="18" hidden="1" customHeight="1">
      <c r="G26" s="85"/>
      <c r="H26" s="85"/>
      <c r="I26" s="85"/>
      <c r="J26" s="85"/>
      <c r="K26" s="85"/>
      <c r="L26" s="85"/>
      <c r="M26" s="85"/>
    </row>
    <row r="27" spans="1:16" ht="18" hidden="1" customHeight="1">
      <c r="G27" s="85"/>
      <c r="H27" s="85"/>
      <c r="I27" s="85"/>
      <c r="J27" s="85"/>
      <c r="K27" s="85"/>
      <c r="L27" s="85"/>
      <c r="M27" s="85"/>
    </row>
    <row r="28" spans="1:16" ht="18" hidden="1" customHeight="1">
      <c r="G28" s="85"/>
      <c r="H28" s="85"/>
      <c r="I28" s="85"/>
      <c r="J28" s="85"/>
      <c r="K28" s="85"/>
      <c r="L28" s="85"/>
      <c r="M28" s="85"/>
    </row>
    <row r="107" ht="18" customHeight="1"/>
    <row r="108" ht="18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3687C-C686-4793-8F87-28B473B7970F}">
  <sheetPr>
    <tabColor rgb="FFFFFF99"/>
  </sheetPr>
  <dimension ref="A1:K14"/>
  <sheetViews>
    <sheetView workbookViewId="0">
      <selection activeCell="I6" sqref="I6"/>
    </sheetView>
  </sheetViews>
  <sheetFormatPr defaultRowHeight="14.4"/>
  <cols>
    <col min="3" max="3" width="30" bestFit="1" customWidth="1"/>
    <col min="10" max="10" width="3.77734375" customWidth="1"/>
  </cols>
  <sheetData>
    <row r="1" spans="1:11">
      <c r="A1" t="s">
        <v>113</v>
      </c>
      <c r="C1" t="s">
        <v>114</v>
      </c>
    </row>
    <row r="2" spans="1:11">
      <c r="C2" t="s">
        <v>143</v>
      </c>
    </row>
    <row r="3" spans="1:11">
      <c r="C3" t="s">
        <v>115</v>
      </c>
      <c r="D3" t="s">
        <v>116</v>
      </c>
    </row>
    <row r="5" spans="1:11">
      <c r="A5" s="8"/>
      <c r="B5" s="74" t="s">
        <v>41</v>
      </c>
      <c r="C5" s="8"/>
      <c r="D5" s="18"/>
      <c r="E5" s="18"/>
      <c r="F5" s="18"/>
      <c r="G5" s="18"/>
      <c r="H5" s="8"/>
      <c r="I5" s="8"/>
    </row>
    <row r="6" spans="1:11">
      <c r="A6" s="11"/>
      <c r="B6" s="197"/>
      <c r="C6" s="11"/>
      <c r="D6" s="16"/>
      <c r="E6" s="16"/>
      <c r="F6" s="16"/>
      <c r="G6" s="78"/>
      <c r="H6" s="78" t="s">
        <v>146</v>
      </c>
      <c r="I6" s="78" t="s">
        <v>110</v>
      </c>
      <c r="K6" s="78" t="s">
        <v>112</v>
      </c>
    </row>
    <row r="7" spans="1:11">
      <c r="A7" s="11"/>
      <c r="B7" s="197"/>
      <c r="C7" s="68"/>
      <c r="D7" s="198" t="s">
        <v>6</v>
      </c>
      <c r="E7" s="198" t="s">
        <v>52</v>
      </c>
      <c r="F7" s="198" t="s">
        <v>4</v>
      </c>
      <c r="G7" s="199"/>
      <c r="H7" s="200" t="s">
        <v>111</v>
      </c>
      <c r="I7" s="200" t="s">
        <v>111</v>
      </c>
      <c r="K7" s="200" t="s">
        <v>111</v>
      </c>
    </row>
    <row r="8" spans="1:11">
      <c r="A8" s="11"/>
      <c r="B8" s="197"/>
      <c r="C8" s="68"/>
      <c r="D8" s="68"/>
      <c r="E8" s="68"/>
      <c r="F8" s="68"/>
      <c r="G8" s="68"/>
      <c r="H8" s="68"/>
      <c r="I8" s="68"/>
    </row>
    <row r="9" spans="1:11">
      <c r="A9" s="11"/>
      <c r="B9" s="197"/>
      <c r="C9" s="201" t="s">
        <v>78</v>
      </c>
      <c r="D9" s="78"/>
      <c r="E9" s="78" t="s">
        <v>50</v>
      </c>
      <c r="F9" s="78" t="s">
        <v>53</v>
      </c>
      <c r="G9" s="68"/>
      <c r="H9" s="162">
        <v>862.31908388936665</v>
      </c>
      <c r="I9" s="162">
        <v>929.21228999999983</v>
      </c>
      <c r="K9" s="162">
        <f>I9-H9</f>
        <v>66.893206110633173</v>
      </c>
    </row>
    <row r="10" spans="1:11">
      <c r="A10" s="11"/>
      <c r="B10" s="197"/>
      <c r="C10" s="201" t="s">
        <v>100</v>
      </c>
      <c r="D10" s="78"/>
      <c r="E10" s="78" t="s">
        <v>50</v>
      </c>
      <c r="F10" s="78" t="s">
        <v>53</v>
      </c>
      <c r="G10" s="202"/>
      <c r="H10" s="162">
        <v>101.5336502745437</v>
      </c>
      <c r="I10" s="162">
        <v>116.821247</v>
      </c>
      <c r="K10" s="162">
        <f t="shared" ref="K10:K12" si="0">I10-H10</f>
        <v>15.287596725456297</v>
      </c>
    </row>
    <row r="11" spans="1:11">
      <c r="A11" s="11"/>
      <c r="B11" s="197"/>
      <c r="C11" s="203" t="s">
        <v>94</v>
      </c>
      <c r="D11" s="78"/>
      <c r="E11" s="78" t="s">
        <v>50</v>
      </c>
      <c r="F11" s="78" t="s">
        <v>53</v>
      </c>
      <c r="G11" s="202"/>
      <c r="H11" s="162">
        <v>13.583590010768859</v>
      </c>
      <c r="I11" s="162">
        <v>11.145396</v>
      </c>
      <c r="K11" s="162">
        <f t="shared" si="0"/>
        <v>-2.4381940107688589</v>
      </c>
    </row>
    <row r="12" spans="1:11">
      <c r="A12" s="11"/>
      <c r="B12" s="197"/>
      <c r="C12" s="204" t="s">
        <v>99</v>
      </c>
      <c r="D12" s="78"/>
      <c r="E12" s="78" t="s">
        <v>50</v>
      </c>
      <c r="F12" s="78" t="s">
        <v>53</v>
      </c>
      <c r="G12" s="68"/>
      <c r="H12" s="162"/>
      <c r="I12" s="162"/>
      <c r="K12" s="162">
        <f t="shared" si="0"/>
        <v>0</v>
      </c>
    </row>
    <row r="13" spans="1:11">
      <c r="A13" s="11"/>
      <c r="B13" s="197"/>
      <c r="C13" s="68"/>
      <c r="D13" s="68"/>
      <c r="E13" s="68"/>
      <c r="F13" s="68"/>
      <c r="G13" s="68"/>
      <c r="H13" s="67"/>
      <c r="I13" s="67"/>
      <c r="K13" s="67"/>
    </row>
    <row r="14" spans="1:11">
      <c r="A14" s="11"/>
      <c r="B14" s="197"/>
      <c r="C14" s="205" t="s">
        <v>77</v>
      </c>
      <c r="D14" s="206" t="s">
        <v>61</v>
      </c>
      <c r="E14" s="207" t="s">
        <v>50</v>
      </c>
      <c r="F14" s="207" t="s">
        <v>53</v>
      </c>
      <c r="G14" s="68"/>
      <c r="H14" s="66">
        <f>IF(H7="", "", H9-H10-H11-H12)</f>
        <v>747.20184360405415</v>
      </c>
      <c r="I14" s="66">
        <f t="shared" ref="I14:K14" si="1">IF(I7="", "", I9-I10-I11-I12)</f>
        <v>801.24564699999985</v>
      </c>
      <c r="K14" s="66">
        <f t="shared" si="1"/>
        <v>54.043803395945737</v>
      </c>
    </row>
  </sheetData>
  <conditionalFormatting sqref="I9">
    <cfRule type="expression" dxfId="16" priority="12">
      <formula>IF($H$6&lt;&gt;"","FALSE","TRUE")</formula>
    </cfRule>
  </conditionalFormatting>
  <conditionalFormatting sqref="I10:I11">
    <cfRule type="expression" dxfId="15" priority="11">
      <formula>IF($H$6&lt;&gt;"","FALSE","TRUE")</formula>
    </cfRule>
  </conditionalFormatting>
  <conditionalFormatting sqref="I12">
    <cfRule type="expression" dxfId="14" priority="10">
      <formula>IF($H$6&lt;&gt;"","FALSE","TRUE")</formula>
    </cfRule>
  </conditionalFormatting>
  <conditionalFormatting sqref="H9">
    <cfRule type="expression" dxfId="13" priority="6">
      <formula>IF($H$6&lt;&gt;"","FALSE","TRUE")</formula>
    </cfRule>
  </conditionalFormatting>
  <conditionalFormatting sqref="H10:H11">
    <cfRule type="expression" dxfId="12" priority="5">
      <formula>IF($H$6&lt;&gt;"","FALSE","TRUE")</formula>
    </cfRule>
  </conditionalFormatting>
  <conditionalFormatting sqref="H12">
    <cfRule type="expression" dxfId="11" priority="4">
      <formula>IF($H$6&lt;&gt;"","FALSE","TRUE")</formula>
    </cfRule>
  </conditionalFormatting>
  <conditionalFormatting sqref="K9">
    <cfRule type="expression" dxfId="10" priority="3">
      <formula>IF($H$6&lt;&gt;"","FALSE","TRUE")</formula>
    </cfRule>
  </conditionalFormatting>
  <conditionalFormatting sqref="K10:K11">
    <cfRule type="expression" dxfId="9" priority="2">
      <formula>IF($H$6&lt;&gt;"","FALSE","TRUE")</formula>
    </cfRule>
  </conditionalFormatting>
  <conditionalFormatting sqref="K12">
    <cfRule type="expression" dxfId="8" priority="1">
      <formula>IF($H$6&lt;&gt;"","FALSE","TRUE")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8"/>
  <sheetViews>
    <sheetView workbookViewId="0">
      <selection activeCell="L17" sqref="L17"/>
    </sheetView>
  </sheetViews>
  <sheetFormatPr defaultColWidth="0" defaultRowHeight="18" customHeight="1" zeroHeight="1"/>
  <cols>
    <col min="1" max="2" width="1.21875" style="11" customWidth="1"/>
    <col min="3" max="3" width="49.77734375" style="16" customWidth="1"/>
    <col min="4" max="4" width="23.77734375" style="16" customWidth="1"/>
    <col min="5" max="5" width="13.44140625" style="16" customWidth="1"/>
    <col min="6" max="6" width="9.21875" style="16" customWidth="1"/>
    <col min="7" max="7" width="2.77734375" style="16" customWidth="1"/>
    <col min="8" max="12" width="13.77734375" style="11" bestFit="1" customWidth="1"/>
    <col min="13" max="14" width="2.77734375" style="11" customWidth="1"/>
    <col min="15" max="23" width="0" style="11" hidden="1" customWidth="1"/>
    <col min="24" max="16384" width="12.77734375" style="11" hidden="1"/>
  </cols>
  <sheetData>
    <row r="1" spans="2:14" ht="18" customHeight="1">
      <c r="B1" s="3" t="str">
        <f>'Input | General'!$B$1</f>
        <v>Ausgrid DX 2019-24 Final Decision - Capital expenditure sharing scheme model</v>
      </c>
      <c r="D1" s="12"/>
      <c r="E1" s="12"/>
      <c r="F1" s="12"/>
      <c r="G1" s="12"/>
      <c r="H1" s="105"/>
      <c r="I1" s="106" t="s">
        <v>47</v>
      </c>
      <c r="J1" s="159" t="s">
        <v>48</v>
      </c>
      <c r="K1" s="164" t="s">
        <v>36</v>
      </c>
      <c r="L1" s="190" t="s">
        <v>108</v>
      </c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52</v>
      </c>
      <c r="F6" s="75" t="s">
        <v>4</v>
      </c>
      <c r="G6" s="64"/>
      <c r="H6" s="175" t="str">
        <f>IF('Input | General'!D14="Yes",'Input | General'!D13,"n/a")</f>
        <v>n/a</v>
      </c>
      <c r="I6" s="175" t="str">
        <f>IF('Input | General'!E14="Yes",'Input | General'!E13,"n/a")</f>
        <v>2015–16</v>
      </c>
      <c r="J6" s="175" t="str">
        <f>IF('Input | General'!F14="Yes",'Input | General'!F13,"n/a")</f>
        <v>2016–17</v>
      </c>
      <c r="K6" s="175" t="str">
        <f>IF('Input | General'!G14="Yes",'Input | General'!G13,"n/a")</f>
        <v>2017–18</v>
      </c>
      <c r="L6" s="175" t="str">
        <f>IF('Input | General'!H14="Yes",'Input | General'!H13,"n/a")</f>
        <v>2018–19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49</v>
      </c>
      <c r="E8" s="78" t="s">
        <v>50</v>
      </c>
      <c r="F8" s="178" t="str">
        <f>'Input | Inflation and Disc Rate'!$F$7</f>
        <v>2013–14</v>
      </c>
      <c r="G8" s="68"/>
      <c r="H8" s="162"/>
      <c r="I8" s="162">
        <v>704.94439500646354</v>
      </c>
      <c r="J8" s="162">
        <v>659.58186200938633</v>
      </c>
      <c r="K8" s="162">
        <v>663.48707410221675</v>
      </c>
      <c r="L8" s="162">
        <v>591.73942931150452</v>
      </c>
      <c r="M8" s="2"/>
      <c r="N8" s="2"/>
    </row>
    <row r="9" spans="2:14" ht="10.5" customHeight="1">
      <c r="C9" s="80" t="s">
        <v>100</v>
      </c>
      <c r="D9" s="78" t="s">
        <v>49</v>
      </c>
      <c r="E9" s="78" t="s">
        <v>50</v>
      </c>
      <c r="F9" s="178" t="str">
        <f>'Input | Inflation and Disc Rate'!$F$7</f>
        <v>2013–14</v>
      </c>
      <c r="G9" s="68"/>
      <c r="H9" s="162"/>
      <c r="I9" s="162">
        <v>95.58188190928</v>
      </c>
      <c r="J9" s="162">
        <v>93.872445448103093</v>
      </c>
      <c r="K9" s="162">
        <v>116.39916041676371</v>
      </c>
      <c r="L9" s="162">
        <v>94.863628534547587</v>
      </c>
      <c r="M9" s="2"/>
      <c r="N9" s="2"/>
    </row>
    <row r="10" spans="2:14" ht="10.5" customHeight="1">
      <c r="C10" s="80" t="s">
        <v>94</v>
      </c>
      <c r="D10" s="78" t="s">
        <v>49</v>
      </c>
      <c r="E10" s="78" t="s">
        <v>50</v>
      </c>
      <c r="F10" s="178" t="str">
        <f>'Input | Inflation and Disc Rate'!$F$7</f>
        <v>2013–14</v>
      </c>
      <c r="G10" s="68"/>
      <c r="H10" s="162"/>
      <c r="I10" s="162">
        <v>17.800182164674201</v>
      </c>
      <c r="J10" s="162">
        <v>28.278620368853808</v>
      </c>
      <c r="K10" s="162">
        <v>7.8264478359282217</v>
      </c>
      <c r="L10" s="162">
        <v>22.537873892804935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8"/>
      <c r="N11" s="108"/>
    </row>
    <row r="12" spans="2:14" ht="10.5" customHeight="1">
      <c r="C12" s="77" t="s">
        <v>5</v>
      </c>
      <c r="D12" s="76" t="s">
        <v>61</v>
      </c>
      <c r="E12" s="176" t="s">
        <v>50</v>
      </c>
      <c r="F12" s="177" t="str">
        <f>'Input | Inflation and Disc Rate'!$F$7</f>
        <v>2013–14</v>
      </c>
      <c r="G12" s="68"/>
      <c r="H12" s="66">
        <f>IF(H6="", "", H8-H9-H10)</f>
        <v>0</v>
      </c>
      <c r="I12" s="66">
        <f t="shared" ref="I12:L12" si="0">IF(I6="", "", I8-I9-I10)</f>
        <v>591.56233093250933</v>
      </c>
      <c r="J12" s="66">
        <f t="shared" si="0"/>
        <v>537.4307961924294</v>
      </c>
      <c r="K12" s="66">
        <f t="shared" si="0"/>
        <v>539.26146584952482</v>
      </c>
      <c r="L12" s="66">
        <f t="shared" si="0"/>
        <v>474.33792688415195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41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52</v>
      </c>
      <c r="F16" s="75" t="s">
        <v>4</v>
      </c>
      <c r="G16" s="64"/>
      <c r="H16" s="175" t="str">
        <f>H6</f>
        <v>n/a</v>
      </c>
      <c r="I16" s="175" t="str">
        <f t="shared" ref="I16:L16" si="1">I6</f>
        <v>2015–16</v>
      </c>
      <c r="J16" s="175" t="str">
        <f t="shared" si="1"/>
        <v>2016–17</v>
      </c>
      <c r="K16" s="175" t="str">
        <f t="shared" si="1"/>
        <v>2017–18</v>
      </c>
      <c r="L16" s="175" t="str">
        <f t="shared" si="1"/>
        <v>2018–19</v>
      </c>
      <c r="M16" s="108"/>
      <c r="N16" s="108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208" t="s">
        <v>146</v>
      </c>
      <c r="M17" s="108"/>
      <c r="N17" s="108"/>
    </row>
    <row r="18" spans="2:14" s="2" customFormat="1" ht="10.5" customHeight="1">
      <c r="B18" s="73"/>
      <c r="C18" s="80" t="s">
        <v>78</v>
      </c>
      <c r="D18" s="78" t="s">
        <v>49</v>
      </c>
      <c r="E18" s="78" t="s">
        <v>50</v>
      </c>
      <c r="F18" s="78" t="s">
        <v>53</v>
      </c>
      <c r="G18" s="68"/>
      <c r="H18" s="162"/>
      <c r="I18" s="162">
        <v>485.37455498999998</v>
      </c>
      <c r="J18" s="162">
        <v>484.50138074000006</v>
      </c>
      <c r="K18" s="196">
        <v>659.80767401999992</v>
      </c>
      <c r="L18" s="209">
        <f>INDEX('FY19 Capex'!$H$9:$I$12,MATCH('Input | Reported Capex'!C18,'FY19 Capex'!$C$9:$C$12,0),MATCH('Input | Reported Capex'!$L$17,'FY19 Capex'!$H$6:$I$6,0))</f>
        <v>862.31908388936665</v>
      </c>
    </row>
    <row r="19" spans="2:14" s="2" customFormat="1" ht="10.5" customHeight="1">
      <c r="B19" s="73"/>
      <c r="C19" s="80" t="s">
        <v>100</v>
      </c>
      <c r="D19" s="78" t="s">
        <v>49</v>
      </c>
      <c r="E19" s="78" t="s">
        <v>50</v>
      </c>
      <c r="F19" s="78" t="s">
        <v>53</v>
      </c>
      <c r="G19" s="142"/>
      <c r="H19" s="163"/>
      <c r="I19" s="162">
        <v>75.732270060000005</v>
      </c>
      <c r="J19" s="162">
        <v>115.93740186999997</v>
      </c>
      <c r="K19" s="162">
        <v>110.569087</v>
      </c>
      <c r="L19" s="209">
        <f>INDEX('FY19 Capex'!$H$9:$I$12,MATCH('Input | Reported Capex'!C19,'FY19 Capex'!$C$9:$C$12,0),MATCH('Input | Reported Capex'!$L$17,'FY19 Capex'!$H$6:$I$6,0))</f>
        <v>101.5336502745437</v>
      </c>
    </row>
    <row r="20" spans="2:14" s="2" customFormat="1" ht="10.5" customHeight="1">
      <c r="B20" s="73"/>
      <c r="C20" s="141" t="s">
        <v>94</v>
      </c>
      <c r="D20" s="78" t="s">
        <v>49</v>
      </c>
      <c r="E20" s="78" t="s">
        <v>50</v>
      </c>
      <c r="F20" s="78" t="s">
        <v>53</v>
      </c>
      <c r="G20" s="142"/>
      <c r="H20" s="163"/>
      <c r="I20" s="162">
        <v>98.769681371249774</v>
      </c>
      <c r="J20" s="162">
        <v>19.442388766251906</v>
      </c>
      <c r="K20" s="162">
        <v>24.707864999999998</v>
      </c>
      <c r="L20" s="209">
        <f>INDEX('FY19 Capex'!$H$9:$I$12,MATCH('Input | Reported Capex'!C20,'FY19 Capex'!$C$9:$C$12,0),MATCH('Input | Reported Capex'!$L$17,'FY19 Capex'!$H$6:$I$6,0))</f>
        <v>13.583590010768859</v>
      </c>
    </row>
    <row r="21" spans="2:14" s="2" customFormat="1" ht="10.5" customHeight="1">
      <c r="B21" s="73"/>
      <c r="C21" s="156" t="s">
        <v>99</v>
      </c>
      <c r="D21" s="78" t="s">
        <v>49</v>
      </c>
      <c r="E21" s="78" t="s">
        <v>50</v>
      </c>
      <c r="F21" s="78" t="s">
        <v>53</v>
      </c>
      <c r="G21" s="68"/>
      <c r="H21" s="163"/>
      <c r="I21" s="162"/>
      <c r="J21" s="162"/>
      <c r="K21" s="162"/>
      <c r="L21" s="209">
        <f>INDEX('FY19 Capex'!$H$9:$I$12,MATCH('Input | Reported Capex'!C21,'FY19 Capex'!$C$9:$C$12,0),MATCH('Input | Reported Capex'!$L$17,'FY19 Capex'!$H$6:$I$6,0))</f>
        <v>0</v>
      </c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8"/>
      <c r="N22" s="108"/>
    </row>
    <row r="23" spans="2:14" s="2" customFormat="1" ht="10.5" customHeight="1">
      <c r="B23" s="73"/>
      <c r="C23" s="77" t="s">
        <v>77</v>
      </c>
      <c r="D23" s="76" t="s">
        <v>61</v>
      </c>
      <c r="E23" s="179" t="s">
        <v>50</v>
      </c>
      <c r="F23" s="179" t="s">
        <v>53</v>
      </c>
      <c r="G23" s="68"/>
      <c r="H23" s="66">
        <f>IF(H16="", "", H18-H19-H20-H21)</f>
        <v>0</v>
      </c>
      <c r="I23" s="66">
        <f t="shared" ref="I23:L23" si="2">IF(I16="", "", I18-I19-I20-I21)</f>
        <v>310.8726035587502</v>
      </c>
      <c r="J23" s="66">
        <f t="shared" si="2"/>
        <v>349.12159010374819</v>
      </c>
      <c r="K23" s="66">
        <f t="shared" si="2"/>
        <v>524.53072201999998</v>
      </c>
      <c r="L23" s="66">
        <f t="shared" si="2"/>
        <v>747.20184360405415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42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5" t="str">
        <f>'Input | General'!D18</f>
        <v>2019-20</v>
      </c>
      <c r="I27" s="175" t="str">
        <f>'Input | General'!E18</f>
        <v>2020–21</v>
      </c>
      <c r="J27" s="175" t="str">
        <f>'Input | General'!F18</f>
        <v>2021–22</v>
      </c>
      <c r="K27" s="175" t="str">
        <f>'Input | General'!G18</f>
        <v>2022–23</v>
      </c>
      <c r="L27" s="175" t="str">
        <f>'Input | General'!H18</f>
        <v>2023–24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87</v>
      </c>
      <c r="D29" s="65" t="s">
        <v>88</v>
      </c>
      <c r="E29" s="78" t="s">
        <v>50</v>
      </c>
      <c r="F29" s="78" t="s">
        <v>53</v>
      </c>
      <c r="G29" s="68"/>
      <c r="H29" s="162">
        <v>0</v>
      </c>
      <c r="I29" s="162">
        <v>0</v>
      </c>
      <c r="J29" s="162">
        <v>0</v>
      </c>
      <c r="K29" s="162">
        <v>0</v>
      </c>
      <c r="L29" s="162">
        <v>0</v>
      </c>
      <c r="M29" s="2"/>
      <c r="N29" s="2"/>
    </row>
    <row r="30" spans="2:14" ht="11.25" customHeight="1">
      <c r="C30" s="84" t="s">
        <v>87</v>
      </c>
      <c r="D30" s="65" t="s">
        <v>61</v>
      </c>
      <c r="E30" s="78" t="s">
        <v>50</v>
      </c>
      <c r="F30" s="78" t="str">
        <f>'Input | Inflation and Disc Rate'!$F$7</f>
        <v>2013–14</v>
      </c>
      <c r="G30" s="68"/>
      <c r="H30" s="150">
        <f>IF(H29&lt;&gt;"",H29/('Input | Inflation and Disc Rate'!K10*(1+'Input | Inflation and Disc Rate'!L9)^0.5),"")</f>
        <v>0</v>
      </c>
      <c r="I30" s="150">
        <f>IF(I29&lt;&gt;"",I29/('Input | Inflation and Disc Rate'!L10*(1+'Input | Inflation and Disc Rate'!M9)^0.5),"")</f>
        <v>0</v>
      </c>
      <c r="J30" s="150">
        <f>IF(J29&lt;&gt;"",J29/('Input | Inflation and Disc Rate'!M10*(1+'Input | Inflation and Disc Rate'!N9)^0.5),"")</f>
        <v>0</v>
      </c>
      <c r="K30" s="150">
        <f>IF(K29&lt;&gt;"",K29/('Input | Inflation and Disc Rate'!N10*(1+'Input | Inflation and Disc Rate'!O9)^0.5),"")</f>
        <v>0</v>
      </c>
      <c r="L30" s="150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4" t="s">
        <v>87</v>
      </c>
      <c r="D31" s="65" t="s">
        <v>49</v>
      </c>
      <c r="E31" s="78" t="s">
        <v>50</v>
      </c>
      <c r="F31" s="78" t="s">
        <v>53</v>
      </c>
      <c r="G31" s="68"/>
      <c r="H31" s="150">
        <f>IF(H29&lt;&gt;"",H30*'Input | Inflation and Disc Rate'!K15*(1+'Input | Inflation and Disc Rate'!L14)^0.5,"")</f>
        <v>0</v>
      </c>
      <c r="I31" s="150">
        <f>IF(I29&lt;&gt;"",I30*'Input | Inflation and Disc Rate'!L15*(1+'Input | Inflation and Disc Rate'!M14)^0.5,"")</f>
        <v>0</v>
      </c>
      <c r="J31" s="150">
        <f>IF(J29&lt;&gt;"",J30*'Input | Inflation and Disc Rate'!M15*(1+'Input | Inflation and Disc Rate'!N14)^0.5,"")</f>
        <v>0</v>
      </c>
      <c r="K31" s="150">
        <f>IF(K29&lt;&gt;"",K30*'Input | Inflation and Disc Rate'!N15*(1+'Input | Inflation and Disc Rate'!O14)^0.5,"")</f>
        <v>0</v>
      </c>
      <c r="L31" s="150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6" s="62" customFormat="1" ht="12.75" customHeight="1">
      <c r="A33" s="8"/>
      <c r="B33" s="29" t="s">
        <v>34</v>
      </c>
      <c r="D33" s="63"/>
      <c r="E33" s="63"/>
      <c r="F33" s="63"/>
    </row>
    <row r="34" spans="1:6" ht="10.5" hidden="1" customHeight="1"/>
    <row r="36" spans="1:6" s="2" customFormat="1" ht="18" hidden="1" customHeight="1"/>
    <row r="39" spans="1:6" s="17" customFormat="1" ht="18" hidden="1" customHeight="1"/>
    <row r="44" spans="1:6" s="17" customFormat="1" ht="18" hidden="1" customHeight="1"/>
    <row r="51" spans="3:14" s="2" customFormat="1" ht="18" hidden="1" customHeight="1"/>
    <row r="55" spans="3:14" s="17" customFormat="1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</sheetData>
  <conditionalFormatting sqref="H8:H10 I8:L9">
    <cfRule type="expression" dxfId="7" priority="19">
      <formula>IF($H$6&lt;&gt;"","FALSE","TRUE")</formula>
    </cfRule>
  </conditionalFormatting>
  <conditionalFormatting sqref="H18:L18 L19:L21">
    <cfRule type="expression" dxfId="6" priority="14">
      <formula>IF($H$6&lt;&gt;"","FALSE","TRUE")</formula>
    </cfRule>
  </conditionalFormatting>
  <conditionalFormatting sqref="H19:H20">
    <cfRule type="expression" dxfId="5" priority="9">
      <formula>IF($H$6&lt;&gt;"","FALSE","TRUE")</formula>
    </cfRule>
  </conditionalFormatting>
  <conditionalFormatting sqref="I10:L10">
    <cfRule type="expression" dxfId="4" priority="5">
      <formula>IF($H$6&lt;&gt;"","FALSE","TRUE")</formula>
    </cfRule>
  </conditionalFormatting>
  <conditionalFormatting sqref="I19:K20">
    <cfRule type="expression" dxfId="3" priority="4">
      <formula>IF($H$6&lt;&gt;"","FALSE","TRUE")</formula>
    </cfRule>
  </conditionalFormatting>
  <conditionalFormatting sqref="H29:L29">
    <cfRule type="expression" dxfId="2" priority="3">
      <formula>IF($H$6&lt;&gt;"","FALSE","TRUE")</formula>
    </cfRule>
  </conditionalFormatting>
  <conditionalFormatting sqref="H21">
    <cfRule type="expression" dxfId="1" priority="2">
      <formula>IF($H$6&lt;&gt;"","FALSE","TRUE")</formula>
    </cfRule>
  </conditionalFormatting>
  <conditionalFormatting sqref="I21:K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402CAA-05A6-4BF8-AAFE-11C7E023AAFB}">
          <x14:formula1>
            <xm:f>'FY19 Capex'!$H$6:$I$6</xm:f>
          </x14:formula1>
          <xm:sqref>L17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53"/>
  <sheetViews>
    <sheetView topLeftCell="A14" zoomScale="115" zoomScaleNormal="115" workbookViewId="0">
      <selection activeCell="J46" sqref="J46"/>
    </sheetView>
  </sheetViews>
  <sheetFormatPr defaultColWidth="0" defaultRowHeight="0" customHeight="1" zeroHeight="1"/>
  <cols>
    <col min="1" max="2" width="1.21875" style="2" customWidth="1"/>
    <col min="3" max="3" width="70.77734375" style="9" customWidth="1"/>
    <col min="4" max="8" width="12.77734375" style="2" customWidth="1"/>
    <col min="9" max="9" width="2.21875" style="2" customWidth="1"/>
    <col min="10" max="10" width="12.77734375" style="1" customWidth="1"/>
    <col min="11" max="14" width="12.77734375" style="2" customWidth="1"/>
    <col min="15" max="16" width="2.77734375" style="2" customWidth="1"/>
    <col min="17" max="16382" width="0" style="2" hidden="1"/>
    <col min="16383" max="16384" width="12.77734375" style="2" hidden="1"/>
  </cols>
  <sheetData>
    <row r="1" spans="2:23" s="11" customFormat="1" ht="18" customHeight="1">
      <c r="B1" s="3" t="str">
        <f>'Input | General'!$B$1</f>
        <v>Ausgrid DX 2019-24 Final Decision - Capital expenditure sharing scheme model</v>
      </c>
      <c r="J1" s="122"/>
      <c r="K1" s="106" t="s">
        <v>47</v>
      </c>
      <c r="L1" s="159" t="s">
        <v>48</v>
      </c>
      <c r="M1" s="164" t="s">
        <v>36</v>
      </c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86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8" t="s">
        <v>11</v>
      </c>
      <c r="D6" s="119"/>
      <c r="E6" s="120"/>
      <c r="F6" s="120"/>
      <c r="G6" s="120"/>
      <c r="H6" s="120"/>
      <c r="I6" s="97"/>
    </row>
    <row r="7" spans="2:23" ht="11.25" customHeight="1">
      <c r="C7" s="117" t="s">
        <v>9</v>
      </c>
      <c r="D7" s="175" t="str">
        <f>IF('Input | General'!D14="Yes",'Input | General'!D13,"n/a")</f>
        <v>n/a</v>
      </c>
      <c r="E7" s="175" t="str">
        <f>IF('Input | General'!E14="Yes",'Input | General'!E13,"n/a")</f>
        <v>2015–16</v>
      </c>
      <c r="F7" s="175" t="str">
        <f>IF('Input | General'!F14="Yes",'Input | General'!F13,"n/a")</f>
        <v>2016–17</v>
      </c>
      <c r="G7" s="175" t="str">
        <f>IF('Input | General'!G14="Yes",'Input | General'!G13,"n/a")</f>
        <v>2017–18</v>
      </c>
      <c r="H7" s="180" t="str">
        <f>IF('Input | General'!H14="Yes",'Input | General'!H13,"n/a")</f>
        <v>2018–19</v>
      </c>
      <c r="I7" s="97"/>
    </row>
    <row r="8" spans="2:23" ht="11.25" customHeight="1">
      <c r="C8" s="145" t="s">
        <v>96</v>
      </c>
      <c r="D8" s="192"/>
      <c r="E8" s="165">
        <f>'Input | Inflation and Disc Rate'!H20</f>
        <v>4.163547694214853E-2</v>
      </c>
      <c r="F8" s="165">
        <f>'Input | Inflation and Disc Rate'!I20</f>
        <v>4.0761033280446446E-2</v>
      </c>
      <c r="G8" s="165">
        <f>'Input | Inflation and Disc Rate'!J20</f>
        <v>3.9860233470544681E-2</v>
      </c>
      <c r="H8" s="166">
        <f>'Input | Inflation and Disc Rate'!K20</f>
        <v>3.8827966039358675E-2</v>
      </c>
      <c r="I8" s="97"/>
      <c r="J8" s="79"/>
      <c r="K8" s="79"/>
    </row>
    <row r="9" spans="2:23" ht="11.25" customHeight="1">
      <c r="C9" s="148" t="s">
        <v>97</v>
      </c>
      <c r="D9" s="193"/>
      <c r="E9" s="165">
        <f>'Input | Inflation and Disc Rate'!H22</f>
        <v>5.7347159837339845E-2</v>
      </c>
      <c r="F9" s="165">
        <f>'Input | Inflation and Disc Rate'!I22</f>
        <v>5.4051457434248107E-2</v>
      </c>
      <c r="G9" s="165">
        <f>'Input | Inflation and Disc Rate'!J22</f>
        <v>6.0123442971919294E-2</v>
      </c>
      <c r="H9" s="166">
        <f>'Input | Inflation and Disc Rate'!K22</f>
        <v>5.8684133593517762E-2</v>
      </c>
      <c r="I9" s="97"/>
      <c r="J9" s="79"/>
      <c r="K9" s="79"/>
    </row>
    <row r="10" spans="2:23" ht="11.25" customHeight="1">
      <c r="C10" s="113" t="s">
        <v>13</v>
      </c>
      <c r="D10" s="194"/>
      <c r="E10" s="167">
        <f>'Input | Reported Capex'!I$12*'Input | Inflation and Disc Rate'!H$15*(1+'Input | Inflation and Disc Rate'!H$20)^0.5</f>
        <v>628.10597347801502</v>
      </c>
      <c r="F10" s="167">
        <f>'Input | Reported Capex'!J$12*'Input | Inflation and Disc Rate'!I$15*(1+'Input | Inflation and Disc Rate'!I$20)^0.5</f>
        <v>577.6747445221099</v>
      </c>
      <c r="G10" s="167">
        <f>'Input | Reported Capex'!K$12*'Input | Inflation and Disc Rate'!J$15*(1+'Input | Inflation and Disc Rate'!J$20)^0.5</f>
        <v>590.68189746164921</v>
      </c>
      <c r="H10" s="168">
        <f>'Input | Reported Capex'!L$12*'Input | Inflation and Disc Rate'!K$15*(1+'Input | Inflation and Disc Rate'!K$20)^0.5</f>
        <v>529.23581622576398</v>
      </c>
      <c r="I10" s="97"/>
      <c r="J10" s="79"/>
      <c r="K10" s="79"/>
      <c r="N10" s="139"/>
    </row>
    <row r="11" spans="2:23" ht="11.25" customHeight="1">
      <c r="C11" s="113" t="s">
        <v>15</v>
      </c>
      <c r="D11" s="195"/>
      <c r="E11" s="167">
        <f>'Input | Reported Capex'!I23*(1+E$9)^0.5</f>
        <v>319.66217636464597</v>
      </c>
      <c r="F11" s="167">
        <f>'Input | Reported Capex'!J23*(1+F$9)^0.5</f>
        <v>358.43269156705117</v>
      </c>
      <c r="G11" s="167">
        <f>'Input | Reported Capex'!K23*(1+G$9)^0.5</f>
        <v>540.06887543552261</v>
      </c>
      <c r="H11" s="168">
        <f>'Input | Reported Capex'!L23*(1+H$9)^0.5</f>
        <v>768.81374118440374</v>
      </c>
      <c r="I11" s="97"/>
      <c r="J11" s="79"/>
      <c r="K11" s="79"/>
    </row>
    <row r="12" spans="2:23" s="19" customFormat="1" ht="11.25" customHeight="1">
      <c r="C12" s="113" t="s">
        <v>17</v>
      </c>
      <c r="D12" s="158"/>
      <c r="E12" s="146">
        <f>(E10-E11)</f>
        <v>308.44379711336904</v>
      </c>
      <c r="F12" s="146">
        <f t="shared" ref="F12:H12" si="0">(F10-F11)</f>
        <v>219.24205295505874</v>
      </c>
      <c r="G12" s="146">
        <f t="shared" si="0"/>
        <v>50.6130220261266</v>
      </c>
      <c r="H12" s="151">
        <f t="shared" si="0"/>
        <v>-239.57792495863976</v>
      </c>
      <c r="I12" s="97"/>
      <c r="J12" s="79"/>
      <c r="K12" s="79"/>
    </row>
    <row r="13" spans="2:23" ht="11.25" customHeight="1">
      <c r="C13" s="113" t="s">
        <v>72</v>
      </c>
      <c r="D13" s="89"/>
      <c r="E13" s="146">
        <f>$D$12*$E$8</f>
        <v>0</v>
      </c>
      <c r="F13" s="146">
        <f>$D$12*$F$8*(1+'Input | Inflation and Disc Rate'!H13)</f>
        <v>0</v>
      </c>
      <c r="G13" s="146">
        <f>$D$12*$G$8*(1+'Input | Inflation and Disc Rate'!H13)*(1+'Input | Inflation and Disc Rate'!I13)</f>
        <v>0</v>
      </c>
      <c r="H13" s="151">
        <f>$D$12*$H$8*(1+'Input | Inflation and Disc Rate'!H13)*(1+'Input | Inflation and Disc Rate'!I13)*(1+'Input | Inflation and Disc Rate'!J13)</f>
        <v>0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3" t="s">
        <v>73</v>
      </c>
      <c r="D14" s="89"/>
      <c r="E14" s="147"/>
      <c r="F14" s="146">
        <f>$E$12*F$8</f>
        <v>12.572487879285307</v>
      </c>
      <c r="G14" s="146">
        <f>$E$12*G$8*(1+'Input | Inflation and Disc Rate'!I13)</f>
        <v>12.451643227542291</v>
      </c>
      <c r="H14" s="151">
        <f>$E$12*H$8*(1+'Input | Inflation and Disc Rate'!I13)*(1+'Input | Inflation and Disc Rate'!J13)</f>
        <v>12.365535815498662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3" t="s">
        <v>74</v>
      </c>
      <c r="D15" s="89"/>
      <c r="E15" s="146"/>
      <c r="F15" s="146"/>
      <c r="G15" s="146">
        <f>$F$12*G$8</f>
        <v>8.7390394173501615</v>
      </c>
      <c r="H15" s="151">
        <f>$F$12*$H$8*(1+'Input | Inflation and Disc Rate'!J13)</f>
        <v>8.678605942488721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3" t="s">
        <v>75</v>
      </c>
      <c r="D16" s="89"/>
      <c r="E16" s="146"/>
      <c r="F16" s="146"/>
      <c r="G16" s="146"/>
      <c r="H16" s="151">
        <f>$G$12*$H$8</f>
        <v>1.9652007003797562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3" t="s">
        <v>76</v>
      </c>
      <c r="D17" s="89"/>
      <c r="E17" s="146"/>
      <c r="F17" s="146"/>
      <c r="G17" s="146"/>
      <c r="H17" s="151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4" t="s">
        <v>19</v>
      </c>
      <c r="D18" s="90"/>
      <c r="E18" s="152">
        <f>SUM(E13:E17)</f>
        <v>0</v>
      </c>
      <c r="F18" s="152">
        <f t="shared" ref="F18:H18" si="1">SUM(F13:F17)</f>
        <v>12.572487879285307</v>
      </c>
      <c r="G18" s="152">
        <f t="shared" si="1"/>
        <v>21.190682644892455</v>
      </c>
      <c r="H18" s="153">
        <f t="shared" si="1"/>
        <v>23.00934245836714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15" t="s">
        <v>95</v>
      </c>
      <c r="D19" s="126"/>
      <c r="E19" s="152">
        <f>F19*(1+F$9)</f>
        <v>1.1829997581602174</v>
      </c>
      <c r="F19" s="152">
        <f>G19*(1+G$9)</f>
        <v>1.1223358687249034</v>
      </c>
      <c r="G19" s="152">
        <f>H19*(1+H$9)</f>
        <v>1.0586841335935178</v>
      </c>
      <c r="H19" s="154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113" t="s">
        <v>20</v>
      </c>
      <c r="D20" s="89"/>
      <c r="E20" s="146">
        <f>E12*E19</f>
        <v>364.88893739113473</v>
      </c>
      <c r="F20" s="146">
        <f t="shared" ref="F20:H20" si="2">F12*F19</f>
        <v>246.06321996434713</v>
      </c>
      <c r="G20" s="146">
        <f t="shared" si="2"/>
        <v>53.58320337227947</v>
      </c>
      <c r="H20" s="151">
        <f t="shared" si="2"/>
        <v>-239.57792495863976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114" t="s">
        <v>21</v>
      </c>
      <c r="D21" s="90"/>
      <c r="E21" s="152">
        <f>E18*E19</f>
        <v>0</v>
      </c>
      <c r="F21" s="152">
        <f t="shared" ref="F21:H21" si="3">F18*F19</f>
        <v>14.110554106030992</v>
      </c>
      <c r="G21" s="152">
        <f t="shared" si="3"/>
        <v>22.434239496163162</v>
      </c>
      <c r="H21" s="153">
        <f t="shared" si="3"/>
        <v>23.00934245836714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8" t="s">
        <v>12</v>
      </c>
      <c r="D23" s="119"/>
      <c r="E23" s="120"/>
      <c r="F23" s="120"/>
      <c r="G23" s="120"/>
      <c r="H23" s="120"/>
      <c r="I23" s="97"/>
      <c r="J23" s="79"/>
      <c r="K23" s="79"/>
      <c r="L23" s="97"/>
      <c r="M23" s="97"/>
      <c r="N23" s="97"/>
      <c r="O23" s="97"/>
    </row>
    <row r="24" spans="3:15" ht="11.25" customHeight="1">
      <c r="C24" s="112" t="s">
        <v>9</v>
      </c>
      <c r="D24" s="181" t="str">
        <f>'Input | General'!$D$18</f>
        <v>2019-20</v>
      </c>
      <c r="E24" s="181" t="str">
        <f>'Input | General'!$E$18</f>
        <v>2020–21</v>
      </c>
      <c r="F24" s="181" t="str">
        <f>'Input | General'!$F$18</f>
        <v>2021–22</v>
      </c>
      <c r="G24" s="181" t="str">
        <f>'Input | General'!$G$18</f>
        <v>2022–23</v>
      </c>
      <c r="H24" s="182" t="str">
        <f>'Input | General'!$H$18</f>
        <v>2023–24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6" t="s">
        <v>71</v>
      </c>
      <c r="D25" s="169">
        <f>'Input | Inflation and Disc Rate'!L$22</f>
        <v>5.7219608317124804E-2</v>
      </c>
      <c r="E25" s="169">
        <f>'Input | Inflation and Disc Rate'!M$22</f>
        <v>5.6078395298810868E-2</v>
      </c>
      <c r="F25" s="169">
        <f>'Input | Inflation and Disc Rate'!N$22</f>
        <v>5.4937182280497376E-2</v>
      </c>
      <c r="G25" s="169">
        <f>'Input | Inflation and Disc Rate'!O$22</f>
        <v>5.3795969262183441E-2</v>
      </c>
      <c r="H25" s="170">
        <f>'Input | Inflation and Disc Rate'!P$22</f>
        <v>5.2654756243869727E-2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7" t="s">
        <v>14</v>
      </c>
      <c r="D26" s="167">
        <f>'Input | Reported Capex'!H31</f>
        <v>0</v>
      </c>
      <c r="E26" s="167">
        <f>'Input | Reported Capex'!I31</f>
        <v>0</v>
      </c>
      <c r="F26" s="167">
        <f>'Input | Reported Capex'!J31</f>
        <v>0</v>
      </c>
      <c r="G26" s="167">
        <f>'Input | Reported Capex'!K31</f>
        <v>0</v>
      </c>
      <c r="H26" s="168">
        <f>'Input | Reported Capex'!L31</f>
        <v>0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7" t="s">
        <v>16</v>
      </c>
      <c r="D27" s="124">
        <f>1/(1+D25)^(0.5)</f>
        <v>0.97256222059416042</v>
      </c>
      <c r="E27" s="124">
        <f>1/((1+E25)^(0.5)*(1+D25))</f>
        <v>0.92042140837463271</v>
      </c>
      <c r="F27" s="124">
        <f>1/((1+F25)^(0.5)*(1+E25)*(1+D25))</f>
        <v>0.87201776495221961</v>
      </c>
      <c r="G27" s="124">
        <f>1/((1+G25)^(0.5)*(1+F25)*(1+E25)*(1+D25))</f>
        <v>0.82705380907273784</v>
      </c>
      <c r="H27" s="125">
        <f>1/((1+H25)^(0.5)*(1+G25)*(1+F25)*(1+E25)*(1+D25))</f>
        <v>0.78525827396277637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112" t="s">
        <v>18</v>
      </c>
      <c r="D28" s="91">
        <f>D26*D27</f>
        <v>0</v>
      </c>
      <c r="E28" s="91">
        <f t="shared" ref="E28:G28" si="4">E26*E27</f>
        <v>0</v>
      </c>
      <c r="F28" s="91">
        <f t="shared" si="4"/>
        <v>0</v>
      </c>
      <c r="G28" s="91">
        <f t="shared" si="4"/>
        <v>0</v>
      </c>
      <c r="H28" s="92">
        <f>H26*H27</f>
        <v>0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1" t="s">
        <v>22</v>
      </c>
      <c r="D30" s="121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3" t="s">
        <v>23</v>
      </c>
      <c r="D31" s="102">
        <f>SUM(D20:H20)-SUM(D28:H28)</f>
        <v>424.95743576912162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3" t="s">
        <v>24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1:16382" ht="11.25" customHeight="1">
      <c r="C33" s="113" t="s">
        <v>25</v>
      </c>
      <c r="D33" s="102">
        <f>(1-D32)*D31</f>
        <v>297.47020503838513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1:16382" ht="11.25" customHeight="1">
      <c r="C34" s="113" t="s">
        <v>26</v>
      </c>
      <c r="D34" s="102">
        <f>D32*D31</f>
        <v>127.48723073073648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1:16382" ht="11.25" customHeight="1">
      <c r="C35" s="113" t="s">
        <v>27</v>
      </c>
      <c r="D35" s="102">
        <f>SUM(D21:H21)</f>
        <v>59.554136060561291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1:16382" ht="11.25" customHeight="1">
      <c r="C36" s="114" t="s">
        <v>28</v>
      </c>
      <c r="D36" s="103">
        <f>D34-D35</f>
        <v>67.933094670175194</v>
      </c>
      <c r="E36" s="96"/>
      <c r="F36" s="96"/>
      <c r="G36" s="96"/>
      <c r="H36" s="96"/>
      <c r="I36" s="97"/>
      <c r="J36" s="79"/>
      <c r="K36" s="79"/>
      <c r="L36" s="97"/>
      <c r="M36" s="97"/>
      <c r="N36" s="97"/>
      <c r="O36" s="97"/>
    </row>
    <row r="37" spans="1:16382" ht="11.25" customHeight="1">
      <c r="D37" s="25"/>
      <c r="J37" s="2"/>
    </row>
    <row r="38" spans="1:16382" s="8" customFormat="1" ht="12" customHeight="1">
      <c r="B38" s="29" t="s">
        <v>45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  <c r="J39" s="212" t="s">
        <v>117</v>
      </c>
      <c r="K39" s="213"/>
    </row>
    <row r="40" spans="1:16382" s="30" customFormat="1" ht="11.25" customHeight="1">
      <c r="C40" s="93"/>
      <c r="D40" s="183" t="str">
        <f>'Input | General'!D18</f>
        <v>2019-20</v>
      </c>
      <c r="E40" s="183" t="str">
        <f>'Input | General'!E18</f>
        <v>2020–21</v>
      </c>
      <c r="F40" s="183" t="str">
        <f>'Input | General'!F18</f>
        <v>2021–22</v>
      </c>
      <c r="G40" s="183" t="str">
        <f>'Input | General'!G18</f>
        <v>2022–23</v>
      </c>
      <c r="H40" s="183" t="str">
        <f>'Input | General'!H18</f>
        <v>2023–24</v>
      </c>
      <c r="I40" s="94"/>
      <c r="J40" s="183" t="str">
        <f>D40</f>
        <v>2019-20</v>
      </c>
      <c r="K40" s="183" t="str">
        <f t="shared" ref="K40:N41" si="5">E40</f>
        <v>2020–21</v>
      </c>
      <c r="L40" s="183" t="str">
        <f t="shared" si="5"/>
        <v>2021–22</v>
      </c>
      <c r="M40" s="183" t="str">
        <f t="shared" si="5"/>
        <v>2022–23</v>
      </c>
      <c r="N40" s="183" t="str">
        <f t="shared" si="5"/>
        <v>2023–24</v>
      </c>
      <c r="O40" s="94"/>
    </row>
    <row r="41" spans="1:16382" s="30" customFormat="1" ht="11.25" customHeight="1">
      <c r="C41" s="100" t="s">
        <v>101</v>
      </c>
      <c r="D41" s="171">
        <f>1/(1+'Input | Inflation and Disc Rate'!L21)</f>
        <v>0.96881361120967957</v>
      </c>
      <c r="E41" s="171">
        <f>D41/(1+'Input | Inflation and Disc Rate'!M21)</f>
        <v>0.9396140772919902</v>
      </c>
      <c r="F41" s="171">
        <f>E41/(1+'Input | Inflation and Disc Rate'!N21)</f>
        <v>0.91228042493531769</v>
      </c>
      <c r="G41" s="171">
        <f>F41/(1+'Input | Inflation and Disc Rate'!O21)</f>
        <v>0.88670113477421264</v>
      </c>
      <c r="H41" s="172">
        <f>G41/(1+'Input | Inflation and Disc Rate'!P21)</f>
        <v>0.86277340266827707</v>
      </c>
      <c r="I41" s="94"/>
      <c r="J41" s="210">
        <f>D41</f>
        <v>0.96881361120967957</v>
      </c>
      <c r="K41" s="171">
        <f>E41</f>
        <v>0.9396140772919902</v>
      </c>
      <c r="L41" s="171">
        <f t="shared" si="5"/>
        <v>0.91228042493531769</v>
      </c>
      <c r="M41" s="171">
        <f t="shared" si="5"/>
        <v>0.88670113477421264</v>
      </c>
      <c r="N41" s="172">
        <f t="shared" si="5"/>
        <v>0.86277340266827707</v>
      </c>
      <c r="O41" s="94"/>
    </row>
    <row r="42" spans="1:16382" s="30" customFormat="1" ht="11.25" customHeight="1">
      <c r="C42" s="189" t="str">
        <f>CONCATENATE("CESS Payment Per Year ($", 'Output | Models'!$F$8," million)")</f>
        <v>CESS Payment Per Year ($2018–19 million)</v>
      </c>
      <c r="D42" s="110">
        <f>D36/(SUM(D41:H41))</f>
        <v>14.864415683058592</v>
      </c>
      <c r="E42" s="110">
        <f>D42</f>
        <v>14.864415683058592</v>
      </c>
      <c r="F42" s="110">
        <f t="shared" ref="F42:H42" si="6">E42</f>
        <v>14.864415683058592</v>
      </c>
      <c r="G42" s="110">
        <f t="shared" si="6"/>
        <v>14.864415683058592</v>
      </c>
      <c r="H42" s="149">
        <f t="shared" si="6"/>
        <v>14.864415683058592</v>
      </c>
      <c r="I42" s="94"/>
      <c r="J42" s="211">
        <v>11.214214539697064</v>
      </c>
      <c r="K42" s="110">
        <v>11.214214539697064</v>
      </c>
      <c r="L42" s="110">
        <v>11.214214539697064</v>
      </c>
      <c r="M42" s="110">
        <v>11.214214539697064</v>
      </c>
      <c r="N42" s="149">
        <v>11.214214539697064</v>
      </c>
      <c r="O42" s="94"/>
    </row>
    <row r="43" spans="1:16382" s="79" customFormat="1" ht="11.25" customHeight="1">
      <c r="K43" s="94"/>
      <c r="L43" s="94"/>
      <c r="M43" s="94"/>
    </row>
    <row r="44" spans="1:16382" s="30" customFormat="1" ht="11.25" customHeight="1">
      <c r="C44" s="189" t="str">
        <f>CONCATENATE("Total CESS Payment ($", 'Output | Models'!$F$8," million)")</f>
        <v>Total CESS Payment ($2018–19 million)</v>
      </c>
      <c r="D44" s="157">
        <f>SUM(D42:H42)</f>
        <v>74.322078415292964</v>
      </c>
      <c r="E44" s="70"/>
      <c r="F44" s="70"/>
      <c r="G44" s="70"/>
      <c r="H44" s="70"/>
      <c r="I44" s="94"/>
      <c r="J44" s="157">
        <v>56.071072698485324</v>
      </c>
      <c r="K44" s="94"/>
      <c r="L44" s="94"/>
      <c r="M44" s="94"/>
      <c r="N44" s="94"/>
      <c r="O44" s="94"/>
    </row>
    <row r="45" spans="1:16382" s="30" customFormat="1" ht="11.25" customHeight="1">
      <c r="C45" s="69"/>
      <c r="D45" s="99"/>
      <c r="E45" s="70"/>
      <c r="F45" s="70"/>
      <c r="G45" s="70"/>
      <c r="H45" s="70"/>
      <c r="I45" s="94"/>
      <c r="J45" s="94"/>
      <c r="K45" s="94"/>
      <c r="L45" s="94"/>
      <c r="M45" s="94"/>
      <c r="N45" s="94"/>
      <c r="O45" s="94"/>
    </row>
    <row r="46" spans="1:16382" s="30" customFormat="1" ht="11.25" customHeight="1">
      <c r="C46" s="104"/>
      <c r="D46" s="104"/>
      <c r="E46" s="104"/>
      <c r="F46" s="104"/>
      <c r="G46" s="104"/>
      <c r="H46" s="104"/>
      <c r="I46" s="104"/>
      <c r="J46" s="227">
        <f>D44-J44</f>
        <v>18.25100571680764</v>
      </c>
      <c r="K46" s="228" t="s">
        <v>142</v>
      </c>
      <c r="L46" s="104"/>
      <c r="M46" s="104"/>
      <c r="N46" s="104"/>
      <c r="O46" s="104"/>
    </row>
    <row r="47" spans="1:16382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  <c r="UAN47" s="62"/>
      <c r="UAO47" s="62"/>
      <c r="UAP47" s="62"/>
      <c r="UAQ47" s="62"/>
      <c r="UAR47" s="62"/>
      <c r="UAS47" s="62"/>
      <c r="UAT47" s="62"/>
      <c r="UAU47" s="62"/>
      <c r="UAV47" s="62"/>
      <c r="UAW47" s="62"/>
      <c r="UAX47" s="62"/>
      <c r="UAY47" s="62"/>
      <c r="UAZ47" s="62"/>
      <c r="UBA47" s="62"/>
      <c r="UBB47" s="62"/>
      <c r="UBC47" s="62"/>
      <c r="UBD47" s="62"/>
      <c r="UBE47" s="62"/>
      <c r="UBF47" s="62"/>
      <c r="UBG47" s="62"/>
      <c r="UBH47" s="62"/>
      <c r="UBI47" s="62"/>
      <c r="UBJ47" s="62"/>
      <c r="UBK47" s="62"/>
      <c r="UBL47" s="62"/>
      <c r="UBM47" s="62"/>
      <c r="UBN47" s="62"/>
      <c r="UBO47" s="62"/>
      <c r="UBP47" s="62"/>
      <c r="UBQ47" s="62"/>
      <c r="UBR47" s="62"/>
      <c r="UBS47" s="62"/>
      <c r="UBT47" s="62"/>
      <c r="UBU47" s="62"/>
      <c r="UBV47" s="62"/>
      <c r="UBW47" s="62"/>
      <c r="UBX47" s="62"/>
      <c r="UBY47" s="62"/>
      <c r="UBZ47" s="62"/>
      <c r="UCA47" s="62"/>
      <c r="UCB47" s="62"/>
      <c r="UCC47" s="62"/>
      <c r="UCD47" s="62"/>
      <c r="UCE47" s="62"/>
      <c r="UCF47" s="62"/>
      <c r="UCG47" s="62"/>
      <c r="UCH47" s="62"/>
      <c r="UCI47" s="62"/>
      <c r="UCJ47" s="62"/>
      <c r="UCK47" s="62"/>
      <c r="UCL47" s="62"/>
      <c r="UCM47" s="62"/>
      <c r="UCN47" s="62"/>
      <c r="UCO47" s="62"/>
      <c r="UCP47" s="62"/>
      <c r="UCQ47" s="62"/>
      <c r="UCR47" s="62"/>
      <c r="UCS47" s="62"/>
      <c r="UCT47" s="62"/>
      <c r="UCU47" s="62"/>
      <c r="UCV47" s="62"/>
      <c r="UCW47" s="62"/>
      <c r="UCX47" s="62"/>
      <c r="UCY47" s="62"/>
      <c r="UCZ47" s="62"/>
      <c r="UDA47" s="62"/>
      <c r="UDB47" s="62"/>
      <c r="UDC47" s="62"/>
      <c r="UDD47" s="62"/>
      <c r="UDE47" s="62"/>
      <c r="UDF47" s="62"/>
      <c r="UDG47" s="62"/>
      <c r="UDH47" s="62"/>
      <c r="UDI47" s="62"/>
      <c r="UDJ47" s="62"/>
      <c r="UDK47" s="62"/>
      <c r="UDL47" s="62"/>
      <c r="UDM47" s="62"/>
      <c r="UDN47" s="62"/>
      <c r="UDO47" s="62"/>
      <c r="UDP47" s="62"/>
      <c r="UDQ47" s="62"/>
      <c r="UDR47" s="62"/>
      <c r="UDS47" s="62"/>
      <c r="UDT47" s="62"/>
      <c r="UDU47" s="62"/>
      <c r="UDV47" s="62"/>
      <c r="UDW47" s="62"/>
      <c r="UDX47" s="62"/>
      <c r="UDY47" s="62"/>
      <c r="UDZ47" s="62"/>
      <c r="UEA47" s="62"/>
      <c r="UEB47" s="62"/>
      <c r="UEC47" s="62"/>
      <c r="UED47" s="62"/>
      <c r="UEE47" s="62"/>
      <c r="UEF47" s="62"/>
      <c r="UEG47" s="62"/>
      <c r="UEH47" s="62"/>
      <c r="UEI47" s="62"/>
      <c r="UEJ47" s="62"/>
      <c r="UEK47" s="62"/>
      <c r="UEL47" s="62"/>
      <c r="UEM47" s="62"/>
      <c r="UEN47" s="62"/>
      <c r="UEO47" s="62"/>
      <c r="UEP47" s="62"/>
      <c r="UEQ47" s="62"/>
      <c r="UER47" s="62"/>
      <c r="UES47" s="62"/>
      <c r="UET47" s="62"/>
      <c r="UEU47" s="62"/>
      <c r="UEV47" s="62"/>
      <c r="UEW47" s="62"/>
      <c r="UEX47" s="62"/>
      <c r="UEY47" s="62"/>
      <c r="UEZ47" s="62"/>
      <c r="UFA47" s="62"/>
      <c r="UFB47" s="62"/>
      <c r="UFC47" s="62"/>
      <c r="UFD47" s="62"/>
      <c r="UFE47" s="62"/>
      <c r="UFF47" s="62"/>
      <c r="UFG47" s="62"/>
      <c r="UFH47" s="62"/>
      <c r="UFI47" s="62"/>
      <c r="UFJ47" s="62"/>
      <c r="UFK47" s="62"/>
      <c r="UFL47" s="62"/>
      <c r="UFM47" s="62"/>
      <c r="UFN47" s="62"/>
      <c r="UFO47" s="62"/>
      <c r="UFP47" s="62"/>
      <c r="UFQ47" s="62"/>
      <c r="UFR47" s="62"/>
      <c r="UFS47" s="62"/>
      <c r="UFT47" s="62"/>
      <c r="UFU47" s="62"/>
      <c r="UFV47" s="62"/>
      <c r="UFW47" s="62"/>
      <c r="UFX47" s="62"/>
      <c r="UFY47" s="62"/>
      <c r="UFZ47" s="62"/>
      <c r="UGA47" s="62"/>
      <c r="UGB47" s="62"/>
      <c r="UGC47" s="62"/>
      <c r="UGD47" s="62"/>
      <c r="UGE47" s="62"/>
      <c r="UGF47" s="62"/>
      <c r="UGG47" s="62"/>
      <c r="UGH47" s="62"/>
      <c r="UGI47" s="62"/>
      <c r="UGJ47" s="62"/>
      <c r="UGK47" s="62"/>
      <c r="UGL47" s="62"/>
      <c r="UGM47" s="62"/>
      <c r="UGN47" s="62"/>
      <c r="UGO47" s="62"/>
      <c r="UGP47" s="62"/>
      <c r="UGQ47" s="62"/>
      <c r="UGR47" s="62"/>
      <c r="UGS47" s="62"/>
      <c r="UGT47" s="62"/>
      <c r="UGU47" s="62"/>
      <c r="UGV47" s="62"/>
      <c r="UGW47" s="62"/>
      <c r="UGX47" s="62"/>
      <c r="UGY47" s="62"/>
      <c r="UGZ47" s="62"/>
      <c r="UHA47" s="62"/>
      <c r="UHB47" s="62"/>
      <c r="UHC47" s="62"/>
      <c r="UHD47" s="62"/>
      <c r="UHE47" s="62"/>
      <c r="UHF47" s="62"/>
      <c r="UHG47" s="62"/>
      <c r="UHH47" s="62"/>
      <c r="UHI47" s="62"/>
      <c r="UHJ47" s="62"/>
      <c r="UHK47" s="62"/>
      <c r="UHL47" s="62"/>
      <c r="UHM47" s="62"/>
      <c r="UHN47" s="62"/>
      <c r="UHO47" s="62"/>
      <c r="UHP47" s="62"/>
      <c r="UHQ47" s="62"/>
      <c r="UHR47" s="62"/>
      <c r="UHS47" s="62"/>
      <c r="UHT47" s="62"/>
      <c r="UHU47" s="62"/>
      <c r="UHV47" s="62"/>
      <c r="UHW47" s="62"/>
      <c r="UHX47" s="62"/>
      <c r="UHY47" s="62"/>
      <c r="UHZ47" s="62"/>
      <c r="UIA47" s="62"/>
      <c r="UIB47" s="62"/>
      <c r="UIC47" s="62"/>
      <c r="UID47" s="62"/>
      <c r="UIE47" s="62"/>
      <c r="UIF47" s="62"/>
      <c r="UIG47" s="62"/>
      <c r="UIH47" s="62"/>
      <c r="UII47" s="62"/>
      <c r="UIJ47" s="62"/>
      <c r="UIK47" s="62"/>
      <c r="UIL47" s="62"/>
      <c r="UIM47" s="62"/>
      <c r="UIN47" s="62"/>
      <c r="UIO47" s="62"/>
      <c r="UIP47" s="62"/>
      <c r="UIQ47" s="62"/>
      <c r="UIR47" s="62"/>
      <c r="UIS47" s="62"/>
      <c r="UIT47" s="62"/>
      <c r="UIU47" s="62"/>
      <c r="UIV47" s="62"/>
      <c r="UIW47" s="62"/>
      <c r="UIX47" s="62"/>
      <c r="UIY47" s="62"/>
      <c r="UIZ47" s="62"/>
      <c r="UJA47" s="62"/>
      <c r="UJB47" s="62"/>
      <c r="UJC47" s="62"/>
      <c r="UJD47" s="62"/>
      <c r="UJE47" s="62"/>
      <c r="UJF47" s="62"/>
      <c r="UJG47" s="62"/>
      <c r="UJH47" s="62"/>
      <c r="UJI47" s="62"/>
      <c r="UJJ47" s="62"/>
      <c r="UJK47" s="62"/>
      <c r="UJL47" s="62"/>
      <c r="UJM47" s="62"/>
      <c r="UJN47" s="62"/>
      <c r="UJO47" s="62"/>
      <c r="UJP47" s="62"/>
      <c r="UJQ47" s="62"/>
      <c r="UJR47" s="62"/>
      <c r="UJS47" s="62"/>
      <c r="UJT47" s="62"/>
      <c r="UJU47" s="62"/>
      <c r="UJV47" s="62"/>
      <c r="UJW47" s="62"/>
      <c r="UJX47" s="62"/>
      <c r="UJY47" s="62"/>
      <c r="UJZ47" s="62"/>
      <c r="UKA47" s="62"/>
      <c r="UKB47" s="62"/>
      <c r="UKC47" s="62"/>
      <c r="UKD47" s="62"/>
      <c r="UKE47" s="62"/>
      <c r="UKF47" s="62"/>
      <c r="UKG47" s="62"/>
      <c r="UKH47" s="62"/>
      <c r="UKI47" s="62"/>
      <c r="UKJ47" s="62"/>
      <c r="UKK47" s="62"/>
      <c r="UKL47" s="62"/>
      <c r="UKM47" s="62"/>
      <c r="UKN47" s="62"/>
      <c r="UKO47" s="62"/>
      <c r="UKP47" s="62"/>
      <c r="UKQ47" s="62"/>
      <c r="UKR47" s="62"/>
      <c r="UKS47" s="62"/>
      <c r="UKT47" s="62"/>
      <c r="UKU47" s="62"/>
      <c r="UKV47" s="62"/>
      <c r="UKW47" s="62"/>
      <c r="UKX47" s="62"/>
      <c r="UKY47" s="62"/>
      <c r="UKZ47" s="62"/>
      <c r="ULA47" s="62"/>
      <c r="ULB47" s="62"/>
      <c r="ULC47" s="62"/>
      <c r="ULD47" s="62"/>
      <c r="ULE47" s="62"/>
      <c r="ULF47" s="62"/>
      <c r="ULG47" s="62"/>
      <c r="ULH47" s="62"/>
      <c r="ULI47" s="62"/>
      <c r="ULJ47" s="62"/>
      <c r="ULK47" s="62"/>
      <c r="ULL47" s="62"/>
      <c r="ULM47" s="62"/>
      <c r="ULN47" s="62"/>
      <c r="ULO47" s="62"/>
      <c r="ULP47" s="62"/>
      <c r="ULQ47" s="62"/>
      <c r="ULR47" s="62"/>
      <c r="ULS47" s="62"/>
      <c r="ULT47" s="62"/>
      <c r="ULU47" s="62"/>
      <c r="ULV47" s="62"/>
      <c r="ULW47" s="62"/>
      <c r="ULX47" s="62"/>
      <c r="ULY47" s="62"/>
      <c r="ULZ47" s="62"/>
      <c r="UMA47" s="62"/>
      <c r="UMB47" s="62"/>
      <c r="UMC47" s="62"/>
      <c r="UMD47" s="62"/>
      <c r="UME47" s="62"/>
      <c r="UMF47" s="62"/>
      <c r="UMG47" s="62"/>
      <c r="UMH47" s="62"/>
      <c r="UMI47" s="62"/>
      <c r="UMJ47" s="62"/>
      <c r="UMK47" s="62"/>
      <c r="UML47" s="62"/>
      <c r="UMM47" s="62"/>
      <c r="UMN47" s="62"/>
      <c r="UMO47" s="62"/>
      <c r="UMP47" s="62"/>
      <c r="UMQ47" s="62"/>
      <c r="UMR47" s="62"/>
      <c r="UMS47" s="62"/>
      <c r="UMT47" s="62"/>
      <c r="UMU47" s="62"/>
      <c r="UMV47" s="62"/>
      <c r="UMW47" s="62"/>
      <c r="UMX47" s="62"/>
      <c r="UMY47" s="62"/>
      <c r="UMZ47" s="62"/>
      <c r="UNA47" s="62"/>
      <c r="UNB47" s="62"/>
      <c r="UNC47" s="62"/>
      <c r="UND47" s="62"/>
      <c r="UNE47" s="62"/>
      <c r="UNF47" s="62"/>
      <c r="UNG47" s="62"/>
      <c r="UNH47" s="62"/>
      <c r="UNI47" s="62"/>
      <c r="UNJ47" s="62"/>
      <c r="UNK47" s="62"/>
      <c r="UNL47" s="62"/>
      <c r="UNM47" s="62"/>
      <c r="UNN47" s="62"/>
      <c r="UNO47" s="62"/>
      <c r="UNP47" s="62"/>
      <c r="UNQ47" s="62"/>
      <c r="UNR47" s="62"/>
      <c r="UNS47" s="62"/>
      <c r="UNT47" s="62"/>
      <c r="UNU47" s="62"/>
      <c r="UNV47" s="62"/>
      <c r="UNW47" s="62"/>
      <c r="UNX47" s="62"/>
      <c r="UNY47" s="62"/>
      <c r="UNZ47" s="62"/>
      <c r="UOA47" s="62"/>
      <c r="UOB47" s="62"/>
      <c r="UOC47" s="62"/>
      <c r="UOD47" s="62"/>
      <c r="UOE47" s="62"/>
      <c r="UOF47" s="62"/>
      <c r="UOG47" s="62"/>
      <c r="UOH47" s="62"/>
      <c r="UOI47" s="62"/>
      <c r="UOJ47" s="62"/>
      <c r="UOK47" s="62"/>
      <c r="UOL47" s="62"/>
      <c r="UOM47" s="62"/>
      <c r="UON47" s="62"/>
      <c r="UOO47" s="62"/>
      <c r="UOP47" s="62"/>
      <c r="UOQ47" s="62"/>
      <c r="UOR47" s="62"/>
      <c r="UOS47" s="62"/>
      <c r="UOT47" s="62"/>
      <c r="UOU47" s="62"/>
      <c r="UOV47" s="62"/>
      <c r="UOW47" s="62"/>
      <c r="UOX47" s="62"/>
      <c r="UOY47" s="62"/>
      <c r="UOZ47" s="62"/>
      <c r="UPA47" s="62"/>
      <c r="UPB47" s="62"/>
      <c r="UPC47" s="62"/>
      <c r="UPD47" s="62"/>
      <c r="UPE47" s="62"/>
      <c r="UPF47" s="62"/>
      <c r="UPG47" s="62"/>
      <c r="UPH47" s="62"/>
      <c r="UPI47" s="62"/>
      <c r="UPJ47" s="62"/>
      <c r="UPK47" s="62"/>
      <c r="UPL47" s="62"/>
      <c r="UPM47" s="62"/>
      <c r="UPN47" s="62"/>
      <c r="UPO47" s="62"/>
      <c r="UPP47" s="62"/>
      <c r="UPQ47" s="62"/>
      <c r="UPR47" s="62"/>
      <c r="UPS47" s="62"/>
      <c r="UPT47" s="62"/>
      <c r="UPU47" s="62"/>
      <c r="UPV47" s="62"/>
      <c r="UPW47" s="62"/>
      <c r="UPX47" s="62"/>
      <c r="UPY47" s="62"/>
      <c r="UPZ47" s="62"/>
      <c r="UQA47" s="62"/>
      <c r="UQB47" s="62"/>
      <c r="UQC47" s="62"/>
      <c r="UQD47" s="62"/>
      <c r="UQE47" s="62"/>
      <c r="UQF47" s="62"/>
      <c r="UQG47" s="62"/>
      <c r="UQH47" s="62"/>
      <c r="UQI47" s="62"/>
      <c r="UQJ47" s="62"/>
      <c r="UQK47" s="62"/>
      <c r="UQL47" s="62"/>
      <c r="UQM47" s="62"/>
      <c r="UQN47" s="62"/>
      <c r="UQO47" s="62"/>
      <c r="UQP47" s="62"/>
      <c r="UQQ47" s="62"/>
      <c r="UQR47" s="62"/>
      <c r="UQS47" s="62"/>
      <c r="UQT47" s="62"/>
      <c r="UQU47" s="62"/>
      <c r="UQV47" s="62"/>
      <c r="UQW47" s="62"/>
      <c r="UQX47" s="62"/>
      <c r="UQY47" s="62"/>
      <c r="UQZ47" s="62"/>
      <c r="URA47" s="62"/>
      <c r="URB47" s="62"/>
      <c r="URC47" s="62"/>
      <c r="URD47" s="62"/>
      <c r="URE47" s="62"/>
      <c r="URF47" s="62"/>
      <c r="URG47" s="62"/>
      <c r="URH47" s="62"/>
      <c r="URI47" s="62"/>
      <c r="URJ47" s="62"/>
      <c r="URK47" s="62"/>
      <c r="URL47" s="62"/>
      <c r="URM47" s="62"/>
      <c r="URN47" s="62"/>
      <c r="URO47" s="62"/>
      <c r="URP47" s="62"/>
      <c r="URQ47" s="62"/>
      <c r="URR47" s="62"/>
      <c r="URS47" s="62"/>
      <c r="URT47" s="62"/>
      <c r="URU47" s="62"/>
      <c r="URV47" s="62"/>
      <c r="URW47" s="62"/>
      <c r="URX47" s="62"/>
      <c r="URY47" s="62"/>
      <c r="URZ47" s="62"/>
      <c r="USA47" s="62"/>
      <c r="USB47" s="62"/>
      <c r="USC47" s="62"/>
      <c r="USD47" s="62"/>
      <c r="USE47" s="62"/>
      <c r="USF47" s="62"/>
      <c r="USG47" s="62"/>
      <c r="USH47" s="62"/>
      <c r="USI47" s="62"/>
      <c r="USJ47" s="62"/>
      <c r="USK47" s="62"/>
      <c r="USL47" s="62"/>
      <c r="USM47" s="62"/>
      <c r="USN47" s="62"/>
      <c r="USO47" s="62"/>
      <c r="USP47" s="62"/>
      <c r="USQ47" s="62"/>
      <c r="USR47" s="62"/>
      <c r="USS47" s="62"/>
      <c r="UST47" s="62"/>
      <c r="USU47" s="62"/>
      <c r="USV47" s="62"/>
      <c r="USW47" s="62"/>
      <c r="USX47" s="62"/>
      <c r="USY47" s="62"/>
      <c r="USZ47" s="62"/>
      <c r="UTA47" s="62"/>
      <c r="UTB47" s="62"/>
      <c r="UTC47" s="62"/>
      <c r="UTD47" s="62"/>
      <c r="UTE47" s="62"/>
      <c r="UTF47" s="62"/>
      <c r="UTG47" s="62"/>
      <c r="UTH47" s="62"/>
      <c r="UTI47" s="62"/>
      <c r="UTJ47" s="62"/>
      <c r="UTK47" s="62"/>
      <c r="UTL47" s="62"/>
      <c r="UTM47" s="62"/>
      <c r="UTN47" s="62"/>
      <c r="UTO47" s="62"/>
      <c r="UTP47" s="62"/>
      <c r="UTQ47" s="62"/>
      <c r="UTR47" s="62"/>
      <c r="UTS47" s="62"/>
      <c r="UTT47" s="62"/>
      <c r="UTU47" s="62"/>
      <c r="UTV47" s="62"/>
      <c r="UTW47" s="62"/>
      <c r="UTX47" s="62"/>
      <c r="UTY47" s="62"/>
      <c r="UTZ47" s="62"/>
      <c r="UUA47" s="62"/>
      <c r="UUB47" s="62"/>
      <c r="UUC47" s="62"/>
      <c r="UUD47" s="62"/>
      <c r="UUE47" s="62"/>
      <c r="UUF47" s="62"/>
      <c r="UUG47" s="62"/>
      <c r="UUH47" s="62"/>
      <c r="UUI47" s="62"/>
      <c r="UUJ47" s="62"/>
      <c r="UUK47" s="62"/>
      <c r="UUL47" s="62"/>
      <c r="UUM47" s="62"/>
      <c r="UUN47" s="62"/>
      <c r="UUO47" s="62"/>
      <c r="UUP47" s="62"/>
      <c r="UUQ47" s="62"/>
      <c r="UUR47" s="62"/>
      <c r="UUS47" s="62"/>
      <c r="UUT47" s="62"/>
      <c r="UUU47" s="62"/>
      <c r="UUV47" s="62"/>
      <c r="UUW47" s="62"/>
      <c r="UUX47" s="62"/>
      <c r="UUY47" s="62"/>
      <c r="UUZ47" s="62"/>
      <c r="UVA47" s="62"/>
      <c r="UVB47" s="62"/>
      <c r="UVC47" s="62"/>
      <c r="UVD47" s="62"/>
      <c r="UVE47" s="62"/>
      <c r="UVF47" s="62"/>
      <c r="UVG47" s="62"/>
      <c r="UVH47" s="62"/>
      <c r="UVI47" s="62"/>
      <c r="UVJ47" s="62"/>
      <c r="UVK47" s="62"/>
      <c r="UVL47" s="62"/>
      <c r="UVM47" s="62"/>
      <c r="UVN47" s="62"/>
      <c r="UVO47" s="62"/>
      <c r="UVP47" s="62"/>
      <c r="UVQ47" s="62"/>
      <c r="UVR47" s="62"/>
      <c r="UVS47" s="62"/>
      <c r="UVT47" s="62"/>
      <c r="UVU47" s="62"/>
      <c r="UVV47" s="62"/>
      <c r="UVW47" s="62"/>
      <c r="UVX47" s="62"/>
      <c r="UVY47" s="62"/>
      <c r="UVZ47" s="62"/>
      <c r="UWA47" s="62"/>
      <c r="UWB47" s="62"/>
      <c r="UWC47" s="62"/>
      <c r="UWD47" s="62"/>
      <c r="UWE47" s="62"/>
      <c r="UWF47" s="62"/>
      <c r="UWG47" s="62"/>
      <c r="UWH47" s="62"/>
      <c r="UWI47" s="62"/>
      <c r="UWJ47" s="62"/>
      <c r="UWK47" s="62"/>
      <c r="UWL47" s="62"/>
      <c r="UWM47" s="62"/>
      <c r="UWN47" s="62"/>
      <c r="UWO47" s="62"/>
      <c r="UWP47" s="62"/>
      <c r="UWQ47" s="62"/>
      <c r="UWR47" s="62"/>
      <c r="UWS47" s="62"/>
      <c r="UWT47" s="62"/>
      <c r="UWU47" s="62"/>
      <c r="UWV47" s="62"/>
      <c r="UWW47" s="62"/>
      <c r="UWX47" s="62"/>
      <c r="UWY47" s="62"/>
      <c r="UWZ47" s="62"/>
      <c r="UXA47" s="62"/>
      <c r="UXB47" s="62"/>
      <c r="UXC47" s="62"/>
      <c r="UXD47" s="62"/>
      <c r="UXE47" s="62"/>
      <c r="UXF47" s="62"/>
      <c r="UXG47" s="62"/>
      <c r="UXH47" s="62"/>
      <c r="UXI47" s="62"/>
      <c r="UXJ47" s="62"/>
      <c r="UXK47" s="62"/>
      <c r="UXL47" s="62"/>
      <c r="UXM47" s="62"/>
      <c r="UXN47" s="62"/>
      <c r="UXO47" s="62"/>
      <c r="UXP47" s="62"/>
      <c r="UXQ47" s="62"/>
      <c r="UXR47" s="62"/>
      <c r="UXS47" s="62"/>
      <c r="UXT47" s="62"/>
      <c r="UXU47" s="62"/>
      <c r="UXV47" s="62"/>
      <c r="UXW47" s="62"/>
      <c r="UXX47" s="62"/>
      <c r="UXY47" s="62"/>
      <c r="UXZ47" s="62"/>
      <c r="UYA47" s="62"/>
      <c r="UYB47" s="62"/>
      <c r="UYC47" s="62"/>
      <c r="UYD47" s="62"/>
      <c r="UYE47" s="62"/>
      <c r="UYF47" s="62"/>
      <c r="UYG47" s="62"/>
      <c r="UYH47" s="62"/>
      <c r="UYI47" s="62"/>
      <c r="UYJ47" s="62"/>
      <c r="UYK47" s="62"/>
      <c r="UYL47" s="62"/>
      <c r="UYM47" s="62"/>
      <c r="UYN47" s="62"/>
      <c r="UYO47" s="62"/>
      <c r="UYP47" s="62"/>
      <c r="UYQ47" s="62"/>
      <c r="UYR47" s="62"/>
      <c r="UYS47" s="62"/>
      <c r="UYT47" s="62"/>
      <c r="UYU47" s="62"/>
      <c r="UYV47" s="62"/>
      <c r="UYW47" s="62"/>
      <c r="UYX47" s="62"/>
      <c r="UYY47" s="62"/>
      <c r="UYZ47" s="62"/>
      <c r="UZA47" s="62"/>
      <c r="UZB47" s="62"/>
      <c r="UZC47" s="62"/>
      <c r="UZD47" s="62"/>
      <c r="UZE47" s="62"/>
      <c r="UZF47" s="62"/>
      <c r="UZG47" s="62"/>
      <c r="UZH47" s="62"/>
      <c r="UZI47" s="62"/>
      <c r="UZJ47" s="62"/>
      <c r="UZK47" s="62"/>
      <c r="UZL47" s="62"/>
      <c r="UZM47" s="62"/>
      <c r="UZN47" s="62"/>
      <c r="UZO47" s="62"/>
      <c r="UZP47" s="62"/>
      <c r="UZQ47" s="62"/>
      <c r="UZR47" s="62"/>
      <c r="UZS47" s="62"/>
      <c r="UZT47" s="62"/>
      <c r="UZU47" s="62"/>
      <c r="UZV47" s="62"/>
      <c r="UZW47" s="62"/>
      <c r="UZX47" s="62"/>
      <c r="UZY47" s="62"/>
      <c r="UZZ47" s="62"/>
      <c r="VAA47" s="62"/>
      <c r="VAB47" s="62"/>
      <c r="VAC47" s="62"/>
      <c r="VAD47" s="62"/>
      <c r="VAE47" s="62"/>
      <c r="VAF47" s="62"/>
      <c r="VAG47" s="62"/>
      <c r="VAH47" s="62"/>
      <c r="VAI47" s="62"/>
      <c r="VAJ47" s="62"/>
      <c r="VAK47" s="62"/>
      <c r="VAL47" s="62"/>
      <c r="VAM47" s="62"/>
      <c r="VAN47" s="62"/>
      <c r="VAO47" s="62"/>
      <c r="VAP47" s="62"/>
      <c r="VAQ47" s="62"/>
      <c r="VAR47" s="62"/>
      <c r="VAS47" s="62"/>
      <c r="VAT47" s="62"/>
      <c r="VAU47" s="62"/>
      <c r="VAV47" s="62"/>
      <c r="VAW47" s="62"/>
      <c r="VAX47" s="62"/>
      <c r="VAY47" s="62"/>
      <c r="VAZ47" s="62"/>
      <c r="VBA47" s="62"/>
      <c r="VBB47" s="62"/>
      <c r="VBC47" s="62"/>
      <c r="VBD47" s="62"/>
      <c r="VBE47" s="62"/>
      <c r="VBF47" s="62"/>
      <c r="VBG47" s="62"/>
      <c r="VBH47" s="62"/>
      <c r="VBI47" s="62"/>
      <c r="VBJ47" s="62"/>
      <c r="VBK47" s="62"/>
      <c r="VBL47" s="62"/>
      <c r="VBM47" s="62"/>
      <c r="VBN47" s="62"/>
      <c r="VBO47" s="62"/>
      <c r="VBP47" s="62"/>
      <c r="VBQ47" s="62"/>
      <c r="VBR47" s="62"/>
      <c r="VBS47" s="62"/>
      <c r="VBT47" s="62"/>
      <c r="VBU47" s="62"/>
      <c r="VBV47" s="62"/>
      <c r="VBW47" s="62"/>
      <c r="VBX47" s="62"/>
      <c r="VBY47" s="62"/>
      <c r="VBZ47" s="62"/>
      <c r="VCA47" s="62"/>
      <c r="VCB47" s="62"/>
      <c r="VCC47" s="62"/>
      <c r="VCD47" s="62"/>
      <c r="VCE47" s="62"/>
      <c r="VCF47" s="62"/>
      <c r="VCG47" s="62"/>
      <c r="VCH47" s="62"/>
      <c r="VCI47" s="62"/>
      <c r="VCJ47" s="62"/>
      <c r="VCK47" s="62"/>
      <c r="VCL47" s="62"/>
      <c r="VCM47" s="62"/>
      <c r="VCN47" s="62"/>
      <c r="VCO47" s="62"/>
      <c r="VCP47" s="62"/>
      <c r="VCQ47" s="62"/>
      <c r="VCR47" s="62"/>
      <c r="VCS47" s="62"/>
      <c r="VCT47" s="62"/>
      <c r="VCU47" s="62"/>
      <c r="VCV47" s="62"/>
      <c r="VCW47" s="62"/>
      <c r="VCX47" s="62"/>
      <c r="VCY47" s="62"/>
      <c r="VCZ47" s="62"/>
      <c r="VDA47" s="62"/>
      <c r="VDB47" s="62"/>
      <c r="VDC47" s="62"/>
      <c r="VDD47" s="62"/>
      <c r="VDE47" s="62"/>
      <c r="VDF47" s="62"/>
      <c r="VDG47" s="62"/>
      <c r="VDH47" s="62"/>
      <c r="VDI47" s="62"/>
      <c r="VDJ47" s="62"/>
      <c r="VDK47" s="62"/>
      <c r="VDL47" s="62"/>
      <c r="VDM47" s="62"/>
      <c r="VDN47" s="62"/>
      <c r="VDO47" s="62"/>
      <c r="VDP47" s="62"/>
      <c r="VDQ47" s="62"/>
      <c r="VDR47" s="62"/>
      <c r="VDS47" s="62"/>
      <c r="VDT47" s="62"/>
      <c r="VDU47" s="62"/>
      <c r="VDV47" s="62"/>
      <c r="VDW47" s="62"/>
      <c r="VDX47" s="62"/>
      <c r="VDY47" s="62"/>
      <c r="VDZ47" s="62"/>
      <c r="VEA47" s="62"/>
      <c r="VEB47" s="62"/>
      <c r="VEC47" s="62"/>
      <c r="VED47" s="62"/>
      <c r="VEE47" s="62"/>
      <c r="VEF47" s="62"/>
      <c r="VEG47" s="62"/>
      <c r="VEH47" s="62"/>
      <c r="VEI47" s="62"/>
      <c r="VEJ47" s="62"/>
      <c r="VEK47" s="62"/>
      <c r="VEL47" s="62"/>
      <c r="VEM47" s="62"/>
      <c r="VEN47" s="62"/>
      <c r="VEO47" s="62"/>
      <c r="VEP47" s="62"/>
      <c r="VEQ47" s="62"/>
      <c r="VER47" s="62"/>
      <c r="VES47" s="62"/>
      <c r="VET47" s="62"/>
      <c r="VEU47" s="62"/>
      <c r="VEV47" s="62"/>
      <c r="VEW47" s="62"/>
      <c r="VEX47" s="62"/>
      <c r="VEY47" s="62"/>
      <c r="VEZ47" s="62"/>
      <c r="VFA47" s="62"/>
      <c r="VFB47" s="62"/>
      <c r="VFC47" s="62"/>
      <c r="VFD47" s="62"/>
      <c r="VFE47" s="62"/>
      <c r="VFF47" s="62"/>
      <c r="VFG47" s="62"/>
      <c r="VFH47" s="62"/>
      <c r="VFI47" s="62"/>
      <c r="VFJ47" s="62"/>
      <c r="VFK47" s="62"/>
      <c r="VFL47" s="62"/>
      <c r="VFM47" s="62"/>
      <c r="VFN47" s="62"/>
      <c r="VFO47" s="62"/>
      <c r="VFP47" s="62"/>
      <c r="VFQ47" s="62"/>
      <c r="VFR47" s="62"/>
      <c r="VFS47" s="62"/>
      <c r="VFT47" s="62"/>
      <c r="VFU47" s="62"/>
      <c r="VFV47" s="62"/>
      <c r="VFW47" s="62"/>
      <c r="VFX47" s="62"/>
      <c r="VFY47" s="62"/>
      <c r="VFZ47" s="62"/>
      <c r="VGA47" s="62"/>
      <c r="VGB47" s="62"/>
      <c r="VGC47" s="62"/>
      <c r="VGD47" s="62"/>
      <c r="VGE47" s="62"/>
      <c r="VGF47" s="62"/>
      <c r="VGG47" s="62"/>
      <c r="VGH47" s="62"/>
      <c r="VGI47" s="62"/>
      <c r="VGJ47" s="62"/>
      <c r="VGK47" s="62"/>
      <c r="VGL47" s="62"/>
      <c r="VGM47" s="62"/>
      <c r="VGN47" s="62"/>
      <c r="VGO47" s="62"/>
      <c r="VGP47" s="62"/>
      <c r="VGQ47" s="62"/>
      <c r="VGR47" s="62"/>
      <c r="VGS47" s="62"/>
      <c r="VGT47" s="62"/>
      <c r="VGU47" s="62"/>
      <c r="VGV47" s="62"/>
      <c r="VGW47" s="62"/>
      <c r="VGX47" s="62"/>
      <c r="VGY47" s="62"/>
      <c r="VGZ47" s="62"/>
      <c r="VHA47" s="62"/>
      <c r="VHB47" s="62"/>
      <c r="VHC47" s="62"/>
      <c r="VHD47" s="62"/>
      <c r="VHE47" s="62"/>
      <c r="VHF47" s="62"/>
      <c r="VHG47" s="62"/>
      <c r="VHH47" s="62"/>
      <c r="VHI47" s="62"/>
      <c r="VHJ47" s="62"/>
      <c r="VHK47" s="62"/>
      <c r="VHL47" s="62"/>
      <c r="VHM47" s="62"/>
      <c r="VHN47" s="62"/>
      <c r="VHO47" s="62"/>
      <c r="VHP47" s="62"/>
      <c r="VHQ47" s="62"/>
      <c r="VHR47" s="62"/>
      <c r="VHS47" s="62"/>
      <c r="VHT47" s="62"/>
      <c r="VHU47" s="62"/>
      <c r="VHV47" s="62"/>
      <c r="VHW47" s="62"/>
      <c r="VHX47" s="62"/>
      <c r="VHY47" s="62"/>
      <c r="VHZ47" s="62"/>
      <c r="VIA47" s="62"/>
      <c r="VIB47" s="62"/>
      <c r="VIC47" s="62"/>
      <c r="VID47" s="62"/>
      <c r="VIE47" s="62"/>
      <c r="VIF47" s="62"/>
      <c r="VIG47" s="62"/>
      <c r="VIH47" s="62"/>
      <c r="VII47" s="62"/>
      <c r="VIJ47" s="62"/>
      <c r="VIK47" s="62"/>
      <c r="VIL47" s="62"/>
      <c r="VIM47" s="62"/>
      <c r="VIN47" s="62"/>
      <c r="VIO47" s="62"/>
      <c r="VIP47" s="62"/>
      <c r="VIQ47" s="62"/>
      <c r="VIR47" s="62"/>
      <c r="VIS47" s="62"/>
      <c r="VIT47" s="62"/>
      <c r="VIU47" s="62"/>
      <c r="VIV47" s="62"/>
      <c r="VIW47" s="62"/>
      <c r="VIX47" s="62"/>
      <c r="VIY47" s="62"/>
      <c r="VIZ47" s="62"/>
      <c r="VJA47" s="62"/>
      <c r="VJB47" s="62"/>
      <c r="VJC47" s="62"/>
      <c r="VJD47" s="62"/>
      <c r="VJE47" s="62"/>
      <c r="VJF47" s="62"/>
      <c r="VJG47" s="62"/>
      <c r="VJH47" s="62"/>
      <c r="VJI47" s="62"/>
      <c r="VJJ47" s="62"/>
      <c r="VJK47" s="62"/>
      <c r="VJL47" s="62"/>
      <c r="VJM47" s="62"/>
      <c r="VJN47" s="62"/>
      <c r="VJO47" s="62"/>
      <c r="VJP47" s="62"/>
      <c r="VJQ47" s="62"/>
      <c r="VJR47" s="62"/>
      <c r="VJS47" s="62"/>
      <c r="VJT47" s="62"/>
      <c r="VJU47" s="62"/>
      <c r="VJV47" s="62"/>
      <c r="VJW47" s="62"/>
      <c r="VJX47" s="62"/>
      <c r="VJY47" s="62"/>
      <c r="VJZ47" s="62"/>
      <c r="VKA47" s="62"/>
      <c r="VKB47" s="62"/>
      <c r="VKC47" s="62"/>
      <c r="VKD47" s="62"/>
      <c r="VKE47" s="62"/>
      <c r="VKF47" s="62"/>
      <c r="VKG47" s="62"/>
      <c r="VKH47" s="62"/>
      <c r="VKI47" s="62"/>
      <c r="VKJ47" s="62"/>
      <c r="VKK47" s="62"/>
      <c r="VKL47" s="62"/>
      <c r="VKM47" s="62"/>
      <c r="VKN47" s="62"/>
      <c r="VKO47" s="62"/>
      <c r="VKP47" s="62"/>
      <c r="VKQ47" s="62"/>
      <c r="VKR47" s="62"/>
      <c r="VKS47" s="62"/>
      <c r="VKT47" s="62"/>
      <c r="VKU47" s="62"/>
      <c r="VKV47" s="62"/>
      <c r="VKW47" s="62"/>
      <c r="VKX47" s="62"/>
      <c r="VKY47" s="62"/>
      <c r="VKZ47" s="62"/>
      <c r="VLA47" s="62"/>
      <c r="VLB47" s="62"/>
      <c r="VLC47" s="62"/>
      <c r="VLD47" s="62"/>
      <c r="VLE47" s="62"/>
      <c r="VLF47" s="62"/>
      <c r="VLG47" s="62"/>
      <c r="VLH47" s="62"/>
      <c r="VLI47" s="62"/>
      <c r="VLJ47" s="62"/>
      <c r="VLK47" s="62"/>
      <c r="VLL47" s="62"/>
      <c r="VLM47" s="62"/>
      <c r="VLN47" s="62"/>
      <c r="VLO47" s="62"/>
      <c r="VLP47" s="62"/>
      <c r="VLQ47" s="62"/>
      <c r="VLR47" s="62"/>
      <c r="VLS47" s="62"/>
      <c r="VLT47" s="62"/>
      <c r="VLU47" s="62"/>
      <c r="VLV47" s="62"/>
      <c r="VLW47" s="62"/>
      <c r="VLX47" s="62"/>
      <c r="VLY47" s="62"/>
      <c r="VLZ47" s="62"/>
      <c r="VMA47" s="62"/>
      <c r="VMB47" s="62"/>
      <c r="VMC47" s="62"/>
      <c r="VMD47" s="62"/>
      <c r="VME47" s="62"/>
      <c r="VMF47" s="62"/>
      <c r="VMG47" s="62"/>
      <c r="VMH47" s="62"/>
      <c r="VMI47" s="62"/>
      <c r="VMJ47" s="62"/>
      <c r="VMK47" s="62"/>
      <c r="VML47" s="62"/>
      <c r="VMM47" s="62"/>
      <c r="VMN47" s="62"/>
      <c r="VMO47" s="62"/>
      <c r="VMP47" s="62"/>
      <c r="VMQ47" s="62"/>
      <c r="VMR47" s="62"/>
      <c r="VMS47" s="62"/>
      <c r="VMT47" s="62"/>
      <c r="VMU47" s="62"/>
      <c r="VMV47" s="62"/>
      <c r="VMW47" s="62"/>
      <c r="VMX47" s="62"/>
      <c r="VMY47" s="62"/>
      <c r="VMZ47" s="62"/>
      <c r="VNA47" s="62"/>
      <c r="VNB47" s="62"/>
      <c r="VNC47" s="62"/>
      <c r="VND47" s="62"/>
      <c r="VNE47" s="62"/>
      <c r="VNF47" s="62"/>
      <c r="VNG47" s="62"/>
      <c r="VNH47" s="62"/>
      <c r="VNI47" s="62"/>
      <c r="VNJ47" s="62"/>
      <c r="VNK47" s="62"/>
      <c r="VNL47" s="62"/>
      <c r="VNM47" s="62"/>
      <c r="VNN47" s="62"/>
      <c r="VNO47" s="62"/>
      <c r="VNP47" s="62"/>
      <c r="VNQ47" s="62"/>
      <c r="VNR47" s="62"/>
      <c r="VNS47" s="62"/>
      <c r="VNT47" s="62"/>
      <c r="VNU47" s="62"/>
      <c r="VNV47" s="62"/>
      <c r="VNW47" s="62"/>
      <c r="VNX47" s="62"/>
      <c r="VNY47" s="62"/>
      <c r="VNZ47" s="62"/>
      <c r="VOA47" s="62"/>
      <c r="VOB47" s="62"/>
      <c r="VOC47" s="62"/>
      <c r="VOD47" s="62"/>
      <c r="VOE47" s="62"/>
      <c r="VOF47" s="62"/>
      <c r="VOG47" s="62"/>
      <c r="VOH47" s="62"/>
      <c r="VOI47" s="62"/>
      <c r="VOJ47" s="62"/>
      <c r="VOK47" s="62"/>
      <c r="VOL47" s="62"/>
      <c r="VOM47" s="62"/>
      <c r="VON47" s="62"/>
      <c r="VOO47" s="62"/>
      <c r="VOP47" s="62"/>
      <c r="VOQ47" s="62"/>
      <c r="VOR47" s="62"/>
      <c r="VOS47" s="62"/>
      <c r="VOT47" s="62"/>
      <c r="VOU47" s="62"/>
      <c r="VOV47" s="62"/>
      <c r="VOW47" s="62"/>
      <c r="VOX47" s="62"/>
      <c r="VOY47" s="62"/>
      <c r="VOZ47" s="62"/>
      <c r="VPA47" s="62"/>
      <c r="VPB47" s="62"/>
      <c r="VPC47" s="62"/>
      <c r="VPD47" s="62"/>
      <c r="VPE47" s="62"/>
      <c r="VPF47" s="62"/>
      <c r="VPG47" s="62"/>
      <c r="VPH47" s="62"/>
      <c r="VPI47" s="62"/>
      <c r="VPJ47" s="62"/>
      <c r="VPK47" s="62"/>
      <c r="VPL47" s="62"/>
      <c r="VPM47" s="62"/>
      <c r="VPN47" s="62"/>
      <c r="VPO47" s="62"/>
      <c r="VPP47" s="62"/>
      <c r="VPQ47" s="62"/>
      <c r="VPR47" s="62"/>
      <c r="VPS47" s="62"/>
      <c r="VPT47" s="62"/>
      <c r="VPU47" s="62"/>
      <c r="VPV47" s="62"/>
      <c r="VPW47" s="62"/>
      <c r="VPX47" s="62"/>
      <c r="VPY47" s="62"/>
      <c r="VPZ47" s="62"/>
      <c r="VQA47" s="62"/>
      <c r="VQB47" s="62"/>
      <c r="VQC47" s="62"/>
      <c r="VQD47" s="62"/>
      <c r="VQE47" s="62"/>
      <c r="VQF47" s="62"/>
      <c r="VQG47" s="62"/>
      <c r="VQH47" s="62"/>
      <c r="VQI47" s="62"/>
      <c r="VQJ47" s="62"/>
      <c r="VQK47" s="62"/>
      <c r="VQL47" s="62"/>
      <c r="VQM47" s="62"/>
      <c r="VQN47" s="62"/>
      <c r="VQO47" s="62"/>
      <c r="VQP47" s="62"/>
      <c r="VQQ47" s="62"/>
      <c r="VQR47" s="62"/>
      <c r="VQS47" s="62"/>
      <c r="VQT47" s="62"/>
      <c r="VQU47" s="62"/>
      <c r="VQV47" s="62"/>
      <c r="VQW47" s="62"/>
      <c r="VQX47" s="62"/>
      <c r="VQY47" s="62"/>
      <c r="VQZ47" s="62"/>
      <c r="VRA47" s="62"/>
      <c r="VRB47" s="62"/>
      <c r="VRC47" s="62"/>
      <c r="VRD47" s="62"/>
      <c r="VRE47" s="62"/>
      <c r="VRF47" s="62"/>
      <c r="VRG47" s="62"/>
      <c r="VRH47" s="62"/>
      <c r="VRI47" s="62"/>
      <c r="VRJ47" s="62"/>
      <c r="VRK47" s="62"/>
      <c r="VRL47" s="62"/>
      <c r="VRM47" s="62"/>
      <c r="VRN47" s="62"/>
      <c r="VRO47" s="62"/>
      <c r="VRP47" s="62"/>
      <c r="VRQ47" s="62"/>
      <c r="VRR47" s="62"/>
      <c r="VRS47" s="62"/>
      <c r="VRT47" s="62"/>
      <c r="VRU47" s="62"/>
      <c r="VRV47" s="62"/>
      <c r="VRW47" s="62"/>
      <c r="VRX47" s="62"/>
      <c r="VRY47" s="62"/>
      <c r="VRZ47" s="62"/>
      <c r="VSA47" s="62"/>
      <c r="VSB47" s="62"/>
      <c r="VSC47" s="62"/>
      <c r="VSD47" s="62"/>
      <c r="VSE47" s="62"/>
      <c r="VSF47" s="62"/>
      <c r="VSG47" s="62"/>
      <c r="VSH47" s="62"/>
      <c r="VSI47" s="62"/>
      <c r="VSJ47" s="62"/>
      <c r="VSK47" s="62"/>
      <c r="VSL47" s="62"/>
      <c r="VSM47" s="62"/>
      <c r="VSN47" s="62"/>
      <c r="VSO47" s="62"/>
      <c r="VSP47" s="62"/>
      <c r="VSQ47" s="62"/>
      <c r="VSR47" s="62"/>
      <c r="VSS47" s="62"/>
      <c r="VST47" s="62"/>
      <c r="VSU47" s="62"/>
      <c r="VSV47" s="62"/>
      <c r="VSW47" s="62"/>
      <c r="VSX47" s="62"/>
      <c r="VSY47" s="62"/>
      <c r="VSZ47" s="62"/>
      <c r="VTA47" s="62"/>
      <c r="VTB47" s="62"/>
      <c r="VTC47" s="62"/>
      <c r="VTD47" s="62"/>
      <c r="VTE47" s="62"/>
      <c r="VTF47" s="62"/>
      <c r="VTG47" s="62"/>
      <c r="VTH47" s="62"/>
      <c r="VTI47" s="62"/>
      <c r="VTJ47" s="62"/>
      <c r="VTK47" s="62"/>
      <c r="VTL47" s="62"/>
      <c r="VTM47" s="62"/>
      <c r="VTN47" s="62"/>
      <c r="VTO47" s="62"/>
      <c r="VTP47" s="62"/>
      <c r="VTQ47" s="62"/>
      <c r="VTR47" s="62"/>
      <c r="VTS47" s="62"/>
      <c r="VTT47" s="62"/>
      <c r="VTU47" s="62"/>
      <c r="VTV47" s="62"/>
      <c r="VTW47" s="62"/>
      <c r="VTX47" s="62"/>
      <c r="VTY47" s="62"/>
      <c r="VTZ47" s="62"/>
      <c r="VUA47" s="62"/>
      <c r="VUB47" s="62"/>
      <c r="VUC47" s="62"/>
      <c r="VUD47" s="62"/>
      <c r="VUE47" s="62"/>
      <c r="VUF47" s="62"/>
      <c r="VUG47" s="62"/>
      <c r="VUH47" s="62"/>
      <c r="VUI47" s="62"/>
      <c r="VUJ47" s="62"/>
      <c r="VUK47" s="62"/>
      <c r="VUL47" s="62"/>
      <c r="VUM47" s="62"/>
      <c r="VUN47" s="62"/>
      <c r="VUO47" s="62"/>
      <c r="VUP47" s="62"/>
      <c r="VUQ47" s="62"/>
      <c r="VUR47" s="62"/>
      <c r="VUS47" s="62"/>
      <c r="VUT47" s="62"/>
      <c r="VUU47" s="62"/>
      <c r="VUV47" s="62"/>
      <c r="VUW47" s="62"/>
      <c r="VUX47" s="62"/>
      <c r="VUY47" s="62"/>
      <c r="VUZ47" s="62"/>
      <c r="VVA47" s="62"/>
      <c r="VVB47" s="62"/>
      <c r="VVC47" s="62"/>
      <c r="VVD47" s="62"/>
      <c r="VVE47" s="62"/>
      <c r="VVF47" s="62"/>
      <c r="VVG47" s="62"/>
      <c r="VVH47" s="62"/>
      <c r="VVI47" s="62"/>
      <c r="VVJ47" s="62"/>
      <c r="VVK47" s="62"/>
      <c r="VVL47" s="62"/>
      <c r="VVM47" s="62"/>
      <c r="VVN47" s="62"/>
      <c r="VVO47" s="62"/>
      <c r="VVP47" s="62"/>
      <c r="VVQ47" s="62"/>
      <c r="VVR47" s="62"/>
      <c r="VVS47" s="62"/>
      <c r="VVT47" s="62"/>
      <c r="VVU47" s="62"/>
      <c r="VVV47" s="62"/>
      <c r="VVW47" s="62"/>
      <c r="VVX47" s="62"/>
      <c r="VVY47" s="62"/>
      <c r="VVZ47" s="62"/>
      <c r="VWA47" s="62"/>
      <c r="VWB47" s="62"/>
      <c r="VWC47" s="62"/>
      <c r="VWD47" s="62"/>
      <c r="VWE47" s="62"/>
      <c r="VWF47" s="62"/>
      <c r="VWG47" s="62"/>
      <c r="VWH47" s="62"/>
      <c r="VWI47" s="62"/>
      <c r="VWJ47" s="62"/>
      <c r="VWK47" s="62"/>
      <c r="VWL47" s="62"/>
      <c r="VWM47" s="62"/>
      <c r="VWN47" s="62"/>
      <c r="VWO47" s="62"/>
      <c r="VWP47" s="62"/>
      <c r="VWQ47" s="62"/>
      <c r="VWR47" s="62"/>
      <c r="VWS47" s="62"/>
      <c r="VWT47" s="62"/>
      <c r="VWU47" s="62"/>
      <c r="VWV47" s="62"/>
      <c r="VWW47" s="62"/>
      <c r="VWX47" s="62"/>
      <c r="VWY47" s="62"/>
      <c r="VWZ47" s="62"/>
      <c r="VXA47" s="62"/>
      <c r="VXB47" s="62"/>
      <c r="VXC47" s="62"/>
      <c r="VXD47" s="62"/>
      <c r="VXE47" s="62"/>
      <c r="VXF47" s="62"/>
      <c r="VXG47" s="62"/>
      <c r="VXH47" s="62"/>
      <c r="VXI47" s="62"/>
      <c r="VXJ47" s="62"/>
      <c r="VXK47" s="62"/>
      <c r="VXL47" s="62"/>
      <c r="VXM47" s="62"/>
      <c r="VXN47" s="62"/>
      <c r="VXO47" s="62"/>
      <c r="VXP47" s="62"/>
      <c r="VXQ47" s="62"/>
      <c r="VXR47" s="62"/>
      <c r="VXS47" s="62"/>
      <c r="VXT47" s="62"/>
      <c r="VXU47" s="62"/>
      <c r="VXV47" s="62"/>
      <c r="VXW47" s="62"/>
      <c r="VXX47" s="62"/>
      <c r="VXY47" s="62"/>
      <c r="VXZ47" s="62"/>
      <c r="VYA47" s="62"/>
      <c r="VYB47" s="62"/>
      <c r="VYC47" s="62"/>
      <c r="VYD47" s="62"/>
      <c r="VYE47" s="62"/>
      <c r="VYF47" s="62"/>
      <c r="VYG47" s="62"/>
      <c r="VYH47" s="62"/>
      <c r="VYI47" s="62"/>
      <c r="VYJ47" s="62"/>
      <c r="VYK47" s="62"/>
      <c r="VYL47" s="62"/>
      <c r="VYM47" s="62"/>
      <c r="VYN47" s="62"/>
      <c r="VYO47" s="62"/>
      <c r="VYP47" s="62"/>
      <c r="VYQ47" s="62"/>
      <c r="VYR47" s="62"/>
      <c r="VYS47" s="62"/>
      <c r="VYT47" s="62"/>
      <c r="VYU47" s="62"/>
      <c r="VYV47" s="62"/>
      <c r="VYW47" s="62"/>
      <c r="VYX47" s="62"/>
      <c r="VYY47" s="62"/>
      <c r="VYZ47" s="62"/>
      <c r="VZA47" s="62"/>
      <c r="VZB47" s="62"/>
      <c r="VZC47" s="62"/>
      <c r="VZD47" s="62"/>
      <c r="VZE47" s="62"/>
      <c r="VZF47" s="62"/>
      <c r="VZG47" s="62"/>
      <c r="VZH47" s="62"/>
      <c r="VZI47" s="62"/>
      <c r="VZJ47" s="62"/>
      <c r="VZK47" s="62"/>
      <c r="VZL47" s="62"/>
      <c r="VZM47" s="62"/>
      <c r="VZN47" s="62"/>
      <c r="VZO47" s="62"/>
      <c r="VZP47" s="62"/>
      <c r="VZQ47" s="62"/>
      <c r="VZR47" s="62"/>
      <c r="VZS47" s="62"/>
      <c r="VZT47" s="62"/>
      <c r="VZU47" s="62"/>
      <c r="VZV47" s="62"/>
      <c r="VZW47" s="62"/>
      <c r="VZX47" s="62"/>
      <c r="VZY47" s="62"/>
      <c r="VZZ47" s="62"/>
      <c r="WAA47" s="62"/>
      <c r="WAB47" s="62"/>
      <c r="WAC47" s="62"/>
      <c r="WAD47" s="62"/>
      <c r="WAE47" s="62"/>
      <c r="WAF47" s="62"/>
      <c r="WAG47" s="62"/>
      <c r="WAH47" s="62"/>
      <c r="WAI47" s="62"/>
      <c r="WAJ47" s="62"/>
      <c r="WAK47" s="62"/>
      <c r="WAL47" s="62"/>
      <c r="WAM47" s="62"/>
      <c r="WAN47" s="62"/>
      <c r="WAO47" s="62"/>
      <c r="WAP47" s="62"/>
      <c r="WAQ47" s="62"/>
      <c r="WAR47" s="62"/>
      <c r="WAS47" s="62"/>
      <c r="WAT47" s="62"/>
      <c r="WAU47" s="62"/>
      <c r="WAV47" s="62"/>
      <c r="WAW47" s="62"/>
      <c r="WAX47" s="62"/>
      <c r="WAY47" s="62"/>
      <c r="WAZ47" s="62"/>
      <c r="WBA47" s="62"/>
      <c r="WBB47" s="62"/>
      <c r="WBC47" s="62"/>
      <c r="WBD47" s="62"/>
      <c r="WBE47" s="62"/>
      <c r="WBF47" s="62"/>
      <c r="WBG47" s="62"/>
      <c r="WBH47" s="62"/>
      <c r="WBI47" s="62"/>
      <c r="WBJ47" s="62"/>
      <c r="WBK47" s="62"/>
      <c r="WBL47" s="62"/>
      <c r="WBM47" s="62"/>
      <c r="WBN47" s="62"/>
      <c r="WBO47" s="62"/>
      <c r="WBP47" s="62"/>
      <c r="WBQ47" s="62"/>
      <c r="WBR47" s="62"/>
      <c r="WBS47" s="62"/>
      <c r="WBT47" s="62"/>
      <c r="WBU47" s="62"/>
      <c r="WBV47" s="62"/>
      <c r="WBW47" s="62"/>
      <c r="WBX47" s="62"/>
      <c r="WBY47" s="62"/>
      <c r="WBZ47" s="62"/>
      <c r="WCA47" s="62"/>
      <c r="WCB47" s="62"/>
      <c r="WCC47" s="62"/>
      <c r="WCD47" s="62"/>
      <c r="WCE47" s="62"/>
      <c r="WCF47" s="62"/>
      <c r="WCG47" s="62"/>
      <c r="WCH47" s="62"/>
      <c r="WCI47" s="62"/>
      <c r="WCJ47" s="62"/>
      <c r="WCK47" s="62"/>
      <c r="WCL47" s="62"/>
      <c r="WCM47" s="62"/>
      <c r="WCN47" s="62"/>
      <c r="WCO47" s="62"/>
      <c r="WCP47" s="62"/>
      <c r="WCQ47" s="62"/>
      <c r="WCR47" s="62"/>
      <c r="WCS47" s="62"/>
      <c r="WCT47" s="62"/>
      <c r="WCU47" s="62"/>
      <c r="WCV47" s="62"/>
      <c r="WCW47" s="62"/>
      <c r="WCX47" s="62"/>
      <c r="WCY47" s="62"/>
      <c r="WCZ47" s="62"/>
      <c r="WDA47" s="62"/>
      <c r="WDB47" s="62"/>
      <c r="WDC47" s="62"/>
      <c r="WDD47" s="62"/>
      <c r="WDE47" s="62"/>
      <c r="WDF47" s="62"/>
      <c r="WDG47" s="62"/>
      <c r="WDH47" s="62"/>
      <c r="WDI47" s="62"/>
      <c r="WDJ47" s="62"/>
      <c r="WDK47" s="62"/>
      <c r="WDL47" s="62"/>
      <c r="WDM47" s="62"/>
      <c r="WDN47" s="62"/>
      <c r="WDO47" s="62"/>
      <c r="WDP47" s="62"/>
      <c r="WDQ47" s="62"/>
      <c r="WDR47" s="62"/>
      <c r="WDS47" s="62"/>
      <c r="WDT47" s="62"/>
      <c r="WDU47" s="62"/>
      <c r="WDV47" s="62"/>
      <c r="WDW47" s="62"/>
      <c r="WDX47" s="62"/>
      <c r="WDY47" s="62"/>
      <c r="WDZ47" s="62"/>
      <c r="WEA47" s="62"/>
      <c r="WEB47" s="62"/>
      <c r="WEC47" s="62"/>
      <c r="WED47" s="62"/>
      <c r="WEE47" s="62"/>
      <c r="WEF47" s="62"/>
      <c r="WEG47" s="62"/>
      <c r="WEH47" s="62"/>
      <c r="WEI47" s="62"/>
      <c r="WEJ47" s="62"/>
      <c r="WEK47" s="62"/>
      <c r="WEL47" s="62"/>
      <c r="WEM47" s="62"/>
      <c r="WEN47" s="62"/>
      <c r="WEO47" s="62"/>
      <c r="WEP47" s="62"/>
      <c r="WEQ47" s="62"/>
      <c r="WER47" s="62"/>
      <c r="WES47" s="62"/>
      <c r="WET47" s="62"/>
      <c r="WEU47" s="62"/>
      <c r="WEV47" s="62"/>
      <c r="WEW47" s="62"/>
      <c r="WEX47" s="62"/>
      <c r="WEY47" s="62"/>
      <c r="WEZ47" s="62"/>
      <c r="WFA47" s="62"/>
      <c r="WFB47" s="62"/>
      <c r="WFC47" s="62"/>
      <c r="WFD47" s="62"/>
      <c r="WFE47" s="62"/>
      <c r="WFF47" s="62"/>
      <c r="WFG47" s="62"/>
      <c r="WFH47" s="62"/>
      <c r="WFI47" s="62"/>
      <c r="WFJ47" s="62"/>
      <c r="WFK47" s="62"/>
      <c r="WFL47" s="62"/>
      <c r="WFM47" s="62"/>
      <c r="WFN47" s="62"/>
      <c r="WFO47" s="62"/>
      <c r="WFP47" s="62"/>
      <c r="WFQ47" s="62"/>
      <c r="WFR47" s="62"/>
      <c r="WFS47" s="62"/>
      <c r="WFT47" s="62"/>
      <c r="WFU47" s="62"/>
      <c r="WFV47" s="62"/>
      <c r="WFW47" s="62"/>
      <c r="WFX47" s="62"/>
      <c r="WFY47" s="62"/>
      <c r="WFZ47" s="62"/>
      <c r="WGA47" s="62"/>
      <c r="WGB47" s="62"/>
      <c r="WGC47" s="62"/>
      <c r="WGD47" s="62"/>
      <c r="WGE47" s="62"/>
      <c r="WGF47" s="62"/>
      <c r="WGG47" s="62"/>
      <c r="WGH47" s="62"/>
      <c r="WGI47" s="62"/>
      <c r="WGJ47" s="62"/>
      <c r="WGK47" s="62"/>
      <c r="WGL47" s="62"/>
      <c r="WGM47" s="62"/>
      <c r="WGN47" s="62"/>
      <c r="WGO47" s="62"/>
      <c r="WGP47" s="62"/>
      <c r="WGQ47" s="62"/>
      <c r="WGR47" s="62"/>
      <c r="WGS47" s="62"/>
      <c r="WGT47" s="62"/>
      <c r="WGU47" s="62"/>
      <c r="WGV47" s="62"/>
      <c r="WGW47" s="62"/>
      <c r="WGX47" s="62"/>
      <c r="WGY47" s="62"/>
      <c r="WGZ47" s="62"/>
      <c r="WHA47" s="62"/>
      <c r="WHB47" s="62"/>
      <c r="WHC47" s="62"/>
      <c r="WHD47" s="62"/>
      <c r="WHE47" s="62"/>
      <c r="WHF47" s="62"/>
      <c r="WHG47" s="62"/>
      <c r="WHH47" s="62"/>
      <c r="WHI47" s="62"/>
      <c r="WHJ47" s="62"/>
      <c r="WHK47" s="62"/>
      <c r="WHL47" s="62"/>
      <c r="WHM47" s="62"/>
      <c r="WHN47" s="62"/>
      <c r="WHO47" s="62"/>
      <c r="WHP47" s="62"/>
      <c r="WHQ47" s="62"/>
      <c r="WHR47" s="62"/>
      <c r="WHS47" s="62"/>
      <c r="WHT47" s="62"/>
      <c r="WHU47" s="62"/>
      <c r="WHV47" s="62"/>
      <c r="WHW47" s="62"/>
      <c r="WHX47" s="62"/>
      <c r="WHY47" s="62"/>
      <c r="WHZ47" s="62"/>
      <c r="WIA47" s="62"/>
      <c r="WIB47" s="62"/>
      <c r="WIC47" s="62"/>
      <c r="WID47" s="62"/>
      <c r="WIE47" s="62"/>
      <c r="WIF47" s="62"/>
      <c r="WIG47" s="62"/>
      <c r="WIH47" s="62"/>
      <c r="WII47" s="62"/>
      <c r="WIJ47" s="62"/>
      <c r="WIK47" s="62"/>
      <c r="WIL47" s="62"/>
      <c r="WIM47" s="62"/>
      <c r="WIN47" s="62"/>
      <c r="WIO47" s="62"/>
      <c r="WIP47" s="62"/>
      <c r="WIQ47" s="62"/>
      <c r="WIR47" s="62"/>
      <c r="WIS47" s="62"/>
      <c r="WIT47" s="62"/>
      <c r="WIU47" s="62"/>
      <c r="WIV47" s="62"/>
      <c r="WIW47" s="62"/>
      <c r="WIX47" s="62"/>
      <c r="WIY47" s="62"/>
      <c r="WIZ47" s="62"/>
      <c r="WJA47" s="62"/>
      <c r="WJB47" s="62"/>
      <c r="WJC47" s="62"/>
      <c r="WJD47" s="62"/>
      <c r="WJE47" s="62"/>
      <c r="WJF47" s="62"/>
      <c r="WJG47" s="62"/>
      <c r="WJH47" s="62"/>
      <c r="WJI47" s="62"/>
      <c r="WJJ47" s="62"/>
      <c r="WJK47" s="62"/>
      <c r="WJL47" s="62"/>
      <c r="WJM47" s="62"/>
      <c r="WJN47" s="62"/>
      <c r="WJO47" s="62"/>
      <c r="WJP47" s="62"/>
      <c r="WJQ47" s="62"/>
      <c r="WJR47" s="62"/>
      <c r="WJS47" s="62"/>
      <c r="WJT47" s="62"/>
      <c r="WJU47" s="62"/>
      <c r="WJV47" s="62"/>
      <c r="WJW47" s="62"/>
      <c r="WJX47" s="62"/>
      <c r="WJY47" s="62"/>
      <c r="WJZ47" s="62"/>
      <c r="WKA47" s="62"/>
      <c r="WKB47" s="62"/>
      <c r="WKC47" s="62"/>
      <c r="WKD47" s="62"/>
      <c r="WKE47" s="62"/>
      <c r="WKF47" s="62"/>
      <c r="WKG47" s="62"/>
      <c r="WKH47" s="62"/>
      <c r="WKI47" s="62"/>
      <c r="WKJ47" s="62"/>
      <c r="WKK47" s="62"/>
      <c r="WKL47" s="62"/>
      <c r="WKM47" s="62"/>
      <c r="WKN47" s="62"/>
      <c r="WKO47" s="62"/>
      <c r="WKP47" s="62"/>
      <c r="WKQ47" s="62"/>
      <c r="WKR47" s="62"/>
      <c r="WKS47" s="62"/>
      <c r="WKT47" s="62"/>
      <c r="WKU47" s="62"/>
      <c r="WKV47" s="62"/>
      <c r="WKW47" s="62"/>
      <c r="WKX47" s="62"/>
      <c r="WKY47" s="62"/>
      <c r="WKZ47" s="62"/>
      <c r="WLA47" s="62"/>
      <c r="WLB47" s="62"/>
      <c r="WLC47" s="62"/>
      <c r="WLD47" s="62"/>
      <c r="WLE47" s="62"/>
      <c r="WLF47" s="62"/>
      <c r="WLG47" s="62"/>
      <c r="WLH47" s="62"/>
      <c r="WLI47" s="62"/>
      <c r="WLJ47" s="62"/>
      <c r="WLK47" s="62"/>
      <c r="WLL47" s="62"/>
      <c r="WLM47" s="62"/>
      <c r="WLN47" s="62"/>
      <c r="WLO47" s="62"/>
      <c r="WLP47" s="62"/>
      <c r="WLQ47" s="62"/>
      <c r="WLR47" s="62"/>
      <c r="WLS47" s="62"/>
      <c r="WLT47" s="62"/>
      <c r="WLU47" s="62"/>
      <c r="WLV47" s="62"/>
      <c r="WLW47" s="62"/>
      <c r="WLX47" s="62"/>
      <c r="WLY47" s="62"/>
      <c r="WLZ47" s="62"/>
      <c r="WMA47" s="62"/>
      <c r="WMB47" s="62"/>
      <c r="WMC47" s="62"/>
      <c r="WMD47" s="62"/>
      <c r="WME47" s="62"/>
      <c r="WMF47" s="62"/>
      <c r="WMG47" s="62"/>
      <c r="WMH47" s="62"/>
      <c r="WMI47" s="62"/>
      <c r="WMJ47" s="62"/>
      <c r="WMK47" s="62"/>
      <c r="WML47" s="62"/>
      <c r="WMM47" s="62"/>
      <c r="WMN47" s="62"/>
      <c r="WMO47" s="62"/>
      <c r="WMP47" s="62"/>
      <c r="WMQ47" s="62"/>
      <c r="WMR47" s="62"/>
      <c r="WMS47" s="62"/>
      <c r="WMT47" s="62"/>
      <c r="WMU47" s="62"/>
      <c r="WMV47" s="62"/>
      <c r="WMW47" s="62"/>
      <c r="WMX47" s="62"/>
      <c r="WMY47" s="62"/>
      <c r="WMZ47" s="62"/>
      <c r="WNA47" s="62"/>
      <c r="WNB47" s="62"/>
      <c r="WNC47" s="62"/>
      <c r="WND47" s="62"/>
      <c r="WNE47" s="62"/>
      <c r="WNF47" s="62"/>
      <c r="WNG47" s="62"/>
      <c r="WNH47" s="62"/>
      <c r="WNI47" s="62"/>
      <c r="WNJ47" s="62"/>
      <c r="WNK47" s="62"/>
      <c r="WNL47" s="62"/>
      <c r="WNM47" s="62"/>
      <c r="WNN47" s="62"/>
      <c r="WNO47" s="62"/>
      <c r="WNP47" s="62"/>
      <c r="WNQ47" s="62"/>
      <c r="WNR47" s="62"/>
      <c r="WNS47" s="62"/>
      <c r="WNT47" s="62"/>
      <c r="WNU47" s="62"/>
      <c r="WNV47" s="62"/>
      <c r="WNW47" s="62"/>
      <c r="WNX47" s="62"/>
      <c r="WNY47" s="62"/>
      <c r="WNZ47" s="62"/>
      <c r="WOA47" s="62"/>
      <c r="WOB47" s="62"/>
      <c r="WOC47" s="62"/>
      <c r="WOD47" s="62"/>
      <c r="WOE47" s="62"/>
      <c r="WOF47" s="62"/>
      <c r="WOG47" s="62"/>
      <c r="WOH47" s="62"/>
      <c r="WOI47" s="62"/>
      <c r="WOJ47" s="62"/>
      <c r="WOK47" s="62"/>
      <c r="WOL47" s="62"/>
      <c r="WOM47" s="62"/>
      <c r="WON47" s="62"/>
      <c r="WOO47" s="62"/>
      <c r="WOP47" s="62"/>
      <c r="WOQ47" s="62"/>
      <c r="WOR47" s="62"/>
      <c r="WOS47" s="62"/>
      <c r="WOT47" s="62"/>
      <c r="WOU47" s="62"/>
      <c r="WOV47" s="62"/>
      <c r="WOW47" s="62"/>
      <c r="WOX47" s="62"/>
      <c r="WOY47" s="62"/>
      <c r="WOZ47" s="62"/>
      <c r="WPA47" s="62"/>
      <c r="WPB47" s="62"/>
      <c r="WPC47" s="62"/>
      <c r="WPD47" s="62"/>
      <c r="WPE47" s="62"/>
      <c r="WPF47" s="62"/>
      <c r="WPG47" s="62"/>
      <c r="WPH47" s="62"/>
      <c r="WPI47" s="62"/>
      <c r="WPJ47" s="62"/>
      <c r="WPK47" s="62"/>
      <c r="WPL47" s="62"/>
      <c r="WPM47" s="62"/>
      <c r="WPN47" s="62"/>
      <c r="WPO47" s="62"/>
      <c r="WPP47" s="62"/>
      <c r="WPQ47" s="62"/>
      <c r="WPR47" s="62"/>
      <c r="WPS47" s="62"/>
      <c r="WPT47" s="62"/>
      <c r="WPU47" s="62"/>
      <c r="WPV47" s="62"/>
      <c r="WPW47" s="62"/>
      <c r="WPX47" s="62"/>
      <c r="WPY47" s="62"/>
      <c r="WPZ47" s="62"/>
      <c r="WQA47" s="62"/>
      <c r="WQB47" s="62"/>
      <c r="WQC47" s="62"/>
      <c r="WQD47" s="62"/>
      <c r="WQE47" s="62"/>
      <c r="WQF47" s="62"/>
      <c r="WQG47" s="62"/>
      <c r="WQH47" s="62"/>
      <c r="WQI47" s="62"/>
      <c r="WQJ47" s="62"/>
      <c r="WQK47" s="62"/>
      <c r="WQL47" s="62"/>
      <c r="WQM47" s="62"/>
      <c r="WQN47" s="62"/>
      <c r="WQO47" s="62"/>
      <c r="WQP47" s="62"/>
      <c r="WQQ47" s="62"/>
      <c r="WQR47" s="62"/>
      <c r="WQS47" s="62"/>
      <c r="WQT47" s="62"/>
      <c r="WQU47" s="62"/>
      <c r="WQV47" s="62"/>
      <c r="WQW47" s="62"/>
      <c r="WQX47" s="62"/>
      <c r="WQY47" s="62"/>
      <c r="WQZ47" s="62"/>
      <c r="WRA47" s="62"/>
      <c r="WRB47" s="62"/>
      <c r="WRC47" s="62"/>
      <c r="WRD47" s="62"/>
      <c r="WRE47" s="62"/>
      <c r="WRF47" s="62"/>
      <c r="WRG47" s="62"/>
      <c r="WRH47" s="62"/>
      <c r="WRI47" s="62"/>
      <c r="WRJ47" s="62"/>
      <c r="WRK47" s="62"/>
      <c r="WRL47" s="62"/>
      <c r="WRM47" s="62"/>
      <c r="WRN47" s="62"/>
      <c r="WRO47" s="62"/>
      <c r="WRP47" s="62"/>
      <c r="WRQ47" s="62"/>
      <c r="WRR47" s="62"/>
      <c r="WRS47" s="62"/>
      <c r="WRT47" s="62"/>
      <c r="WRU47" s="62"/>
      <c r="WRV47" s="62"/>
      <c r="WRW47" s="62"/>
      <c r="WRX47" s="62"/>
      <c r="WRY47" s="62"/>
      <c r="WRZ47" s="62"/>
      <c r="WSA47" s="62"/>
      <c r="WSB47" s="62"/>
      <c r="WSC47" s="62"/>
      <c r="WSD47" s="62"/>
      <c r="WSE47" s="62"/>
      <c r="WSF47" s="62"/>
      <c r="WSG47" s="62"/>
      <c r="WSH47" s="62"/>
      <c r="WSI47" s="62"/>
      <c r="WSJ47" s="62"/>
      <c r="WSK47" s="62"/>
      <c r="WSL47" s="62"/>
      <c r="WSM47" s="62"/>
      <c r="WSN47" s="62"/>
      <c r="WSO47" s="62"/>
      <c r="WSP47" s="62"/>
      <c r="WSQ47" s="62"/>
      <c r="WSR47" s="62"/>
      <c r="WSS47" s="62"/>
      <c r="WST47" s="62"/>
      <c r="WSU47" s="62"/>
      <c r="WSV47" s="62"/>
      <c r="WSW47" s="62"/>
      <c r="WSX47" s="62"/>
      <c r="WSY47" s="62"/>
      <c r="WSZ47" s="62"/>
      <c r="WTA47" s="62"/>
      <c r="WTB47" s="62"/>
      <c r="WTC47" s="62"/>
      <c r="WTD47" s="62"/>
      <c r="WTE47" s="62"/>
      <c r="WTF47" s="62"/>
      <c r="WTG47" s="62"/>
      <c r="WTH47" s="62"/>
      <c r="WTI47" s="62"/>
      <c r="WTJ47" s="62"/>
      <c r="WTK47" s="62"/>
      <c r="WTL47" s="62"/>
      <c r="WTM47" s="62"/>
      <c r="WTN47" s="62"/>
      <c r="WTO47" s="62"/>
      <c r="WTP47" s="62"/>
      <c r="WTQ47" s="62"/>
      <c r="WTR47" s="62"/>
      <c r="WTS47" s="62"/>
      <c r="WTT47" s="62"/>
      <c r="WTU47" s="62"/>
      <c r="WTV47" s="62"/>
      <c r="WTW47" s="62"/>
      <c r="WTX47" s="62"/>
      <c r="WTY47" s="62"/>
      <c r="WTZ47" s="62"/>
      <c r="WUA47" s="62"/>
      <c r="WUB47" s="62"/>
      <c r="WUC47" s="62"/>
      <c r="WUD47" s="62"/>
      <c r="WUE47" s="62"/>
      <c r="WUF47" s="62"/>
      <c r="WUG47" s="62"/>
      <c r="WUH47" s="62"/>
      <c r="WUI47" s="62"/>
      <c r="WUJ47" s="62"/>
      <c r="WUK47" s="62"/>
      <c r="WUL47" s="62"/>
      <c r="WUM47" s="62"/>
      <c r="WUN47" s="62"/>
      <c r="WUO47" s="62"/>
      <c r="WUP47" s="62"/>
      <c r="WUQ47" s="62"/>
      <c r="WUR47" s="62"/>
      <c r="WUS47" s="62"/>
      <c r="WUT47" s="62"/>
      <c r="WUU47" s="62"/>
      <c r="WUV47" s="62"/>
      <c r="WUW47" s="62"/>
      <c r="WUX47" s="62"/>
      <c r="WUY47" s="62"/>
      <c r="WUZ47" s="62"/>
      <c r="WVA47" s="62"/>
      <c r="WVB47" s="62"/>
      <c r="WVC47" s="62"/>
      <c r="WVD47" s="62"/>
      <c r="WVE47" s="62"/>
      <c r="WVF47" s="62"/>
      <c r="WVG47" s="62"/>
      <c r="WVH47" s="62"/>
      <c r="WVI47" s="62"/>
      <c r="WVJ47" s="62"/>
      <c r="WVK47" s="62"/>
      <c r="WVL47" s="62"/>
      <c r="WVM47" s="62"/>
      <c r="WVN47" s="62"/>
      <c r="WVO47" s="62"/>
      <c r="WVP47" s="62"/>
      <c r="WVQ47" s="62"/>
      <c r="WVR47" s="62"/>
      <c r="WVS47" s="62"/>
      <c r="WVT47" s="62"/>
      <c r="WVU47" s="62"/>
      <c r="WVV47" s="62"/>
      <c r="WVW47" s="62"/>
      <c r="WVX47" s="62"/>
      <c r="WVY47" s="62"/>
      <c r="WVZ47" s="62"/>
      <c r="WWA47" s="62"/>
      <c r="WWB47" s="62"/>
      <c r="WWC47" s="62"/>
      <c r="WWD47" s="62"/>
      <c r="WWE47" s="62"/>
      <c r="WWF47" s="62"/>
      <c r="WWG47" s="62"/>
      <c r="WWH47" s="62"/>
      <c r="WWI47" s="62"/>
      <c r="WWJ47" s="62"/>
      <c r="WWK47" s="62"/>
      <c r="WWL47" s="62"/>
      <c r="WWM47" s="62"/>
      <c r="WWN47" s="62"/>
      <c r="WWO47" s="62"/>
      <c r="WWP47" s="62"/>
      <c r="WWQ47" s="62"/>
      <c r="WWR47" s="62"/>
      <c r="WWS47" s="62"/>
      <c r="WWT47" s="62"/>
      <c r="WWU47" s="62"/>
      <c r="WWV47" s="62"/>
      <c r="WWW47" s="62"/>
      <c r="WWX47" s="62"/>
      <c r="WWY47" s="62"/>
      <c r="WWZ47" s="62"/>
      <c r="WXA47" s="62"/>
      <c r="WXB47" s="62"/>
      <c r="WXC47" s="62"/>
      <c r="WXD47" s="62"/>
      <c r="WXE47" s="62"/>
      <c r="WXF47" s="62"/>
      <c r="WXG47" s="62"/>
      <c r="WXH47" s="62"/>
      <c r="WXI47" s="62"/>
      <c r="WXJ47" s="62"/>
      <c r="WXK47" s="62"/>
      <c r="WXL47" s="62"/>
      <c r="WXM47" s="62"/>
      <c r="WXN47" s="62"/>
      <c r="WXO47" s="62"/>
      <c r="WXP47" s="62"/>
      <c r="WXQ47" s="62"/>
      <c r="WXR47" s="62"/>
      <c r="WXS47" s="62"/>
      <c r="WXT47" s="62"/>
      <c r="WXU47" s="62"/>
      <c r="WXV47" s="62"/>
      <c r="WXW47" s="62"/>
      <c r="WXX47" s="62"/>
      <c r="WXY47" s="62"/>
      <c r="WXZ47" s="62"/>
      <c r="WYA47" s="62"/>
      <c r="WYB47" s="62"/>
      <c r="WYC47" s="62"/>
      <c r="WYD47" s="62"/>
      <c r="WYE47" s="62"/>
      <c r="WYF47" s="62"/>
      <c r="WYG47" s="62"/>
      <c r="WYH47" s="62"/>
      <c r="WYI47" s="62"/>
      <c r="WYJ47" s="62"/>
      <c r="WYK47" s="62"/>
      <c r="WYL47" s="62"/>
      <c r="WYM47" s="62"/>
      <c r="WYN47" s="62"/>
      <c r="WYO47" s="62"/>
      <c r="WYP47" s="62"/>
      <c r="WYQ47" s="62"/>
      <c r="WYR47" s="62"/>
      <c r="WYS47" s="62"/>
      <c r="WYT47" s="62"/>
      <c r="WYU47" s="62"/>
      <c r="WYV47" s="62"/>
      <c r="WYW47" s="62"/>
      <c r="WYX47" s="62"/>
      <c r="WYY47" s="62"/>
      <c r="WYZ47" s="62"/>
      <c r="WZA47" s="62"/>
      <c r="WZB47" s="62"/>
      <c r="WZC47" s="62"/>
      <c r="WZD47" s="62"/>
      <c r="WZE47" s="62"/>
      <c r="WZF47" s="62"/>
      <c r="WZG47" s="62"/>
      <c r="WZH47" s="62"/>
      <c r="WZI47" s="62"/>
      <c r="WZJ47" s="62"/>
      <c r="WZK47" s="62"/>
      <c r="WZL47" s="62"/>
      <c r="WZM47" s="62"/>
      <c r="WZN47" s="62"/>
      <c r="WZO47" s="62"/>
      <c r="WZP47" s="62"/>
      <c r="WZQ47" s="62"/>
      <c r="WZR47" s="62"/>
      <c r="WZS47" s="62"/>
      <c r="WZT47" s="62"/>
      <c r="WZU47" s="62"/>
      <c r="WZV47" s="62"/>
      <c r="WZW47" s="62"/>
      <c r="WZX47" s="62"/>
      <c r="WZY47" s="62"/>
      <c r="WZZ47" s="62"/>
      <c r="XAA47" s="62"/>
      <c r="XAB47" s="62"/>
      <c r="XAC47" s="62"/>
      <c r="XAD47" s="62"/>
      <c r="XAE47" s="62"/>
      <c r="XAF47" s="62"/>
      <c r="XAG47" s="62"/>
      <c r="XAH47" s="62"/>
      <c r="XAI47" s="62"/>
      <c r="XAJ47" s="62"/>
      <c r="XAK47" s="62"/>
      <c r="XAL47" s="62"/>
      <c r="XAM47" s="62"/>
      <c r="XAN47" s="62"/>
      <c r="XAO47" s="62"/>
      <c r="XAP47" s="62"/>
      <c r="XAQ47" s="62"/>
      <c r="XAR47" s="62"/>
      <c r="XAS47" s="62"/>
      <c r="XAT47" s="62"/>
      <c r="XAU47" s="62"/>
      <c r="XAV47" s="62"/>
      <c r="XAW47" s="62"/>
      <c r="XAX47" s="62"/>
      <c r="XAY47" s="62"/>
      <c r="XAZ47" s="62"/>
      <c r="XBA47" s="62"/>
      <c r="XBB47" s="62"/>
      <c r="XBC47" s="62"/>
      <c r="XBD47" s="62"/>
      <c r="XBE47" s="62"/>
      <c r="XBF47" s="62"/>
      <c r="XBG47" s="62"/>
      <c r="XBH47" s="62"/>
      <c r="XBI47" s="62"/>
      <c r="XBJ47" s="62"/>
      <c r="XBK47" s="62"/>
      <c r="XBL47" s="62"/>
      <c r="XBM47" s="62"/>
      <c r="XBN47" s="62"/>
      <c r="XBO47" s="62"/>
      <c r="XBP47" s="62"/>
      <c r="XBQ47" s="62"/>
      <c r="XBR47" s="62"/>
      <c r="XBS47" s="62"/>
      <c r="XBT47" s="62"/>
      <c r="XBU47" s="62"/>
      <c r="XBV47" s="62"/>
      <c r="XBW47" s="62"/>
      <c r="XBX47" s="62"/>
      <c r="XBY47" s="62"/>
      <c r="XBZ47" s="62"/>
      <c r="XCA47" s="62"/>
      <c r="XCB47" s="62"/>
      <c r="XCC47" s="62"/>
      <c r="XCD47" s="62"/>
      <c r="XCE47" s="62"/>
      <c r="XCF47" s="62"/>
      <c r="XCG47" s="62"/>
      <c r="XCH47" s="62"/>
      <c r="XCI47" s="62"/>
      <c r="XCJ47" s="62"/>
      <c r="XCK47" s="62"/>
      <c r="XCL47" s="62"/>
      <c r="XCM47" s="62"/>
      <c r="XCN47" s="62"/>
      <c r="XCO47" s="62"/>
      <c r="XCP47" s="62"/>
      <c r="XCQ47" s="62"/>
      <c r="XCR47" s="62"/>
      <c r="XCS47" s="62"/>
      <c r="XCT47" s="62"/>
      <c r="XCU47" s="62"/>
      <c r="XCV47" s="62"/>
      <c r="XCW47" s="62"/>
      <c r="XCX47" s="62"/>
      <c r="XCY47" s="62"/>
      <c r="XCZ47" s="62"/>
      <c r="XDA47" s="62"/>
      <c r="XDB47" s="62"/>
      <c r="XDC47" s="62"/>
      <c r="XDD47" s="62"/>
      <c r="XDE47" s="62"/>
      <c r="XDF47" s="62"/>
      <c r="XDG47" s="62"/>
      <c r="XDH47" s="62"/>
      <c r="XDI47" s="62"/>
      <c r="XDJ47" s="62"/>
      <c r="XDK47" s="62"/>
      <c r="XDL47" s="62"/>
      <c r="XDM47" s="62"/>
      <c r="XDN47" s="62"/>
      <c r="XDO47" s="62"/>
      <c r="XDP47" s="62"/>
      <c r="XDQ47" s="62"/>
      <c r="XDR47" s="62"/>
      <c r="XDS47" s="62"/>
      <c r="XDT47" s="62"/>
      <c r="XDU47" s="62"/>
      <c r="XDV47" s="62"/>
      <c r="XDW47" s="62"/>
      <c r="XDX47" s="62"/>
      <c r="XDY47" s="62"/>
      <c r="XDZ47" s="62"/>
      <c r="XEA47" s="62"/>
      <c r="XEB47" s="62"/>
      <c r="XEC47" s="62"/>
      <c r="XED47" s="62"/>
      <c r="XEE47" s="62"/>
      <c r="XEF47" s="62"/>
      <c r="XEG47" s="62"/>
      <c r="XEH47" s="62"/>
      <c r="XEI47" s="62"/>
      <c r="XEJ47" s="62"/>
      <c r="XEK47" s="62"/>
      <c r="XEL47" s="62"/>
      <c r="XEM47" s="62"/>
      <c r="XEN47" s="62"/>
      <c r="XEO47" s="62"/>
      <c r="XEP47" s="62"/>
      <c r="XEQ47" s="62"/>
      <c r="XER47" s="62"/>
      <c r="XES47" s="62"/>
      <c r="XET47" s="62"/>
      <c r="XEU47" s="62"/>
      <c r="XEV47" s="62"/>
      <c r="XEW47" s="62"/>
      <c r="XEX47" s="62"/>
      <c r="XEY47" s="62"/>
      <c r="XEZ47" s="62"/>
      <c r="XFA47" s="62"/>
      <c r="XFB47" s="62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17"/>
  <sheetViews>
    <sheetView workbookViewId="0">
      <selection activeCell="J8" sqref="J8"/>
    </sheetView>
  </sheetViews>
  <sheetFormatPr defaultColWidth="0" defaultRowHeight="11.25" customHeight="1" zeroHeight="1"/>
  <cols>
    <col min="1" max="2" width="1.21875" style="51" customWidth="1"/>
    <col min="3" max="3" width="36" style="51" customWidth="1"/>
    <col min="4" max="4" width="23.5546875" style="52" bestFit="1" customWidth="1"/>
    <col min="5" max="5" width="13.5546875" style="52" customWidth="1"/>
    <col min="6" max="6" width="9.21875" style="52" customWidth="1"/>
    <col min="7" max="9" width="2.77734375" style="52" customWidth="1"/>
    <col min="10" max="15" width="9.21875" style="51" customWidth="1"/>
    <col min="16" max="17" width="3" style="51" customWidth="1"/>
    <col min="18" max="24" width="9.21875" style="51" hidden="1" customWidth="1"/>
    <col min="25" max="48" width="0" style="51" hidden="1" customWidth="1"/>
    <col min="49" max="16384" width="0" style="51" hidden="1"/>
  </cols>
  <sheetData>
    <row r="1" spans="1:27" s="34" customFormat="1" ht="15.6">
      <c r="B1" s="3" t="str">
        <f>'Input | General'!$B$1</f>
        <v>Ausgrid DX 2019-24 Final Decision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47</v>
      </c>
      <c r="L1" s="159" t="s">
        <v>48</v>
      </c>
      <c r="M1" s="164" t="s">
        <v>36</v>
      </c>
      <c r="R1" s="107"/>
      <c r="S1" s="79"/>
      <c r="T1" s="79"/>
      <c r="U1" s="79"/>
      <c r="V1" s="79"/>
      <c r="W1" s="79"/>
    </row>
    <row r="2" spans="1:27" s="37" customFormat="1" ht="13.8" thickBot="1">
      <c r="B2" s="38" t="s">
        <v>81</v>
      </c>
      <c r="C2" s="38"/>
      <c r="D2" s="38"/>
      <c r="E2" s="38"/>
      <c r="F2" s="39"/>
      <c r="G2" s="39"/>
      <c r="H2" s="39"/>
      <c r="I2" s="39"/>
    </row>
    <row r="3" spans="1:27" s="40" customFormat="1" ht="10.199999999999999">
      <c r="C3" s="41"/>
      <c r="D3" s="42"/>
      <c r="E3" s="42"/>
      <c r="F3" s="42"/>
      <c r="G3" s="42"/>
      <c r="H3" s="42"/>
      <c r="I3" s="42"/>
      <c r="J3" s="229"/>
      <c r="K3" s="229"/>
      <c r="L3" s="229"/>
      <c r="M3" s="42"/>
      <c r="N3" s="229"/>
      <c r="O3" s="229"/>
      <c r="P3" s="229"/>
      <c r="Q3" s="229"/>
      <c r="R3" s="229"/>
      <c r="S3" s="229"/>
      <c r="T3" s="229"/>
      <c r="U3" s="43"/>
      <c r="V3" s="43"/>
      <c r="W3" s="43"/>
      <c r="X3" s="43"/>
      <c r="Y3" s="43"/>
      <c r="Z3" s="43"/>
      <c r="AA3" s="43"/>
    </row>
    <row r="4" spans="1:27" s="50" customFormat="1" ht="13.2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60</v>
      </c>
      <c r="D6" s="55" t="s">
        <v>6</v>
      </c>
      <c r="E6" s="55" t="s">
        <v>52</v>
      </c>
      <c r="F6" s="55" t="s">
        <v>4</v>
      </c>
      <c r="H6" s="55"/>
      <c r="I6" s="55"/>
      <c r="J6" s="184" t="str">
        <f>'Calc | CESS Revenue Increments'!D40</f>
        <v>2019-20</v>
      </c>
      <c r="K6" s="184" t="str">
        <f>'Calc | CESS Revenue Increments'!E40</f>
        <v>2020–21</v>
      </c>
      <c r="L6" s="184" t="str">
        <f>'Calc | CESS Revenue Increments'!F40</f>
        <v>2021–22</v>
      </c>
      <c r="M6" s="184" t="str">
        <f>'Calc | CESS Revenue Increments'!G40</f>
        <v>2022–23</v>
      </c>
      <c r="N6" s="184" t="str">
        <f>'Calc | CESS Revenue Increments'!H40</f>
        <v>2023–24</v>
      </c>
      <c r="O6" s="56" t="s">
        <v>89</v>
      </c>
      <c r="P6" s="136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85</v>
      </c>
      <c r="D8" s="186" t="s">
        <v>58</v>
      </c>
      <c r="E8" s="52" t="s">
        <v>50</v>
      </c>
      <c r="F8" s="185" t="str">
        <f>IF(LEN(J6)&gt;4,CONCATENATE(LEFT(J6,4)-1&amp;"–"&amp;IF(RIGHT(J6,2)="00","99",IF(RIGHT(J6,2)-1&lt;10,"0","")&amp;RIGHT(J6,2)-1)),J6-1)</f>
        <v>2018–19</v>
      </c>
      <c r="H8" s="55"/>
      <c r="I8" s="55"/>
      <c r="J8" s="133">
        <f>'Calc | CESS Revenue Increments'!D42</f>
        <v>14.864415683058592</v>
      </c>
      <c r="K8" s="133">
        <f>'Calc | CESS Revenue Increments'!E42</f>
        <v>14.864415683058592</v>
      </c>
      <c r="L8" s="133">
        <f>'Calc | CESS Revenue Increments'!F42</f>
        <v>14.864415683058592</v>
      </c>
      <c r="M8" s="133">
        <f>'Calc | CESS Revenue Increments'!G42</f>
        <v>14.864415683058592</v>
      </c>
      <c r="N8" s="133">
        <f>'Calc | CESS Revenue Increments'!H42</f>
        <v>14.864415683058592</v>
      </c>
      <c r="O8" s="60">
        <f>SUM(J8:N8)</f>
        <v>74.322078415292964</v>
      </c>
      <c r="P8" s="137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4"/>
      <c r="K10" s="134"/>
      <c r="L10" s="134"/>
      <c r="M10" s="134"/>
      <c r="N10" s="134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3.2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7" spans="13:20" ht="10.199999999999999" hidden="1">
      <c r="M17" s="61"/>
      <c r="N17" s="61"/>
      <c r="O17" s="61"/>
      <c r="P17" s="61"/>
      <c r="Q17" s="61"/>
      <c r="R17" s="61"/>
      <c r="S17" s="61"/>
      <c r="T17" s="61"/>
    </row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headerFooter>
    <oddFooter>&amp;L&amp;1#&amp;"Calibri"&amp;8&amp;K000000For Official use only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619F5-6D14-42FD-8682-B7FF157EBE6A}">
  <sheetPr>
    <tabColor rgb="FF8DB4E2"/>
  </sheetPr>
  <dimension ref="A1:O32"/>
  <sheetViews>
    <sheetView workbookViewId="0">
      <selection activeCell="A27" sqref="A27"/>
    </sheetView>
  </sheetViews>
  <sheetFormatPr defaultRowHeight="14.4"/>
  <cols>
    <col min="1" max="1" width="40.77734375" customWidth="1"/>
    <col min="2" max="2" width="40.21875" customWidth="1"/>
    <col min="3" max="3" width="9.5546875" customWidth="1"/>
    <col min="6" max="6" width="11.21875" customWidth="1"/>
    <col min="10" max="10" width="10.44140625" customWidth="1"/>
  </cols>
  <sheetData>
    <row r="1" spans="1:15">
      <c r="A1" s="214" t="s">
        <v>118</v>
      </c>
    </row>
    <row r="2" spans="1:15">
      <c r="E2" s="215"/>
      <c r="F2" s="215" t="s">
        <v>106</v>
      </c>
      <c r="G2" s="215" t="s">
        <v>119</v>
      </c>
      <c r="H2" s="215" t="s">
        <v>120</v>
      </c>
      <c r="I2" s="215" t="s">
        <v>121</v>
      </c>
      <c r="J2" s="215" t="s">
        <v>122</v>
      </c>
      <c r="K2" s="215" t="s">
        <v>123</v>
      </c>
      <c r="L2" s="215" t="s">
        <v>124</v>
      </c>
      <c r="M2" s="215" t="s">
        <v>125</v>
      </c>
      <c r="N2" s="215" t="s">
        <v>126</v>
      </c>
      <c r="O2" s="215" t="s">
        <v>127</v>
      </c>
    </row>
    <row r="3" spans="1:15">
      <c r="A3" t="s">
        <v>128</v>
      </c>
      <c r="B3" t="s">
        <v>145</v>
      </c>
      <c r="F3" s="216">
        <v>3.2190287615158963E-2</v>
      </c>
      <c r="G3" s="216">
        <v>3.0060653438764184E-2</v>
      </c>
      <c r="H3" s="216">
        <v>2.7489978671470627E-2</v>
      </c>
      <c r="I3" s="216">
        <v>2.5667411537982909E-2</v>
      </c>
      <c r="J3" s="216">
        <v>2.5532227657772077E-2</v>
      </c>
    </row>
    <row r="4" spans="1:15">
      <c r="A4" t="s">
        <v>129</v>
      </c>
      <c r="B4" t="s">
        <v>130</v>
      </c>
      <c r="F4" s="216"/>
      <c r="G4" s="216"/>
      <c r="H4" s="216"/>
      <c r="I4" s="216"/>
      <c r="J4" s="216"/>
      <c r="K4" s="217">
        <v>2.7663814432180002E-2</v>
      </c>
      <c r="L4" s="217">
        <v>2.8145029748256126E-2</v>
      </c>
      <c r="M4" s="217">
        <v>2.8881015938879574E-2</v>
      </c>
      <c r="N4" s="217">
        <v>2.964324179575524E-2</v>
      </c>
      <c r="O4" s="217">
        <v>3.0536354248023256E-2</v>
      </c>
    </row>
    <row r="5" spans="1:15">
      <c r="A5" t="s">
        <v>131</v>
      </c>
      <c r="E5" s="216"/>
      <c r="F5" s="216">
        <v>1.8404907975460016E-2</v>
      </c>
      <c r="G5" s="216">
        <v>8.6058519793459354E-3</v>
      </c>
      <c r="H5" s="216">
        <v>3.498293515358375E-2</v>
      </c>
      <c r="I5" s="216">
        <v>0.08</v>
      </c>
      <c r="J5" s="216">
        <v>4.7500000000000001E-2</v>
      </c>
      <c r="K5" s="217"/>
      <c r="L5" s="217"/>
      <c r="M5" s="217"/>
      <c r="N5" s="217"/>
      <c r="O5" s="217"/>
    </row>
    <row r="6" spans="1:15">
      <c r="A6" t="s">
        <v>132</v>
      </c>
      <c r="E6" s="218"/>
      <c r="F6" s="219">
        <f>(1+F5)</f>
        <v>1.01840490797546</v>
      </c>
      <c r="G6" s="219">
        <f>F6*(1+G5)</f>
        <v>1.0271691498685362</v>
      </c>
      <c r="H6" s="219">
        <f t="shared" ref="H6:J6" si="0">G6*(1+H5)</f>
        <v>1.0631025416301489</v>
      </c>
      <c r="I6" s="219">
        <f t="shared" si="0"/>
        <v>1.148150744960561</v>
      </c>
      <c r="J6" s="219">
        <f t="shared" si="0"/>
        <v>1.2026879053461879</v>
      </c>
    </row>
    <row r="7" spans="1:15">
      <c r="A7" t="s">
        <v>133</v>
      </c>
      <c r="F7" s="216">
        <f>(1+F3)*(1+F5)-1</f>
        <v>5.1187654871879484E-2</v>
      </c>
      <c r="G7" s="216">
        <f t="shared" ref="G7:J7" si="1">(1+G3)*(1+G5)-1</f>
        <v>3.8925202952006632E-2</v>
      </c>
      <c r="H7" s="216">
        <f t="shared" si="1"/>
        <v>6.3434593966291919E-2</v>
      </c>
      <c r="I7" s="216">
        <f t="shared" si="1"/>
        <v>0.10772080446102161</v>
      </c>
      <c r="J7" s="216">
        <f t="shared" si="1"/>
        <v>7.4245008471516272E-2</v>
      </c>
    </row>
    <row r="9" spans="1:15">
      <c r="A9" t="s">
        <v>85</v>
      </c>
      <c r="B9" t="s">
        <v>134</v>
      </c>
      <c r="C9" t="s">
        <v>50</v>
      </c>
      <c r="D9" t="s">
        <v>111</v>
      </c>
      <c r="F9" s="220">
        <f>'Calc | CESS Revenue Increments'!D42</f>
        <v>14.864415683058592</v>
      </c>
      <c r="G9" s="220">
        <f>'Calc | CESS Revenue Increments'!E42</f>
        <v>14.864415683058592</v>
      </c>
      <c r="H9" s="220">
        <f>'Calc | CESS Revenue Increments'!F42</f>
        <v>14.864415683058592</v>
      </c>
      <c r="I9" s="220">
        <f>'Calc | CESS Revenue Increments'!G42</f>
        <v>14.864415683058592</v>
      </c>
      <c r="J9" s="220">
        <f>'Calc | CESS Revenue Increments'!H42</f>
        <v>14.864415683058592</v>
      </c>
    </row>
    <row r="10" spans="1:15">
      <c r="A10" t="s">
        <v>85</v>
      </c>
      <c r="B10" t="s">
        <v>144</v>
      </c>
      <c r="C10" t="s">
        <v>50</v>
      </c>
      <c r="D10" t="s">
        <v>111</v>
      </c>
      <c r="F10" s="220">
        <f>'Calc | CESS Revenue Increments'!J42</f>
        <v>11.214214539697064</v>
      </c>
      <c r="G10" s="220">
        <f>'Calc | CESS Revenue Increments'!K42</f>
        <v>11.214214539697064</v>
      </c>
      <c r="H10" s="220">
        <f>'Calc | CESS Revenue Increments'!L42</f>
        <v>11.214214539697064</v>
      </c>
      <c r="I10" s="220">
        <f>'Calc | CESS Revenue Increments'!M42</f>
        <v>11.214214539697064</v>
      </c>
      <c r="J10" s="220">
        <f>'Calc | CESS Revenue Increments'!N42</f>
        <v>11.214214539697064</v>
      </c>
    </row>
    <row r="11" spans="1:15">
      <c r="F11" s="220"/>
      <c r="G11" s="220"/>
      <c r="H11" s="220"/>
      <c r="I11" s="220"/>
      <c r="J11" s="220"/>
    </row>
    <row r="12" spans="1:15">
      <c r="A12" t="s">
        <v>135</v>
      </c>
      <c r="C12" t="s">
        <v>50</v>
      </c>
      <c r="D12" t="s">
        <v>111</v>
      </c>
      <c r="F12" s="220">
        <f>F9-F10</f>
        <v>3.650201143361528</v>
      </c>
      <c r="G12" s="220">
        <f t="shared" ref="G12:J12" si="2">G9-G10</f>
        <v>3.650201143361528</v>
      </c>
      <c r="H12" s="220">
        <f t="shared" si="2"/>
        <v>3.650201143361528</v>
      </c>
      <c r="I12" s="220">
        <f t="shared" si="2"/>
        <v>3.650201143361528</v>
      </c>
      <c r="J12" s="220">
        <f t="shared" si="2"/>
        <v>3.650201143361528</v>
      </c>
    </row>
    <row r="13" spans="1:15">
      <c r="A13" t="s">
        <v>135</v>
      </c>
      <c r="B13" t="s">
        <v>136</v>
      </c>
      <c r="C13" t="s">
        <v>50</v>
      </c>
      <c r="D13" t="s">
        <v>53</v>
      </c>
      <c r="F13" s="220">
        <f>F12*F6</f>
        <v>3.7173827594970157</v>
      </c>
      <c r="G13" s="220">
        <f>G12*G6</f>
        <v>3.7493740052758198</v>
      </c>
      <c r="H13" s="220">
        <f>H12*H6</f>
        <v>3.880538112968916</v>
      </c>
      <c r="I13" s="220">
        <f>I12*I6</f>
        <v>4.1909811620064303</v>
      </c>
      <c r="J13" s="220">
        <f>J12*J6</f>
        <v>4.3900527672017358</v>
      </c>
    </row>
    <row r="14" spans="1:15">
      <c r="A14" t="s">
        <v>72</v>
      </c>
      <c r="F14" s="220"/>
      <c r="G14" s="226">
        <f>$F$13*G$3</f>
        <v>0.11174695483247665</v>
      </c>
      <c r="H14" s="226">
        <f>$F$13*G$6/$F$6*H$3</f>
        <v>0.10307021143639869</v>
      </c>
      <c r="I14" s="226">
        <f>$F$13*H$6/$F$6*I$3</f>
        <v>9.9603368734400788E-2</v>
      </c>
      <c r="J14" s="226">
        <f>$F$13*I$6/$F$6*J$3</f>
        <v>0.10700508513778231</v>
      </c>
    </row>
    <row r="15" spans="1:15">
      <c r="A15" t="s">
        <v>73</v>
      </c>
      <c r="F15" s="220"/>
      <c r="G15" s="226"/>
      <c r="H15" s="226">
        <f>$G$13*H$3</f>
        <v>0.10307021143639869</v>
      </c>
      <c r="I15" s="226">
        <f>$G$13*H$6/$G$6*I$3</f>
        <v>9.9603368734400788E-2</v>
      </c>
      <c r="J15" s="226">
        <f>$G$13*I$6/$G$6*J$3</f>
        <v>0.10700508513778234</v>
      </c>
    </row>
    <row r="16" spans="1:15">
      <c r="A16" t="s">
        <v>74</v>
      </c>
      <c r="F16" s="220"/>
      <c r="G16" s="226"/>
      <c r="H16" s="226"/>
      <c r="I16" s="226">
        <f>$H$13*I$3</f>
        <v>9.9603368734400788E-2</v>
      </c>
      <c r="J16" s="226">
        <f>$H$13*I$6/$H$6*J$3</f>
        <v>0.10700508513778231</v>
      </c>
    </row>
    <row r="17" spans="1:12">
      <c r="A17" t="s">
        <v>75</v>
      </c>
      <c r="F17" s="220"/>
      <c r="G17" s="226"/>
      <c r="H17" s="226"/>
      <c r="I17" s="226"/>
      <c r="J17" s="226">
        <f>$I$13*J$3</f>
        <v>0.10700508513778234</v>
      </c>
    </row>
    <row r="18" spans="1:12">
      <c r="A18" t="s">
        <v>76</v>
      </c>
      <c r="F18" s="220"/>
      <c r="G18" s="220"/>
      <c r="H18" s="220"/>
      <c r="I18" s="220"/>
      <c r="J18" s="221"/>
    </row>
    <row r="19" spans="1:12">
      <c r="A19" t="s">
        <v>19</v>
      </c>
      <c r="B19" t="s">
        <v>137</v>
      </c>
      <c r="C19" t="s">
        <v>50</v>
      </c>
      <c r="F19" s="220">
        <f>SUM(F14:F18)</f>
        <v>0</v>
      </c>
      <c r="G19" s="220">
        <f>SUM(G14:G18)</f>
        <v>0.11174695483247665</v>
      </c>
      <c r="H19" s="220">
        <f t="shared" ref="H19:J19" si="3">SUM(H14:H18)</f>
        <v>0.20614042287279738</v>
      </c>
      <c r="I19" s="220">
        <f t="shared" si="3"/>
        <v>0.29881010620320236</v>
      </c>
      <c r="J19" s="220">
        <f t="shared" si="3"/>
        <v>0.42802034055112931</v>
      </c>
    </row>
    <row r="20" spans="1:12">
      <c r="F20" s="220"/>
      <c r="G20" s="220"/>
      <c r="H20" s="220"/>
      <c r="I20" s="220"/>
      <c r="J20" s="220"/>
    </row>
    <row r="21" spans="1:12">
      <c r="A21" t="s">
        <v>95</v>
      </c>
      <c r="F21" s="220">
        <f>G21*(1+G7)</f>
        <v>1.3147062350496683</v>
      </c>
      <c r="G21" s="220">
        <f>H21*(1+H7)</f>
        <v>1.2654483992823125</v>
      </c>
      <c r="H21" s="220">
        <f>I21*(1+I7)</f>
        <v>1.1899635449723049</v>
      </c>
      <c r="I21" s="220">
        <f>J21*(1+J7)</f>
        <v>1.0742450084715163</v>
      </c>
      <c r="J21" s="220">
        <v>1</v>
      </c>
    </row>
    <row r="22" spans="1:12">
      <c r="A22" t="s">
        <v>138</v>
      </c>
      <c r="C22" t="s">
        <v>50</v>
      </c>
      <c r="F22" s="220">
        <f>F13*F21</f>
        <v>4.8872662919768679</v>
      </c>
      <c r="G22" s="220">
        <f t="shared" ref="G22:J22" si="4">G13*G21</f>
        <v>4.7446393332869983</v>
      </c>
      <c r="H22" s="220">
        <f t="shared" si="4"/>
        <v>4.6176988893086302</v>
      </c>
      <c r="I22" s="220">
        <f t="shared" si="4"/>
        <v>4.5021405938835626</v>
      </c>
      <c r="J22" s="220">
        <f t="shared" si="4"/>
        <v>4.3900527672017358</v>
      </c>
    </row>
    <row r="23" spans="1:12">
      <c r="A23" t="s">
        <v>21</v>
      </c>
      <c r="C23" t="s">
        <v>50</v>
      </c>
      <c r="F23" s="220">
        <f>F19*F21</f>
        <v>0</v>
      </c>
      <c r="G23" s="220">
        <f t="shared" ref="G23:J23" si="5">G19*G21</f>
        <v>0.14141000511743046</v>
      </c>
      <c r="H23" s="220">
        <f t="shared" si="5"/>
        <v>0.24529958836380397</v>
      </c>
      <c r="I23" s="220">
        <f t="shared" si="5"/>
        <v>0.32099526506963377</v>
      </c>
      <c r="J23" s="220">
        <f t="shared" si="5"/>
        <v>0.42802034055112931</v>
      </c>
    </row>
    <row r="24" spans="1:12">
      <c r="A24" t="s">
        <v>139</v>
      </c>
      <c r="C24" t="s">
        <v>50</v>
      </c>
      <c r="F24" s="220"/>
      <c r="G24" s="220"/>
      <c r="H24" s="220"/>
      <c r="I24" s="220"/>
      <c r="J24" s="222">
        <f>SUM(F22:J23)</f>
        <v>24.277523074759788</v>
      </c>
      <c r="L24" s="223"/>
    </row>
    <row r="25" spans="1:12">
      <c r="F25" s="222"/>
      <c r="G25" s="222"/>
      <c r="H25" s="222"/>
      <c r="I25" s="222"/>
    </row>
    <row r="26" spans="1:12">
      <c r="F26" s="220"/>
      <c r="G26" s="220"/>
      <c r="H26" s="220"/>
      <c r="I26" s="220"/>
      <c r="J26" s="220"/>
    </row>
    <row r="27" spans="1:12">
      <c r="A27" s="214" t="s">
        <v>147</v>
      </c>
      <c r="F27" s="225" t="s">
        <v>123</v>
      </c>
      <c r="G27" s="225" t="s">
        <v>124</v>
      </c>
      <c r="H27" s="225" t="s">
        <v>125</v>
      </c>
      <c r="I27" s="225" t="s">
        <v>126</v>
      </c>
      <c r="J27" s="225" t="s">
        <v>127</v>
      </c>
      <c r="L27" s="223"/>
    </row>
    <row r="28" spans="1:12">
      <c r="A28" t="s">
        <v>101</v>
      </c>
      <c r="F28" s="220">
        <f>1/(1+K4)</f>
        <v>0.97308087134753773</v>
      </c>
      <c r="G28" s="220">
        <f>F28/(1+L4)</f>
        <v>0.94644319934688492</v>
      </c>
      <c r="H28" s="220">
        <f>G28/(1+M4)</f>
        <v>0.91987623902578475</v>
      </c>
      <c r="I28" s="220">
        <f>H28/(1+N4)</f>
        <v>0.89339316928984958</v>
      </c>
      <c r="J28" s="220">
        <f>I28/(1+O4)</f>
        <v>0.86692057549173385</v>
      </c>
    </row>
    <row r="29" spans="1:12">
      <c r="A29" t="s">
        <v>140</v>
      </c>
      <c r="F29" s="224">
        <f>$J$24/SUM($F$28:$J$28)</f>
        <v>5.2780505020739508</v>
      </c>
      <c r="G29" s="224">
        <f>$J$24/SUM($F$28:$J$28)</f>
        <v>5.2780505020739508</v>
      </c>
      <c r="H29" s="224">
        <f>$J$24/SUM($F$28:$J$28)</f>
        <v>5.2780505020739508</v>
      </c>
      <c r="I29" s="224">
        <f>$J$24/SUM($F$28:$J$28)</f>
        <v>5.2780505020739508</v>
      </c>
      <c r="J29" s="224">
        <f>$J$24/SUM($F$28:$J$28)</f>
        <v>5.2780505020739508</v>
      </c>
    </row>
    <row r="31" spans="1:12">
      <c r="A31" t="s">
        <v>141</v>
      </c>
      <c r="F31" s="224">
        <f>SUM(F29:J29)</f>
        <v>26.390252510369756</v>
      </c>
      <c r="G31" s="220"/>
      <c r="H31" s="220"/>
      <c r="I31" s="220"/>
      <c r="J31" s="220"/>
    </row>
    <row r="32" spans="1:12">
      <c r="G32" s="222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19" ma:contentTypeDescription="Create a new document." ma:contentTypeScope="" ma:versionID="a6db4b13ccbd7f9f1d9e70b13b3b0d5a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df05c80bf245a95fc826aa2e41fc171c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2063F2-9930-4AF6-9780-CFF77393E4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6023AF-EB19-4A41-93FB-A3757289BD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sheet</vt:lpstr>
      <vt:lpstr>Index</vt:lpstr>
      <vt:lpstr>Input | General</vt:lpstr>
      <vt:lpstr>Input | Inflation and Disc Rate</vt:lpstr>
      <vt:lpstr>FY19 Capex</vt:lpstr>
      <vt:lpstr>Input | Reported Capex</vt:lpstr>
      <vt:lpstr>Calc | CESS Revenue Increments</vt:lpstr>
      <vt:lpstr>Output | Models</vt:lpstr>
      <vt:lpstr>Output|FY19 CESS adjustment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 CESS model</dc:title>
  <dc:subject>DRAFT RIN templates</dc:subject>
  <dc:creator>AER</dc:creator>
  <cp:keywords>DNSP; Reset; CESS; 2021-25; QLD</cp:keywords>
  <dc:description>6. CESS model based on FINAL RIN issued to Ergon in Qld/SA Reset 2021-25</dc:description>
  <cp:lastModifiedBy>Alison Fox</cp:lastModifiedBy>
  <dcterms:created xsi:type="dcterms:W3CDTF">2017-09-22T02:00:05Z</dcterms:created>
  <dcterms:modified xsi:type="dcterms:W3CDTF">2023-01-20T03:31:14Z</dcterms:modified>
  <cp:category>DNSP;Reset;CESS;2021-25;QLD</cp:category>
  <cp:contentStatus>20180910 preliminary template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MSIP_Label_895930eb-db2c-4917-a4e2-4c584d225a4f_Enabled">
    <vt:lpwstr>true</vt:lpwstr>
  </property>
  <property fmtid="{D5CDD505-2E9C-101B-9397-08002B2CF9AE}" pid="4" name="MSIP_Label_895930eb-db2c-4917-a4e2-4c584d225a4f_SetDate">
    <vt:lpwstr>2022-11-14T05:44:17Z</vt:lpwstr>
  </property>
  <property fmtid="{D5CDD505-2E9C-101B-9397-08002B2CF9AE}" pid="5" name="MSIP_Label_895930eb-db2c-4917-a4e2-4c584d225a4f_Method">
    <vt:lpwstr>Standard</vt:lpwstr>
  </property>
  <property fmtid="{D5CDD505-2E9C-101B-9397-08002B2CF9AE}" pid="6" name="MSIP_Label_895930eb-db2c-4917-a4e2-4c584d225a4f_Name">
    <vt:lpwstr>AG-For Official use only</vt:lpwstr>
  </property>
  <property fmtid="{D5CDD505-2E9C-101B-9397-08002B2CF9AE}" pid="7" name="MSIP_Label_895930eb-db2c-4917-a4e2-4c584d225a4f_SiteId">
    <vt:lpwstr>11302428-4f10-4c14-a17f-b368bb82853d</vt:lpwstr>
  </property>
  <property fmtid="{D5CDD505-2E9C-101B-9397-08002B2CF9AE}" pid="8" name="MSIP_Label_895930eb-db2c-4917-a4e2-4c584d225a4f_ActionId">
    <vt:lpwstr>78f59835-5781-4d72-b018-3acc0438a86a</vt:lpwstr>
  </property>
  <property fmtid="{D5CDD505-2E9C-101B-9397-08002B2CF9AE}" pid="9" name="MSIP_Label_895930eb-db2c-4917-a4e2-4c584d225a4f_ContentBits">
    <vt:lpwstr>2</vt:lpwstr>
  </property>
</Properties>
</file>