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800 Final Proposal (Jan 23)/804 Reg Proposal attachments - working drafts/Chapter 4 - Proposed Revenue/"/>
    </mc:Choice>
  </mc:AlternateContent>
  <xr:revisionPtr revIDLastSave="12" documentId="13_ncr:1_{DC183F0F-0488-4732-8BA3-E6575BD5D6B1}" xr6:coauthVersionLast="47" xr6:coauthVersionMax="47" xr10:uidLastSave="{B91A46E0-9CAA-4F8B-B5A0-2FBE0F7A433F}"/>
  <bookViews>
    <workbookView xWindow="-2910" yWindow="-16320" windowWidth="29040" windowHeight="15840" tabRatio="691" xr2:uid="{00000000-000D-0000-FFFF-FFFF00000000}"/>
  </bookViews>
  <sheets>
    <sheet name="Cover sheet" sheetId="16" r:id="rId1"/>
    <sheet name="Index" sheetId="5" r:id="rId2"/>
    <sheet name="Input | General" sheetId="2" r:id="rId3"/>
    <sheet name="Input | Inflation and Disc Rate" sheetId="13" r:id="rId4"/>
    <sheet name="FY19 Capex" sheetId="14" r:id="rId5"/>
    <sheet name="Input | Reported Capex" sheetId="3" r:id="rId6"/>
    <sheet name="Calc | CESS Revenue Increments" sheetId="4" r:id="rId7"/>
    <sheet name="Output | Models" sheetId="10" r:id="rId8"/>
    <sheet name="Output|FY19 CESS adjustment" sheetId="15" r:id="rId9"/>
  </sheets>
  <externalReferences>
    <externalReference r:id="rId10"/>
  </externalReferences>
  <definedNames>
    <definedName name="dollars" localSheetId="4">#REF!</definedName>
    <definedName name="dollars">#REF!</definedName>
    <definedName name="factor" localSheetId="4">#REF!</definedName>
    <definedName name="factor">#REF!</definedName>
    <definedName name="millions" localSheetId="4">#REF!</definedName>
    <definedName name="millions">#REF!</definedName>
    <definedName name="Nominal_to_Real">'[1]Input|Rate of change'!$C$23:$C$26</definedName>
    <definedName name="number">#REF!</definedName>
    <definedName name="percent" localSheetId="7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4" l="1"/>
  <c r="K10" i="14"/>
  <c r="L18" i="3"/>
  <c r="L19" i="3"/>
  <c r="L20" i="3"/>
  <c r="L21" i="3"/>
  <c r="F19" i="15"/>
  <c r="J10" i="15"/>
  <c r="I10" i="15"/>
  <c r="H10" i="15"/>
  <c r="G10" i="15"/>
  <c r="F10" i="15"/>
  <c r="N41" i="4"/>
  <c r="M41" i="4"/>
  <c r="L41" i="4"/>
  <c r="K41" i="4"/>
  <c r="J41" i="4"/>
  <c r="N40" i="4"/>
  <c r="M40" i="4"/>
  <c r="L40" i="4"/>
  <c r="K40" i="4"/>
  <c r="J40" i="4"/>
  <c r="K12" i="14"/>
  <c r="K9" i="14"/>
  <c r="H14" i="14"/>
  <c r="H13" i="2"/>
  <c r="G13" i="2"/>
  <c r="F13" i="2"/>
  <c r="E13" i="2"/>
  <c r="D13" i="2"/>
  <c r="D18" i="2"/>
  <c r="E18" i="2"/>
  <c r="F18" i="2"/>
  <c r="G18" i="2"/>
  <c r="H18" i="2"/>
  <c r="G7" i="13"/>
  <c r="F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41" i="4"/>
  <c r="E41" i="4"/>
  <c r="F41" i="4"/>
  <c r="G41" i="4"/>
  <c r="H41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H23" i="3"/>
  <c r="H12" i="3"/>
  <c r="I16" i="3"/>
  <c r="I23" i="3"/>
  <c r="I12" i="3"/>
  <c r="L16" i="3"/>
  <c r="L12" i="3"/>
  <c r="K16" i="3"/>
  <c r="K23" i="3"/>
  <c r="K12" i="3"/>
  <c r="J16" i="3"/>
  <c r="J23" i="3"/>
  <c r="J12" i="3"/>
  <c r="L22" i="13"/>
  <c r="G22" i="13"/>
  <c r="H22" i="13"/>
  <c r="I22" i="13"/>
  <c r="J22" i="13"/>
  <c r="K22" i="13"/>
  <c r="H9" i="4"/>
  <c r="H8" i="4"/>
  <c r="G19" i="4"/>
  <c r="D25" i="4"/>
  <c r="D27" i="4"/>
  <c r="M14" i="13"/>
  <c r="M22" i="13"/>
  <c r="E9" i="4"/>
  <c r="M9" i="13"/>
  <c r="N9" i="13"/>
  <c r="O9" i="13"/>
  <c r="P9" i="13"/>
  <c r="C15" i="13"/>
  <c r="G15" i="13"/>
  <c r="H15" i="13"/>
  <c r="I15" i="13"/>
  <c r="J15" i="13"/>
  <c r="K15" i="13"/>
  <c r="C10" i="13"/>
  <c r="G8" i="4"/>
  <c r="F8" i="4"/>
  <c r="E8" i="4"/>
  <c r="F9" i="4"/>
  <c r="B1" i="2"/>
  <c r="B1" i="10"/>
  <c r="G9" i="4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G10" i="13"/>
  <c r="H10" i="13"/>
  <c r="I10" i="13"/>
  <c r="J10" i="13"/>
  <c r="K10" i="13"/>
  <c r="L10" i="13"/>
  <c r="I30" i="3"/>
  <c r="F10" i="4"/>
  <c r="E10" i="4"/>
  <c r="G11" i="4"/>
  <c r="F11" i="4"/>
  <c r="E11" i="4"/>
  <c r="F19" i="4"/>
  <c r="E19" i="4"/>
  <c r="E25" i="4"/>
  <c r="E27" i="4"/>
  <c r="G10" i="4"/>
  <c r="H10" i="4"/>
  <c r="N14" i="13"/>
  <c r="L15" i="13"/>
  <c r="M15" i="13"/>
  <c r="B1" i="5"/>
  <c r="B1" i="3"/>
  <c r="B1" i="13"/>
  <c r="B1" i="4"/>
  <c r="F13" i="4"/>
  <c r="G13" i="4"/>
  <c r="E13" i="4"/>
  <c r="H13" i="4"/>
  <c r="H30" i="3"/>
  <c r="H31" i="3"/>
  <c r="D26" i="4"/>
  <c r="D28" i="4"/>
  <c r="F12" i="4"/>
  <c r="F20" i="4"/>
  <c r="E12" i="4"/>
  <c r="G14" i="4"/>
  <c r="N22" i="13"/>
  <c r="F25" i="4"/>
  <c r="F27" i="4"/>
  <c r="G12" i="4"/>
  <c r="G20" i="4"/>
  <c r="N15" i="13"/>
  <c r="M10" i="13"/>
  <c r="N10" i="13"/>
  <c r="K30" i="3"/>
  <c r="O14" i="13"/>
  <c r="O22" i="13"/>
  <c r="I31" i="3"/>
  <c r="E26" i="4"/>
  <c r="E28" i="4"/>
  <c r="E18" i="4"/>
  <c r="G15" i="4"/>
  <c r="G18" i="4"/>
  <c r="H15" i="4"/>
  <c r="H16" i="4"/>
  <c r="H14" i="4"/>
  <c r="E20" i="4"/>
  <c r="F14" i="4"/>
  <c r="F18" i="4"/>
  <c r="J30" i="3"/>
  <c r="J31" i="3"/>
  <c r="F26" i="4"/>
  <c r="F28" i="4"/>
  <c r="O10" i="13"/>
  <c r="P10" i="13"/>
  <c r="P14" i="13"/>
  <c r="G25" i="4"/>
  <c r="G27" i="4"/>
  <c r="K31" i="3"/>
  <c r="G26" i="4"/>
  <c r="O15" i="13"/>
  <c r="F21" i="4"/>
  <c r="G21" i="4"/>
  <c r="E21" i="4"/>
  <c r="H18" i="4"/>
  <c r="P22" i="13"/>
  <c r="H25" i="4"/>
  <c r="H27" i="4"/>
  <c r="P15" i="13"/>
  <c r="L30" i="3"/>
  <c r="L31" i="3"/>
  <c r="H26" i="4"/>
  <c r="G28" i="4"/>
  <c r="H21" i="4"/>
  <c r="H28" i="4"/>
  <c r="D35" i="4"/>
  <c r="I14" i="14" l="1"/>
  <c r="K14" i="14"/>
  <c r="L23" i="3"/>
  <c r="H11" i="4" s="1"/>
  <c r="H12" i="4" s="1"/>
  <c r="H20" i="4" s="1"/>
  <c r="D31" i="4" s="1"/>
  <c r="D34" i="4" s="1"/>
  <c r="D36" i="4" s="1"/>
  <c r="D42" i="4" s="1"/>
  <c r="D33" i="4" l="1"/>
  <c r="F9" i="15"/>
  <c r="F12" i="15" s="1"/>
  <c r="J8" i="10"/>
  <c r="E42" i="4"/>
  <c r="F42" i="4" l="1"/>
  <c r="K8" i="10"/>
  <c r="G9" i="15"/>
  <c r="G12" i="15" s="1"/>
  <c r="H9" i="15" l="1"/>
  <c r="H12" i="15" s="1"/>
  <c r="G42" i="4"/>
  <c r="L8" i="10"/>
  <c r="I9" i="15" l="1"/>
  <c r="I12" i="15" s="1"/>
  <c r="H42" i="4"/>
  <c r="D44" i="4" s="1"/>
  <c r="J46" i="4" s="1"/>
  <c r="M8" i="10"/>
  <c r="N8" i="10" l="1"/>
  <c r="O8" i="10" s="1"/>
  <c r="J9" i="15"/>
  <c r="J12" i="15" s="1"/>
  <c r="G7" i="15" l="1"/>
  <c r="H7" i="15"/>
  <c r="F6" i="15" l="1"/>
  <c r="F7" i="15"/>
  <c r="G6" i="15" l="1"/>
  <c r="F13" i="15"/>
  <c r="G14" i="15" l="1"/>
  <c r="G19" i="15" s="1"/>
  <c r="H14" i="15"/>
  <c r="G13" i="15"/>
  <c r="H15" i="15" s="1"/>
  <c r="H6" i="15"/>
  <c r="I6" i="15" l="1"/>
  <c r="H13" i="15"/>
  <c r="H19" i="15"/>
  <c r="I13" i="15" l="1"/>
  <c r="J6" i="15"/>
  <c r="J13" i="15" s="1"/>
  <c r="J22" i="15" s="1"/>
  <c r="J15" i="15"/>
  <c r="J16" i="15"/>
  <c r="J17" i="15"/>
  <c r="J7" i="15"/>
  <c r="I21" i="15" s="1"/>
  <c r="J14" i="15"/>
  <c r="I7" i="15"/>
  <c r="I14" i="15"/>
  <c r="I15" i="15"/>
  <c r="I16" i="15"/>
  <c r="J19" i="15" l="1"/>
  <c r="J23" i="15" s="1"/>
  <c r="H21" i="15"/>
  <c r="I22" i="15"/>
  <c r="I19" i="15"/>
  <c r="I23" i="15" s="1"/>
  <c r="G21" i="15" l="1"/>
  <c r="H22" i="15"/>
  <c r="H23" i="15"/>
  <c r="F21" i="15" l="1"/>
  <c r="G23" i="15"/>
  <c r="G22" i="15"/>
  <c r="F23" i="15" l="1"/>
  <c r="F22" i="15"/>
  <c r="J24" i="15" l="1"/>
  <c r="F28" i="15" l="1"/>
  <c r="G28" i="15" l="1"/>
  <c r="H28" i="15" s="1"/>
  <c r="I28" i="15" l="1"/>
  <c r="J28" i="15" l="1"/>
  <c r="J29" i="15" s="1"/>
  <c r="G29" i="15"/>
  <c r="I29" i="15" l="1"/>
  <c r="H29" i="15"/>
  <c r="F29" i="15"/>
  <c r="F3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5" authorId="0" shapeId="0" xr:uid="{BDBB1289-E788-4FE0-A73C-47CFA97BC17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1" shapeId="0" xr:uid="{9240850D-4B95-4B07-9737-5948C84D326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  <author>Wellfare, Nicholas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K18" authorId="2" shapeId="0" xr:uid="{00000000-0006-0000-0300-000005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C2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<sst xmlns="http://schemas.openxmlformats.org/spreadsheetml/2006/main" count="296" uniqueCount="150">
  <si>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</si>
  <si>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</si>
  <si>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</si>
  <si>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</si>
  <si>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</si>
  <si>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</si>
  <si>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</si>
  <si>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</si>
  <si>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</si>
  <si>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</si>
  <si>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</si>
  <si>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</si>
  <si>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</si>
  <si>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</si>
  <si>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</si>
  <si>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</si>
  <si>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</si>
  <si>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</si>
  <si>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</si>
  <si>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</si>
  <si>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</si>
  <si>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</si>
  <si>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</si>
  <si>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</si>
  <si>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</si>
  <si>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</si>
  <si>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</si>
  <si>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</si>
  <si>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</si>
  <si>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</si>
  <si>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</si>
  <si>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</si>
  <si>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</si>
  <si>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</si>
  <si>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</si>
  <si>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</si>
  <si>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</si>
  <si>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</si>
  <si>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</si>
  <si>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</si>
  <si>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</si>
  <si>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</si>
  <si>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</si>
  <si>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</si>
  <si>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</si>
  <si>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</si>
  <si>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</si>
  <si>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</si>
  <si>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</si>
  <si>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</si>
  <si>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</si>
  <si>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</si>
  <si>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</si>
  <si>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</si>
  <si>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</si>
  <si>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</si>
  <si>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</si>
  <si>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</si>
  <si>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</si>
  <si>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</si>
  <si>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</si>
  <si>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</si>
  <si>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</si>
  <si>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</si>
  <si>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</si>
  <si>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</si>
  <si>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</si>
  <si>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</si>
  <si>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</si>
  <si>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</si>
  <si>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</si>
  <si>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</si>
  <si>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</si>
  <si>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</si>
  <si>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</si>
  <si>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</si>
  <si>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</si>
  <si>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</si>
  <si>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</si>
  <si>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</si>
  <si>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</si>
  <si>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</si>
  <si>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</si>
  <si>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</si>
  <si>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</si>
  <si>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</si>
  <si>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</si>
  <si>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</si>
  <si>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</si>
  <si>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</si>
  <si>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</si>
  <si>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</si>
  <si>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</si>
  <si>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</si>
  <si>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</si>
  <si>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</si>
  <si>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</si>
  <si>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</si>
  <si>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</si>
  <si>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</si>
  <si>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</si>
  <si>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</si>
  <si>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</si>
  <si>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Ausgrid DX</t>
  </si>
  <si>
    <t>Final Decision</t>
  </si>
  <si>
    <t>2019-24</t>
  </si>
  <si>
    <t>2019-20</t>
  </si>
  <si>
    <t>No</t>
  </si>
  <si>
    <t>AER Final Decision</t>
  </si>
  <si>
    <t>N/A</t>
  </si>
  <si>
    <t>Actual AGD</t>
  </si>
  <si>
    <t>2018–19</t>
  </si>
  <si>
    <t>Final Year Difference</t>
  </si>
  <si>
    <t>Data sources:</t>
  </si>
  <si>
    <t>Column H is from the AER Final Decisision model Ausgrid 2019-24 - Dx CESS model, which was based on forecast FY19 Capex</t>
  </si>
  <si>
    <t>Select which capex data to test in</t>
  </si>
  <si>
    <t>Input|Reported Capex tab, Cell L17</t>
  </si>
  <si>
    <t xml:space="preserve">Based on Ausgrid's FY19 Actual Capex </t>
  </si>
  <si>
    <t xml:space="preserve">Distribution </t>
  </si>
  <si>
    <t>2020–21</t>
  </si>
  <si>
    <t>2021–22</t>
  </si>
  <si>
    <t>2022–23</t>
  </si>
  <si>
    <t>2023–24</t>
  </si>
  <si>
    <t>2024-25</t>
  </si>
  <si>
    <t>2025–26</t>
  </si>
  <si>
    <t>2026–27</t>
  </si>
  <si>
    <t>2027–28</t>
  </si>
  <si>
    <t>2028–29</t>
  </si>
  <si>
    <t>Real vanilla WACC</t>
  </si>
  <si>
    <t>Forecast real vanilla WACC</t>
  </si>
  <si>
    <t>Ausgrid</t>
  </si>
  <si>
    <t xml:space="preserve">Actual CPI </t>
  </si>
  <si>
    <t xml:space="preserve">Cumulative Actual CPI </t>
  </si>
  <si>
    <t>Nominal vanilla WACC (fixed real time varying)</t>
  </si>
  <si>
    <t>AER Final Decision (FY19 Forecast Capex)</t>
  </si>
  <si>
    <t>Difference in CESS increment amounts</t>
  </si>
  <si>
    <t>Benefit A</t>
  </si>
  <si>
    <t>Benefit B</t>
  </si>
  <si>
    <t>NPV Difference in CESS increment amounts</t>
  </si>
  <si>
    <t>NPV of CESS payment adjustments</t>
  </si>
  <si>
    <t>CESS Payment Per Year ($2023–24 million)</t>
  </si>
  <si>
    <t>Total CESS Payment ($2023–24 million)</t>
  </si>
  <si>
    <t>Difference</t>
  </si>
  <si>
    <t>Column I is Actual FY19 capex, rolled into Ausgrid's initial proposal RFM model for the 24-29 Reg reset</t>
  </si>
  <si>
    <t>Adjusted for FY19 Actual Capex</t>
  </si>
  <si>
    <t>AER FD PTRM 2019-24, 2022-23 RoD Update</t>
  </si>
  <si>
    <t>AER FD</t>
  </si>
  <si>
    <t>Calc | Total FY19 CESS Payment Adjustments</t>
  </si>
  <si>
    <t>Ausgrid’s 2024-29 Regulatory Proposal</t>
  </si>
  <si>
    <t>Attachment 4.1.h: FY19 CESS adjustment calculation for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</si>
</sst>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-* #,##0.000_-;\-* #,##0.000_-;_-* &quot;-&quot;??_-;_-@_-"/>
    <numFmt numFmtId="193" formatCode="[$-C09]d\ mmmm\ yyyy;@"/>
  </numFmts>
  <fonts count="11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33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1" fillId="56" borderId="0" xfId="265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17" fillId="0" borderId="34" xfId="268" applyNumberFormat="1" applyFont="1" applyFill="1" applyBorder="1" applyAlignment="1" applyProtection="1">
      <alignment horizontal="right" vertical="center"/>
    </xf>
    <xf numFmtId="10" fontId="17" fillId="0" borderId="2" xfId="268" applyNumberFormat="1" applyFont="1" applyFill="1" applyBorder="1" applyAlignment="1" applyProtection="1">
      <alignment horizontal="right" vertical="center"/>
    </xf>
    <xf numFmtId="2" fontId="17" fillId="0" borderId="43" xfId="265" applyNumberFormat="1" applyFont="1" applyFill="1" applyBorder="1" applyAlignment="1" applyProtection="1">
      <alignment horizontal="right" vertical="center"/>
    </xf>
    <xf numFmtId="2" fontId="17" fillId="0" borderId="5" xfId="265" applyNumberFormat="1" applyFont="1" applyFill="1" applyBorder="1" applyAlignment="1" applyProtection="1">
      <alignment horizontal="right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89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5" fontId="22" fillId="3" borderId="2" xfId="0" applyNumberFormat="1" applyFont="1" applyFill="1" applyBorder="1" applyAlignment="1">
      <alignment horizontal="left" vertical="center"/>
    </xf>
    <xf numFmtId="165" fontId="19" fillId="3" borderId="2" xfId="0" applyNumberFormat="1" applyFont="1" applyFill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0" fillId="57" borderId="0" xfId="0" applyFill="1" applyAlignment="1">
      <alignment vertical="center"/>
    </xf>
    <xf numFmtId="2" fontId="24" fillId="58" borderId="24" xfId="1" applyNumberFormat="1" applyFont="1" applyFill="1" applyBorder="1" applyAlignment="1">
      <alignment horizontal="center" vertical="center"/>
    </xf>
    <xf numFmtId="43" fontId="24" fillId="0" borderId="34" xfId="304" applyFont="1" applyFill="1" applyBorder="1" applyAlignment="1">
      <alignment horizontal="right" vertical="center"/>
    </xf>
    <xf numFmtId="164" fontId="24" fillId="0" borderId="34" xfId="0" applyNumberFormat="1" applyFont="1" applyFill="1" applyBorder="1" applyAlignment="1">
      <alignment horizontal="right" vertical="center"/>
    </xf>
    <xf numFmtId="0" fontId="15" fillId="57" borderId="0" xfId="0" applyFont="1" applyFill="1" applyBorder="1" applyAlignment="1">
      <alignment horizontal="left" vertical="center"/>
    </xf>
    <xf numFmtId="0" fontId="10" fillId="57" borderId="0" xfId="0" applyFont="1" applyFill="1" applyBorder="1" applyAlignment="1">
      <alignment horizontal="center" vertical="center"/>
    </xf>
    <xf numFmtId="0" fontId="107" fillId="0" borderId="0" xfId="0" applyFont="1"/>
    <xf numFmtId="0" fontId="0" fillId="0" borderId="0" xfId="0" applyAlignment="1">
      <alignment horizontal="right"/>
    </xf>
    <xf numFmtId="10" fontId="0" fillId="0" borderId="0" xfId="268" applyNumberFormat="1" applyFont="1"/>
    <xf numFmtId="10" fontId="0" fillId="0" borderId="0" xfId="0" applyNumberFormat="1"/>
    <xf numFmtId="189" fontId="0" fillId="0" borderId="0" xfId="0" applyNumberFormat="1"/>
    <xf numFmtId="192" fontId="0" fillId="0" borderId="0" xfId="304" applyNumberFormat="1" applyFont="1"/>
    <xf numFmtId="43" fontId="0" fillId="0" borderId="0" xfId="304" applyFont="1"/>
    <xf numFmtId="187" fontId="0" fillId="0" borderId="0" xfId="304" applyNumberFormat="1" applyFont="1"/>
    <xf numFmtId="43" fontId="0" fillId="0" borderId="0" xfId="0" applyNumberFormat="1"/>
    <xf numFmtId="8" fontId="0" fillId="0" borderId="0" xfId="0" applyNumberFormat="1"/>
    <xf numFmtId="43" fontId="107" fillId="0" borderId="0" xfId="304" applyFont="1"/>
    <xf numFmtId="0" fontId="107" fillId="0" borderId="0" xfId="0" applyFont="1" applyAlignment="1">
      <alignment horizontal="right"/>
    </xf>
    <xf numFmtId="43" fontId="0" fillId="0" borderId="0" xfId="304" applyNumberFormat="1" applyFont="1"/>
    <xf numFmtId="164" fontId="15" fillId="3" borderId="6" xfId="0" applyNumberFormat="1" applyFont="1" applyFill="1" applyBorder="1" applyAlignment="1">
      <alignment horizontal="right" vertical="center" wrapText="1"/>
    </xf>
    <xf numFmtId="0" fontId="15" fillId="3" borderId="0" xfId="0" applyFont="1" applyFill="1" applyAlignment="1">
      <alignment horizontal="left" vertical="center" wrapText="1"/>
    </xf>
    <xf numFmtId="0" fontId="88" fillId="3" borderId="23" xfId="3" applyNumberFormat="1" applyFont="1" applyFill="1" applyBorder="1" applyAlignment="1" applyProtection="1">
      <alignment horizontal="center"/>
    </xf>
    <xf numFmtId="193" fontId="92" fillId="0" borderId="0" xfId="0" applyNumberFormat="1" applyFont="1" applyAlignment="1">
      <alignment horizontal="left" vertical="center"/>
    </xf>
    <xf numFmtId="0" fontId="108" fillId="0" borderId="0" xfId="0" applyFont="1" applyAlignment="1">
      <alignment horizontal="left" vertical="top" wrapText="1"/>
    </xf>
    <xf numFmtId="0" fontId="109" fillId="0" borderId="0" xfId="0" applyFont="1"/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8DB4E2"/>
      <color rgb="FFCCCCFF"/>
      <color rgb="FFFFCCFF"/>
      <color rgb="FFFFFF99"/>
      <color rgb="FFDAEEF3"/>
      <color rgb="FFFF00FF"/>
      <color rgb="FF0000FF"/>
      <color rgb="FF006100"/>
      <color rgb="FFC6EFC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359409</xdr:colOff>
      <xdr:row>25</xdr:row>
      <xdr:rowOff>171787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7E76AEB0-927B-43F5-ADF9-6B8907879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9504" cy="46885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125189</xdr:rowOff>
    </xdr:from>
    <xdr:to>
      <xdr:col>8</xdr:col>
      <xdr:colOff>381635</xdr:colOff>
      <xdr:row>39</xdr:row>
      <xdr:rowOff>15875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BBFE0D3-4C82-4FC0-ABB5-749635071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7112729"/>
          <a:ext cx="4932680" cy="64041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26035</xdr:rowOff>
    </xdr:from>
    <xdr:to>
      <xdr:col>8</xdr:col>
      <xdr:colOff>199390</xdr:colOff>
      <xdr:row>37</xdr:row>
      <xdr:rowOff>173355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A15773A-93BA-47F4-AE1E-6D5AB49963D3}"/>
            </a:ext>
          </a:extLst>
        </xdr:cNvPr>
        <xdr:cNvGrpSpPr>
          <a:grpSpLocks/>
        </xdr:cNvGrpSpPr>
      </xdr:nvGrpSpPr>
      <xdr:grpSpPr bwMode="auto">
        <a:xfrm>
          <a:off x="3574415" y="6661150"/>
          <a:ext cx="1189355" cy="328295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D602CF6D-CDD9-58BB-6A24-1FE0F8072595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0A37E0D-CB26-F18C-1C43-7E7B66D629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2BA5E0-EBCC-4006-9B3D-63160C998ACE}"/>
            </a:ext>
          </a:extLst>
        </xdr:cNvPr>
        <xdr:cNvSpPr txBox="1"/>
      </xdr:nvSpPr>
      <xdr:spPr>
        <a:xfrm>
          <a:off x="215900" y="6640831"/>
          <a:ext cx="2249805" cy="38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18781</xdr:colOff>
      <xdr:row>32</xdr:row>
      <xdr:rowOff>231907</xdr:rowOff>
    </xdr:from>
    <xdr:to>
      <xdr:col>2</xdr:col>
      <xdr:colOff>285796</xdr:colOff>
      <xdr:row>33</xdr:row>
      <xdr:rowOff>17144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144BD8B-39B9-46E8-AAB8-86DD462BB470}"/>
            </a:ext>
          </a:extLst>
        </xdr:cNvPr>
        <xdr:cNvSpPr/>
      </xdr:nvSpPr>
      <xdr:spPr>
        <a:xfrm flipH="1" flipV="1">
          <a:off x="314056" y="6023107"/>
          <a:ext cx="876615" cy="51937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26A6-1D0A-44CA-B73C-0A5EAC3078DF}">
  <dimension ref="B27:H34"/>
  <sheetViews>
    <sheetView showGridLines="0" tabSelected="1" workbookViewId="0">
      <selection activeCell="N17" sqref="N17"/>
    </sheetView>
  </sheetViews>
  <sheetFormatPr defaultRowHeight="14.4"/>
  <cols>
    <col min="1" max="1" width="4.33203125" customWidth="1"/>
  </cols>
  <sheetData>
    <row r="27" spans="2:8">
      <c r="B27" s="230">
        <v>44957</v>
      </c>
      <c r="C27" s="230"/>
    </row>
    <row r="29" spans="2:8" ht="14.4" customHeight="1">
      <c r="B29" s="231" t="s">
        <v>149</v>
      </c>
      <c r="C29" s="231"/>
      <c r="D29" s="231"/>
      <c r="E29" s="231"/>
      <c r="F29" s="231"/>
      <c r="G29" s="231"/>
      <c r="H29" s="231"/>
    </row>
    <row r="30" spans="2:8" ht="14.4" customHeight="1">
      <c r="B30" s="231"/>
      <c r="C30" s="231"/>
      <c r="D30" s="231"/>
      <c r="E30" s="231"/>
      <c r="F30" s="231"/>
      <c r="G30" s="231"/>
      <c r="H30" s="231"/>
    </row>
    <row r="31" spans="2:8" ht="14.4" customHeight="1">
      <c r="B31" s="231"/>
      <c r="C31" s="231"/>
      <c r="D31" s="231"/>
      <c r="E31" s="231"/>
      <c r="F31" s="231"/>
      <c r="G31" s="231"/>
      <c r="H31" s="231"/>
    </row>
    <row r="32" spans="2:8" ht="14.4" customHeight="1">
      <c r="B32" s="231"/>
      <c r="C32" s="231"/>
      <c r="D32" s="231"/>
      <c r="E32" s="231"/>
      <c r="F32" s="231"/>
      <c r="G32" s="231"/>
      <c r="H32" s="231"/>
    </row>
    <row r="33" spans="2:8" ht="21" customHeight="1">
      <c r="B33" s="231"/>
      <c r="C33" s="231"/>
      <c r="D33" s="231"/>
      <c r="E33" s="231"/>
      <c r="F33" s="231"/>
      <c r="G33" s="231"/>
      <c r="H33" s="231"/>
    </row>
    <row r="34" spans="2:8" ht="17.399999999999999">
      <c r="B34" s="232" t="s">
        <v>148</v>
      </c>
    </row>
  </sheetData>
  <sheetProtection selectLockedCells="1"/>
  <mergeCells count="2">
    <mergeCell ref="B27:C27"/>
    <mergeCell ref="B29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workbookViewId="0">
      <selection activeCell="B1" sqref="B1"/>
    </sheetView>
  </sheetViews>
  <sheetFormatPr defaultColWidth="0" defaultRowHeight="18" customHeight="1" zeroHeight="1"/>
  <cols>
    <col min="1" max="2" width="1.21875" style="2" customWidth="1"/>
    <col min="3" max="3" width="26.44140625" style="1" customWidth="1"/>
    <col min="4" max="4" width="79.21875" style="1" customWidth="1"/>
    <col min="5" max="5" width="2.77734375" style="1" customWidth="1"/>
    <col min="6" max="6" width="2.77734375" style="2" customWidth="1"/>
    <col min="7" max="28" width="12.77734375" style="2" hidden="1" customWidth="1"/>
    <col min="29" max="16384" width="9.21875" style="2" hidden="1"/>
  </cols>
  <sheetData>
    <row r="1" spans="2:13" s="5" customFormat="1" ht="18" customHeight="1">
      <c r="B1" s="3" t="str">
        <f>'Input | General'!$B$1</f>
        <v>Ausgrid DX 2019-24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1875" style="14" customWidth="1"/>
    <col min="3" max="3" width="56.77734375" style="15" customWidth="1"/>
    <col min="4" max="8" width="12.77734375" style="14" customWidth="1"/>
    <col min="9" max="9" width="9.44140625" style="14" customWidth="1"/>
    <col min="10" max="10" width="9.21875" style="14" customWidth="1"/>
    <col min="11" max="12" width="2.77734375" style="14" customWidth="1"/>
    <col min="13" max="22" width="9.21875" style="14" hidden="1" customWidth="1"/>
    <col min="23" max="16384" width="12.77734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Ausgrid DX 2019-24 Final Decision - Capital expenditure sharing scheme model</v>
      </c>
      <c r="F1" s="105"/>
      <c r="G1" s="106" t="s">
        <v>47</v>
      </c>
      <c r="H1" s="159" t="s">
        <v>48</v>
      </c>
      <c r="I1" s="164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0" t="s">
        <v>103</v>
      </c>
      <c r="J6" s="79"/>
      <c r="K6" s="79"/>
      <c r="L6" s="79"/>
      <c r="M6" s="79"/>
    </row>
    <row r="7" spans="1:13" s="70" customFormat="1" ht="11.25" customHeight="1">
      <c r="C7" s="69" t="s">
        <v>91</v>
      </c>
      <c r="D7" s="160" t="s">
        <v>104</v>
      </c>
      <c r="I7" s="79"/>
      <c r="J7" s="79"/>
      <c r="K7" s="79"/>
      <c r="L7" s="79"/>
    </row>
    <row r="8" spans="1:13" s="70" customFormat="1" ht="11.25" customHeight="1">
      <c r="C8" s="69" t="s">
        <v>92</v>
      </c>
      <c r="D8" s="160" t="s">
        <v>105</v>
      </c>
      <c r="J8" s="79"/>
      <c r="K8" s="79"/>
      <c r="L8" s="79"/>
      <c r="M8" s="79"/>
    </row>
    <row r="9" spans="1:13" s="70" customFormat="1" ht="11.25" customHeight="1">
      <c r="C9" s="188" t="s">
        <v>102</v>
      </c>
      <c r="D9" s="160" t="s">
        <v>106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90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64</v>
      </c>
      <c r="E12" s="71" t="s">
        <v>65</v>
      </c>
      <c r="F12" s="71" t="s">
        <v>66</v>
      </c>
      <c r="G12" s="71" t="s">
        <v>67</v>
      </c>
      <c r="H12" s="71" t="s">
        <v>68</v>
      </c>
      <c r="J12" s="79"/>
      <c r="K12" s="79"/>
      <c r="L12" s="79"/>
      <c r="M12" s="79"/>
    </row>
    <row r="13" spans="1:13" s="70" customFormat="1" ht="11.25" customHeight="1">
      <c r="C13" s="69" t="s">
        <v>62</v>
      </c>
      <c r="D13" s="187" t="str">
        <f t="shared" ref="D13:F13" si="0">IF(LEN(E13)&gt;4,CONCATENATE(LEFT(E13,4)-1&amp;"–"&amp;IF(RIGHT(E13,2)="00","99",IF(RIGHT(E13,2)-1&lt;10,"0","")&amp;RIGHT(E13,2)-1)),E13-1)</f>
        <v>2014–15</v>
      </c>
      <c r="E13" s="187" t="str">
        <f t="shared" si="0"/>
        <v>2015–16</v>
      </c>
      <c r="F13" s="187" t="str">
        <f t="shared" si="0"/>
        <v>2016–17</v>
      </c>
      <c r="G13" s="187" t="str">
        <f>IF(LEN(H13)&gt;4,CONCATENATE(LEFT(H13,4)-1&amp;"–"&amp;IF(RIGHT(H13,2)="00","99",IF(RIGHT(H13,2)-1&lt;10,"0","")&amp;RIGHT(H13,2)-1)),H13-1)</f>
        <v>2017–18</v>
      </c>
      <c r="H13" s="187" t="str">
        <f>IF(LEN(D9)&gt;4,CONCATENATE(LEFT(D9,4)-1&amp;"–"&amp;IF(RIGHT(D9,2)="00","99",IF(RIGHT(D9,2)-1&lt;10,"0","")&amp;RIGHT(D9,2)-1)),D9-1)</f>
        <v>2018–19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0" t="s">
        <v>107</v>
      </c>
      <c r="E14" s="160" t="s">
        <v>8</v>
      </c>
      <c r="F14" s="160" t="s">
        <v>8</v>
      </c>
      <c r="G14" s="160" t="s">
        <v>8</v>
      </c>
      <c r="H14" s="160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0" t="s">
        <v>109</v>
      </c>
      <c r="E15" s="160" t="s">
        <v>7</v>
      </c>
      <c r="F15" s="160" t="s">
        <v>7</v>
      </c>
      <c r="G15" s="160" t="s">
        <v>7</v>
      </c>
      <c r="H15" s="160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64</v>
      </c>
      <c r="E17" s="71" t="s">
        <v>65</v>
      </c>
      <c r="F17" s="71" t="s">
        <v>66</v>
      </c>
      <c r="G17" s="71" t="s">
        <v>67</v>
      </c>
      <c r="H17" s="71" t="s">
        <v>68</v>
      </c>
      <c r="J17" s="79"/>
      <c r="K17" s="79"/>
      <c r="L17" s="79"/>
      <c r="M17" s="79"/>
    </row>
    <row r="18" spans="1:13" s="70" customFormat="1" ht="11.25" customHeight="1">
      <c r="C18" s="69" t="s">
        <v>63</v>
      </c>
      <c r="D18" s="187" t="str">
        <f>D9</f>
        <v>2019-20</v>
      </c>
      <c r="E18" s="187" t="str">
        <f>IF(LEN(D18)&gt;4,CONCATENATE(LEFT(D18,4)+1&amp;"–"&amp;IF(RIGHT(D18,2)+1&gt;9,"","0")&amp;RIGHT(D18,2)+1),D18+1)</f>
        <v>2020–21</v>
      </c>
      <c r="F18" s="187" t="str">
        <f t="shared" ref="F18:H18" si="1">IF(LEN(E18)&gt;4,CONCATENATE(LEFT(E18,4)+1&amp;"–"&amp;IF(RIGHT(E18,2)+1&gt;9,"","0")&amp;RIGHT(E18,2)+1),E18+1)</f>
        <v>2021–22</v>
      </c>
      <c r="G18" s="187" t="str">
        <f t="shared" si="1"/>
        <v>2022–23</v>
      </c>
      <c r="H18" s="187" t="str">
        <f t="shared" si="1"/>
        <v>2023–24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21875" style="24" customWidth="1"/>
    <col min="3" max="3" width="36.77734375" style="24" customWidth="1"/>
    <col min="4" max="5" width="22.77734375" style="24" customWidth="1"/>
    <col min="6" max="6" width="12.77734375" style="24" customWidth="1"/>
    <col min="7" max="12" width="12.77734375" style="11" customWidth="1"/>
    <col min="13" max="13" width="12.5546875" style="22" customWidth="1"/>
    <col min="14" max="16" width="12.77734375" style="24" customWidth="1"/>
    <col min="17" max="18" width="2.77734375" style="24" customWidth="1"/>
    <col min="19" max="32" width="12.77734375" style="24" hidden="1" customWidth="1"/>
    <col min="33" max="16384" width="9.21875" style="24" hidden="1"/>
  </cols>
  <sheetData>
    <row r="1" spans="1:20" s="11" customFormat="1" ht="18" customHeight="1">
      <c r="B1" s="3" t="str">
        <f>'Input | General'!$B$1</f>
        <v>Ausgrid DX 2019-24 Final Decision - Capital expenditure sharing scheme model</v>
      </c>
      <c r="D1" s="12"/>
      <c r="E1" s="12"/>
      <c r="F1" s="12"/>
      <c r="G1" s="105"/>
      <c r="H1" s="106" t="s">
        <v>47</v>
      </c>
      <c r="I1" s="159" t="s">
        <v>48</v>
      </c>
      <c r="J1" s="164" t="s">
        <v>36</v>
      </c>
      <c r="K1" s="190" t="s">
        <v>108</v>
      </c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4" t="str">
        <f>IF(LEN(G7)&gt;4,CONCATENATE(LEFT(G7,4)-1&amp;"–"&amp;IF(RIGHT(G7,2)="00","99",IF(RIGHT(G7,2)-1&lt;10,"0","")&amp;RIGHT(G7,2)-1)),G7-1)</f>
        <v>2013–14</v>
      </c>
      <c r="G7" s="173" t="str">
        <f>'Input | General'!D13</f>
        <v>2014–15</v>
      </c>
      <c r="H7" s="173" t="str">
        <f>'Input | General'!E13</f>
        <v>2015–16</v>
      </c>
      <c r="I7" s="173" t="str">
        <f>'Input | General'!F13</f>
        <v>2016–17</v>
      </c>
      <c r="J7" s="173" t="str">
        <f>'Input | General'!G13</f>
        <v>2017–18</v>
      </c>
      <c r="K7" s="173" t="str">
        <f>'Input | General'!H13</f>
        <v>2018–19</v>
      </c>
      <c r="L7" s="173" t="str">
        <f>'Input | General'!D18</f>
        <v>2019-20</v>
      </c>
      <c r="M7" s="173" t="str">
        <f>'Input | General'!E18</f>
        <v>2020–21</v>
      </c>
      <c r="N7" s="173" t="str">
        <f>'Input | General'!F18</f>
        <v>2021–22</v>
      </c>
      <c r="O7" s="173" t="str">
        <f>'Input | General'!G18</f>
        <v>2022–23</v>
      </c>
      <c r="P7" s="173" t="str">
        <f>'Input | General'!H18</f>
        <v>2023–24</v>
      </c>
    </row>
    <row r="8" spans="1:20" ht="11.25" customHeight="1">
      <c r="A8" s="11"/>
      <c r="B8" s="11"/>
      <c r="C8" s="80" t="s">
        <v>83</v>
      </c>
      <c r="D8" s="78" t="s">
        <v>88</v>
      </c>
      <c r="E8" s="78" t="s">
        <v>51</v>
      </c>
      <c r="F8" s="78"/>
      <c r="G8" s="161">
        <v>2.4498886414253906E-2</v>
      </c>
      <c r="H8" s="161">
        <v>2.4879227053140163E-2</v>
      </c>
      <c r="I8" s="161">
        <v>1.5083667216591934E-2</v>
      </c>
      <c r="J8" s="161">
        <v>1.2769909449732886E-2</v>
      </c>
      <c r="K8" s="161">
        <v>1.95E-2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84</v>
      </c>
      <c r="D9" s="78" t="s">
        <v>88</v>
      </c>
      <c r="E9" s="78" t="s">
        <v>51</v>
      </c>
      <c r="F9" s="78"/>
      <c r="G9" s="130"/>
      <c r="H9" s="130"/>
      <c r="I9" s="130"/>
      <c r="J9" s="130"/>
      <c r="K9" s="130"/>
      <c r="L9" s="161">
        <v>2.5000000000000001E-2</v>
      </c>
      <c r="M9" s="143">
        <f t="shared" ref="M9:P9" si="0">L9</f>
        <v>2.5000000000000001E-2</v>
      </c>
      <c r="N9" s="143">
        <f t="shared" si="0"/>
        <v>2.5000000000000001E-2</v>
      </c>
      <c r="O9" s="143">
        <f t="shared" si="0"/>
        <v>2.5000000000000001E-2</v>
      </c>
      <c r="P9" s="143">
        <f t="shared" si="0"/>
        <v>2.5000000000000001E-2</v>
      </c>
    </row>
    <row r="10" spans="1:20" ht="11.25" customHeight="1">
      <c r="A10" s="11"/>
      <c r="B10" s="11"/>
      <c r="C10" s="140" t="str">
        <f>"CPI Index (base year "&amp;F7&amp;")"</f>
        <v>CPI Index (base year 2013–14)</v>
      </c>
      <c r="D10" s="78" t="s">
        <v>88</v>
      </c>
      <c r="E10" s="78" t="s">
        <v>30</v>
      </c>
      <c r="F10" s="138">
        <v>1</v>
      </c>
      <c r="G10" s="123">
        <f>IF(G7&lt;&gt;"",(F10*(1+G8)),"")</f>
        <v>1.0244988864142539</v>
      </c>
      <c r="H10" s="123">
        <f>IF(H7&lt;&gt;"",(G10*(1+H8)),"")</f>
        <v>1.0499876268250434</v>
      </c>
      <c r="I10" s="123">
        <f>IF(I7&lt;&gt;"",(H10*(1+I8)),"")</f>
        <v>1.0658252907696115</v>
      </c>
      <c r="J10" s="123">
        <f>IF(J7&lt;&gt;"",(I10*(1+J8)),"")</f>
        <v>1.0794357832219748</v>
      </c>
      <c r="K10" s="123">
        <f>IF(K7&lt;&gt;"",(J10*(1+K8)),"")</f>
        <v>1.1004847809948033</v>
      </c>
      <c r="L10" s="87">
        <f t="shared" ref="L10:P10" si="1">IF(L7&lt;&gt;"",(K10*(1+L9)),"")</f>
        <v>1.1279969005196733</v>
      </c>
      <c r="M10" s="87">
        <f t="shared" si="1"/>
        <v>1.1561968230326649</v>
      </c>
      <c r="N10" s="87">
        <f t="shared" si="1"/>
        <v>1.1851017436084814</v>
      </c>
      <c r="O10" s="87">
        <f t="shared" si="1"/>
        <v>1.2147292871986934</v>
      </c>
      <c r="P10" s="87">
        <f t="shared" si="1"/>
        <v>1.2450975193786606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83</v>
      </c>
      <c r="D13" s="78" t="s">
        <v>49</v>
      </c>
      <c r="E13" s="78" t="s">
        <v>51</v>
      </c>
      <c r="F13" s="78"/>
      <c r="G13" s="161">
        <v>2.4879227053140163E-2</v>
      </c>
      <c r="H13" s="161">
        <v>1.5083667216591934E-2</v>
      </c>
      <c r="I13" s="161">
        <v>1.2769909449732886E-2</v>
      </c>
      <c r="J13" s="161">
        <v>1.9486474094452033E-2</v>
      </c>
      <c r="K13" s="191">
        <v>1.9114009444569424E-2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84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91">
        <v>2.4248746575396697E-2</v>
      </c>
      <c r="M14" s="143">
        <f t="shared" ref="M14:P14" si="2">L14</f>
        <v>2.4248746575396697E-2</v>
      </c>
      <c r="N14" s="143">
        <f t="shared" si="2"/>
        <v>2.4248746575396697E-2</v>
      </c>
      <c r="O14" s="143">
        <f t="shared" si="2"/>
        <v>2.4248746575396697E-2</v>
      </c>
      <c r="P14" s="143">
        <f t="shared" si="2"/>
        <v>2.4248746575396697E-2</v>
      </c>
    </row>
    <row r="15" spans="1:20" ht="11.25" customHeight="1">
      <c r="A15" s="11"/>
      <c r="B15" s="11"/>
      <c r="C15" s="140" t="str">
        <f>"CPI Index (base year "&amp;F7&amp;")"</f>
        <v>CPI Index (base year 2013–14)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1.0248792270531402</v>
      </c>
      <c r="H15" s="123">
        <f>IF(H7&lt;&gt;"",(G15*(1+H13)),"")</f>
        <v>1.0403381642512077</v>
      </c>
      <c r="I15" s="123">
        <f>IF(I7&lt;&gt;"",(H15*(1+I13)),"")</f>
        <v>1.0536231884057969</v>
      </c>
      <c r="J15" s="123">
        <f>IF(J7&lt;&gt;"",(I15*(1+J13)),"")</f>
        <v>1.0741545893719804</v>
      </c>
      <c r="K15" s="87">
        <f>IF(K7&lt;&gt;"",(J15*(1+K13)),"")</f>
        <v>1.094685990338164</v>
      </c>
      <c r="L15" s="87">
        <f t="shared" ref="L15:P15" si="3">IF(L7&lt;&gt;"",(K15*(1+L14)),"")</f>
        <v>1.1212307534975112</v>
      </c>
      <c r="M15" s="87">
        <f t="shared" si="3"/>
        <v>1.1484191938916135</v>
      </c>
      <c r="N15" s="87">
        <f t="shared" si="3"/>
        <v>1.1762669198866125</v>
      </c>
      <c r="O15" s="87">
        <f t="shared" si="3"/>
        <v>1.2047899183319652</v>
      </c>
      <c r="P15" s="87">
        <f t="shared" si="3"/>
        <v>1.23400456373819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69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3" t="str">
        <f>G7</f>
        <v>2014–15</v>
      </c>
      <c r="H19" s="173" t="str">
        <f t="shared" ref="H19:P19" si="4">H7</f>
        <v>2015–16</v>
      </c>
      <c r="I19" s="173" t="str">
        <f t="shared" si="4"/>
        <v>2016–17</v>
      </c>
      <c r="J19" s="173" t="str">
        <f t="shared" si="4"/>
        <v>2017–18</v>
      </c>
      <c r="K19" s="173" t="str">
        <f t="shared" si="4"/>
        <v>2018–19</v>
      </c>
      <c r="L19" s="173" t="str">
        <f t="shared" si="4"/>
        <v>2019-20</v>
      </c>
      <c r="M19" s="173" t="str">
        <f t="shared" si="4"/>
        <v>2020–21</v>
      </c>
      <c r="N19" s="173" t="str">
        <f t="shared" si="4"/>
        <v>2021–22</v>
      </c>
      <c r="O19" s="173" t="str">
        <f t="shared" si="4"/>
        <v>2022–23</v>
      </c>
      <c r="P19" s="173" t="str">
        <f t="shared" si="4"/>
        <v>2023–24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1">
        <v>4.2254018761887169E-2</v>
      </c>
      <c r="H20" s="161">
        <v>4.163547694214853E-2</v>
      </c>
      <c r="I20" s="161">
        <v>4.0761033280446446E-2</v>
      </c>
      <c r="J20" s="161">
        <v>3.9860233470544681E-2</v>
      </c>
      <c r="K20" s="161">
        <v>3.8827966039358675E-2</v>
      </c>
      <c r="L20" s="86"/>
      <c r="M20" s="86"/>
      <c r="N20" s="86"/>
      <c r="O20" s="86"/>
      <c r="P20" s="86"/>
    </row>
    <row r="21" spans="1:16" ht="11.25" customHeight="1">
      <c r="C21" s="155" t="s">
        <v>98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1">
        <v>3.2190287615159054E-2</v>
      </c>
      <c r="M21" s="191">
        <v>3.1076092433442157E-2</v>
      </c>
      <c r="N21" s="191">
        <v>2.9961897251725531E-2</v>
      </c>
      <c r="O21" s="191">
        <v>2.8847702070008641E-2</v>
      </c>
      <c r="P21" s="191">
        <v>2.7733506888291883E-2</v>
      </c>
    </row>
    <row r="22" spans="1:16" ht="11.25" customHeight="1">
      <c r="C22" s="80" t="s">
        <v>70</v>
      </c>
      <c r="D22" s="78" t="s">
        <v>61</v>
      </c>
      <c r="E22" s="78" t="s">
        <v>51</v>
      </c>
      <c r="F22" s="79"/>
      <c r="G22" s="144">
        <f>IF(AND(G13&lt;&gt;"",G20&lt;&gt;""),((1+G20)*(1+G13)-1),"")</f>
        <v>6.8184493141711933E-2</v>
      </c>
      <c r="H22" s="144">
        <f>IF(AND(H13&lt;&gt;"",H20&lt;&gt;""),((1+H20)*(1+H13)-1),"")</f>
        <v>5.7347159837339845E-2</v>
      </c>
      <c r="I22" s="144">
        <f>IF(AND(I13&lt;&gt;"",I20&lt;&gt;""),((1+I20)*(1+I13)-1),"")</f>
        <v>5.4051457434248107E-2</v>
      </c>
      <c r="J22" s="144">
        <f>IF(AND(J13&lt;&gt;"",J20&lt;&gt;""),((1+J20)*(1+J13)-1),"")</f>
        <v>6.0123442971919294E-2</v>
      </c>
      <c r="K22" s="144">
        <f>IF(AND(K13&lt;&gt;"",K20&lt;&gt;""),((1+K20)*(1+K13)-1),"")</f>
        <v>5.8684133593517762E-2</v>
      </c>
      <c r="L22" s="144">
        <f>IF(AND(L14&lt;&gt;"",L21&lt;&gt;""),((1+L21)*(1+L14)-1),"")</f>
        <v>5.7219608317124804E-2</v>
      </c>
      <c r="M22" s="144">
        <f t="shared" ref="M22:P22" si="5">IF(AND(M14&lt;&gt;"",M21&lt;&gt;""),((1+M21)*(1+M14)-1),"")</f>
        <v>5.6078395298810868E-2</v>
      </c>
      <c r="N22" s="144">
        <f t="shared" si="5"/>
        <v>5.4937182280497376E-2</v>
      </c>
      <c r="O22" s="144">
        <f t="shared" si="5"/>
        <v>5.3795969262183441E-2</v>
      </c>
      <c r="P22" s="144">
        <f t="shared" si="5"/>
        <v>5.2654756243869727E-2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K14"/>
  <sheetViews>
    <sheetView workbookViewId="0">
      <selection activeCell="I6" sqref="I6"/>
    </sheetView>
  </sheetViews>
  <sheetFormatPr defaultRowHeight="14.4"/>
  <cols>
    <col min="3" max="3" width="30" bestFit="1" customWidth="1"/>
    <col min="10" max="10" width="3.77734375" customWidth="1"/>
  </cols>
  <sheetData>
    <row r="1" spans="1:11">
      <c r="A1" t="s">
        <v>113</v>
      </c>
      <c r="C1" t="s">
        <v>114</v>
      </c>
    </row>
    <row r="2" spans="1:11">
      <c r="C2" t="s">
        <v>143</v>
      </c>
    </row>
    <row r="3" spans="1:11">
      <c r="C3" t="s">
        <v>115</v>
      </c>
      <c r="D3" t="s">
        <v>116</v>
      </c>
    </row>
    <row r="5" spans="1:11">
      <c r="A5" s="8"/>
      <c r="B5" s="74" t="s">
        <v>41</v>
      </c>
      <c r="C5" s="8"/>
      <c r="D5" s="18"/>
      <c r="E5" s="18"/>
      <c r="F5" s="18"/>
      <c r="G5" s="18"/>
      <c r="H5" s="8"/>
      <c r="I5" s="8"/>
    </row>
    <row r="6" spans="1:11">
      <c r="A6" s="11"/>
      <c r="B6" s="197"/>
      <c r="C6" s="11"/>
      <c r="D6" s="16"/>
      <c r="E6" s="16"/>
      <c r="F6" s="16"/>
      <c r="G6" s="78"/>
      <c r="H6" s="78" t="s">
        <v>146</v>
      </c>
      <c r="I6" s="78" t="s">
        <v>110</v>
      </c>
      <c r="K6" s="78" t="s">
        <v>112</v>
      </c>
    </row>
    <row r="7" spans="1:11">
      <c r="A7" s="11"/>
      <c r="B7" s="197"/>
      <c r="C7" s="68"/>
      <c r="D7" s="198" t="s">
        <v>6</v>
      </c>
      <c r="E7" s="198" t="s">
        <v>52</v>
      </c>
      <c r="F7" s="198" t="s">
        <v>4</v>
      </c>
      <c r="G7" s="199"/>
      <c r="H7" s="200" t="s">
        <v>111</v>
      </c>
      <c r="I7" s="200" t="s">
        <v>111</v>
      </c>
      <c r="K7" s="200" t="s">
        <v>111</v>
      </c>
    </row>
    <row r="8" spans="1:11">
      <c r="A8" s="11"/>
      <c r="B8" s="197"/>
      <c r="C8" s="68"/>
      <c r="D8" s="68"/>
      <c r="E8" s="68"/>
      <c r="F8" s="68"/>
      <c r="G8" s="68"/>
      <c r="H8" s="68"/>
      <c r="I8" s="68"/>
    </row>
    <row r="9" spans="1:11">
      <c r="A9" s="11"/>
      <c r="B9" s="197"/>
      <c r="C9" s="201" t="s">
        <v>78</v>
      </c>
      <c r="D9" s="78"/>
      <c r="E9" s="78" t="s">
        <v>50</v>
      </c>
      <c r="F9" s="78" t="s">
        <v>53</v>
      </c>
      <c r="G9" s="68"/>
      <c r="H9" s="162">
        <v>862.31908388936665</v>
      </c>
      <c r="I9" s="162">
        <v>929.21228999999983</v>
      </c>
      <c r="K9" s="162">
        <f>I9-H9</f>
        <v>66.893206110633173</v>
      </c>
    </row>
    <row r="10" spans="1:11">
      <c r="A10" s="11"/>
      <c r="B10" s="197"/>
      <c r="C10" s="201" t="s">
        <v>100</v>
      </c>
      <c r="D10" s="78"/>
      <c r="E10" s="78" t="s">
        <v>50</v>
      </c>
      <c r="F10" s="78" t="s">
        <v>53</v>
      </c>
      <c r="G10" s="202"/>
      <c r="H10" s="162">
        <v>101.5336502745437</v>
      </c>
      <c r="I10" s="162">
        <v>116.821247</v>
      </c>
      <c r="K10" s="162">
        <f t="shared" ref="K10:K12" si="0">I10-H10</f>
        <v>15.287596725456297</v>
      </c>
    </row>
    <row r="11" spans="1:11">
      <c r="A11" s="11"/>
      <c r="B11" s="197"/>
      <c r="C11" s="203" t="s">
        <v>94</v>
      </c>
      <c r="D11" s="78"/>
      <c r="E11" s="78" t="s">
        <v>50</v>
      </c>
      <c r="F11" s="78" t="s">
        <v>53</v>
      </c>
      <c r="G11" s="202"/>
      <c r="H11" s="162">
        <v>13.583590010768859</v>
      </c>
      <c r="I11" s="162">
        <v>11.145396</v>
      </c>
      <c r="K11" s="162">
        <f t="shared" si="0"/>
        <v>-2.4381940107688589</v>
      </c>
    </row>
    <row r="12" spans="1:11">
      <c r="A12" s="11"/>
      <c r="B12" s="197"/>
      <c r="C12" s="204" t="s">
        <v>99</v>
      </c>
      <c r="D12" s="78"/>
      <c r="E12" s="78" t="s">
        <v>50</v>
      </c>
      <c r="F12" s="78" t="s">
        <v>53</v>
      </c>
      <c r="G12" s="68"/>
      <c r="H12" s="162"/>
      <c r="I12" s="162"/>
      <c r="K12" s="162">
        <f t="shared" si="0"/>
        <v>0</v>
      </c>
    </row>
    <row r="13" spans="1:11">
      <c r="A13" s="11"/>
      <c r="B13" s="197"/>
      <c r="C13" s="68"/>
      <c r="D13" s="68"/>
      <c r="E13" s="68"/>
      <c r="F13" s="68"/>
      <c r="G13" s="68"/>
      <c r="H13" s="67"/>
      <c r="I13" s="67"/>
      <c r="K13" s="67"/>
    </row>
    <row r="14" spans="1:11">
      <c r="A14" s="11"/>
      <c r="B14" s="197"/>
      <c r="C14" s="205" t="s">
        <v>77</v>
      </c>
      <c r="D14" s="206" t="s">
        <v>61</v>
      </c>
      <c r="E14" s="207" t="s">
        <v>50</v>
      </c>
      <c r="F14" s="207" t="s">
        <v>53</v>
      </c>
      <c r="G14" s="68"/>
      <c r="H14" s="66">
        <f>IF(H7="", "", H9-H10-H11-H12)</f>
        <v>747.20184360405415</v>
      </c>
      <c r="I14" s="66">
        <f t="shared" ref="I14:K14" si="1">IF(I7="", "", I9-I10-I11-I12)</f>
        <v>801.24564699999985</v>
      </c>
      <c r="K14" s="66">
        <f t="shared" si="1"/>
        <v>54.043803395945737</v>
      </c>
    </row>
  </sheetData>
  <conditionalFormatting sqref="I9">
    <cfRule type="expression" dxfId="16" priority="12">
      <formula>IF($H$6&lt;&gt;"","FALSE","TRUE")</formula>
    </cfRule>
  </conditionalFormatting>
  <conditionalFormatting sqref="I10:I11">
    <cfRule type="expression" dxfId="15" priority="11">
      <formula>IF($H$6&lt;&gt;"","FALSE","TRUE")</formula>
    </cfRule>
  </conditionalFormatting>
  <conditionalFormatting sqref="I12">
    <cfRule type="expression" dxfId="14" priority="10">
      <formula>IF($H$6&lt;&gt;"","FALSE","TRUE")</formula>
    </cfRule>
  </conditionalFormatting>
  <conditionalFormatting sqref="H9">
    <cfRule type="expression" dxfId="13" priority="6">
      <formula>IF($H$6&lt;&gt;"","FALSE","TRUE")</formula>
    </cfRule>
  </conditionalFormatting>
  <conditionalFormatting sqref="H10:H11">
    <cfRule type="expression" dxfId="12" priority="5">
      <formula>IF($H$6&lt;&gt;"","FALSE","TRUE")</formula>
    </cfRule>
  </conditionalFormatting>
  <conditionalFormatting sqref="H12">
    <cfRule type="expression" dxfId="11" priority="4">
      <formula>IF($H$6&lt;&gt;"","FALSE","TRUE")</formula>
    </cfRule>
  </conditionalFormatting>
  <conditionalFormatting sqref="K9">
    <cfRule type="expression" dxfId="10" priority="3">
      <formula>IF($H$6&lt;&gt;"","FALSE","TRUE")</formula>
    </cfRule>
  </conditionalFormatting>
  <conditionalFormatting sqref="K10:K11">
    <cfRule type="expression" dxfId="9" priority="2">
      <formula>IF($H$6&lt;&gt;"","FALSE","TRUE")</formula>
    </cfRule>
  </conditionalFormatting>
  <conditionalFormatting sqref="K12">
    <cfRule type="expression" dxfId="8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>
      <selection activeCell="L17" sqref="L17"/>
    </sheetView>
  </sheetViews>
  <sheetFormatPr defaultColWidth="0" defaultRowHeight="18" customHeight="1" zeroHeight="1"/>
  <cols>
    <col min="1" max="2" width="1.21875" style="11" customWidth="1"/>
    <col min="3" max="3" width="49.77734375" style="16" customWidth="1"/>
    <col min="4" max="4" width="23.77734375" style="16" customWidth="1"/>
    <col min="5" max="5" width="13.44140625" style="16" customWidth="1"/>
    <col min="6" max="6" width="9.21875" style="16" customWidth="1"/>
    <col min="7" max="7" width="2.77734375" style="16" customWidth="1"/>
    <col min="8" max="12" width="13.77734375" style="11" bestFit="1" customWidth="1"/>
    <col min="13" max="14" width="2.77734375" style="11" customWidth="1"/>
    <col min="15" max="23" width="0" style="11" hidden="1" customWidth="1"/>
    <col min="24" max="16384" width="12.77734375" style="11" hidden="1"/>
  </cols>
  <sheetData>
    <row r="1" spans="2:14" ht="18" customHeight="1">
      <c r="B1" s="3" t="str">
        <f>'Input | General'!$B$1</f>
        <v>Ausgrid DX 2019-24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59" t="s">
        <v>48</v>
      </c>
      <c r="K1" s="164" t="s">
        <v>36</v>
      </c>
      <c r="L1" s="190" t="s">
        <v>108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5" t="str">
        <f>IF('Input | General'!D14="Yes",'Input | General'!D13,"n/a")</f>
        <v>n/a</v>
      </c>
      <c r="I6" s="175" t="str">
        <f>IF('Input | General'!E14="Yes",'Input | General'!E13,"n/a")</f>
        <v>2015–16</v>
      </c>
      <c r="J6" s="175" t="str">
        <f>IF('Input | General'!F14="Yes",'Input | General'!F13,"n/a")</f>
        <v>2016–17</v>
      </c>
      <c r="K6" s="175" t="str">
        <f>IF('Input | General'!G14="Yes",'Input | General'!G13,"n/a")</f>
        <v>2017–18</v>
      </c>
      <c r="L6" s="175" t="str">
        <f>IF('Input | General'!H14="Yes",'Input | General'!H13,"n/a")</f>
        <v>2018–19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78" t="str">
        <f>'Input | Inflation and Disc Rate'!$F$7</f>
        <v>2013–14</v>
      </c>
      <c r="G8" s="68"/>
      <c r="H8" s="162"/>
      <c r="I8" s="162">
        <v>704.94439500646354</v>
      </c>
      <c r="J8" s="162">
        <v>659.58186200938633</v>
      </c>
      <c r="K8" s="162">
        <v>663.48707410221675</v>
      </c>
      <c r="L8" s="162">
        <v>591.73942931150452</v>
      </c>
      <c r="M8" s="2"/>
      <c r="N8" s="2"/>
    </row>
    <row r="9" spans="2:14" ht="10.5" customHeight="1">
      <c r="C9" s="80" t="s">
        <v>100</v>
      </c>
      <c r="D9" s="78" t="s">
        <v>49</v>
      </c>
      <c r="E9" s="78" t="s">
        <v>50</v>
      </c>
      <c r="F9" s="178" t="str">
        <f>'Input | Inflation and Disc Rate'!$F$7</f>
        <v>2013–14</v>
      </c>
      <c r="G9" s="68"/>
      <c r="H9" s="162"/>
      <c r="I9" s="162">
        <v>95.58188190928</v>
      </c>
      <c r="J9" s="162">
        <v>93.872445448103093</v>
      </c>
      <c r="K9" s="162">
        <v>116.39916041676371</v>
      </c>
      <c r="L9" s="162">
        <v>94.863628534547587</v>
      </c>
      <c r="M9" s="2"/>
      <c r="N9" s="2"/>
    </row>
    <row r="10" spans="2:14" ht="10.5" customHeight="1">
      <c r="C10" s="80" t="s">
        <v>94</v>
      </c>
      <c r="D10" s="78" t="s">
        <v>49</v>
      </c>
      <c r="E10" s="78" t="s">
        <v>50</v>
      </c>
      <c r="F10" s="178" t="str">
        <f>'Input | Inflation and Disc Rate'!$F$7</f>
        <v>2013–14</v>
      </c>
      <c r="G10" s="68"/>
      <c r="H10" s="162"/>
      <c r="I10" s="162">
        <v>17.800182164674201</v>
      </c>
      <c r="J10" s="162">
        <v>28.278620368853808</v>
      </c>
      <c r="K10" s="162">
        <v>7.8264478359282217</v>
      </c>
      <c r="L10" s="162">
        <v>22.537873892804935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61</v>
      </c>
      <c r="E12" s="176" t="s">
        <v>50</v>
      </c>
      <c r="F12" s="177" t="str">
        <f>'Input | Inflation and Disc Rate'!$F$7</f>
        <v>2013–14</v>
      </c>
      <c r="G12" s="68"/>
      <c r="H12" s="66">
        <f>IF(H6="", "", H8-H9-H10)</f>
        <v>0</v>
      </c>
      <c r="I12" s="66">
        <f t="shared" ref="I12:L12" si="0">IF(I6="", "", I8-I9-I10)</f>
        <v>591.56233093250933</v>
      </c>
      <c r="J12" s="66">
        <f t="shared" si="0"/>
        <v>537.4307961924294</v>
      </c>
      <c r="K12" s="66">
        <f t="shared" si="0"/>
        <v>539.26146584952482</v>
      </c>
      <c r="L12" s="66">
        <f t="shared" si="0"/>
        <v>474.33792688415195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5" t="str">
        <f>H6</f>
        <v>n/a</v>
      </c>
      <c r="I16" s="175" t="str">
        <f t="shared" ref="I16:L16" si="1">I6</f>
        <v>2015–16</v>
      </c>
      <c r="J16" s="175" t="str">
        <f t="shared" si="1"/>
        <v>2016–17</v>
      </c>
      <c r="K16" s="175" t="str">
        <f t="shared" si="1"/>
        <v>2017–18</v>
      </c>
      <c r="L16" s="175" t="str">
        <f t="shared" si="1"/>
        <v>2018–19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208" t="s">
        <v>146</v>
      </c>
      <c r="M17" s="108"/>
      <c r="N17" s="108"/>
    </row>
    <row r="18" spans="2:14" s="2" customFormat="1" ht="10.5" customHeight="1">
      <c r="B18" s="73"/>
      <c r="C18" s="80" t="s">
        <v>78</v>
      </c>
      <c r="D18" s="78" t="s">
        <v>49</v>
      </c>
      <c r="E18" s="78" t="s">
        <v>50</v>
      </c>
      <c r="F18" s="78" t="s">
        <v>53</v>
      </c>
      <c r="G18" s="68"/>
      <c r="H18" s="162"/>
      <c r="I18" s="162">
        <v>485.37455498999998</v>
      </c>
      <c r="J18" s="162">
        <v>484.50138074000006</v>
      </c>
      <c r="K18" s="196">
        <v>659.80767401999992</v>
      </c>
      <c r="L18" s="209">
        <f>INDEX('FY19 Capex'!$H$9:$I$12,MATCH('Input | Reported Capex'!C18,'FY19 Capex'!$C$9:$C$12,0),MATCH('Input | Reported Capex'!$L$17,'FY19 Capex'!$H$6:$I$6,0))</f>
        <v>862.31908388936665</v>
      </c>
    </row>
    <row r="19" spans="2:14" s="2" customFormat="1" ht="10.5" customHeight="1">
      <c r="B19" s="73"/>
      <c r="C19" s="80" t="s">
        <v>100</v>
      </c>
      <c r="D19" s="78" t="s">
        <v>49</v>
      </c>
      <c r="E19" s="78" t="s">
        <v>50</v>
      </c>
      <c r="F19" s="78" t="s">
        <v>53</v>
      </c>
      <c r="G19" s="142"/>
      <c r="H19" s="163"/>
      <c r="I19" s="162">
        <v>75.732270060000005</v>
      </c>
      <c r="J19" s="162">
        <v>115.93740186999997</v>
      </c>
      <c r="K19" s="162">
        <v>110.569087</v>
      </c>
      <c r="L19" s="209">
        <f>INDEX('FY19 Capex'!$H$9:$I$12,MATCH('Input | Reported Capex'!C19,'FY19 Capex'!$C$9:$C$12,0),MATCH('Input | Reported Capex'!$L$17,'FY19 Capex'!$H$6:$I$6,0))</f>
        <v>101.5336502745437</v>
      </c>
    </row>
    <row r="20" spans="2:14" s="2" customFormat="1" ht="10.5" customHeight="1">
      <c r="B20" s="73"/>
      <c r="C20" s="141" t="s">
        <v>94</v>
      </c>
      <c r="D20" s="78" t="s">
        <v>49</v>
      </c>
      <c r="E20" s="78" t="s">
        <v>50</v>
      </c>
      <c r="F20" s="78" t="s">
        <v>53</v>
      </c>
      <c r="G20" s="142"/>
      <c r="H20" s="163"/>
      <c r="I20" s="162">
        <v>98.769681371249774</v>
      </c>
      <c r="J20" s="162">
        <v>19.442388766251906</v>
      </c>
      <c r="K20" s="162">
        <v>24.707864999999998</v>
      </c>
      <c r="L20" s="209">
        <f>INDEX('FY19 Capex'!$H$9:$I$12,MATCH('Input | Reported Capex'!C20,'FY19 Capex'!$C$9:$C$12,0),MATCH('Input | Reported Capex'!$L$17,'FY19 Capex'!$H$6:$I$6,0))</f>
        <v>13.583590010768859</v>
      </c>
    </row>
    <row r="21" spans="2:14" s="2" customFormat="1" ht="10.5" customHeight="1">
      <c r="B21" s="73"/>
      <c r="C21" s="156" t="s">
        <v>99</v>
      </c>
      <c r="D21" s="78" t="s">
        <v>49</v>
      </c>
      <c r="E21" s="78" t="s">
        <v>50</v>
      </c>
      <c r="F21" s="78" t="s">
        <v>53</v>
      </c>
      <c r="G21" s="68"/>
      <c r="H21" s="163"/>
      <c r="I21" s="162"/>
      <c r="J21" s="162"/>
      <c r="K21" s="162"/>
      <c r="L21" s="209">
        <f>INDEX('FY19 Capex'!$H$9:$I$12,MATCH('Input | Reported Capex'!C21,'FY19 Capex'!$C$9:$C$12,0),MATCH('Input | Reported Capex'!$L$17,'FY19 Capex'!$H$6:$I$6,0))</f>
        <v>0</v>
      </c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77</v>
      </c>
      <c r="D23" s="76" t="s">
        <v>61</v>
      </c>
      <c r="E23" s="179" t="s">
        <v>50</v>
      </c>
      <c r="F23" s="179" t="s">
        <v>53</v>
      </c>
      <c r="G23" s="68"/>
      <c r="H23" s="66">
        <f>IF(H16="", "", H18-H19-H20-H21)</f>
        <v>0</v>
      </c>
      <c r="I23" s="66">
        <f t="shared" ref="I23:L23" si="2">IF(I16="", "", I18-I19-I20-I21)</f>
        <v>310.8726035587502</v>
      </c>
      <c r="J23" s="66">
        <f t="shared" si="2"/>
        <v>349.12159010374819</v>
      </c>
      <c r="K23" s="66">
        <f t="shared" si="2"/>
        <v>524.53072201999998</v>
      </c>
      <c r="L23" s="66">
        <f t="shared" si="2"/>
        <v>747.20184360405415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5" t="str">
        <f>'Input | General'!D18</f>
        <v>2019-20</v>
      </c>
      <c r="I27" s="175" t="str">
        <f>'Input | General'!E18</f>
        <v>2020–21</v>
      </c>
      <c r="J27" s="175" t="str">
        <f>'Input | General'!F18</f>
        <v>2021–22</v>
      </c>
      <c r="K27" s="175" t="str">
        <f>'Input | General'!G18</f>
        <v>2022–23</v>
      </c>
      <c r="L27" s="175" t="str">
        <f>'Input | General'!H18</f>
        <v>2023–24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87</v>
      </c>
      <c r="D29" s="65" t="s">
        <v>88</v>
      </c>
      <c r="E29" s="78" t="s">
        <v>50</v>
      </c>
      <c r="F29" s="78" t="s">
        <v>53</v>
      </c>
      <c r="G29" s="68"/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2"/>
      <c r="N29" s="2"/>
    </row>
    <row r="30" spans="2:14" ht="11.25" customHeight="1">
      <c r="C30" s="84" t="s">
        <v>87</v>
      </c>
      <c r="D30" s="65" t="s">
        <v>61</v>
      </c>
      <c r="E30" s="78" t="s">
        <v>50</v>
      </c>
      <c r="F30" s="78" t="str">
        <f>'Input | Inflation and Disc Rate'!$F$7</f>
        <v>2013–14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87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7" priority="19">
      <formula>IF($H$6&lt;&gt;"","FALSE","TRUE")</formula>
    </cfRule>
  </conditionalFormatting>
  <conditionalFormatting sqref="H18:L18 L19:L21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K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K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'FY19 Capex'!$H$6:$I$6</xm:f>
          </x14:formula1>
          <xm:sqref>L17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topLeftCell="A14" zoomScale="115" zoomScaleNormal="115" workbookViewId="0">
      <selection activeCell="J46" sqref="J46"/>
    </sheetView>
  </sheetViews>
  <sheetFormatPr defaultColWidth="0" defaultRowHeight="0" customHeight="1" zeroHeight="1"/>
  <cols>
    <col min="1" max="2" width="1.21875" style="2" customWidth="1"/>
    <col min="3" max="3" width="70.77734375" style="9" customWidth="1"/>
    <col min="4" max="8" width="12.77734375" style="2" customWidth="1"/>
    <col min="9" max="9" width="2.21875" style="2" customWidth="1"/>
    <col min="10" max="10" width="12.77734375" style="1" customWidth="1"/>
    <col min="11" max="14" width="12.77734375" style="2" customWidth="1"/>
    <col min="15" max="16" width="2.77734375" style="2" customWidth="1"/>
    <col min="17" max="16382" width="0" style="2" hidden="1"/>
    <col min="16383" max="16384" width="12.77734375" style="2" hidden="1"/>
  </cols>
  <sheetData>
    <row r="1" spans="2:23" s="11" customFormat="1" ht="18" customHeight="1">
      <c r="B1" s="3" t="str">
        <f>'Input | General'!$B$1</f>
        <v>Ausgrid DX 2019-24 Final Decision - Capital expenditure sharing scheme model</v>
      </c>
      <c r="J1" s="122"/>
      <c r="K1" s="106" t="s">
        <v>47</v>
      </c>
      <c r="L1" s="159" t="s">
        <v>48</v>
      </c>
      <c r="M1" s="164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5" t="str">
        <f>IF('Input | General'!D14="Yes",'Input | General'!D13,"n/a")</f>
        <v>n/a</v>
      </c>
      <c r="E7" s="175" t="str">
        <f>IF('Input | General'!E14="Yes",'Input | General'!E13,"n/a")</f>
        <v>2015–16</v>
      </c>
      <c r="F7" s="175" t="str">
        <f>IF('Input | General'!F14="Yes",'Input | General'!F13,"n/a")</f>
        <v>2016–17</v>
      </c>
      <c r="G7" s="175" t="str">
        <f>IF('Input | General'!G14="Yes",'Input | General'!G13,"n/a")</f>
        <v>2017–18</v>
      </c>
      <c r="H7" s="180" t="str">
        <f>IF('Input | General'!H14="Yes",'Input | General'!H13,"n/a")</f>
        <v>2018–19</v>
      </c>
      <c r="I7" s="97"/>
    </row>
    <row r="8" spans="2:23" ht="11.25" customHeight="1">
      <c r="C8" s="145" t="s">
        <v>96</v>
      </c>
      <c r="D8" s="192"/>
      <c r="E8" s="165">
        <f>'Input | Inflation and Disc Rate'!H20</f>
        <v>4.163547694214853E-2</v>
      </c>
      <c r="F8" s="165">
        <f>'Input | Inflation and Disc Rate'!I20</f>
        <v>4.0761033280446446E-2</v>
      </c>
      <c r="G8" s="165">
        <f>'Input | Inflation and Disc Rate'!J20</f>
        <v>3.9860233470544681E-2</v>
      </c>
      <c r="H8" s="166">
        <f>'Input | Inflation and Disc Rate'!K20</f>
        <v>3.8827966039358675E-2</v>
      </c>
      <c r="I8" s="97"/>
      <c r="J8" s="79"/>
      <c r="K8" s="79"/>
    </row>
    <row r="9" spans="2:23" ht="11.25" customHeight="1">
      <c r="C9" s="148" t="s">
        <v>97</v>
      </c>
      <c r="D9" s="193"/>
      <c r="E9" s="165">
        <f>'Input | Inflation and Disc Rate'!H22</f>
        <v>5.7347159837339845E-2</v>
      </c>
      <c r="F9" s="165">
        <f>'Input | Inflation and Disc Rate'!I22</f>
        <v>5.4051457434248107E-2</v>
      </c>
      <c r="G9" s="165">
        <f>'Input | Inflation and Disc Rate'!J22</f>
        <v>6.0123442971919294E-2</v>
      </c>
      <c r="H9" s="166">
        <f>'Input | Inflation and Disc Rate'!K22</f>
        <v>5.8684133593517762E-2</v>
      </c>
      <c r="I9" s="97"/>
      <c r="J9" s="79"/>
      <c r="K9" s="79"/>
    </row>
    <row r="10" spans="2:23" ht="11.25" customHeight="1">
      <c r="C10" s="113" t="s">
        <v>13</v>
      </c>
      <c r="D10" s="194"/>
      <c r="E10" s="167">
        <f>'Input | Reported Capex'!I$12*'Input | Inflation and Disc Rate'!H$15*(1+'Input | Inflation and Disc Rate'!H$20)^0.5</f>
        <v>628.10597347801502</v>
      </c>
      <c r="F10" s="167">
        <f>'Input | Reported Capex'!J$12*'Input | Inflation and Disc Rate'!I$15*(1+'Input | Inflation and Disc Rate'!I$20)^0.5</f>
        <v>577.6747445221099</v>
      </c>
      <c r="G10" s="167">
        <f>'Input | Reported Capex'!K$12*'Input | Inflation and Disc Rate'!J$15*(1+'Input | Inflation and Disc Rate'!J$20)^0.5</f>
        <v>590.68189746164921</v>
      </c>
      <c r="H10" s="168">
        <f>'Input | Reported Capex'!L$12*'Input | Inflation and Disc Rate'!K$15*(1+'Input | Inflation and Disc Rate'!K$20)^0.5</f>
        <v>529.23581622576398</v>
      </c>
      <c r="I10" s="97"/>
      <c r="J10" s="79"/>
      <c r="K10" s="79"/>
      <c r="N10" s="139"/>
    </row>
    <row r="11" spans="2:23" ht="11.25" customHeight="1">
      <c r="C11" s="113" t="s">
        <v>15</v>
      </c>
      <c r="D11" s="195"/>
      <c r="E11" s="167">
        <f>'Input | Reported Capex'!I23*(1+E$9)^0.5</f>
        <v>319.66217636464597</v>
      </c>
      <c r="F11" s="167">
        <f>'Input | Reported Capex'!J23*(1+F$9)^0.5</f>
        <v>358.43269156705117</v>
      </c>
      <c r="G11" s="167">
        <f>'Input | Reported Capex'!K23*(1+G$9)^0.5</f>
        <v>540.06887543552261</v>
      </c>
      <c r="H11" s="168">
        <f>'Input | Reported Capex'!L23*(1+H$9)^0.5</f>
        <v>768.81374118440374</v>
      </c>
      <c r="I11" s="97"/>
      <c r="J11" s="79"/>
      <c r="K11" s="79"/>
    </row>
    <row r="12" spans="2:23" s="19" customFormat="1" ht="11.25" customHeight="1">
      <c r="C12" s="113" t="s">
        <v>17</v>
      </c>
      <c r="D12" s="158"/>
      <c r="E12" s="146">
        <f>(E10-E11)</f>
        <v>308.44379711336904</v>
      </c>
      <c r="F12" s="146">
        <f t="shared" ref="F12:H12" si="0">(F10-F11)</f>
        <v>219.24205295505874</v>
      </c>
      <c r="G12" s="146">
        <f t="shared" si="0"/>
        <v>50.6130220261266</v>
      </c>
      <c r="H12" s="151">
        <f t="shared" si="0"/>
        <v>-239.57792495863976</v>
      </c>
      <c r="I12" s="97"/>
      <c r="J12" s="79"/>
      <c r="K12" s="79"/>
    </row>
    <row r="13" spans="2:23" ht="11.25" customHeight="1">
      <c r="C13" s="113" t="s">
        <v>72</v>
      </c>
      <c r="D13" s="89"/>
      <c r="E13" s="146">
        <f>$D$12*$E$8</f>
        <v>0</v>
      </c>
      <c r="F13" s="146">
        <f>$D$12*$F$8*(1+'Input | Inflation and Disc Rate'!H13)</f>
        <v>0</v>
      </c>
      <c r="G13" s="146">
        <f>$D$12*$G$8*(1+'Input | Inflation and Disc Rate'!H13)*(1+'Input | Inflation and Disc Rate'!I13)</f>
        <v>0</v>
      </c>
      <c r="H13" s="151">
        <f>$D$12*$H$8*(1+'Input | Inflation and Disc Rate'!H13)*(1+'Input | Inflation and Disc Rate'!I13)*(1+'Input | Inflation and Disc Rate'!J13)</f>
        <v>0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73</v>
      </c>
      <c r="D14" s="89"/>
      <c r="E14" s="147"/>
      <c r="F14" s="146">
        <f>$E$12*F$8</f>
        <v>12.572487879285307</v>
      </c>
      <c r="G14" s="146">
        <f>$E$12*G$8*(1+'Input | Inflation and Disc Rate'!I13)</f>
        <v>12.451643227542291</v>
      </c>
      <c r="H14" s="151">
        <f>$E$12*H$8*(1+'Input | Inflation and Disc Rate'!I13)*(1+'Input | Inflation and Disc Rate'!J13)</f>
        <v>12.365535815498662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74</v>
      </c>
      <c r="D15" s="89"/>
      <c r="E15" s="146"/>
      <c r="F15" s="146"/>
      <c r="G15" s="146">
        <f>$F$12*G$8</f>
        <v>8.7390394173501615</v>
      </c>
      <c r="H15" s="151">
        <f>$F$12*$H$8*(1+'Input | Inflation and Disc Rate'!J13)</f>
        <v>8.678605942488721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75</v>
      </c>
      <c r="D16" s="89"/>
      <c r="E16" s="146"/>
      <c r="F16" s="146"/>
      <c r="G16" s="146"/>
      <c r="H16" s="151">
        <f>$G$12*$H$8</f>
        <v>1.9652007003797562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76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/>
      <c r="E18" s="152">
        <f>SUM(E13:E17)</f>
        <v>0</v>
      </c>
      <c r="F18" s="152">
        <f t="shared" ref="F18:H18" si="1">SUM(F13:F17)</f>
        <v>12.572487879285307</v>
      </c>
      <c r="G18" s="152">
        <f t="shared" si="1"/>
        <v>21.190682644892455</v>
      </c>
      <c r="H18" s="153">
        <f t="shared" si="1"/>
        <v>23.00934245836714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95</v>
      </c>
      <c r="D19" s="126"/>
      <c r="E19" s="152">
        <f>F19*(1+F$9)</f>
        <v>1.1829997581602174</v>
      </c>
      <c r="F19" s="152">
        <f>G19*(1+G$9)</f>
        <v>1.1223358687249034</v>
      </c>
      <c r="G19" s="152">
        <f>H19*(1+H$9)</f>
        <v>1.0586841335935178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/>
      <c r="E20" s="146">
        <f>E12*E19</f>
        <v>364.88893739113473</v>
      </c>
      <c r="F20" s="146">
        <f t="shared" ref="F20:H20" si="2">F12*F19</f>
        <v>246.06321996434713</v>
      </c>
      <c r="G20" s="146">
        <f t="shared" si="2"/>
        <v>53.58320337227947</v>
      </c>
      <c r="H20" s="151">
        <f t="shared" si="2"/>
        <v>-239.57792495863976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/>
      <c r="E21" s="152">
        <f>E18*E19</f>
        <v>0</v>
      </c>
      <c r="F21" s="152">
        <f t="shared" ref="F21:H21" si="3">F18*F19</f>
        <v>14.110554106030992</v>
      </c>
      <c r="G21" s="152">
        <f t="shared" si="3"/>
        <v>22.434239496163162</v>
      </c>
      <c r="H21" s="153">
        <f t="shared" si="3"/>
        <v>23.00934245836714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1" t="str">
        <f>'Input | General'!$D$18</f>
        <v>2019-20</v>
      </c>
      <c r="E24" s="181" t="str">
        <f>'Input | General'!$E$18</f>
        <v>2020–21</v>
      </c>
      <c r="F24" s="181" t="str">
        <f>'Input | General'!$F$18</f>
        <v>2021–22</v>
      </c>
      <c r="G24" s="181" t="str">
        <f>'Input | General'!$G$18</f>
        <v>2022–23</v>
      </c>
      <c r="H24" s="182" t="str">
        <f>'Input | General'!$H$18</f>
        <v>2023–24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71</v>
      </c>
      <c r="D25" s="169">
        <f>'Input | Inflation and Disc Rate'!L$22</f>
        <v>5.7219608317124804E-2</v>
      </c>
      <c r="E25" s="169">
        <f>'Input | Inflation and Disc Rate'!M$22</f>
        <v>5.6078395298810868E-2</v>
      </c>
      <c r="F25" s="169">
        <f>'Input | Inflation and Disc Rate'!N$22</f>
        <v>5.4937182280497376E-2</v>
      </c>
      <c r="G25" s="169">
        <f>'Input | Inflation and Disc Rate'!O$22</f>
        <v>5.3795969262183441E-2</v>
      </c>
      <c r="H25" s="170">
        <f>'Input | Inflation and Disc Rate'!P$22</f>
        <v>5.2654756243869727E-2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7">
        <f>'Input | Reported Capex'!H31</f>
        <v>0</v>
      </c>
      <c r="E26" s="167">
        <f>'Input | Reported Capex'!I31</f>
        <v>0</v>
      </c>
      <c r="F26" s="167">
        <f>'Input | Reported Capex'!J31</f>
        <v>0</v>
      </c>
      <c r="G26" s="167">
        <f>'Input | Reported Capex'!K31</f>
        <v>0</v>
      </c>
      <c r="H26" s="168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0.97256222059416042</v>
      </c>
      <c r="E27" s="124">
        <f>1/((1+E25)^(0.5)*(1+D25))</f>
        <v>0.92042140837463271</v>
      </c>
      <c r="F27" s="124">
        <f>1/((1+F25)^(0.5)*(1+E25)*(1+D25))</f>
        <v>0.87201776495221961</v>
      </c>
      <c r="G27" s="124">
        <f>1/((1+G25)^(0.5)*(1+F25)*(1+E25)*(1+D25))</f>
        <v>0.82705380907273784</v>
      </c>
      <c r="H27" s="125">
        <f>1/((1+H25)^(0.5)*(1+G25)*(1+F25)*(1+E25)*(1+D25))</f>
        <v>0.78525827396277637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424.95743576912162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297.47020503838513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127.48723073073648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59.554136060561291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67.933094670175194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  <c r="J39" s="212" t="s">
        <v>117</v>
      </c>
      <c r="K39" s="213"/>
    </row>
    <row r="40" spans="1:16382" s="30" customFormat="1" ht="11.25" customHeight="1">
      <c r="C40" s="93"/>
      <c r="D40" s="183" t="str">
        <f>'Input | General'!D18</f>
        <v>2019-20</v>
      </c>
      <c r="E40" s="183" t="str">
        <f>'Input | General'!E18</f>
        <v>2020–21</v>
      </c>
      <c r="F40" s="183" t="str">
        <f>'Input | General'!F18</f>
        <v>2021–22</v>
      </c>
      <c r="G40" s="183" t="str">
        <f>'Input | General'!G18</f>
        <v>2022–23</v>
      </c>
      <c r="H40" s="183" t="str">
        <f>'Input | General'!H18</f>
        <v>2023–24</v>
      </c>
      <c r="I40" s="94"/>
      <c r="J40" s="183" t="str">
        <f>D40</f>
        <v>2019-20</v>
      </c>
      <c r="K40" s="183" t="str">
        <f t="shared" ref="K40:N41" si="5">E40</f>
        <v>2020–21</v>
      </c>
      <c r="L40" s="183" t="str">
        <f t="shared" si="5"/>
        <v>2021–22</v>
      </c>
      <c r="M40" s="183" t="str">
        <f t="shared" si="5"/>
        <v>2022–23</v>
      </c>
      <c r="N40" s="183" t="str">
        <f t="shared" si="5"/>
        <v>2023–24</v>
      </c>
      <c r="O40" s="94"/>
    </row>
    <row r="41" spans="1:16382" s="30" customFormat="1" ht="11.25" customHeight="1">
      <c r="C41" s="100" t="s">
        <v>101</v>
      </c>
      <c r="D41" s="171">
        <f>1/(1+'Input | Inflation and Disc Rate'!L21)</f>
        <v>0.96881361120967957</v>
      </c>
      <c r="E41" s="171">
        <f>D41/(1+'Input | Inflation and Disc Rate'!M21)</f>
        <v>0.9396140772919902</v>
      </c>
      <c r="F41" s="171">
        <f>E41/(1+'Input | Inflation and Disc Rate'!N21)</f>
        <v>0.91228042493531769</v>
      </c>
      <c r="G41" s="171">
        <f>F41/(1+'Input | Inflation and Disc Rate'!O21)</f>
        <v>0.88670113477421264</v>
      </c>
      <c r="H41" s="172">
        <f>G41/(1+'Input | Inflation and Disc Rate'!P21)</f>
        <v>0.86277340266827707</v>
      </c>
      <c r="I41" s="94"/>
      <c r="J41" s="210">
        <f>D41</f>
        <v>0.96881361120967957</v>
      </c>
      <c r="K41" s="171">
        <f>E41</f>
        <v>0.9396140772919902</v>
      </c>
      <c r="L41" s="171">
        <f t="shared" si="5"/>
        <v>0.91228042493531769</v>
      </c>
      <c r="M41" s="171">
        <f t="shared" si="5"/>
        <v>0.88670113477421264</v>
      </c>
      <c r="N41" s="172">
        <f t="shared" si="5"/>
        <v>0.86277340266827707</v>
      </c>
      <c r="O41" s="94"/>
    </row>
    <row r="42" spans="1:16382" s="30" customFormat="1" ht="11.25" customHeight="1">
      <c r="C42" s="189" t="str">
        <f>CONCATENATE("CESS Payment Per Year ($", 'Output | Models'!$F$8," million)")</f>
        <v>CESS Payment Per Year ($2018–19 million)</v>
      </c>
      <c r="D42" s="110">
        <f>D36/(SUM(D41:H41))</f>
        <v>14.864415683058592</v>
      </c>
      <c r="E42" s="110">
        <f>D42</f>
        <v>14.864415683058592</v>
      </c>
      <c r="F42" s="110">
        <f t="shared" ref="F42:H42" si="6">E42</f>
        <v>14.864415683058592</v>
      </c>
      <c r="G42" s="110">
        <f t="shared" si="6"/>
        <v>14.864415683058592</v>
      </c>
      <c r="H42" s="149">
        <f t="shared" si="6"/>
        <v>14.864415683058592</v>
      </c>
      <c r="I42" s="94"/>
      <c r="J42" s="211">
        <v>11.214214539697064</v>
      </c>
      <c r="K42" s="110">
        <v>11.214214539697064</v>
      </c>
      <c r="L42" s="110">
        <v>11.214214539697064</v>
      </c>
      <c r="M42" s="110">
        <v>11.214214539697064</v>
      </c>
      <c r="N42" s="149">
        <v>11.214214539697064</v>
      </c>
      <c r="O42" s="94"/>
    </row>
    <row r="43" spans="1:16382" s="79" customFormat="1" ht="11.25" customHeight="1">
      <c r="K43" s="94"/>
      <c r="L43" s="94"/>
      <c r="M43" s="94"/>
    </row>
    <row r="44" spans="1:16382" s="30" customFormat="1" ht="11.25" customHeight="1">
      <c r="C44" s="189" t="str">
        <f>CONCATENATE("Total CESS Payment ($", 'Output | Models'!$F$8," million)")</f>
        <v>Total CESS Payment ($2018–19 million)</v>
      </c>
      <c r="D44" s="157">
        <f>SUM(D42:H42)</f>
        <v>74.322078415292964</v>
      </c>
      <c r="E44" s="70"/>
      <c r="F44" s="70"/>
      <c r="G44" s="70"/>
      <c r="H44" s="70"/>
      <c r="I44" s="94"/>
      <c r="J44" s="157">
        <v>56.071072698485324</v>
      </c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227">
        <f>D44-J44</f>
        <v>18.25100571680764</v>
      </c>
      <c r="K46" s="228" t="s">
        <v>142</v>
      </c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J8" sqref="J8"/>
    </sheetView>
  </sheetViews>
  <sheetFormatPr defaultColWidth="0" defaultRowHeight="11.25" customHeight="1" zeroHeight="1"/>
  <cols>
    <col min="1" max="2" width="1.2187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21875" style="52" customWidth="1"/>
    <col min="7" max="9" width="2.77734375" style="52" customWidth="1"/>
    <col min="10" max="15" width="9.21875" style="51" customWidth="1"/>
    <col min="16" max="17" width="3" style="51" customWidth="1"/>
    <col min="18" max="24" width="9.2187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Ausgrid DX 2019-24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9" t="s">
        <v>48</v>
      </c>
      <c r="M1" s="164" t="s">
        <v>36</v>
      </c>
      <c r="R1" s="107"/>
      <c r="S1" s="79"/>
      <c r="T1" s="79"/>
      <c r="U1" s="79"/>
      <c r="V1" s="79"/>
      <c r="W1" s="79"/>
    </row>
    <row r="2" spans="1:27" s="37" customFormat="1" ht="13.8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29"/>
      <c r="K3" s="229"/>
      <c r="L3" s="229"/>
      <c r="M3" s="42"/>
      <c r="N3" s="229"/>
      <c r="O3" s="229"/>
      <c r="P3" s="229"/>
      <c r="Q3" s="229"/>
      <c r="R3" s="229"/>
      <c r="S3" s="229"/>
      <c r="T3" s="229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84" t="str">
        <f>'Calc | CESS Revenue Increments'!D40</f>
        <v>2019-20</v>
      </c>
      <c r="K6" s="184" t="str">
        <f>'Calc | CESS Revenue Increments'!E40</f>
        <v>2020–21</v>
      </c>
      <c r="L6" s="184" t="str">
        <f>'Calc | CESS Revenue Increments'!F40</f>
        <v>2021–22</v>
      </c>
      <c r="M6" s="184" t="str">
        <f>'Calc | CESS Revenue Increments'!G40</f>
        <v>2022–23</v>
      </c>
      <c r="N6" s="184" t="str">
        <f>'Calc | CESS Revenue Increments'!H40</f>
        <v>2023–24</v>
      </c>
      <c r="O6" s="56" t="s">
        <v>89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85</v>
      </c>
      <c r="D8" s="186" t="s">
        <v>58</v>
      </c>
      <c r="E8" s="52" t="s">
        <v>50</v>
      </c>
      <c r="F8" s="185" t="str">
        <f>IF(LEN(J6)&gt;4,CONCATENATE(LEFT(J6,4)-1&amp;"–"&amp;IF(RIGHT(J6,2)="00","99",IF(RIGHT(J6,2)-1&lt;10,"0","")&amp;RIGHT(J6,2)-1)),J6-1)</f>
        <v>2018–19</v>
      </c>
      <c r="H8" s="55"/>
      <c r="I8" s="55"/>
      <c r="J8" s="133">
        <f>'Calc | CESS Revenue Increments'!D42</f>
        <v>14.864415683058592</v>
      </c>
      <c r="K8" s="133">
        <f>'Calc | CESS Revenue Increments'!E42</f>
        <v>14.864415683058592</v>
      </c>
      <c r="L8" s="133">
        <f>'Calc | CESS Revenue Increments'!F42</f>
        <v>14.864415683058592</v>
      </c>
      <c r="M8" s="133">
        <f>'Calc | CESS Revenue Increments'!G42</f>
        <v>14.864415683058592</v>
      </c>
      <c r="N8" s="133">
        <f>'Calc | CESS Revenue Increments'!H42</f>
        <v>14.864415683058592</v>
      </c>
      <c r="O8" s="60">
        <f>SUM(J8:N8)</f>
        <v>74.322078415292964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8DB4E2"/>
  </sheetPr>
  <dimension ref="A1:O32"/>
  <sheetViews>
    <sheetView workbookViewId="0">
      <selection activeCell="A27" sqref="A27"/>
    </sheetView>
  </sheetViews>
  <sheetFormatPr defaultRowHeight="14.4"/>
  <cols>
    <col min="1" max="1" width="40.77734375" customWidth="1"/>
    <col min="2" max="2" width="40.21875" customWidth="1"/>
    <col min="3" max="3" width="9.5546875" customWidth="1"/>
    <col min="6" max="6" width="11.21875" customWidth="1"/>
    <col min="10" max="10" width="10.44140625" customWidth="1"/>
  </cols>
  <sheetData>
    <row r="1" spans="1:15">
      <c r="A1" s="214" t="s">
        <v>118</v>
      </c>
    </row>
    <row r="2" spans="1:15">
      <c r="E2" s="215"/>
      <c r="F2" s="215" t="s">
        <v>106</v>
      </c>
      <c r="G2" s="215" t="s">
        <v>119</v>
      </c>
      <c r="H2" s="215" t="s">
        <v>120</v>
      </c>
      <c r="I2" s="215" t="s">
        <v>121</v>
      </c>
      <c r="J2" s="215" t="s">
        <v>122</v>
      </c>
      <c r="K2" s="215" t="s">
        <v>123</v>
      </c>
      <c r="L2" s="215" t="s">
        <v>124</v>
      </c>
      <c r="M2" s="215" t="s">
        <v>125</v>
      </c>
      <c r="N2" s="215" t="s">
        <v>126</v>
      </c>
      <c r="O2" s="215" t="s">
        <v>127</v>
      </c>
    </row>
    <row r="3" spans="1:15">
      <c r="A3" t="s">
        <v>128</v>
      </c>
      <c r="B3" t="s">
        <v>145</v>
      </c>
      <c r="F3" s="216">
        <v>3.2190287615158963E-2</v>
      </c>
      <c r="G3" s="216">
        <v>3.0060653438764184E-2</v>
      </c>
      <c r="H3" s="216">
        <v>2.7489978671470627E-2</v>
      </c>
      <c r="I3" s="216">
        <v>2.5667411537982909E-2</v>
      </c>
      <c r="J3" s="216">
        <v>2.5532227657772077E-2</v>
      </c>
    </row>
    <row r="4" spans="1:15">
      <c r="A4" t="s">
        <v>129</v>
      </c>
      <c r="B4" t="s">
        <v>130</v>
      </c>
      <c r="F4" s="216"/>
      <c r="G4" s="216"/>
      <c r="H4" s="216"/>
      <c r="I4" s="216"/>
      <c r="J4" s="216"/>
      <c r="K4" s="217">
        <v>2.7663814432180002E-2</v>
      </c>
      <c r="L4" s="217">
        <v>2.8145029748256126E-2</v>
      </c>
      <c r="M4" s="217">
        <v>2.8881015938879574E-2</v>
      </c>
      <c r="N4" s="217">
        <v>2.964324179575524E-2</v>
      </c>
      <c r="O4" s="217">
        <v>3.0536354248023256E-2</v>
      </c>
    </row>
    <row r="5" spans="1:15">
      <c r="A5" t="s">
        <v>131</v>
      </c>
      <c r="E5" s="216"/>
      <c r="F5" s="216">
        <v>1.8404907975460016E-2</v>
      </c>
      <c r="G5" s="216">
        <v>8.6058519793459354E-3</v>
      </c>
      <c r="H5" s="216">
        <v>3.498293515358375E-2</v>
      </c>
      <c r="I5" s="216">
        <v>0.08</v>
      </c>
      <c r="J5" s="216">
        <v>4.7500000000000001E-2</v>
      </c>
      <c r="K5" s="217"/>
      <c r="L5" s="217"/>
      <c r="M5" s="217"/>
      <c r="N5" s="217"/>
      <c r="O5" s="217"/>
    </row>
    <row r="6" spans="1:15">
      <c r="A6" t="s">
        <v>132</v>
      </c>
      <c r="E6" s="218"/>
      <c r="F6" s="219">
        <f>(1+F5)</f>
        <v>1.01840490797546</v>
      </c>
      <c r="G6" s="219">
        <f>F6*(1+G5)</f>
        <v>1.0271691498685362</v>
      </c>
      <c r="H6" s="219">
        <f t="shared" ref="H6:J6" si="0">G6*(1+H5)</f>
        <v>1.0631025416301489</v>
      </c>
      <c r="I6" s="219">
        <f t="shared" si="0"/>
        <v>1.148150744960561</v>
      </c>
      <c r="J6" s="219">
        <f t="shared" si="0"/>
        <v>1.2026879053461879</v>
      </c>
    </row>
    <row r="7" spans="1:15">
      <c r="A7" t="s">
        <v>133</v>
      </c>
      <c r="F7" s="216">
        <f>(1+F3)*(1+F5)-1</f>
        <v>5.1187654871879484E-2</v>
      </c>
      <c r="G7" s="216">
        <f t="shared" ref="G7:J7" si="1">(1+G3)*(1+G5)-1</f>
        <v>3.8925202952006632E-2</v>
      </c>
      <c r="H7" s="216">
        <f t="shared" si="1"/>
        <v>6.3434593966291919E-2</v>
      </c>
      <c r="I7" s="216">
        <f t="shared" si="1"/>
        <v>0.10772080446102161</v>
      </c>
      <c r="J7" s="216">
        <f t="shared" si="1"/>
        <v>7.4245008471516272E-2</v>
      </c>
    </row>
    <row r="9" spans="1:15">
      <c r="A9" t="s">
        <v>85</v>
      </c>
      <c r="B9" t="s">
        <v>134</v>
      </c>
      <c r="C9" t="s">
        <v>50</v>
      </c>
      <c r="D9" t="s">
        <v>111</v>
      </c>
      <c r="F9" s="220">
        <f>'Calc | CESS Revenue Increments'!D42</f>
        <v>14.864415683058592</v>
      </c>
      <c r="G9" s="220">
        <f>'Calc | CESS Revenue Increments'!E42</f>
        <v>14.864415683058592</v>
      </c>
      <c r="H9" s="220">
        <f>'Calc | CESS Revenue Increments'!F42</f>
        <v>14.864415683058592</v>
      </c>
      <c r="I9" s="220">
        <f>'Calc | CESS Revenue Increments'!G42</f>
        <v>14.864415683058592</v>
      </c>
      <c r="J9" s="220">
        <f>'Calc | CESS Revenue Increments'!H42</f>
        <v>14.864415683058592</v>
      </c>
    </row>
    <row r="10" spans="1:15">
      <c r="A10" t="s">
        <v>85</v>
      </c>
      <c r="B10" t="s">
        <v>144</v>
      </c>
      <c r="C10" t="s">
        <v>50</v>
      </c>
      <c r="D10" t="s">
        <v>111</v>
      </c>
      <c r="F10" s="220">
        <f>'Calc | CESS Revenue Increments'!J42</f>
        <v>11.214214539697064</v>
      </c>
      <c r="G10" s="220">
        <f>'Calc | CESS Revenue Increments'!K42</f>
        <v>11.214214539697064</v>
      </c>
      <c r="H10" s="220">
        <f>'Calc | CESS Revenue Increments'!L42</f>
        <v>11.214214539697064</v>
      </c>
      <c r="I10" s="220">
        <f>'Calc | CESS Revenue Increments'!M42</f>
        <v>11.214214539697064</v>
      </c>
      <c r="J10" s="220">
        <f>'Calc | CESS Revenue Increments'!N42</f>
        <v>11.214214539697064</v>
      </c>
    </row>
    <row r="11" spans="1:15">
      <c r="F11" s="220"/>
      <c r="G11" s="220"/>
      <c r="H11" s="220"/>
      <c r="I11" s="220"/>
      <c r="J11" s="220"/>
    </row>
    <row r="12" spans="1:15">
      <c r="A12" t="s">
        <v>135</v>
      </c>
      <c r="C12" t="s">
        <v>50</v>
      </c>
      <c r="D12" t="s">
        <v>111</v>
      </c>
      <c r="F12" s="220">
        <f>F9-F10</f>
        <v>3.650201143361528</v>
      </c>
      <c r="G12" s="220">
        <f t="shared" ref="G12:J12" si="2">G9-G10</f>
        <v>3.650201143361528</v>
      </c>
      <c r="H12" s="220">
        <f t="shared" si="2"/>
        <v>3.650201143361528</v>
      </c>
      <c r="I12" s="220">
        <f t="shared" si="2"/>
        <v>3.650201143361528</v>
      </c>
      <c r="J12" s="220">
        <f t="shared" si="2"/>
        <v>3.650201143361528</v>
      </c>
    </row>
    <row r="13" spans="1:15">
      <c r="A13" t="s">
        <v>135</v>
      </c>
      <c r="B13" t="s">
        <v>136</v>
      </c>
      <c r="C13" t="s">
        <v>50</v>
      </c>
      <c r="D13" t="s">
        <v>53</v>
      </c>
      <c r="F13" s="220">
        <f>F12*F6</f>
        <v>3.7173827594970157</v>
      </c>
      <c r="G13" s="220">
        <f>G12*G6</f>
        <v>3.7493740052758198</v>
      </c>
      <c r="H13" s="220">
        <f>H12*H6</f>
        <v>3.880538112968916</v>
      </c>
      <c r="I13" s="220">
        <f>I12*I6</f>
        <v>4.1909811620064303</v>
      </c>
      <c r="J13" s="220">
        <f>J12*J6</f>
        <v>4.3900527672017358</v>
      </c>
    </row>
    <row r="14" spans="1:15">
      <c r="A14" t="s">
        <v>72</v>
      </c>
      <c r="F14" s="220"/>
      <c r="G14" s="226">
        <f>$F$13*G$3</f>
        <v>0.11174695483247665</v>
      </c>
      <c r="H14" s="226">
        <f>$F$13*G$6/$F$6*H$3</f>
        <v>0.10307021143639869</v>
      </c>
      <c r="I14" s="226">
        <f>$F$13*H$6/$F$6*I$3</f>
        <v>9.9603368734400788E-2</v>
      </c>
      <c r="J14" s="226">
        <f>$F$13*I$6/$F$6*J$3</f>
        <v>0.10700508513778231</v>
      </c>
    </row>
    <row r="15" spans="1:15">
      <c r="A15" t="s">
        <v>73</v>
      </c>
      <c r="F15" s="220"/>
      <c r="G15" s="226"/>
      <c r="H15" s="226">
        <f>$G$13*H$3</f>
        <v>0.10307021143639869</v>
      </c>
      <c r="I15" s="226">
        <f>$G$13*H$6/$G$6*I$3</f>
        <v>9.9603368734400788E-2</v>
      </c>
      <c r="J15" s="226">
        <f>$G$13*I$6/$G$6*J$3</f>
        <v>0.10700508513778234</v>
      </c>
    </row>
    <row r="16" spans="1:15">
      <c r="A16" t="s">
        <v>74</v>
      </c>
      <c r="F16" s="220"/>
      <c r="G16" s="226"/>
      <c r="H16" s="226"/>
      <c r="I16" s="226">
        <f>$H$13*I$3</f>
        <v>9.9603368734400788E-2</v>
      </c>
      <c r="J16" s="226">
        <f>$H$13*I$6/$H$6*J$3</f>
        <v>0.10700508513778231</v>
      </c>
    </row>
    <row r="17" spans="1:12">
      <c r="A17" t="s">
        <v>75</v>
      </c>
      <c r="F17" s="220"/>
      <c r="G17" s="226"/>
      <c r="H17" s="226"/>
      <c r="I17" s="226"/>
      <c r="J17" s="226">
        <f>$I$13*J$3</f>
        <v>0.10700508513778234</v>
      </c>
    </row>
    <row r="18" spans="1:12">
      <c r="A18" t="s">
        <v>76</v>
      </c>
      <c r="F18" s="220"/>
      <c r="G18" s="220"/>
      <c r="H18" s="220"/>
      <c r="I18" s="220"/>
      <c r="J18" s="221"/>
    </row>
    <row r="19" spans="1:12">
      <c r="A19" t="s">
        <v>19</v>
      </c>
      <c r="B19" t="s">
        <v>137</v>
      </c>
      <c r="C19" t="s">
        <v>50</v>
      </c>
      <c r="F19" s="220">
        <f>SUM(F14:F18)</f>
        <v>0</v>
      </c>
      <c r="G19" s="220">
        <f>SUM(G14:G18)</f>
        <v>0.11174695483247665</v>
      </c>
      <c r="H19" s="220">
        <f t="shared" ref="H19:J19" si="3">SUM(H14:H18)</f>
        <v>0.20614042287279738</v>
      </c>
      <c r="I19" s="220">
        <f t="shared" si="3"/>
        <v>0.29881010620320236</v>
      </c>
      <c r="J19" s="220">
        <f t="shared" si="3"/>
        <v>0.42802034055112931</v>
      </c>
    </row>
    <row r="20" spans="1:12">
      <c r="F20" s="220"/>
      <c r="G20" s="220"/>
      <c r="H20" s="220"/>
      <c r="I20" s="220"/>
      <c r="J20" s="220"/>
    </row>
    <row r="21" spans="1:12">
      <c r="A21" t="s">
        <v>95</v>
      </c>
      <c r="F21" s="220">
        <f>G21*(1+G7)</f>
        <v>1.3147062350496683</v>
      </c>
      <c r="G21" s="220">
        <f>H21*(1+H7)</f>
        <v>1.2654483992823125</v>
      </c>
      <c r="H21" s="220">
        <f>I21*(1+I7)</f>
        <v>1.1899635449723049</v>
      </c>
      <c r="I21" s="220">
        <f>J21*(1+J7)</f>
        <v>1.0742450084715163</v>
      </c>
      <c r="J21" s="220">
        <v>1</v>
      </c>
    </row>
    <row r="22" spans="1:12">
      <c r="A22" t="s">
        <v>138</v>
      </c>
      <c r="C22" t="s">
        <v>50</v>
      </c>
      <c r="F22" s="220">
        <f>F13*F21</f>
        <v>4.8872662919768679</v>
      </c>
      <c r="G22" s="220">
        <f t="shared" ref="G22:J22" si="4">G13*G21</f>
        <v>4.7446393332869983</v>
      </c>
      <c r="H22" s="220">
        <f t="shared" si="4"/>
        <v>4.6176988893086302</v>
      </c>
      <c r="I22" s="220">
        <f t="shared" si="4"/>
        <v>4.5021405938835626</v>
      </c>
      <c r="J22" s="220">
        <f t="shared" si="4"/>
        <v>4.3900527672017358</v>
      </c>
    </row>
    <row r="23" spans="1:12">
      <c r="A23" t="s">
        <v>21</v>
      </c>
      <c r="C23" t="s">
        <v>50</v>
      </c>
      <c r="F23" s="220">
        <f>F19*F21</f>
        <v>0</v>
      </c>
      <c r="G23" s="220">
        <f t="shared" ref="G23:J23" si="5">G19*G21</f>
        <v>0.14141000511743046</v>
      </c>
      <c r="H23" s="220">
        <f t="shared" si="5"/>
        <v>0.24529958836380397</v>
      </c>
      <c r="I23" s="220">
        <f t="shared" si="5"/>
        <v>0.32099526506963377</v>
      </c>
      <c r="J23" s="220">
        <f t="shared" si="5"/>
        <v>0.42802034055112931</v>
      </c>
    </row>
    <row r="24" spans="1:12">
      <c r="A24" t="s">
        <v>139</v>
      </c>
      <c r="C24" t="s">
        <v>50</v>
      </c>
      <c r="F24" s="220"/>
      <c r="G24" s="220"/>
      <c r="H24" s="220"/>
      <c r="I24" s="220"/>
      <c r="J24" s="222">
        <f>SUM(F22:J23)</f>
        <v>24.277523074759788</v>
      </c>
      <c r="L24" s="223"/>
    </row>
    <row r="25" spans="1:12">
      <c r="F25" s="222"/>
      <c r="G25" s="222"/>
      <c r="H25" s="222"/>
      <c r="I25" s="222"/>
    </row>
    <row r="26" spans="1:12">
      <c r="F26" s="220"/>
      <c r="G26" s="220"/>
      <c r="H26" s="220"/>
      <c r="I26" s="220"/>
      <c r="J26" s="220"/>
    </row>
    <row r="27" spans="1:12">
      <c r="A27" s="214" t="s">
        <v>147</v>
      </c>
      <c r="F27" s="225" t="s">
        <v>123</v>
      </c>
      <c r="G27" s="225" t="s">
        <v>124</v>
      </c>
      <c r="H27" s="225" t="s">
        <v>125</v>
      </c>
      <c r="I27" s="225" t="s">
        <v>126</v>
      </c>
      <c r="J27" s="225" t="s">
        <v>127</v>
      </c>
      <c r="L27" s="223"/>
    </row>
    <row r="28" spans="1:12">
      <c r="A28" t="s">
        <v>101</v>
      </c>
      <c r="F28" s="220">
        <f>1/(1+K4)</f>
        <v>0.97308087134753773</v>
      </c>
      <c r="G28" s="220">
        <f>F28/(1+L4)</f>
        <v>0.94644319934688492</v>
      </c>
      <c r="H28" s="220">
        <f>G28/(1+M4)</f>
        <v>0.91987623902578475</v>
      </c>
      <c r="I28" s="220">
        <f>H28/(1+N4)</f>
        <v>0.89339316928984958</v>
      </c>
      <c r="J28" s="220">
        <f>I28/(1+O4)</f>
        <v>0.86692057549173385</v>
      </c>
    </row>
    <row r="29" spans="1:12">
      <c r="A29" t="s">
        <v>140</v>
      </c>
      <c r="F29" s="224">
        <f>$J$24/SUM($F$28:$J$28)</f>
        <v>5.2780505020739508</v>
      </c>
      <c r="G29" s="224">
        <f>$J$24/SUM($F$28:$J$28)</f>
        <v>5.2780505020739508</v>
      </c>
      <c r="H29" s="224">
        <f>$J$24/SUM($F$28:$J$28)</f>
        <v>5.2780505020739508</v>
      </c>
      <c r="I29" s="224">
        <f>$J$24/SUM($F$28:$J$28)</f>
        <v>5.2780505020739508</v>
      </c>
      <c r="J29" s="224">
        <f>$J$24/SUM($F$28:$J$28)</f>
        <v>5.2780505020739508</v>
      </c>
    </row>
    <row r="31" spans="1:12">
      <c r="A31" t="s">
        <v>141</v>
      </c>
      <c r="F31" s="224">
        <f>SUM(F29:J29)</f>
        <v>26.390252510369756</v>
      </c>
      <c r="G31" s="220"/>
      <c r="H31" s="220"/>
      <c r="I31" s="220"/>
      <c r="J31" s="220"/>
    </row>
    <row r="32" spans="1:12">
      <c r="G32" s="222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2063F2-9930-4AF6-9780-CFF77393E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023AF-EB19-4A41-93FB-A3757289BD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Index</vt:lpstr>
      <vt:lpstr>Input | General</vt:lpstr>
      <vt:lpstr>Input | Inflation and Disc Rate</vt:lpstr>
      <vt:lpstr>FY19 Capex</vt:lpstr>
      <vt:lpstr>Input | Reported Capex</vt:lpstr>
      <vt:lpstr>Calc | CESS Revenue Increments</vt:lpstr>
      <vt:lpstr>Output | Models</vt:lpstr>
      <vt:lpstr>Output|FY19 CESS adjustment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Alison Fox</cp:lastModifiedBy>
  <dcterms:created xsi:type="dcterms:W3CDTF">2017-09-22T02:00:05Z</dcterms:created>
  <dcterms:modified xsi:type="dcterms:W3CDTF">2023-01-20T03:31:14Z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2022-11-14T05:44:17Z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78f59835-5781-4d72-b018-3acc0438a86a</vt:lpwstr>
  </property>
  <property fmtid="{D5CDD505-2E9C-101B-9397-08002B2CF9AE}" pid="9" name="MSIP_Label_895930eb-db2c-4917-a4e2-4c584d225a4f_ContentBits">
    <vt:lpwstr>2</vt:lpwstr>
  </property>
</Properties>
</file>