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5480" windowHeight="11640"/>
  </bookViews>
  <sheets>
    <sheet name="Cover" sheetId="5" r:id="rId1"/>
    <sheet name="DMIA Carryover" sheetId="4" r:id="rId2"/>
    <sheet name="D-factor 2009-14 carryovers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27" i="4"/>
  <c r="G10" l="1"/>
  <c r="B14" i="3"/>
  <c r="C23" s="1"/>
  <c r="B13"/>
  <c r="B23" s="1"/>
  <c r="B12"/>
  <c r="B11"/>
  <c r="B10"/>
  <c r="F10" i="4" l="1"/>
  <c r="C15"/>
  <c r="I14"/>
  <c r="J14" s="1"/>
  <c r="H14"/>
  <c r="G14"/>
  <c r="I13"/>
  <c r="J13" s="1"/>
  <c r="H13"/>
  <c r="G13"/>
  <c r="I12"/>
  <c r="H12"/>
  <c r="J12" s="1"/>
  <c r="G12"/>
  <c r="I11"/>
  <c r="J11" s="1"/>
  <c r="H11"/>
  <c r="G11"/>
  <c r="I10"/>
  <c r="J10" s="1"/>
  <c r="H10"/>
  <c r="L10" l="1"/>
  <c r="N10"/>
  <c r="F11" l="1"/>
  <c r="F14" l="1"/>
  <c r="N14" s="1"/>
  <c r="L11"/>
  <c r="N11"/>
  <c r="F12"/>
  <c r="N12" l="1"/>
  <c r="L12"/>
  <c r="F13" l="1"/>
  <c r="N13" s="1"/>
  <c r="D15"/>
  <c r="L13" l="1"/>
  <c r="L14" s="1"/>
  <c r="L15" s="1"/>
</calcChain>
</file>

<file path=xl/sharedStrings.xml><?xml version="1.0" encoding="utf-8"?>
<sst xmlns="http://schemas.openxmlformats.org/spreadsheetml/2006/main" count="53" uniqueCount="44">
  <si>
    <t>Total</t>
  </si>
  <si>
    <t xml:space="preserve">Expenditure Profile </t>
  </si>
  <si>
    <t>Year</t>
  </si>
  <si>
    <t>Allowance</t>
  </si>
  <si>
    <t>Expenditure</t>
  </si>
  <si>
    <t xml:space="preserve">Carry over amount </t>
  </si>
  <si>
    <r>
      <t>R</t>
    </r>
    <r>
      <rPr>
        <b/>
        <vertAlign val="subscript"/>
        <sz val="11"/>
        <color theme="1"/>
        <rFont val="Calibri"/>
        <family val="2"/>
        <scheme val="minor"/>
      </rPr>
      <t>t</t>
    </r>
  </si>
  <si>
    <r>
      <rPr>
        <b/>
        <sz val="11"/>
        <color theme="1"/>
        <rFont val="Calibri"/>
        <family val="2"/>
        <scheme val="minor"/>
      </rPr>
      <t>A</t>
    </r>
    <r>
      <rPr>
        <b/>
        <vertAlign val="subscript"/>
        <sz val="11"/>
        <color theme="1"/>
        <rFont val="Calibri"/>
        <family val="2"/>
        <scheme val="minor"/>
      </rPr>
      <t>t</t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</si>
  <si>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 xml:space="preserve">t - </t>
    </r>
    <r>
      <rPr>
        <b/>
        <sz val="11"/>
        <color theme="1"/>
        <rFont val="Calibri"/>
        <family val="2"/>
        <scheme val="minor"/>
      </rPr>
      <t>A</t>
    </r>
    <r>
      <rPr>
        <b/>
        <vertAlign val="subscript"/>
        <sz val="11"/>
        <color theme="1"/>
        <rFont val="Calibri"/>
        <family val="2"/>
        <scheme val="minor"/>
      </rPr>
      <t>t</t>
    </r>
  </si>
  <si>
    <r>
      <t xml:space="preserve">  (1+i)</t>
    </r>
    <r>
      <rPr>
        <b/>
        <vertAlign val="superscript"/>
        <sz val="11"/>
        <color theme="1"/>
        <rFont val="Calibri"/>
        <family val="2"/>
        <scheme val="minor"/>
      </rPr>
      <t>t</t>
    </r>
  </si>
  <si>
    <r>
      <t xml:space="preserve">  (1+i*)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</si>
  <si>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t</t>
    </r>
  </si>
  <si>
    <t>Annual</t>
  </si>
  <si>
    <t xml:space="preserve">Indicative numbers </t>
  </si>
  <si>
    <t>Real</t>
  </si>
  <si>
    <t>Nominal</t>
  </si>
  <si>
    <t>Wacc</t>
  </si>
  <si>
    <t>New wacc</t>
  </si>
  <si>
    <t>D-Factor Incentive Scheme summary</t>
  </si>
  <si>
    <t>Submission Year</t>
  </si>
  <si>
    <t>Index for converting nominal to $real 2013-14</t>
  </si>
  <si>
    <t>Claim ($m)</t>
  </si>
  <si>
    <t>D-Factor</t>
  </si>
  <si>
    <t>Revenue adjustment year</t>
  </si>
  <si>
    <t>2005/06</t>
  </si>
  <si>
    <t>2007/08</t>
  </si>
  <si>
    <t>2006/07</t>
  </si>
  <si>
    <t>2008/09</t>
  </si>
  <si>
    <t>2009/10</t>
  </si>
  <si>
    <t>2010/11</t>
  </si>
  <si>
    <t>2011/12</t>
  </si>
  <si>
    <t>2012/13</t>
  </si>
  <si>
    <t>2013/14</t>
  </si>
  <si>
    <t>Not yet advised by AER</t>
  </si>
  <si>
    <t>2014/15</t>
  </si>
  <si>
    <t>Not applicable</t>
  </si>
  <si>
    <t>2015/16</t>
  </si>
  <si>
    <t>D-factor carryovers for 2014-19 PTRM ($2013-14, millions)</t>
  </si>
  <si>
    <t>2014-15</t>
  </si>
  <si>
    <t>2015-16</t>
  </si>
  <si>
    <r>
      <t xml:space="preserve">  (1+i*)</t>
    </r>
    <r>
      <rPr>
        <b/>
        <sz val="11"/>
        <color theme="1"/>
        <rFont val="Calibri"/>
        <family val="2"/>
      </rPr>
      <t>⁵</t>
    </r>
  </si>
  <si>
    <r>
      <t xml:space="preserve">  (1+i*)⁵ * (1+i*)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</si>
  <si>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DMIA Carryover</t>
  </si>
  <si>
    <t>DMIA carryovers for 2014-19 PTRM ($2013-14, millions)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</si>
</sst>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&quot;$&quot;* #,##0_-;\-&quot;$&quot;* #,##0_-;_-&quot;$&quot;* &quot;-&quot;??_-;_-@_-"/>
    <numFmt numFmtId="166" formatCode="0.0%"/>
    <numFmt numFmtId="167" formatCode="0.0000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165" fontId="0" fillId="0" borderId="1" xfId="1" applyNumberFormat="1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4" fillId="0" borderId="0" xfId="0" applyFont="1" applyBorder="1"/>
    <xf numFmtId="0" fontId="4" fillId="0" borderId="6" xfId="0" applyFont="1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 applyBorder="1"/>
    <xf numFmtId="2" fontId="0" fillId="0" borderId="6" xfId="0" applyNumberFormat="1" applyBorder="1"/>
    <xf numFmtId="0" fontId="4" fillId="0" borderId="7" xfId="0" applyFont="1" applyBorder="1"/>
    <xf numFmtId="0" fontId="0" fillId="0" borderId="7" xfId="0" applyBorder="1"/>
    <xf numFmtId="2" fontId="0" fillId="0" borderId="7" xfId="0" applyNumberFormat="1" applyBorder="1"/>
    <xf numFmtId="166" fontId="0" fillId="0" borderId="0" xfId="2" applyNumberFormat="1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7" fillId="0" borderId="0" xfId="0" applyFont="1"/>
    <xf numFmtId="0" fontId="4" fillId="0" borderId="1" xfId="0" applyFont="1" applyBorder="1" applyAlignment="1">
      <alignment wrapText="1"/>
    </xf>
    <xf numFmtId="167" fontId="0" fillId="0" borderId="1" xfId="2" applyNumberFormat="1" applyFont="1" applyBorder="1"/>
    <xf numFmtId="0" fontId="0" fillId="0" borderId="1" xfId="0" applyBorder="1" applyAlignment="1">
      <alignment horizontal="right"/>
    </xf>
    <xf numFmtId="0" fontId="0" fillId="0" borderId="1" xfId="0" applyFill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0" fillId="0" borderId="11" xfId="0" applyBorder="1"/>
    <xf numFmtId="0" fontId="0" fillId="0" borderId="14" xfId="0" applyBorder="1"/>
    <xf numFmtId="2" fontId="4" fillId="2" borderId="0" xfId="0" applyNumberFormat="1" applyFont="1" applyFill="1" applyBorder="1"/>
    <xf numFmtId="43" fontId="8" fillId="3" borderId="0" xfId="3" applyFont="1" applyFill="1" applyBorder="1"/>
    <xf numFmtId="43" fontId="0" fillId="0" borderId="0" xfId="3" applyFont="1" applyBorder="1"/>
    <xf numFmtId="43" fontId="0" fillId="0" borderId="7" xfId="3" applyFont="1" applyBorder="1"/>
    <xf numFmtId="165" fontId="0" fillId="2" borderId="1" xfId="1" applyNumberFormat="1" applyFont="1" applyFill="1" applyBorder="1"/>
    <xf numFmtId="10" fontId="0" fillId="0" borderId="0" xfId="0" applyNumberFormat="1" applyBorder="1"/>
    <xf numFmtId="166" fontId="0" fillId="0" borderId="0" xfId="0" applyNumberFormat="1" applyBorder="1"/>
    <xf numFmtId="0" fontId="4" fillId="0" borderId="1" xfId="0" applyFont="1" applyBorder="1" applyAlignment="1">
      <alignment horizontal="center"/>
    </xf>
    <xf numFmtId="44" fontId="0" fillId="0" borderId="1" xfId="0" applyNumberFormat="1" applyBorder="1"/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114300</xdr:rowOff>
    </xdr:from>
    <xdr:to>
      <xdr:col>10</xdr:col>
      <xdr:colOff>323850</xdr:colOff>
      <xdr:row>44</xdr:row>
      <xdr:rowOff>133350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" y="114300"/>
          <a:ext cx="5743575" cy="84010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TRMs%20and%20RFMs\SRP\Inputs\SRP%20modelling%20assumptions%20-%2024%20April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bstantive proposal assumption"/>
    </sheetNames>
    <sheetDataSet>
      <sheetData sheetId="0">
        <row r="7">
          <cell r="C7">
            <v>4.7800000000000002E-2</v>
          </cell>
        </row>
        <row r="9">
          <cell r="F9">
            <v>1.1254706095213343</v>
          </cell>
          <cell r="G9">
            <v>1.0918567053128068</v>
          </cell>
          <cell r="H9">
            <v>1.0669812607921487</v>
          </cell>
          <cell r="I9">
            <v>1.0347295307199531</v>
          </cell>
          <cell r="J9">
            <v>1.0087753969845417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Q18" sqref="Q18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30"/>
  <sheetViews>
    <sheetView zoomScaleNormal="100" workbookViewId="0">
      <selection activeCell="G27" sqref="G27"/>
    </sheetView>
  </sheetViews>
  <sheetFormatPr defaultRowHeight="15"/>
  <cols>
    <col min="3" max="3" width="11.7109375" customWidth="1"/>
    <col min="4" max="4" width="13.7109375" customWidth="1"/>
    <col min="5" max="5" width="6.28515625" customWidth="1"/>
    <col min="8" max="8" width="9.140625" customWidth="1"/>
    <col min="10" max="10" width="15" customWidth="1"/>
  </cols>
  <sheetData>
    <row r="2" spans="1:15" ht="21">
      <c r="A2" s="24" t="s">
        <v>42</v>
      </c>
    </row>
    <row r="3" spans="1:15" ht="15.75" thickBot="1"/>
    <row r="4" spans="1:1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</row>
    <row r="5" spans="1:1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1:15">
      <c r="A6" s="6"/>
      <c r="B6" s="7"/>
      <c r="C6" s="9" t="s">
        <v>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1:1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8"/>
    </row>
    <row r="8" spans="1:15">
      <c r="A8" s="6"/>
      <c r="B8" s="9" t="s">
        <v>2</v>
      </c>
      <c r="C8" s="9" t="s">
        <v>3</v>
      </c>
      <c r="D8" s="9" t="s">
        <v>4</v>
      </c>
      <c r="E8" s="9"/>
      <c r="F8" s="9"/>
      <c r="G8" s="9"/>
      <c r="H8" s="9"/>
      <c r="I8" s="9"/>
      <c r="J8" s="9"/>
      <c r="K8" s="9"/>
      <c r="L8" s="9" t="s">
        <v>5</v>
      </c>
      <c r="M8" s="9"/>
      <c r="N8" s="9"/>
      <c r="O8" s="10"/>
    </row>
    <row r="9" spans="1:15" ht="18.75">
      <c r="A9" s="6"/>
      <c r="B9" s="11"/>
      <c r="C9" s="12" t="s">
        <v>6</v>
      </c>
      <c r="D9" s="13" t="s">
        <v>7</v>
      </c>
      <c r="E9" s="12"/>
      <c r="F9" s="12" t="s">
        <v>8</v>
      </c>
      <c r="G9" s="12" t="s">
        <v>9</v>
      </c>
      <c r="H9" s="12" t="s">
        <v>40</v>
      </c>
      <c r="I9" s="12" t="s">
        <v>10</v>
      </c>
      <c r="J9" s="12" t="s">
        <v>41</v>
      </c>
      <c r="K9" s="12"/>
      <c r="L9" s="12" t="s">
        <v>11</v>
      </c>
      <c r="M9" s="12"/>
      <c r="N9" s="12" t="s">
        <v>12</v>
      </c>
      <c r="O9" s="14"/>
    </row>
    <row r="10" spans="1:15">
      <c r="A10" s="6"/>
      <c r="B10" s="9">
        <v>1</v>
      </c>
      <c r="C10" s="7">
        <v>1</v>
      </c>
      <c r="D10" s="35">
        <v>0</v>
      </c>
      <c r="E10" s="7"/>
      <c r="F10" s="36">
        <f>+C10-D10</f>
        <v>1</v>
      </c>
      <c r="G10" s="15">
        <f>+(1+$D$19)^B10</f>
        <v>1.1002000000000001</v>
      </c>
      <c r="H10" s="15">
        <f>+(1+$D$19)^5</f>
        <v>1.6119746324968094</v>
      </c>
      <c r="I10" s="15">
        <f>+(1+$D$20)^2</f>
        <v>1.1881000000000002</v>
      </c>
      <c r="J10" s="15">
        <f>+I10*H10</f>
        <v>1.9151870608694594</v>
      </c>
      <c r="K10" s="15"/>
      <c r="L10" s="15">
        <f>-(F10/G10)*J10</f>
        <v>-1.7407626439460637</v>
      </c>
      <c r="M10" s="15"/>
      <c r="N10" s="15">
        <f>+L10</f>
        <v>-1.7407626439460637</v>
      </c>
      <c r="O10" s="16"/>
    </row>
    <row r="11" spans="1:15">
      <c r="A11" s="6"/>
      <c r="B11" s="9">
        <v>2</v>
      </c>
      <c r="C11" s="7">
        <v>1</v>
      </c>
      <c r="D11" s="35">
        <v>5.2963000000000003E-2</v>
      </c>
      <c r="E11" s="7"/>
      <c r="F11" s="36">
        <f t="shared" ref="F11:F14" si="0">+C11-D11</f>
        <v>0.94703700000000002</v>
      </c>
      <c r="G11" s="15">
        <f t="shared" ref="G11:G14" si="1">+(1+$D$19)^B11</f>
        <v>1.2104400400000002</v>
      </c>
      <c r="H11" s="15">
        <f t="shared" ref="H11:H14" si="2">+(1+$D$19)^5</f>
        <v>1.6119746324968094</v>
      </c>
      <c r="I11" s="15">
        <f t="shared" ref="I11:I14" si="3">+(1+$D$20)^2</f>
        <v>1.1881000000000002</v>
      </c>
      <c r="J11" s="15">
        <f t="shared" ref="J11:J14" si="4">+I11*H11</f>
        <v>1.9151870608694594</v>
      </c>
      <c r="K11" s="15"/>
      <c r="L11" s="15">
        <f>-(F11/G11)*J11+L10</f>
        <v>-3.2391871413417626</v>
      </c>
      <c r="M11" s="15"/>
      <c r="N11" s="15">
        <f>-(F11/G11)*J11</f>
        <v>-1.4984244973956991</v>
      </c>
      <c r="O11" s="16"/>
    </row>
    <row r="12" spans="1:15">
      <c r="A12" s="6"/>
      <c r="B12" s="9">
        <v>3</v>
      </c>
      <c r="C12" s="7">
        <v>1</v>
      </c>
      <c r="D12" s="35">
        <v>0.66133399999999998</v>
      </c>
      <c r="E12" s="7"/>
      <c r="F12" s="36">
        <f t="shared" si="0"/>
        <v>0.33866600000000002</v>
      </c>
      <c r="G12" s="15">
        <f t="shared" si="1"/>
        <v>1.3317261320080003</v>
      </c>
      <c r="H12" s="15">
        <f t="shared" si="2"/>
        <v>1.6119746324968094</v>
      </c>
      <c r="I12" s="15">
        <f t="shared" si="3"/>
        <v>1.1881000000000002</v>
      </c>
      <c r="J12" s="15">
        <f t="shared" si="4"/>
        <v>1.9151870608694594</v>
      </c>
      <c r="K12" s="15"/>
      <c r="L12" s="15">
        <f>-(F12/G12)*J12+L11</f>
        <v>-3.7262307800953498</v>
      </c>
      <c r="M12" s="15"/>
      <c r="N12" s="15">
        <f>-(F12/G12)*J12</f>
        <v>-0.48704363875358714</v>
      </c>
      <c r="O12" s="16"/>
    </row>
    <row r="13" spans="1:15">
      <c r="A13" s="6"/>
      <c r="B13" s="9">
        <v>4</v>
      </c>
      <c r="C13" s="7">
        <v>1</v>
      </c>
      <c r="D13" s="35">
        <v>0.82057121000000011</v>
      </c>
      <c r="E13" s="7"/>
      <c r="F13" s="36">
        <f t="shared" si="0"/>
        <v>0.17942878999999989</v>
      </c>
      <c r="G13" s="15">
        <f t="shared" si="1"/>
        <v>1.465165090435202</v>
      </c>
      <c r="H13" s="15">
        <f t="shared" si="2"/>
        <v>1.6119746324968094</v>
      </c>
      <c r="I13" s="15">
        <f t="shared" si="3"/>
        <v>1.1881000000000002</v>
      </c>
      <c r="J13" s="15">
        <f t="shared" si="4"/>
        <v>1.9151870608694594</v>
      </c>
      <c r="K13" s="15"/>
      <c r="L13" s="15">
        <f>-(F13/G13)*J13+L12</f>
        <v>-3.9607706959033293</v>
      </c>
      <c r="M13" s="15"/>
      <c r="N13" s="15">
        <f>-(F13/G13)*J13</f>
        <v>-0.2345399158079797</v>
      </c>
      <c r="O13" s="16"/>
    </row>
    <row r="14" spans="1:15">
      <c r="A14" s="6"/>
      <c r="B14" s="9">
        <v>5</v>
      </c>
      <c r="C14" s="7">
        <v>1</v>
      </c>
      <c r="D14" s="35">
        <v>2.6094332500000004</v>
      </c>
      <c r="E14" s="7"/>
      <c r="F14" s="36">
        <f t="shared" si="0"/>
        <v>-1.6094332500000004</v>
      </c>
      <c r="G14" s="15">
        <f t="shared" si="1"/>
        <v>1.6119746324968094</v>
      </c>
      <c r="H14" s="15">
        <f t="shared" si="2"/>
        <v>1.6119746324968094</v>
      </c>
      <c r="I14" s="15">
        <f t="shared" si="3"/>
        <v>1.1881000000000002</v>
      </c>
      <c r="J14" s="15">
        <f t="shared" si="4"/>
        <v>1.9151870608694594</v>
      </c>
      <c r="K14" s="15"/>
      <c r="L14" s="34">
        <f>-(F14/G14)*J14+L13</f>
        <v>-2.0486030515783287</v>
      </c>
      <c r="M14" s="15"/>
      <c r="N14" s="15">
        <f>-(F14/G14)*J14</f>
        <v>1.9121676443250006</v>
      </c>
      <c r="O14" s="16"/>
    </row>
    <row r="15" spans="1:15" ht="15.75" thickBot="1">
      <c r="A15" s="6"/>
      <c r="B15" s="17" t="s">
        <v>0</v>
      </c>
      <c r="C15" s="18">
        <f>SUM(C10:C14)</f>
        <v>5</v>
      </c>
      <c r="D15" s="37">
        <f>SUM(D10:D14)</f>
        <v>4.1443014600000003</v>
      </c>
      <c r="E15" s="7"/>
      <c r="F15" s="7"/>
      <c r="G15" s="15"/>
      <c r="H15" s="15"/>
      <c r="I15" s="15"/>
      <c r="J15" s="15"/>
      <c r="K15" s="15"/>
      <c r="L15" s="19">
        <f>+C15+L14</f>
        <v>2.9513969484216713</v>
      </c>
      <c r="M15" s="15"/>
      <c r="N15" s="15"/>
      <c r="O15" s="16"/>
    </row>
    <row r="16" spans="1:15" ht="15.75" thickTop="1">
      <c r="A16" s="6"/>
      <c r="B16" s="7"/>
      <c r="C16" s="7"/>
      <c r="D16" s="7"/>
      <c r="E16" s="7"/>
      <c r="F16" s="7"/>
      <c r="G16" s="15"/>
      <c r="H16" s="15"/>
      <c r="I16" s="15"/>
      <c r="J16" s="15"/>
      <c r="K16" s="15"/>
      <c r="L16" s="15"/>
      <c r="M16" s="15"/>
      <c r="N16" s="15"/>
      <c r="O16" s="16"/>
    </row>
    <row r="17" spans="1:15">
      <c r="A17" s="6"/>
      <c r="B17" s="9" t="s">
        <v>13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</row>
    <row r="18" spans="1:15">
      <c r="A18" s="6"/>
      <c r="B18" s="7"/>
      <c r="C18" s="7" t="s">
        <v>14</v>
      </c>
      <c r="D18" s="7" t="s">
        <v>15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</row>
    <row r="19" spans="1:15">
      <c r="A19" s="6"/>
      <c r="B19" s="7" t="s">
        <v>16</v>
      </c>
      <c r="C19" s="20"/>
      <c r="D19" s="39">
        <v>0.1002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</row>
    <row r="20" spans="1:15">
      <c r="A20" s="6"/>
      <c r="B20" s="7" t="s">
        <v>17</v>
      </c>
      <c r="C20" s="20"/>
      <c r="D20" s="39">
        <v>0.09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</row>
    <row r="21" spans="1:15">
      <c r="A21" s="6"/>
      <c r="B21" s="7"/>
      <c r="C21" s="40"/>
      <c r="D21" s="20"/>
      <c r="E21" s="7"/>
      <c r="F21" s="7"/>
      <c r="G21" s="7"/>
      <c r="H21" s="7"/>
      <c r="I21" s="7"/>
      <c r="J21" s="7"/>
      <c r="K21" s="7"/>
      <c r="L21" s="7"/>
      <c r="M21" s="7"/>
      <c r="N21" s="7"/>
      <c r="O21" s="8"/>
    </row>
    <row r="22" spans="1:15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"/>
    </row>
    <row r="23" spans="1:15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/>
    </row>
    <row r="24" spans="1:15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8"/>
    </row>
    <row r="25" spans="1:15" ht="35.25" customHeight="1">
      <c r="A25" s="6"/>
      <c r="B25" s="43" t="s">
        <v>43</v>
      </c>
      <c r="C25" s="44"/>
      <c r="D25" s="45"/>
      <c r="E25" s="7"/>
      <c r="F25" s="7"/>
      <c r="G25" s="7"/>
      <c r="H25" s="7"/>
      <c r="I25" s="7"/>
      <c r="J25" s="7"/>
      <c r="K25" s="7"/>
      <c r="L25" s="7"/>
      <c r="M25" s="7"/>
      <c r="N25" s="7"/>
      <c r="O25" s="8"/>
    </row>
    <row r="26" spans="1:15">
      <c r="A26" s="6"/>
      <c r="B26" s="32"/>
      <c r="C26" s="41" t="s">
        <v>38</v>
      </c>
      <c r="D26" s="41" t="s">
        <v>39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</row>
    <row r="27" spans="1:15">
      <c r="A27" s="6"/>
      <c r="B27" s="33"/>
      <c r="C27" s="42">
        <v>0</v>
      </c>
      <c r="D27" s="42">
        <f>L14</f>
        <v>-2.0486030515783287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</row>
    <row r="28" spans="1:15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</row>
    <row r="29" spans="1:15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</row>
    <row r="30" spans="1:15" ht="15.75" thickBot="1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3"/>
    </row>
  </sheetData>
  <mergeCells count="1">
    <mergeCell ref="B25:D2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D29" sqref="D29"/>
    </sheetView>
  </sheetViews>
  <sheetFormatPr defaultRowHeight="15"/>
  <cols>
    <col min="1" max="1" width="26.28515625" customWidth="1"/>
    <col min="2" max="2" width="18.42578125" customWidth="1"/>
    <col min="3" max="3" width="21.85546875" customWidth="1"/>
    <col min="4" max="4" width="25.7109375" customWidth="1"/>
    <col min="5" max="5" width="32.5703125" customWidth="1"/>
  </cols>
  <sheetData>
    <row r="1" spans="1:5" ht="21">
      <c r="A1" s="24"/>
    </row>
    <row r="2" spans="1:5" ht="21">
      <c r="A2" s="24" t="s">
        <v>18</v>
      </c>
    </row>
    <row r="5" spans="1:5" ht="45">
      <c r="A5" s="25" t="s">
        <v>19</v>
      </c>
      <c r="B5" s="25" t="s">
        <v>20</v>
      </c>
      <c r="C5" s="25" t="s">
        <v>21</v>
      </c>
      <c r="D5" s="25" t="s">
        <v>22</v>
      </c>
      <c r="E5" s="25" t="s">
        <v>23</v>
      </c>
    </row>
    <row r="6" spans="1:5">
      <c r="A6" s="1" t="s">
        <v>24</v>
      </c>
      <c r="B6" s="2"/>
      <c r="C6" s="2">
        <v>3348660</v>
      </c>
      <c r="D6" s="1">
        <v>-1E-3</v>
      </c>
      <c r="E6" s="1" t="s">
        <v>25</v>
      </c>
    </row>
    <row r="7" spans="1:5">
      <c r="A7" s="1" t="s">
        <v>26</v>
      </c>
      <c r="B7" s="2"/>
      <c r="C7" s="2">
        <v>2778644</v>
      </c>
      <c r="D7" s="1">
        <v>-1E-3</v>
      </c>
      <c r="E7" s="1" t="s">
        <v>27</v>
      </c>
    </row>
    <row r="8" spans="1:5">
      <c r="A8" s="1" t="s">
        <v>25</v>
      </c>
      <c r="B8" s="26"/>
      <c r="C8" s="2">
        <v>2798944</v>
      </c>
      <c r="D8" s="1">
        <v>0</v>
      </c>
      <c r="E8" s="1" t="s">
        <v>28</v>
      </c>
    </row>
    <row r="9" spans="1:5">
      <c r="A9" s="1" t="s">
        <v>27</v>
      </c>
      <c r="B9" s="26"/>
      <c r="C9" s="2">
        <v>4672765</v>
      </c>
      <c r="D9" s="1">
        <v>1E-3</v>
      </c>
      <c r="E9" s="1" t="s">
        <v>29</v>
      </c>
    </row>
    <row r="10" spans="1:5">
      <c r="A10" s="1" t="s">
        <v>28</v>
      </c>
      <c r="B10" s="26">
        <f>'[1]Substantive proposal assumption'!$F$9</f>
        <v>1.1254706095213343</v>
      </c>
      <c r="C10" s="2">
        <v>4284929</v>
      </c>
      <c r="D10" s="1">
        <v>-1E-3</v>
      </c>
      <c r="E10" s="1" t="s">
        <v>30</v>
      </c>
    </row>
    <row r="11" spans="1:5">
      <c r="A11" s="1" t="s">
        <v>29</v>
      </c>
      <c r="B11" s="26">
        <f>'[1]Substantive proposal assumption'!$G$9</f>
        <v>1.0918567053128068</v>
      </c>
      <c r="C11" s="2">
        <v>1008396</v>
      </c>
      <c r="D11" s="1">
        <v>-2E-3</v>
      </c>
      <c r="E11" s="1" t="s">
        <v>31</v>
      </c>
    </row>
    <row r="12" spans="1:5">
      <c r="A12" s="1" t="s">
        <v>30</v>
      </c>
      <c r="B12" s="26">
        <f>'[1]Substantive proposal assumption'!$H$9</f>
        <v>1.0669812607921487</v>
      </c>
      <c r="C12" s="2">
        <v>2671707</v>
      </c>
      <c r="D12" s="1">
        <v>1E-3</v>
      </c>
      <c r="E12" s="1" t="s">
        <v>32</v>
      </c>
    </row>
    <row r="13" spans="1:5">
      <c r="A13" s="1" t="s">
        <v>31</v>
      </c>
      <c r="B13" s="26">
        <f>'[1]Substantive proposal assumption'!$I$9</f>
        <v>1.0347295307199531</v>
      </c>
      <c r="C13" s="38">
        <v>1475817</v>
      </c>
      <c r="D13" s="27" t="s">
        <v>33</v>
      </c>
      <c r="E13" s="1" t="s">
        <v>34</v>
      </c>
    </row>
    <row r="14" spans="1:5">
      <c r="A14" s="28" t="s">
        <v>32</v>
      </c>
      <c r="B14" s="26">
        <f>'[1]Substantive proposal assumption'!$J$9</f>
        <v>1.0087753969845417</v>
      </c>
      <c r="C14" s="38">
        <v>905600</v>
      </c>
      <c r="D14" s="27" t="s">
        <v>35</v>
      </c>
      <c r="E14" s="28" t="s">
        <v>36</v>
      </c>
    </row>
    <row r="21" spans="1:3">
      <c r="A21" s="29" t="s">
        <v>37</v>
      </c>
      <c r="B21" s="30"/>
      <c r="C21" s="31"/>
    </row>
    <row r="22" spans="1:3">
      <c r="A22" s="32"/>
      <c r="B22" s="41" t="s">
        <v>38</v>
      </c>
      <c r="C22" s="41" t="s">
        <v>39</v>
      </c>
    </row>
    <row r="23" spans="1:3" ht="30" customHeight="1">
      <c r="A23" s="33"/>
      <c r="B23" s="42">
        <f>C13*B13*10^-6</f>
        <v>1.5270714318385288</v>
      </c>
      <c r="C23" s="42">
        <f>C14*B14*10^-6</f>
        <v>0.91354699950920093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DMIA Carryover</vt:lpstr>
      <vt:lpstr>D-factor 2009-14 carryovers</vt:lpstr>
    </vt:vector>
  </TitlesOfParts>
  <Company>Ausgrid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t45324</dc:creator>
  <cp:lastModifiedBy>T51901</cp:lastModifiedBy>
  <cp:lastPrinted>2012-10-30T23:54:03Z</cp:lastPrinted>
  <dcterms:created xsi:type="dcterms:W3CDTF">2011-10-05T06:18:25Z</dcterms:created>
  <dcterms:modified xsi:type="dcterms:W3CDTF">2014-05-29T16:11:54Z</dcterms:modified>
</cp:coreProperties>
</file>