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B:\Price Review\2023-27 TRR\15.0 TRR 2023 - Revised Proposal Development\Supporting Models\"/>
    </mc:Choice>
  </mc:AlternateContent>
  <xr:revisionPtr revIDLastSave="0" documentId="13_ncr:1_{7FEE6127-A8BF-4F52-89E9-387DF06E4AEF}" xr6:coauthVersionLast="47" xr6:coauthVersionMax="47" xr10:uidLastSave="{00000000-0000-0000-0000-000000000000}"/>
  <bookViews>
    <workbookView xWindow="-108" yWindow="-108" windowWidth="23256" windowHeight="12576" tabRatio="691" firstSheet="2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  <externalReference r:id="rId8"/>
    <externalReference r:id="rId9"/>
  </externalReferences>
  <definedNames>
    <definedName name="dollars">#REF!</definedName>
    <definedName name="factor">#REF!</definedName>
    <definedName name="MdoStgs" hidden="1">"{EEB762DC-160D-4994-A3B4-233FB2B872AE}"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" i="3" l="1"/>
  <c r="K21" i="3"/>
  <c r="J21" i="3"/>
  <c r="I21" i="3"/>
  <c r="H21" i="3"/>
  <c r="K18" i="3"/>
  <c r="J18" i="3"/>
  <c r="I18" i="3"/>
  <c r="H18" i="3"/>
  <c r="L10" i="3"/>
  <c r="K10" i="3"/>
  <c r="J10" i="3"/>
  <c r="I10" i="3"/>
  <c r="H10" i="3"/>
  <c r="L8" i="3"/>
  <c r="K8" i="3"/>
  <c r="J8" i="3"/>
  <c r="I8" i="3"/>
  <c r="H8" i="3"/>
  <c r="H12" i="3" s="1"/>
  <c r="D10" i="4" s="1"/>
  <c r="H13" i="2"/>
  <c r="G13" i="2"/>
  <c r="F13" i="2"/>
  <c r="E13" i="2"/>
  <c r="D13" i="2"/>
  <c r="D18" i="2"/>
  <c r="E18" i="2"/>
  <c r="F18" i="2"/>
  <c r="G18" i="2"/>
  <c r="H18" i="2"/>
  <c r="G7" i="13"/>
  <c r="F7" i="13"/>
  <c r="F31" i="3"/>
  <c r="F10" i="3"/>
  <c r="F9" i="3"/>
  <c r="F12" i="3"/>
  <c r="F8" i="3"/>
  <c r="M7" i="13"/>
  <c r="N7" i="13"/>
  <c r="O7" i="13"/>
  <c r="P7" i="13"/>
  <c r="L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/>
  <c r="I16" i="3"/>
  <c r="I12" i="3"/>
  <c r="L16" i="3"/>
  <c r="K16" i="3"/>
  <c r="K12" i="3"/>
  <c r="G10" i="4" s="1"/>
  <c r="J16" i="3"/>
  <c r="J12" i="3"/>
  <c r="F10" i="4" s="1"/>
  <c r="G22" i="13"/>
  <c r="D9" i="4" s="1"/>
  <c r="H22" i="13"/>
  <c r="I22" i="13"/>
  <c r="J22" i="13"/>
  <c r="K22" i="13"/>
  <c r="H9" i="4"/>
  <c r="H8" i="4"/>
  <c r="G19" i="4"/>
  <c r="M14" i="13"/>
  <c r="E9" i="4"/>
  <c r="M9" i="13"/>
  <c r="N9" i="13" s="1"/>
  <c r="O9" i="13" s="1"/>
  <c r="P9" i="13" s="1"/>
  <c r="C15" i="13"/>
  <c r="G15" i="13"/>
  <c r="H15" i="13"/>
  <c r="I15" i="13"/>
  <c r="J15" i="13"/>
  <c r="K15" i="13"/>
  <c r="C10" i="13"/>
  <c r="G8" i="4"/>
  <c r="F8" i="4"/>
  <c r="E8" i="4"/>
  <c r="F9" i="4"/>
  <c r="B1" i="2"/>
  <c r="B1" i="10"/>
  <c r="G9" i="4"/>
  <c r="D40" i="4"/>
  <c r="J6" i="10"/>
  <c r="F8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8" i="3"/>
  <c r="I28" i="3"/>
  <c r="J28" i="3"/>
  <c r="K28" i="3"/>
  <c r="L28" i="3"/>
  <c r="C42" i="4"/>
  <c r="C44" i="4"/>
  <c r="G10" i="13"/>
  <c r="H10" i="13"/>
  <c r="I10" i="13"/>
  <c r="J10" i="13"/>
  <c r="K10" i="13"/>
  <c r="L10" i="13"/>
  <c r="M10" i="13" s="1"/>
  <c r="I31" i="3"/>
  <c r="I32" i="3" s="1"/>
  <c r="E26" i="4" s="1"/>
  <c r="E10" i="4"/>
  <c r="F19" i="4"/>
  <c r="E19" i="4"/>
  <c r="D19" i="4"/>
  <c r="N14" i="13"/>
  <c r="L15" i="13"/>
  <c r="M15" i="13"/>
  <c r="B1" i="5"/>
  <c r="B1" i="3"/>
  <c r="B1" i="13"/>
  <c r="B1" i="4"/>
  <c r="D21" i="4"/>
  <c r="H31" i="3"/>
  <c r="H32" i="3"/>
  <c r="D26" i="4" s="1"/>
  <c r="N15" i="13"/>
  <c r="O14" i="13"/>
  <c r="P14" i="13"/>
  <c r="O15" i="13"/>
  <c r="P15" i="13"/>
  <c r="K24" i="3"/>
  <c r="G11" i="4" s="1"/>
  <c r="L12" i="3" l="1"/>
  <c r="H10" i="4" s="1"/>
  <c r="N10" i="13"/>
  <c r="K31" i="3" s="1"/>
  <c r="K32" i="3" s="1"/>
  <c r="G26" i="4" s="1"/>
  <c r="J31" i="3"/>
  <c r="J32" i="3" s="1"/>
  <c r="F26" i="4" s="1"/>
  <c r="O10" i="13"/>
  <c r="G12" i="4"/>
  <c r="H16" i="4" s="1"/>
  <c r="P10" i="13" l="1"/>
  <c r="L31" i="3"/>
  <c r="L32" i="3" s="1"/>
  <c r="H26" i="4" s="1"/>
  <c r="G20" i="4"/>
  <c r="I24" i="3" l="1"/>
  <c r="E11" i="4" s="1"/>
  <c r="E12" i="4" s="1"/>
  <c r="J24" i="3"/>
  <c r="F11" i="4" s="1"/>
  <c r="F12" i="4" s="1"/>
  <c r="F20" i="4" l="1"/>
  <c r="H15" i="4"/>
  <c r="G15" i="4"/>
  <c r="E20" i="4"/>
  <c r="G14" i="4"/>
  <c r="H14" i="4"/>
  <c r="F14" i="4"/>
  <c r="H24" i="3"/>
  <c r="D11" i="4" s="1"/>
  <c r="D12" i="4" s="1"/>
  <c r="E13" i="4" l="1"/>
  <c r="E18" i="4" s="1"/>
  <c r="E21" i="4" s="1"/>
  <c r="F13" i="4"/>
  <c r="F18" i="4" s="1"/>
  <c r="F21" i="4" s="1"/>
  <c r="H13" i="4"/>
  <c r="H18" i="4" s="1"/>
  <c r="H21" i="4" s="1"/>
  <c r="G13" i="4"/>
  <c r="G18" i="4" s="1"/>
  <c r="G21" i="4" s="1"/>
  <c r="D20" i="4"/>
  <c r="D35" i="4" l="1"/>
  <c r="P22" i="13" l="1"/>
  <c r="H25" i="4" s="1"/>
  <c r="N22" i="13"/>
  <c r="F25" i="4" s="1"/>
  <c r="O22" i="13"/>
  <c r="G25" i="4" s="1"/>
  <c r="M22" i="13"/>
  <c r="E25" i="4" s="1"/>
  <c r="L22" i="13" l="1"/>
  <c r="D25" i="4" s="1"/>
  <c r="D27" i="4" s="1"/>
  <c r="D28" i="4" s="1"/>
  <c r="D41" i="4"/>
  <c r="E41" i="4" s="1"/>
  <c r="F41" i="4" s="1"/>
  <c r="G41" i="4" s="1"/>
  <c r="H41" i="4" s="1"/>
  <c r="F27" i="4"/>
  <c r="F28" i="4" s="1"/>
  <c r="G27" i="4"/>
  <c r="G28" i="4" s="1"/>
  <c r="H27" i="4" l="1"/>
  <c r="H28" i="4" s="1"/>
  <c r="E27" i="4"/>
  <c r="E28" i="4" s="1"/>
  <c r="L18" i="3" l="1"/>
  <c r="L24" i="3" s="1"/>
  <c r="H11" i="4" s="1"/>
  <c r="H12" i="4" s="1"/>
  <c r="H20" i="4" s="1"/>
  <c r="D31" i="4" s="1"/>
  <c r="D34" i="4" l="1"/>
  <c r="D36" i="4" s="1"/>
  <c r="D42" i="4" s="1"/>
  <c r="D33" i="4"/>
  <c r="J8" i="10" l="1"/>
  <c r="E42" i="4"/>
  <c r="F42" i="4" l="1"/>
  <c r="K8" i="10"/>
  <c r="G42" i="4" l="1"/>
  <c r="L8" i="10"/>
  <c r="M8" i="10" l="1"/>
  <c r="H42" i="4"/>
  <c r="N8" i="10" s="1"/>
  <c r="D44" i="4" l="1"/>
  <c r="O8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Martin</author>
  </authors>
  <commentList>
    <comment ref="K13" authorId="0" shapeId="0" xr:uid="{E4FF6406-4095-48A9-ADA7-15375B592AE6}">
      <text>
        <r>
          <rPr>
            <b/>
            <sz val="9"/>
            <color indexed="81"/>
            <rFont val="Tahoma"/>
            <family val="2"/>
          </rPr>
          <t>Steven Martin:</t>
        </r>
        <r>
          <rPr>
            <sz val="9"/>
            <color indexed="81"/>
            <rFont val="Tahoma"/>
            <family val="2"/>
          </rPr>
          <t xml:space="preserve">
Update these current period AER inflation estimates with actual with ABS data when available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30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1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2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<sst xmlns="http://schemas.openxmlformats.org/spreadsheetml/2006/main" count="203" uniqueCount="106">
  <si>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</si>
  <si>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</si>
  <si>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</si>
  <si>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</si>
  <si>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</si>
  <si>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</si>
  <si>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</si>
  <si>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</si>
  <si>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</si>
  <si>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</si>
  <si>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</si>
  <si>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</si>
  <si>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</si>
  <si>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</si>
  <si>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</si>
  <si>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</si>
  <si>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</si>
  <si>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</si>
  <si>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</si>
  <si>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</si>
  <si>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</si>
  <si>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</si>
  <si>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</si>
  <si>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</si>
  <si>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</si>
  <si>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</si>
  <si>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</si>
  <si>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</si>
  <si>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</si>
  <si>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</si>
  <si>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</si>
  <si>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</si>
  <si>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</si>
  <si>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</si>
  <si>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</si>
  <si>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</si>
  <si>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</si>
  <si>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</si>
  <si>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</si>
  <si>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</si>
  <si>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</si>
  <si>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</si>
  <si>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</si>
  <si>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</si>
  <si>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</si>
  <si>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</si>
  <si>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</si>
  <si>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</si>
  <si>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</si>
  <si>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</si>
  <si>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</si>
  <si>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</si>
  <si>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</si>
  <si>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</si>
  <si>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</si>
  <si>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</si>
  <si>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</si>
  <si>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</si>
  <si>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</si>
  <si>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</si>
  <si>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</si>
  <si>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</si>
  <si>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</si>
  <si>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</si>
  <si>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</si>
  <si>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</si>
  <si>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</si>
  <si>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</si>
  <si>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</si>
  <si>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</si>
  <si>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</si>
  <si>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</si>
  <si>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</si>
  <si>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</si>
  <si>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</si>
  <si>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</si>
  <si>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</si>
  <si>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</si>
  <si>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</si>
  <si>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</si>
  <si>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</si>
  <si>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</si>
  <si>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</si>
  <si>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</si>
  <si>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</si>
  <si>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</si>
  <si>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</si>
  <si>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</si>
  <si>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</si>
  <si>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</si>
  <si>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</si>
  <si>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</si>
  <si>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</si>
  <si>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</si>
  <si>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</si>
  <si>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</si>
  <si>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</si>
  <si>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</si>
  <si>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</si>
  <si>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</si>
  <si>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</si>
  <si>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Regulatory Proposal</t>
  </si>
  <si>
    <t>Victorian TNSP</t>
  </si>
  <si>
    <t>2023-27</t>
  </si>
  <si>
    <t>2022-23</t>
  </si>
  <si>
    <t>Capitalised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</si>
</sst>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_(###0_);\(###0\);_(&quot;-&quot;_);_)@_)"/>
    <numFmt numFmtId="193" formatCode="_)d\-mmm\-yy_);_)d\-mmm\-yy_);_)&quot;-&quot;_);_)@_)"/>
    <numFmt numFmtId="194" formatCode="_(#,##0.0_);\(#,##0.0\);_(&quot;-&quot;_);_)@_)"/>
    <numFmt numFmtId="195" formatCode="_(#,##0.0%_);\(#,##0.0%\);_(&quot;-&quot;_);_)@_)"/>
    <numFmt numFmtId="196" formatCode="_(#,##0.0\x_);\(#,##0.0\x\);_(&quot;-&quot;_);_)@_)"/>
    <numFmt numFmtId="197" formatCode="_(&quot;$&quot;#,##0.0_);\(&quot;$&quot;#,##0.0\);_(&quot;-&quot;_);_)@_)"/>
  </numFmts>
  <fonts count="120">
    <font>
      <sz val="9"/>
      <color theme="1" tint="0.24994659260841701"/>
      <name val="Arial"/>
      <family val="2"/>
      <scheme val="minor"/>
    </font>
    <font>
      <sz val="11"/>
      <color rgb="FF3F3F76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 tint="0.24994659260841701"/>
      <name val="Arial"/>
      <family val="2"/>
      <scheme val="major"/>
    </font>
    <font>
      <b/>
      <sz val="10"/>
      <color theme="1" tint="0.24994659260841701"/>
      <name val="Arial"/>
      <family val="2"/>
      <scheme val="major"/>
    </font>
    <font>
      <sz val="9"/>
      <color theme="0"/>
      <name val="Arial"/>
      <family val="2"/>
      <scheme val="major"/>
    </font>
    <font>
      <b/>
      <sz val="9"/>
      <color theme="4" tint="-0.49995422223578601"/>
      <name val="Arial"/>
      <family val="2"/>
      <scheme val="major"/>
    </font>
    <font>
      <b/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ajor"/>
    </font>
    <font>
      <sz val="9"/>
      <color theme="1" tint="0.24994659260841701"/>
      <name val="Arial"/>
      <family val="2"/>
      <scheme val="minor"/>
    </font>
    <font>
      <sz val="9"/>
      <color theme="0"/>
      <name val="Arial"/>
      <family val="2"/>
      <scheme val="minor"/>
    </font>
    <font>
      <b/>
      <sz val="9"/>
      <color theme="1" tint="0.24994659260841701"/>
      <name val="Arial"/>
      <family val="2"/>
      <scheme val="minor"/>
    </font>
    <font>
      <u/>
      <sz val="9"/>
      <color theme="11"/>
      <name val="Arial"/>
      <family val="2"/>
      <scheme val="minor"/>
    </font>
    <font>
      <sz val="9"/>
      <color theme="11"/>
      <name val="Wingdings"/>
      <charset val="2"/>
    </font>
    <font>
      <b/>
      <u/>
      <sz val="9"/>
      <color theme="11"/>
      <name val="Arial"/>
      <family val="2"/>
      <scheme val="minor"/>
    </font>
    <font>
      <sz val="9"/>
      <color theme="11"/>
      <name val="Arial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0691854609822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theme="4" tint="-0.4999542222357860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95">
    <xf numFmtId="0" fontId="0" fillId="0" borderId="0" applyFill="0" applyBorder="0">
      <alignment vertical="center"/>
    </xf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07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9" fillId="58" borderId="0" applyBorder="0">
      <alignment vertical="center"/>
    </xf>
    <xf numFmtId="0" fontId="110" fillId="59" borderId="44">
      <alignment vertical="center"/>
    </xf>
    <xf numFmtId="0" fontId="111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  <protection locked="0"/>
    </xf>
    <xf numFmtId="0" fontId="113" fillId="60" borderId="45">
      <alignment vertical="center"/>
      <protection locked="0"/>
    </xf>
    <xf numFmtId="192" fontId="113" fillId="60" borderId="45">
      <alignment vertical="center"/>
      <protection locked="0"/>
    </xf>
    <xf numFmtId="193" fontId="113" fillId="60" borderId="45">
      <alignment vertical="center"/>
      <protection locked="0"/>
    </xf>
    <xf numFmtId="194" fontId="113" fillId="60" borderId="45">
      <alignment vertical="center"/>
      <protection locked="0"/>
    </xf>
    <xf numFmtId="195" fontId="113" fillId="60" borderId="45">
      <alignment vertical="center"/>
      <protection locked="0"/>
    </xf>
    <xf numFmtId="196" fontId="113" fillId="60" borderId="45">
      <alignment vertical="center"/>
      <protection locked="0"/>
    </xf>
    <xf numFmtId="197" fontId="113" fillId="60" borderId="45">
      <alignment vertical="center"/>
      <protection locked="0"/>
    </xf>
    <xf numFmtId="0" fontId="11" fillId="0" borderId="0" applyNumberFormat="0" applyFont="0" applyFill="0" applyBorder="0">
      <alignment horizontal="center" vertical="center"/>
      <protection locked="0"/>
    </xf>
    <xf numFmtId="192" fontId="113" fillId="0" borderId="0" applyFill="0" applyBorder="0">
      <alignment vertical="center"/>
    </xf>
    <xf numFmtId="193" fontId="113" fillId="0" borderId="0" applyFill="0" applyBorder="0">
      <alignment vertical="center"/>
    </xf>
    <xf numFmtId="194" fontId="113" fillId="0" borderId="0" applyFill="0" applyBorder="0">
      <alignment vertical="center"/>
    </xf>
    <xf numFmtId="195" fontId="113" fillId="0" borderId="0" applyFill="0" applyBorder="0">
      <alignment vertical="center"/>
    </xf>
    <xf numFmtId="196" fontId="113" fillId="0" borderId="0" applyFill="0" applyBorder="0">
      <alignment vertical="center"/>
    </xf>
    <xf numFmtId="197" fontId="113" fillId="0" borderId="0" applyFill="0" applyBorder="0">
      <alignment vertical="center"/>
    </xf>
    <xf numFmtId="0" fontId="114" fillId="61" borderId="0" applyBorder="0">
      <alignment vertical="center"/>
    </xf>
    <xf numFmtId="0" fontId="115" fillId="0" borderId="6" applyFill="0">
      <alignment horizontal="center" vertical="center"/>
    </xf>
    <xf numFmtId="194" fontId="113" fillId="0" borderId="6" applyFill="0">
      <alignment horizontal="center" vertical="center"/>
    </xf>
    <xf numFmtId="0" fontId="113" fillId="0" borderId="6" applyFill="0">
      <alignment horizontal="center" vertical="center"/>
    </xf>
    <xf numFmtId="0" fontId="116" fillId="0" borderId="0" applyFill="0" applyBorder="0">
      <alignment vertical="center"/>
    </xf>
    <xf numFmtId="0" fontId="117" fillId="0" borderId="0" applyFill="0" applyBorder="0">
      <alignment horizontal="center" vertical="center"/>
    </xf>
    <xf numFmtId="0" fontId="117" fillId="0" borderId="0" applyFill="0" applyBorder="0">
      <alignment horizontal="center" vertical="center"/>
    </xf>
    <xf numFmtId="0" fontId="118" fillId="0" borderId="0" applyFill="0" applyBorder="0">
      <alignment vertical="center"/>
    </xf>
    <xf numFmtId="0" fontId="116" fillId="0" borderId="0" applyFill="0" applyBorder="0">
      <alignment vertical="center"/>
    </xf>
    <xf numFmtId="0" fontId="119" fillId="0" borderId="0" applyFill="0" applyBorder="0">
      <alignment vertical="center"/>
    </xf>
    <xf numFmtId="0" fontId="119" fillId="0" borderId="0" applyFill="0" applyBorder="0">
      <alignment vertical="center"/>
    </xf>
    <xf numFmtId="0" fontId="107" fillId="0" borderId="0" applyFill="0" applyBorder="0">
      <alignment vertical="center"/>
    </xf>
    <xf numFmtId="0" fontId="108" fillId="0" borderId="0" applyFill="0" applyBorder="0">
      <alignment vertical="center"/>
    </xf>
    <xf numFmtId="0" fontId="108" fillId="0" borderId="0" applyFill="0" applyBorder="0">
      <alignment vertical="center"/>
    </xf>
    <xf numFmtId="0" fontId="109" fillId="58" borderId="0" applyBorder="0">
      <alignment vertical="center"/>
    </xf>
    <xf numFmtId="0" fontId="111" fillId="62" borderId="0" applyBorder="0">
      <alignment vertical="center"/>
    </xf>
    <xf numFmtId="0" fontId="111" fillId="0" borderId="0" applyFill="0" applyBorder="0">
      <alignment vertical="center"/>
    </xf>
    <xf numFmtId="0" fontId="112" fillId="0" borderId="0" applyFill="0" applyBorder="0">
      <alignment vertical="center"/>
    </xf>
    <xf numFmtId="0" fontId="112" fillId="0" borderId="0" applyFill="0" applyBorder="0">
      <alignment vertical="center"/>
      <protection locked="0"/>
    </xf>
    <xf numFmtId="194" fontId="113" fillId="0" borderId="0" applyFill="0" applyBorder="0">
      <alignment vertical="center"/>
    </xf>
    <xf numFmtId="195" fontId="113" fillId="0" borderId="0" applyFill="0" applyBorder="0">
      <alignment vertical="center"/>
    </xf>
    <xf numFmtId="196" fontId="113" fillId="0" borderId="0" applyFill="0" applyBorder="0">
      <alignment vertical="center"/>
    </xf>
    <xf numFmtId="197" fontId="113" fillId="0" borderId="0" applyFill="0" applyBorder="0">
      <alignment vertical="center"/>
    </xf>
    <xf numFmtId="192" fontId="113" fillId="0" borderId="0" applyFill="0" applyBorder="0">
      <alignment vertical="center"/>
    </xf>
    <xf numFmtId="193" fontId="113" fillId="0" borderId="0" applyFill="0" applyBorder="0">
      <alignment vertical="center"/>
    </xf>
    <xf numFmtId="0" fontId="114" fillId="61" borderId="0" applyBorder="0">
      <alignment vertical="center"/>
    </xf>
    <xf numFmtId="0" fontId="116" fillId="0" borderId="0" applyFill="0" applyBorder="0">
      <alignment vertical="center"/>
    </xf>
    <xf numFmtId="0" fontId="117" fillId="0" borderId="0" applyFill="0" applyBorder="0">
      <alignment horizontal="center" vertical="center"/>
    </xf>
    <xf numFmtId="0" fontId="117" fillId="0" borderId="0" applyFill="0" applyBorder="0">
      <alignment horizontal="center" vertical="center"/>
    </xf>
    <xf numFmtId="0" fontId="118" fillId="0" borderId="0" applyFill="0" applyBorder="0">
      <alignment vertical="center"/>
    </xf>
    <xf numFmtId="0" fontId="116" fillId="0" borderId="0" applyFill="0" applyBorder="0">
      <alignment vertical="center"/>
    </xf>
    <xf numFmtId="0" fontId="119" fillId="0" borderId="0" applyFill="0" applyBorder="0">
      <alignment vertical="center"/>
    </xf>
    <xf numFmtId="0" fontId="119" fillId="0" borderId="0" applyFill="0" applyBorder="0">
      <alignment vertical="center"/>
    </xf>
    <xf numFmtId="0" fontId="113" fillId="0" borderId="0" applyFill="0" applyBorder="0">
      <alignment vertical="center"/>
    </xf>
  </cellStyleXfs>
  <cellXfs count="197">
    <xf numFmtId="0" fontId="0" fillId="0" borderId="0" xfId="0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>
      <alignment vertical="center"/>
    </xf>
    <xf numFmtId="0" fontId="91" fillId="3" borderId="0" xfId="0" applyFont="1" applyFill="1" applyBorder="1">
      <alignment vertical="center"/>
    </xf>
    <xf numFmtId="2" fontId="15" fillId="3" borderId="0" xfId="0" applyNumberFormat="1" applyFont="1" applyFill="1" applyBorder="1">
      <alignment vertical="center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>
      <alignment vertical="center"/>
    </xf>
    <xf numFmtId="2" fontId="15" fillId="0" borderId="4" xfId="0" applyNumberFormat="1" applyFont="1" applyBorder="1">
      <alignment vertical="center"/>
    </xf>
    <xf numFmtId="2" fontId="15" fillId="0" borderId="38" xfId="0" applyNumberFormat="1" applyFont="1" applyBorder="1">
      <alignment vertical="center"/>
    </xf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>
      <alignment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10" fontId="24" fillId="56" borderId="26" xfId="0" applyNumberFormat="1" applyFont="1" applyFill="1" applyBorder="1" applyAlignment="1">
      <alignment horizontal="center" vertical="center"/>
    </xf>
    <xf numFmtId="10" fontId="24" fillId="57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9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 Currency." xfId="353" xr:uid="{18EEFB71-8432-4007-BBEC-6C396F8D288A}"/>
    <cellStyle name="Assumption Date." xfId="349" xr:uid="{B1BBB37D-6F41-4F66-87A0-09C5EAD14304}"/>
    <cellStyle name="Assumption Heading." xfId="347" xr:uid="{2E981725-5085-4C22-AF49-321A7B135F12}"/>
    <cellStyle name="Assumption Multiple." xfId="352" xr:uid="{40718935-1FED-45C4-AA35-CCE1ADD1CF4A}"/>
    <cellStyle name="Assumption Number." xfId="350" xr:uid="{AADB3F33-7542-40AA-B41B-659513B35F7D}"/>
    <cellStyle name="Assumption Percentage." xfId="351" xr:uid="{DD1937FA-0DEF-4C6C-AA23-3066F73AC133}"/>
    <cellStyle name="Assumption Year." xfId="348" xr:uid="{F799E881-EC29-4076-8F8E-6A7805E7A923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ell Link." xfId="354" xr:uid="{BD73EAF9-87B5-4830-B2FF-EE1C0EFEFA28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Currency." xfId="360" xr:uid="{BE2CF122-F74C-45F5-8603-C55BD75397B7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Date." xfId="356" xr:uid="{7BBF973F-4BBA-4352-B159-DF073E7E727C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1." xfId="342" xr:uid="{2EE13962-A0F7-49E6-A54C-E8F7690660D5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2." xfId="343" xr:uid="{5D0D5B9A-6A1A-4603-A429-8524E34DB5ED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3." xfId="344" xr:uid="{44C6FB0B-C43C-4C70-8AA0-F781F894A0E7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 4." xfId="345" xr:uid="{82D134B6-854D-4381-8E48-79C8559AD6F6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Arrow." xfId="366" xr:uid="{83B2CBF4-8453-4031-8C74-3C140C03CE5C}"/>
    <cellStyle name="Hyperlink Check." xfId="367" xr:uid="{54B87400-9F42-40CA-A98C-15F69D95CD18}"/>
    <cellStyle name="Hyperlink Text" xfId="129" xr:uid="{00000000-0005-0000-0000-0000A6000000}"/>
    <cellStyle name="Hyperlink Text." xfId="365" xr:uid="{17A3B158-C58F-4574-9FEC-92F02655BEE8}"/>
    <cellStyle name="Hyperlink TOC 1." xfId="368" xr:uid="{C92297E9-843A-49EC-B393-C7BF3795ADCE}"/>
    <cellStyle name="Hyperlink TOC 2." xfId="369" xr:uid="{08BA12B7-0394-479D-85AE-432E91B2CC29}"/>
    <cellStyle name="Hyperlink TOC 3." xfId="370" xr:uid="{98F77A92-9C1A-4D19-90B9-FC2D27581751}"/>
    <cellStyle name="Hyperlink TOC 4." xfId="371" xr:uid="{9AB4C483-C1D0-448D-9C77-7DBE114D117B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Lookup Table Heading." xfId="362" xr:uid="{83151E8C-9E44-48E8-8FE2-130608A858A9}"/>
    <cellStyle name="Lookup Table Label." xfId="364" xr:uid="{D94D67A8-6EB1-48F2-89DE-1C1C33236A5F}"/>
    <cellStyle name="Lookup Table Number." xfId="363" xr:uid="{723CCD6A-BDD6-474F-B89D-761D3E2A38D6}"/>
    <cellStyle name="Mine" xfId="142" xr:uid="{00000000-0005-0000-0000-0000C5000000}"/>
    <cellStyle name="Model Name" xfId="143" xr:uid="{00000000-0005-0000-0000-0000C6000000}"/>
    <cellStyle name="Model Name." xfId="341" xr:uid="{B38CF14C-7FAB-41C2-829E-695C1E13B396}"/>
    <cellStyle name="Multiple." xfId="359" xr:uid="{C5EEA4BD-AC16-4676-82AF-2C3434A99C05}"/>
    <cellStyle name="Neutral 2" xfId="144" xr:uid="{00000000-0005-0000-0000-0000C7000000}"/>
    <cellStyle name="Normal" xfId="0" builtinId="0" customBuiltin="1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Number." xfId="357" xr:uid="{BD066CD1-FB5E-4E38-A767-B3D96A6C81EB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centage." xfId="358" xr:uid="{8968FA31-24A0-4702-88E7-1090EF223D70}"/>
    <cellStyle name="Period Title" xfId="195" xr:uid="{00000000-0005-0000-0000-00000E010000}"/>
    <cellStyle name="Period Title." xfId="361" xr:uid="{B46D7689-3B96-48F1-9BC0-1D7F53EBA28E}"/>
    <cellStyle name="Presentation Currency." xfId="383" xr:uid="{38F4508E-0090-4A76-A25B-9F9E3C01EAA0}"/>
    <cellStyle name="Presentation Date." xfId="385" xr:uid="{EE486CE0-59DC-4429-B84E-D2338B71AA91}"/>
    <cellStyle name="Presentation Heading 1." xfId="375" xr:uid="{C2C44C1D-6290-44AC-9BF2-00EB0540D938}"/>
    <cellStyle name="Presentation Heading 2." xfId="376" xr:uid="{B620A986-125E-4E95-841E-46942DA4AFEA}"/>
    <cellStyle name="Presentation Heading 3." xfId="377" xr:uid="{0DBDB3A6-F842-4DEC-B27B-01521D6C4C6B}"/>
    <cellStyle name="Presentation Heading 4." xfId="378" xr:uid="{09B6C2A4-69B1-4AB1-800D-DF315DC7FD36}"/>
    <cellStyle name="Presentation Hyperlink Arrow." xfId="388" xr:uid="{6FF212FE-6755-458F-BAA5-BF978D8CE279}"/>
    <cellStyle name="Presentation Hyperlink Check." xfId="389" xr:uid="{CC6A951C-5FCB-45C8-B618-25094DDA42B8}"/>
    <cellStyle name="Presentation Hyperlink Text." xfId="387" xr:uid="{B6BD0BE5-FEEC-4330-93FF-675CFE2316BB}"/>
    <cellStyle name="Presentation Model Name." xfId="374" xr:uid="{89B25BD8-DCE8-4C1C-9154-62E304892E56}"/>
    <cellStyle name="Presentation Multiple." xfId="382" xr:uid="{B51C3E0B-6A1C-4ABF-A346-D43CDC3A0736}"/>
    <cellStyle name="Presentation Normal." xfId="394" xr:uid="{725F402D-5208-4DCA-9CDD-558B1004BCB2}"/>
    <cellStyle name="Presentation Number." xfId="380" xr:uid="{539967F6-ED29-46CD-8592-38DB209325B2}"/>
    <cellStyle name="Presentation Percentage." xfId="381" xr:uid="{88509F81-216B-4ADD-8462-27D628273081}"/>
    <cellStyle name="Presentation Period Title." xfId="386" xr:uid="{7252CD68-0D36-4739-B053-DBE2C8D54472}"/>
    <cellStyle name="Presentation Section Number." xfId="373" xr:uid="{8602C8F7-E4AD-4F3F-9D61-EBE33864D1AD}"/>
    <cellStyle name="Presentation Sheet Title." xfId="372" xr:uid="{08962615-5485-4A4B-81B0-98F444EA1DC9}"/>
    <cellStyle name="Presentation Sub Total." xfId="379" xr:uid="{B2C5B180-D5B7-4BC0-AEB7-86E57C587713}"/>
    <cellStyle name="Presentation TOC 1." xfId="390" xr:uid="{8BF038EA-6BCD-43D3-84C5-71BC3485690A}"/>
    <cellStyle name="Presentation TOC 2." xfId="391" xr:uid="{DC6A69F6-FBE9-4C3F-8637-0BAA96343B67}"/>
    <cellStyle name="Presentation TOC 3." xfId="392" xr:uid="{C7240244-BF12-4C37-B9C8-8A5A0B5D0050}"/>
    <cellStyle name="Presentation TOC 4." xfId="393" xr:uid="{78459AC3-2645-4961-AE4F-1BBC421C18A2}"/>
    <cellStyle name="Presentation Year." xfId="384" xr:uid="{EDCBC710-9465-4E0F-924F-283304DB6515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ection Number." xfId="340" xr:uid="{4281442A-45C0-4A6A-89EA-F269089B21D9}"/>
    <cellStyle name="Sheet Title" xfId="223" xr:uid="{00000000-0005-0000-0000-00002A010000}"/>
    <cellStyle name="Sheet Title." xfId="339" xr:uid="{941BFCD7-C660-4D5D-B998-EE60E6623A36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Sub Total." xfId="346" xr:uid="{E0044578-05BD-4950-93BC-FB7F22E4BD04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." xfId="355" xr:uid="{0A64115E-33EA-4F21-8C4B-CC84AC143F9C}"/>
    <cellStyle name="year_29(d) - Gas extensions -tariffs" xfId="262" xr:uid="{00000000-0005-0000-0000-000052010000}"/>
  </cellStyles>
  <dxfs count="8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0404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E6E6E6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54F72"/>
      <rgbColor rgb="00339966"/>
      <rgbColor rgb="00CB2840"/>
      <rgbColor rgb="00375623"/>
      <rgbColor rgb="00203764"/>
      <rgbColor rgb="00993366"/>
      <rgbColor rgb="00FFFF78"/>
      <rgbColor rgb="00FFFFFF"/>
    </indexed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gulation\Price%20Review\2017-22%20TRR\21.0%202017%20TRR%20-%20Annual%20debt%20updates\AusNet%20(T)%20-%20Final%20Decision%20-%20PTRM%20-%202021-22%20RoD%20update%20-%20(Tower%20PT)%20September%2020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NT%20-%20TRR%202023-27%20Revised%20Proposal%20Roll%20Forward%20Model%20-%2001%20Sep%202021%20PUBLI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DMS input"/>
      <sheetName val="PTRM input"/>
      <sheetName val="AST Depreciation"/>
      <sheetName val="Opening RAB v Depn"/>
      <sheetName val="WACC"/>
      <sheetName val="Analysis"/>
      <sheetName val="X factors"/>
      <sheetName val="Revenue summary"/>
      <sheetName val="PTRM Assets"/>
      <sheetName val="Equity raising costs"/>
      <sheetName val="Chart 1-Revenue"/>
      <sheetName val="Chart 2-Price path"/>
      <sheetName val="Chart 3-Building blocks"/>
      <sheetName val="AusNet (T) - Final Decision - P"/>
    </sheetNames>
    <sheetDataSet>
      <sheetData sheetId="0"/>
      <sheetData sheetId="1"/>
      <sheetData sheetId="2">
        <row r="7">
          <cell r="N7">
            <v>218.71141168449321</v>
          </cell>
        </row>
        <row r="219">
          <cell r="G219">
            <v>180.24860099364153</v>
          </cell>
          <cell r="H219">
            <v>157.41756010216841</v>
          </cell>
          <cell r="I219">
            <v>153.38146235424443</v>
          </cell>
          <cell r="J219">
            <v>142.77332554459289</v>
          </cell>
          <cell r="K219">
            <v>107.2881742431224</v>
          </cell>
        </row>
        <row r="327">
          <cell r="G327">
            <v>0.218</v>
          </cell>
          <cell r="H327">
            <v>0.17100000000000001</v>
          </cell>
          <cell r="I327">
            <v>0.23899999999999999</v>
          </cell>
          <cell r="J327">
            <v>0.20300000000000001</v>
          </cell>
          <cell r="K327">
            <v>0.20799999999999999</v>
          </cell>
        </row>
      </sheetData>
      <sheetData sheetId="3">
        <row r="170">
          <cell r="C170">
            <v>25801.917933809822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FM input"/>
      <sheetName val="Adjustment for previous period"/>
      <sheetName val="RAB roll forward"/>
      <sheetName val="Total RAB roll forward"/>
      <sheetName val="TAB roll forward"/>
      <sheetName val="RAB remaining lives"/>
      <sheetName val="TAB remaining lives"/>
      <sheetName val="PTRM input summary"/>
      <sheetName val="Inputs working"/>
    </sheetNames>
    <sheetDataSet>
      <sheetData sheetId="0"/>
      <sheetData sheetId="1"/>
      <sheetData sheetId="2"/>
      <sheetData sheetId="3"/>
      <sheetData sheetId="4"/>
      <sheetData sheetId="5"/>
      <sheetData sheetId="6">
        <row r="111">
          <cell r="H111">
            <v>133.7206228094602</v>
          </cell>
          <cell r="I111">
            <v>144.46882316614159</v>
          </cell>
          <cell r="J111">
            <v>155.27520369416771</v>
          </cell>
          <cell r="K111">
            <v>141.68553545872189</v>
          </cell>
          <cell r="L111">
            <v>133.9472011475037</v>
          </cell>
        </row>
        <row r="165">
          <cell r="H165">
            <v>5.9979069300000001</v>
          </cell>
          <cell r="I165">
            <v>0.62382812999999993</v>
          </cell>
          <cell r="J165">
            <v>2.6018094370554201</v>
          </cell>
          <cell r="K165">
            <v>0.11489252000000001</v>
          </cell>
          <cell r="L165">
            <v>0.22379259259259254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rial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rial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A12" sqref="A12:XFD12"/>
    </sheetView>
  </sheetViews>
  <sheetFormatPr defaultColWidth="0" defaultRowHeight="18" customHeight="1" zeroHeight="1"/>
  <cols>
    <col min="1" max="2" width="1.25" style="2" customWidth="1"/>
    <col min="3" max="3" width="26.375" style="1" customWidth="1"/>
    <col min="4" max="4" width="79.25" style="1" customWidth="1"/>
    <col min="5" max="5" width="2.75" style="1" customWidth="1"/>
    <col min="6" max="6" width="2.75" style="2" customWidth="1"/>
    <col min="7" max="28" width="12.5" style="2" hidden="1" customWidth="1"/>
    <col min="29" max="16384" width="10.25" style="2" hidden="1"/>
  </cols>
  <sheetData>
    <row r="1" spans="2:13" s="5" customFormat="1" ht="18" customHeight="1">
      <c r="B1" s="3" t="str">
        <f>'Input | General'!$B$1</f>
        <v>Victorian TNSP 2023-27 Regulatory Proposal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22" ht="18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Index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G15" sqref="G15"/>
    </sheetView>
  </sheetViews>
  <sheetFormatPr defaultColWidth="0" defaultRowHeight="0" customHeight="1" zeroHeight="1"/>
  <cols>
    <col min="1" max="2" width="1.25" style="14" customWidth="1"/>
    <col min="3" max="3" width="56.5" style="15" customWidth="1"/>
    <col min="4" max="4" width="14.875" style="14" customWidth="1"/>
    <col min="5" max="8" width="12.5" style="14" customWidth="1"/>
    <col min="9" max="9" width="9.375" style="14" customWidth="1"/>
    <col min="10" max="10" width="9.25" style="14" customWidth="1"/>
    <col min="11" max="12" width="2.75" style="14" customWidth="1"/>
    <col min="13" max="22" width="8.875" style="14" hidden="1" customWidth="1"/>
    <col min="23" max="16384" width="14.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Victorian TNSP 2023-27 Regulatory Proposal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102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61" t="s">
        <v>101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61" t="s">
        <v>103</v>
      </c>
      <c r="J8" s="79"/>
      <c r="K8" s="79"/>
      <c r="L8" s="79"/>
      <c r="M8" s="79"/>
    </row>
    <row r="9" spans="1:13" s="70" customFormat="1" ht="11.25" customHeight="1">
      <c r="C9" s="192" t="s">
        <v>100</v>
      </c>
      <c r="D9" s="161" t="s">
        <v>104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>IF(LEN(E13)&gt;4,CONCATENATE(LEFT(E13,4)-1&amp;"–"&amp;IF(RIGHT(E13,2)="00","99",IF(RIGHT(E13,2)-1&lt;10,"0","")&amp;RIGHT(E13,2)-1)),E13-1)</f>
        <v>2017–18</v>
      </c>
      <c r="E13" s="191" t="str">
        <f>IF(LEN(F13)&gt;4,CONCATENATE(LEFT(F13,4)-1&amp;"–"&amp;IF(RIGHT(F13,2)="00","99",IF(RIGHT(F13,2)-1&lt;10,"0","")&amp;RIGHT(F13,2)-1)),F13-1)</f>
        <v>2018–19</v>
      </c>
      <c r="F13" s="191" t="str">
        <f>IF(LEN(G13)&gt;4,CONCATENATE(LEFT(G13,4)-1&amp;"–"&amp;IF(RIGHT(G13,2)="00","99",IF(RIGHT(G13,2)-1&lt;10,"0","")&amp;RIGHT(G13,2)-1)),G13-1)</f>
        <v>2019–20</v>
      </c>
      <c r="G13" s="191" t="str">
        <f>IF(LEN(H13)&gt;4,CONCATENATE(LEFT(H13,4)-1&amp;"–"&amp;IF(RIGHT(H13,2)="00","99",IF(RIGHT(H13,2)-1&lt;10,"0","")&amp;RIGHT(H13,2)-1)),H13-1)</f>
        <v>2020–21</v>
      </c>
      <c r="H13" s="191" t="str">
        <f>IF(LEN(D9)&gt;4,CONCATENATE(LEFT(D9,4)-1&amp;"–"&amp;IF(RIGHT(D9,2)="00","99",IF(RIGHT(D9,2)-1&lt;10,"0","")&amp;RIGHT(D9,2)-1)),D9-1)</f>
        <v>2021–22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161" t="s">
        <v>7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2022-23</v>
      </c>
      <c r="E18" s="191" t="str">
        <f>IF(LEN(D18)&gt;4,CONCATENATE(LEFT(D18,4)+1&amp;"–"&amp;IF(RIGHT(D18,2)+1&gt;9,"","0")&amp;RIGHT(D18,2)+1),D18+1)</f>
        <v>2023–24</v>
      </c>
      <c r="F18" s="191" t="str">
        <f>IF(LEN(E18)&gt;4,CONCATENATE(LEFT(E18,4)+1&amp;"–"&amp;IF(RIGHT(E18,2)+1&gt;9,"","0")&amp;RIGHT(E18,2)+1),E18+1)</f>
        <v>2024–25</v>
      </c>
      <c r="G18" s="191" t="str">
        <f>IF(LEN(F18)&gt;4,CONCATENATE(LEFT(F18,4)+1&amp;"–"&amp;IF(RIGHT(F18,2)+1&gt;9,"","0")&amp;RIGHT(F18,2)+1),F18+1)</f>
        <v>2025–26</v>
      </c>
      <c r="H18" s="191" t="str">
        <f>IF(LEN(G18)&gt;4,CONCATENATE(LEFT(G18,4)+1&amp;"–"&amp;IF(RIGHT(G18,2)+1&gt;9,"","0")&amp;RIGHT(G18,2)+1),G18+1)</f>
        <v>2026–27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opLeftCell="B1" zoomScale="115" zoomScaleNormal="115" workbookViewId="0">
      <selection activeCell="L21" sqref="L21"/>
    </sheetView>
  </sheetViews>
  <sheetFormatPr defaultColWidth="0" defaultRowHeight="18" customHeight="1" zeroHeight="1"/>
  <cols>
    <col min="1" max="2" width="1" style="24" customWidth="1"/>
    <col min="3" max="3" width="36.5" style="24" customWidth="1"/>
    <col min="4" max="5" width="22.75" style="24" customWidth="1"/>
    <col min="6" max="6" width="12.5" style="24" customWidth="1"/>
    <col min="7" max="12" width="12.5" style="11" customWidth="1"/>
    <col min="13" max="13" width="12.375" style="22" customWidth="1"/>
    <col min="14" max="16" width="12.5" style="24" customWidth="1"/>
    <col min="17" max="18" width="2.75" style="24" customWidth="1"/>
    <col min="19" max="32" width="12.5" style="24" hidden="1" customWidth="1"/>
    <col min="33" max="16384" width="10.25" style="24" hidden="1"/>
  </cols>
  <sheetData>
    <row r="1" spans="1:20" s="11" customFormat="1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2016–17</v>
      </c>
      <c r="G7" s="177" t="str">
        <f>'Input | General'!D13</f>
        <v>2017–18</v>
      </c>
      <c r="H7" s="177" t="str">
        <f>'Input | General'!E13</f>
        <v>2018–19</v>
      </c>
      <c r="I7" s="177" t="str">
        <f>'Input | General'!F13</f>
        <v>2019–20</v>
      </c>
      <c r="J7" s="177" t="str">
        <f>'Input | General'!G13</f>
        <v>2020–21</v>
      </c>
      <c r="K7" s="177" t="str">
        <f>'Input | General'!H13</f>
        <v>2021–22</v>
      </c>
      <c r="L7" s="177" t="str">
        <f>'Input | General'!D18</f>
        <v>2022-23</v>
      </c>
      <c r="M7" s="177" t="str">
        <f>'Input | General'!E18</f>
        <v>2023–24</v>
      </c>
      <c r="N7" s="177" t="str">
        <f>'Input | General'!F18</f>
        <v>2024–25</v>
      </c>
      <c r="O7" s="177" t="str">
        <f>'Input | General'!G18</f>
        <v>2025–26</v>
      </c>
      <c r="P7" s="177" t="str">
        <f>'Input | General'!H18</f>
        <v>2026–27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62">
        <v>1.8281535648994485E-2</v>
      </c>
      <c r="H8" s="162">
        <v>1.8850987432674993E-2</v>
      </c>
      <c r="I8" s="162">
        <v>1.6740088105726914E-2</v>
      </c>
      <c r="J8" s="162">
        <v>6.9324090121316573E-3</v>
      </c>
      <c r="K8" s="162">
        <v>2.9833620195065969E-2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30"/>
      <c r="H9" s="130"/>
      <c r="I9" s="130"/>
      <c r="J9" s="130"/>
      <c r="K9" s="130"/>
      <c r="L9" s="162">
        <v>2.2496597515569983E-2</v>
      </c>
      <c r="M9" s="143">
        <f>L9</f>
        <v>2.2496597515569983E-2</v>
      </c>
      <c r="N9" s="143">
        <f>M9</f>
        <v>2.2496597515569983E-2</v>
      </c>
      <c r="O9" s="143">
        <f>N9</f>
        <v>2.2496597515569983E-2</v>
      </c>
      <c r="P9" s="143">
        <f>O9</f>
        <v>2.2496597515569983E-2</v>
      </c>
    </row>
    <row r="10" spans="1:20" ht="11.25" customHeight="1">
      <c r="A10" s="11"/>
      <c r="B10" s="11"/>
      <c r="C10" s="140" t="str">
        <f>"CPI Index (base year "&amp;F7&amp;")"</f>
        <v>CPI Index (base year 2016–17)</v>
      </c>
      <c r="D10" s="78" t="s">
        <v>86</v>
      </c>
      <c r="E10" s="78" t="s">
        <v>30</v>
      </c>
      <c r="F10" s="138">
        <v>1</v>
      </c>
      <c r="G10" s="123">
        <f>IF(G7&lt;&gt;"",(F10*(1+G8)),"")</f>
        <v>1.0182815356489945</v>
      </c>
      <c r="H10" s="123">
        <f>IF(H7&lt;&gt;"",(G10*(1+H8)),"")</f>
        <v>1.0374771480804388</v>
      </c>
      <c r="I10" s="123">
        <f>IF(I7&lt;&gt;"",(H10*(1+I8)),"")</f>
        <v>1.0548446069469837</v>
      </c>
      <c r="J10" s="123">
        <f>IF(J7&lt;&gt;"",(I10*(1+J8)),"")</f>
        <v>1.0621572212065815</v>
      </c>
      <c r="K10" s="123">
        <f>IF(K7&lt;&gt;"",(J10*(1+K8)),"")</f>
        <v>1.0938452163315053</v>
      </c>
      <c r="L10" s="87">
        <f>IF(L7&lt;&gt;"",(K10*(1+L9)),"")</f>
        <v>1.1184530119076468</v>
      </c>
      <c r="M10" s="87">
        <f>IF(M7&lt;&gt;"",(L10*(1+M9)),"")</f>
        <v>1.1436143991566101</v>
      </c>
      <c r="N10" s="87">
        <f>IF(N7&lt;&gt;"",(M10*(1+N9)),"")</f>
        <v>1.1693418320074467</v>
      </c>
      <c r="O10" s="87">
        <f>IF(O7&lt;&gt;"",(N10*(1+O9)),"")</f>
        <v>1.1956480445602375</v>
      </c>
      <c r="P10" s="87">
        <f>IF(P7&lt;&gt;"",(O10*(1+P9)),"")</f>
        <v>1.2225460573889875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v>1.8281535648994485E-2</v>
      </c>
      <c r="H13" s="162">
        <v>1.8850987432674993E-2</v>
      </c>
      <c r="I13" s="162">
        <v>1.6740088105726914E-2</v>
      </c>
      <c r="J13" s="162">
        <v>6.9324090121316573E-3</v>
      </c>
      <c r="K13" s="195">
        <v>2.3998043050028173E-2</v>
      </c>
      <c r="L13" s="127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86"/>
      <c r="K14" s="86"/>
      <c r="L14" s="162">
        <v>1.9993872504847632E-2</v>
      </c>
      <c r="M14" s="143">
        <f>L14</f>
        <v>1.9993872504847632E-2</v>
      </c>
      <c r="N14" s="143">
        <f>M14</f>
        <v>1.9993872504847632E-2</v>
      </c>
      <c r="O14" s="143">
        <f>N14</f>
        <v>1.9993872504847632E-2</v>
      </c>
      <c r="P14" s="143">
        <f>O14</f>
        <v>1.9993872504847632E-2</v>
      </c>
    </row>
    <row r="15" spans="1:20" ht="11.25" customHeight="1">
      <c r="A15" s="11"/>
      <c r="B15" s="11"/>
      <c r="C15" s="140" t="str">
        <f>"CPI Index (base year "&amp;F7&amp;")"</f>
        <v>CPI Index (base year 2016–17)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1.0182815356489945</v>
      </c>
      <c r="H15" s="123">
        <f>IF(H7&lt;&gt;"",(G15*(1+H13)),"")</f>
        <v>1.0374771480804388</v>
      </c>
      <c r="I15" s="123">
        <f>IF(I7&lt;&gt;"",(H15*(1+I13)),"")</f>
        <v>1.0548446069469837</v>
      </c>
      <c r="J15" s="123">
        <f>IF(J7&lt;&gt;"",(I15*(1+J13)),"")</f>
        <v>1.0621572212065815</v>
      </c>
      <c r="K15" s="87">
        <f>IF(K7&lt;&gt;"",(J15*(1+K13)),"")</f>
        <v>1.0876469159269953</v>
      </c>
      <c r="L15" s="87">
        <f>IF(L7&lt;&gt;"",(K15*(1+L14)),"")</f>
        <v>1.1093931896943303</v>
      </c>
      <c r="M15" s="87">
        <f>IF(M7&lt;&gt;"",(L15*(1+M14)),"")</f>
        <v>1.1315742556868249</v>
      </c>
      <c r="N15" s="87">
        <f>IF(N7&lt;&gt;"",(M15*(1+N14)),"")</f>
        <v>1.1541988070847951</v>
      </c>
      <c r="O15" s="87">
        <f>IF(O7&lt;&gt;"",(N15*(1+O14)),"")</f>
        <v>1.1772757108788956</v>
      </c>
      <c r="P15" s="87">
        <f>IF(P7&lt;&gt;"",(O15*(1+P14)),"")</f>
        <v>1.2008140113452621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2017–18</v>
      </c>
      <c r="H19" s="177" t="str">
        <f t="shared" ref="H19:P19" si="0">H7</f>
        <v>2018–19</v>
      </c>
      <c r="I19" s="177" t="str">
        <f t="shared" si="0"/>
        <v>2019–20</v>
      </c>
      <c r="J19" s="177" t="str">
        <f t="shared" si="0"/>
        <v>2020–21</v>
      </c>
      <c r="K19" s="177" t="str">
        <f t="shared" si="0"/>
        <v>2021–22</v>
      </c>
      <c r="L19" s="177" t="str">
        <f t="shared" si="0"/>
        <v>2022-23</v>
      </c>
      <c r="M19" s="177" t="str">
        <f t="shared" si="0"/>
        <v>2023–24</v>
      </c>
      <c r="N19" s="177" t="str">
        <f t="shared" si="0"/>
        <v>2024–25</v>
      </c>
      <c r="O19" s="177" t="str">
        <f t="shared" si="0"/>
        <v>2025–26</v>
      </c>
      <c r="P19" s="177" t="str">
        <f t="shared" si="0"/>
        <v>2026–27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v>3.3220820087888514E-2</v>
      </c>
      <c r="H20" s="162">
        <v>3.3279987102855291E-2</v>
      </c>
      <c r="I20" s="162">
        <v>3.3176000712503706E-2</v>
      </c>
      <c r="J20" s="162">
        <v>3.2328199973441274E-2</v>
      </c>
      <c r="K20" s="162">
        <v>3.1048962640370714E-2</v>
      </c>
      <c r="L20" s="86"/>
      <c r="M20" s="86"/>
      <c r="N20" s="86"/>
      <c r="O20" s="86"/>
      <c r="P20" s="86"/>
    </row>
    <row r="21" spans="1:16" ht="11.25" customHeight="1">
      <c r="C21" s="155" t="s">
        <v>96</v>
      </c>
      <c r="D21" s="78" t="s">
        <v>49</v>
      </c>
      <c r="E21" s="78" t="s">
        <v>51</v>
      </c>
      <c r="F21" s="79"/>
      <c r="G21" s="79"/>
      <c r="H21" s="79"/>
      <c r="I21" s="79"/>
      <c r="J21" s="79"/>
      <c r="K21" s="79"/>
      <c r="L21" s="194">
        <v>2.4525805352311192E-2</v>
      </c>
      <c r="M21" s="194">
        <v>2.3358007059626651E-2</v>
      </c>
      <c r="N21" s="194">
        <v>2.2190208766942377E-2</v>
      </c>
      <c r="O21" s="194">
        <v>2.1022410474257968E-2</v>
      </c>
      <c r="P21" s="194">
        <v>1.9854612181573427E-2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5.2109683343608548E-2</v>
      </c>
      <c r="H22" s="144">
        <f>IF(AND(H13&lt;&gt;"",H20&lt;&gt;""),((1+H20)*(1+H13)-1),"")</f>
        <v>5.2758335154165836E-2</v>
      </c>
      <c r="I22" s="144">
        <f>IF(AND(I13&lt;&gt;"",I20&lt;&gt;""),((1+I20)*(1+I13)-1),"")</f>
        <v>5.0471457993153557E-2</v>
      </c>
      <c r="J22" s="144">
        <f>IF(AND(J13&lt;&gt;"",J20&lt;&gt;""),((1+J20)*(1+J13)-1),"")</f>
        <v>3.9484721290414804E-2</v>
      </c>
      <c r="K22" s="144">
        <f>IF(AND(K13&lt;&gt;"",K20&lt;&gt;""),((1+K20)*(1+K13)-1),"")</f>
        <v>5.5792120032501114E-2</v>
      </c>
      <c r="L22" s="144">
        <f>IF(AND(L14&lt;&gt;"",L21&lt;&gt;""),((1+L21)*(1+L14)-1),"")</f>
        <v>4.501004368245165E-2</v>
      </c>
      <c r="M22" s="144">
        <f>IF(AND(M14&lt;&gt;"",M21&lt;&gt;""),((1+M21)*(1+M14)-1),"")</f>
        <v>4.3818896579591815E-2</v>
      </c>
      <c r="N22" s="144">
        <f>IF(AND(N14&lt;&gt;"",N21&lt;&gt;""),((1+N21)*(1+N14)-1),"")</f>
        <v>4.2627749476732202E-2</v>
      </c>
      <c r="O22" s="144">
        <f>IF(AND(O14&lt;&gt;"",O21&lt;&gt;""),((1+O21)*(1+O14)-1),"")</f>
        <v>4.1436602373872589E-2</v>
      </c>
      <c r="P22" s="144">
        <f>IF(AND(P14&lt;&gt;"",P21&lt;&gt;""),((1+P21)*(1+P14)-1),"")</f>
        <v>4.0245455271012753E-2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9"/>
  <sheetViews>
    <sheetView topLeftCell="A13" zoomScale="115" zoomScaleNormal="115" workbookViewId="0">
      <selection activeCell="L18" sqref="L18"/>
    </sheetView>
  </sheetViews>
  <sheetFormatPr defaultColWidth="0" defaultRowHeight="18" customHeight="1" zeroHeight="1"/>
  <cols>
    <col min="1" max="2" width="1.25" style="11" customWidth="1"/>
    <col min="3" max="3" width="49.75" style="16" customWidth="1"/>
    <col min="4" max="4" width="23.5" style="16" customWidth="1"/>
    <col min="5" max="5" width="13.375" style="16" customWidth="1"/>
    <col min="6" max="6" width="8.875" style="16" customWidth="1"/>
    <col min="7" max="7" width="2.75" style="16" customWidth="1"/>
    <col min="8" max="12" width="13.5" style="11" customWidth="1"/>
    <col min="13" max="14" width="2.75" style="11" customWidth="1"/>
    <col min="15" max="23" width="0" style="11" hidden="1" customWidth="1"/>
    <col min="24" max="16384" width="14.25" style="11" hidden="1"/>
  </cols>
  <sheetData>
    <row r="1" spans="2:14" ht="18" customHeight="1">
      <c r="B1" s="3" t="str">
        <f>'Input | General'!$B$1</f>
        <v>Victorian TNSP 2023-27 Regulatory Proposal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2017–18</v>
      </c>
      <c r="I6" s="179" t="str">
        <f>IF('Input | General'!E14="Yes",'Input | General'!E13,"n/a")</f>
        <v>2018–19</v>
      </c>
      <c r="J6" s="179" t="str">
        <f>IF('Input | General'!F14="Yes",'Input | General'!F13,"n/a")</f>
        <v>2019–20</v>
      </c>
      <c r="K6" s="179" t="str">
        <f>IF('Input | General'!G14="Yes",'Input | General'!G13,"n/a")</f>
        <v>2020–21</v>
      </c>
      <c r="L6" s="179" t="str">
        <f>IF('Input | General'!H14="Yes",'Input | General'!H13,"n/a")</f>
        <v>2021–22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2016–17</v>
      </c>
      <c r="G8" s="68"/>
      <c r="H8" s="163">
        <f>'[2]PTRM input'!G219</f>
        <v>180.24860099364153</v>
      </c>
      <c r="I8" s="163">
        <f>'[2]PTRM input'!H219</f>
        <v>157.41756010216841</v>
      </c>
      <c r="J8" s="163">
        <f>'[2]PTRM input'!I219</f>
        <v>153.38146235424443</v>
      </c>
      <c r="K8" s="163">
        <f>'[2]PTRM input'!J219</f>
        <v>142.77332554459289</v>
      </c>
      <c r="L8" s="163">
        <f>'[2]PTRM input'!K219</f>
        <v>107.2881742431224</v>
      </c>
      <c r="M8" s="2"/>
      <c r="N8" s="2"/>
    </row>
    <row r="9" spans="2:14" ht="10.5" customHeight="1">
      <c r="C9" s="80" t="s">
        <v>98</v>
      </c>
      <c r="D9" s="78" t="s">
        <v>49</v>
      </c>
      <c r="E9" s="78" t="s">
        <v>50</v>
      </c>
      <c r="F9" s="182" t="str">
        <f>'Input | Inflation and Disc Rate'!$F$7</f>
        <v>2016–17</v>
      </c>
      <c r="G9" s="68"/>
      <c r="H9" s="163"/>
      <c r="I9" s="163"/>
      <c r="J9" s="163"/>
      <c r="K9" s="163"/>
      <c r="L9" s="163"/>
      <c r="M9" s="2"/>
      <c r="N9" s="2"/>
    </row>
    <row r="10" spans="2:14" ht="10.5" customHeight="1">
      <c r="C10" s="80" t="s">
        <v>92</v>
      </c>
      <c r="D10" s="78" t="s">
        <v>49</v>
      </c>
      <c r="E10" s="78" t="s">
        <v>50</v>
      </c>
      <c r="F10" s="182" t="str">
        <f>'Input | Inflation and Disc Rate'!$F$7</f>
        <v>2016–17</v>
      </c>
      <c r="G10" s="68"/>
      <c r="H10" s="163">
        <f>'[2]PTRM input'!G327</f>
        <v>0.218</v>
      </c>
      <c r="I10" s="163">
        <f>'[2]PTRM input'!H327</f>
        <v>0.17100000000000001</v>
      </c>
      <c r="J10" s="163">
        <f>'[2]PTRM input'!I327</f>
        <v>0.23899999999999999</v>
      </c>
      <c r="K10" s="163">
        <f>'[2]PTRM input'!J327</f>
        <v>0.20300000000000001</v>
      </c>
      <c r="L10" s="163">
        <f>'[2]PTRM input'!K327</f>
        <v>0.20799999999999999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2016–17</v>
      </c>
      <c r="G12" s="68"/>
      <c r="H12" s="66">
        <f>IF(H6="", "", H8-H9-H10)</f>
        <v>180.03060099364154</v>
      </c>
      <c r="I12" s="66">
        <f>IF(I6="", "", I8-I9-I10)</f>
        <v>157.24656010216842</v>
      </c>
      <c r="J12" s="66">
        <f>IF(J6="", "", J8-J9-J10)</f>
        <v>153.14246235424443</v>
      </c>
      <c r="K12" s="66">
        <f>IF(K6="", "", K8-K9-K10)</f>
        <v>142.57032554459289</v>
      </c>
      <c r="L12" s="66">
        <f>IF(L6="", "", L8-L9-L10)</f>
        <v>107.0801742431224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2017–18</v>
      </c>
      <c r="I16" s="179" t="str">
        <f>I6</f>
        <v>2018–19</v>
      </c>
      <c r="J16" s="179" t="str">
        <f>J6</f>
        <v>2019–20</v>
      </c>
      <c r="K16" s="179" t="str">
        <f>K6</f>
        <v>2020–21</v>
      </c>
      <c r="L16" s="179" t="str">
        <f>L6</f>
        <v>2021–22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f>'[3]RFM input'!H$111</f>
        <v>133.7206228094602</v>
      </c>
      <c r="I18" s="163">
        <f>'[3]RFM input'!I$111</f>
        <v>144.46882316614159</v>
      </c>
      <c r="J18" s="163">
        <f>'[3]RFM input'!J$111</f>
        <v>155.27520369416771</v>
      </c>
      <c r="K18" s="163">
        <f>'[3]RFM input'!K$111</f>
        <v>141.68553545872189</v>
      </c>
      <c r="L18" s="163">
        <f>'[3]RFM input'!L$111</f>
        <v>133.9472011475037</v>
      </c>
    </row>
    <row r="19" spans="2:14" s="2" customFormat="1" ht="10.5" customHeight="1">
      <c r="B19" s="73"/>
      <c r="C19" s="80" t="s">
        <v>105</v>
      </c>
      <c r="D19" s="78" t="s">
        <v>49</v>
      </c>
      <c r="E19" s="78" t="s">
        <v>50</v>
      </c>
      <c r="F19" s="78" t="s">
        <v>53</v>
      </c>
      <c r="G19" s="68"/>
      <c r="H19" s="163"/>
      <c r="I19" s="163"/>
      <c r="J19" s="163">
        <v>44.322978580000004</v>
      </c>
      <c r="K19" s="163">
        <v>-0.26854162999999964</v>
      </c>
      <c r="L19" s="163">
        <v>0</v>
      </c>
    </row>
    <row r="20" spans="2:14" s="2" customFormat="1" ht="10.5" customHeight="1">
      <c r="B20" s="73"/>
      <c r="C20" s="80" t="s">
        <v>98</v>
      </c>
      <c r="D20" s="78" t="s">
        <v>49</v>
      </c>
      <c r="E20" s="78" t="s">
        <v>50</v>
      </c>
      <c r="F20" s="78" t="s">
        <v>53</v>
      </c>
      <c r="G20" s="142"/>
      <c r="H20" s="164"/>
      <c r="I20" s="163"/>
      <c r="J20" s="163"/>
      <c r="K20" s="163"/>
      <c r="L20" s="163"/>
    </row>
    <row r="21" spans="2:14" s="2" customFormat="1" ht="10.5" customHeight="1">
      <c r="B21" s="73"/>
      <c r="C21" s="141" t="s">
        <v>92</v>
      </c>
      <c r="D21" s="78" t="s">
        <v>49</v>
      </c>
      <c r="E21" s="78" t="s">
        <v>50</v>
      </c>
      <c r="F21" s="78" t="s">
        <v>53</v>
      </c>
      <c r="G21" s="142"/>
      <c r="H21" s="164">
        <f>'[3]RFM input'!H$165</f>
        <v>5.9979069300000001</v>
      </c>
      <c r="I21" s="163">
        <f>'[3]RFM input'!I$165</f>
        <v>0.62382812999999993</v>
      </c>
      <c r="J21" s="163">
        <f>'[3]RFM input'!J$165</f>
        <v>2.6018094370554201</v>
      </c>
      <c r="K21" s="163">
        <f>'[3]RFM input'!K$165</f>
        <v>0.11489252000000001</v>
      </c>
      <c r="L21" s="163">
        <f>'[3]RFM input'!L$165</f>
        <v>0.22379259259259254</v>
      </c>
    </row>
    <row r="22" spans="2:14" s="2" customFormat="1" ht="10.5" customHeight="1">
      <c r="B22" s="73"/>
      <c r="C22" s="157" t="s">
        <v>97</v>
      </c>
      <c r="D22" s="78" t="s">
        <v>49</v>
      </c>
      <c r="E22" s="78" t="s">
        <v>50</v>
      </c>
      <c r="F22" s="78" t="s">
        <v>53</v>
      </c>
      <c r="G22" s="68"/>
      <c r="H22" s="164">
        <v>-6.3574499999999997E-3</v>
      </c>
      <c r="I22" s="163">
        <v>2.4998475</v>
      </c>
      <c r="J22" s="163">
        <v>4.9189038900000002</v>
      </c>
      <c r="K22" s="163">
        <v>7.5536621399999992</v>
      </c>
      <c r="L22" s="163">
        <v>0</v>
      </c>
    </row>
    <row r="23" spans="2:14" s="2" customFormat="1" ht="10.5" customHeight="1">
      <c r="B23" s="73"/>
      <c r="C23" s="68"/>
      <c r="D23" s="68"/>
      <c r="E23" s="68"/>
      <c r="F23" s="68"/>
      <c r="G23" s="68"/>
      <c r="H23" s="67"/>
      <c r="I23" s="67"/>
      <c r="J23" s="67"/>
      <c r="K23" s="67"/>
      <c r="L23" s="67"/>
      <c r="M23" s="108"/>
      <c r="N23" s="108"/>
    </row>
    <row r="24" spans="2:14" s="2" customFormat="1" ht="10.5" customHeight="1">
      <c r="B24" s="73"/>
      <c r="C24" s="77" t="s">
        <v>76</v>
      </c>
      <c r="D24" s="76" t="s">
        <v>60</v>
      </c>
      <c r="E24" s="183" t="s">
        <v>50</v>
      </c>
      <c r="F24" s="183" t="s">
        <v>53</v>
      </c>
      <c r="G24" s="68"/>
      <c r="H24" s="66">
        <f>IF(H16="", "", H18+H19-H20-H21-H22)</f>
        <v>127.72907332946019</v>
      </c>
      <c r="I24" s="66">
        <f>IF(I16="", "", I18+I19-I20-I21-I22)</f>
        <v>141.34514753614161</v>
      </c>
      <c r="J24" s="66">
        <f>IF(J16="", "", J18+J19-J20-J21-J22)</f>
        <v>192.07746894711232</v>
      </c>
      <c r="K24" s="66">
        <f>IF(K16="", "", K18+K19-K20-K21-K22)</f>
        <v>133.74843916872189</v>
      </c>
      <c r="L24" s="66">
        <f>IF(L16="", "", L18+L19-L20-L21-L22)</f>
        <v>133.72340855491112</v>
      </c>
    </row>
    <row r="25" spans="2:14" s="2" customFormat="1" ht="10.5" customHeight="1">
      <c r="B25" s="73"/>
      <c r="D25" s="21"/>
      <c r="E25" s="21"/>
      <c r="F25" s="21"/>
      <c r="G25" s="21"/>
      <c r="M25" s="72"/>
      <c r="N25" s="72"/>
    </row>
    <row r="26" spans="2:14" s="8" customFormat="1" ht="12.75" customHeight="1">
      <c r="B26" s="74" t="s">
        <v>42</v>
      </c>
      <c r="D26" s="18"/>
      <c r="E26" s="18"/>
      <c r="F26" s="18"/>
      <c r="G26" s="18"/>
    </row>
    <row r="27" spans="2:14" ht="10.5" customHeight="1">
      <c r="D27" s="68"/>
      <c r="E27" s="68"/>
      <c r="F27" s="68"/>
      <c r="G27" s="68"/>
      <c r="M27" s="2"/>
      <c r="N27" s="2"/>
    </row>
    <row r="28" spans="2:14" ht="10.5" customHeight="1">
      <c r="D28" s="68"/>
      <c r="E28" s="68"/>
      <c r="F28" s="68"/>
      <c r="G28" s="68"/>
      <c r="H28" s="179" t="str">
        <f>'Input | General'!D18</f>
        <v>2022-23</v>
      </c>
      <c r="I28" s="179" t="str">
        <f>'Input | General'!E18</f>
        <v>2023–24</v>
      </c>
      <c r="J28" s="179" t="str">
        <f>'Input | General'!F18</f>
        <v>2024–25</v>
      </c>
      <c r="K28" s="179" t="str">
        <f>'Input | General'!G18</f>
        <v>2025–26</v>
      </c>
      <c r="L28" s="179" t="str">
        <f>'Input | General'!H18</f>
        <v>2026–27</v>
      </c>
      <c r="M28" s="2"/>
      <c r="N28" s="2"/>
    </row>
    <row r="29" spans="2:14" s="17" customFormat="1" ht="10.5" customHeight="1">
      <c r="C29" s="16"/>
      <c r="D29" s="68"/>
      <c r="E29" s="68"/>
      <c r="F29" s="68"/>
      <c r="G29" s="68"/>
      <c r="M29" s="19"/>
      <c r="N29" s="19"/>
    </row>
    <row r="30" spans="2:14" ht="11.25" customHeight="1">
      <c r="C30" s="84" t="s">
        <v>85</v>
      </c>
      <c r="D30" s="65" t="s">
        <v>86</v>
      </c>
      <c r="E30" s="78" t="s">
        <v>50</v>
      </c>
      <c r="F30" s="78" t="s">
        <v>53</v>
      </c>
      <c r="G30" s="68"/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2"/>
      <c r="N30" s="2"/>
    </row>
    <row r="31" spans="2:14" ht="11.25" customHeight="1">
      <c r="C31" s="84" t="s">
        <v>85</v>
      </c>
      <c r="D31" s="65" t="s">
        <v>60</v>
      </c>
      <c r="E31" s="78" t="s">
        <v>50</v>
      </c>
      <c r="F31" s="78" t="str">
        <f>'Input | Inflation and Disc Rate'!$F$7</f>
        <v>2016–17</v>
      </c>
      <c r="G31" s="68"/>
      <c r="H31" s="150">
        <f>IF(H30&lt;&gt;"",H30/('Input | Inflation and Disc Rate'!K10*(1+'Input | Inflation and Disc Rate'!L9)^0.5),"")</f>
        <v>0</v>
      </c>
      <c r="I31" s="150">
        <f>IF(I30&lt;&gt;"",I30/('Input | Inflation and Disc Rate'!L10*(1+'Input | Inflation and Disc Rate'!M9)^0.5),"")</f>
        <v>0</v>
      </c>
      <c r="J31" s="150">
        <f>IF(J30&lt;&gt;"",J30/('Input | Inflation and Disc Rate'!M10*(1+'Input | Inflation and Disc Rate'!N9)^0.5),"")</f>
        <v>0</v>
      </c>
      <c r="K31" s="150">
        <f>IF(K30&lt;&gt;"",K30/('Input | Inflation and Disc Rate'!N10*(1+'Input | Inflation and Disc Rate'!O9)^0.5),"")</f>
        <v>0</v>
      </c>
      <c r="L31" s="150">
        <f>IF(L30&lt;&gt;"",L30/('Input | Inflation and Disc Rate'!O10*(1+'Input | Inflation and Disc Rate'!P9)^0.5),"")</f>
        <v>0</v>
      </c>
      <c r="M31" s="2"/>
      <c r="N31" s="2"/>
    </row>
    <row r="32" spans="2:14" ht="11.25" customHeight="1">
      <c r="C32" s="84" t="s">
        <v>85</v>
      </c>
      <c r="D32" s="65" t="s">
        <v>49</v>
      </c>
      <c r="E32" s="78" t="s">
        <v>50</v>
      </c>
      <c r="F32" s="78" t="s">
        <v>53</v>
      </c>
      <c r="G32" s="68"/>
      <c r="H32" s="150">
        <f>IF(H30&lt;&gt;"",H31*'Input | Inflation and Disc Rate'!K15*(1+'Input | Inflation and Disc Rate'!L14)^0.5,"")</f>
        <v>0</v>
      </c>
      <c r="I32" s="150">
        <f>IF(I30&lt;&gt;"",I31*'Input | Inflation and Disc Rate'!L15*(1+'Input | Inflation and Disc Rate'!M14)^0.5,"")</f>
        <v>0</v>
      </c>
      <c r="J32" s="150">
        <f>IF(J30&lt;&gt;"",J31*'Input | Inflation and Disc Rate'!M15*(1+'Input | Inflation and Disc Rate'!N14)^0.5,"")</f>
        <v>0</v>
      </c>
      <c r="K32" s="150">
        <f>IF(K30&lt;&gt;"",K31*'Input | Inflation and Disc Rate'!N15*(1+'Input | Inflation and Disc Rate'!O14)^0.5,"")</f>
        <v>0</v>
      </c>
      <c r="L32" s="150">
        <f>IF(L30&lt;&gt;"",L31*'Input | Inflation and Disc Rate'!O15*(1+'Input | Inflation and Disc Rate'!P14)^0.5,"")</f>
        <v>0</v>
      </c>
      <c r="M32" s="2"/>
      <c r="N32" s="2"/>
    </row>
    <row r="33" spans="1:14" ht="10.5" customHeight="1">
      <c r="D33" s="68"/>
      <c r="E33" s="68"/>
      <c r="F33" s="68"/>
      <c r="G33" s="68"/>
      <c r="M33" s="72"/>
      <c r="N33" s="72"/>
    </row>
    <row r="34" spans="1:14" s="62" customFormat="1" ht="12.75" customHeight="1">
      <c r="A34" s="8"/>
      <c r="B34" s="29" t="s">
        <v>34</v>
      </c>
      <c r="D34" s="63"/>
      <c r="E34" s="63"/>
      <c r="F34" s="63"/>
    </row>
    <row r="35" spans="1:14" ht="10.5" hidden="1" customHeight="1"/>
    <row r="37" spans="1:14" s="2" customFormat="1" ht="18" hidden="1" customHeight="1"/>
    <row r="40" spans="1:14" s="17" customFormat="1" ht="18" hidden="1" customHeight="1"/>
    <row r="45" spans="1:14" s="17" customFormat="1" ht="18" hidden="1" customHeight="1"/>
    <row r="49" spans="3:14" ht="18" customHeight="1"/>
    <row r="52" spans="3:14" s="2" customFormat="1" ht="18" hidden="1" customHeight="1"/>
    <row r="56" spans="3:14" s="17" customFormat="1" ht="18" hidden="1" customHeight="1"/>
    <row r="64" spans="3:14" ht="18" hidden="1" customHeight="1">
      <c r="C64" s="21"/>
      <c r="D64" s="21"/>
      <c r="E64" s="21"/>
      <c r="F64" s="21"/>
      <c r="G64" s="21"/>
      <c r="H64" s="2"/>
      <c r="I64" s="2"/>
      <c r="J64" s="2"/>
      <c r="K64" s="2"/>
      <c r="L64" s="2"/>
      <c r="M64" s="2"/>
      <c r="N64" s="2"/>
    </row>
    <row r="65" spans="3:14" ht="18" hidden="1" customHeight="1">
      <c r="C65" s="21"/>
      <c r="D65" s="21"/>
      <c r="E65" s="21"/>
      <c r="F65" s="21"/>
      <c r="G65" s="21"/>
      <c r="H65" s="19"/>
      <c r="I65" s="19"/>
      <c r="J65" s="19"/>
      <c r="K65" s="19"/>
      <c r="L65" s="19"/>
      <c r="M65" s="19"/>
      <c r="N65" s="19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>
      <c r="C69" s="21"/>
      <c r="D69" s="21"/>
      <c r="E69" s="21"/>
      <c r="F69" s="21"/>
      <c r="G69" s="21"/>
      <c r="H69" s="2"/>
      <c r="I69" s="2"/>
      <c r="J69" s="2"/>
      <c r="K69" s="2"/>
      <c r="L69" s="2"/>
      <c r="M69" s="2"/>
      <c r="N69" s="2"/>
    </row>
  </sheetData>
  <conditionalFormatting sqref="H8:H10 I8:L9">
    <cfRule type="expression" dxfId="7" priority="19">
      <formula>IF($H$6&lt;&gt;"","FALSE","TRUE")</formula>
    </cfRule>
  </conditionalFormatting>
  <conditionalFormatting sqref="H18:L19">
    <cfRule type="expression" dxfId="6" priority="14">
      <formula>IF($H$6&lt;&gt;"","FALSE","TRUE")</formula>
    </cfRule>
  </conditionalFormatting>
  <conditionalFormatting sqref="H20:H21">
    <cfRule type="expression" dxfId="5" priority="9">
      <formula>IF($H$6&lt;&gt;"","FALSE","TRUE")</formula>
    </cfRule>
  </conditionalFormatting>
  <conditionalFormatting sqref="I10:L10">
    <cfRule type="expression" dxfId="4" priority="5">
      <formula>IF($H$6&lt;&gt;"","FALSE","TRUE")</formula>
    </cfRule>
  </conditionalFormatting>
  <conditionalFormatting sqref="I20:L21">
    <cfRule type="expression" dxfId="3" priority="4">
      <formula>IF($H$6&lt;&gt;"","FALSE","TRUE")</formula>
    </cfRule>
  </conditionalFormatting>
  <conditionalFormatting sqref="H30:L30">
    <cfRule type="expression" dxfId="2" priority="3">
      <formula>IF($H$6&lt;&gt;"","FALSE","TRUE")</formula>
    </cfRule>
  </conditionalFormatting>
  <conditionalFormatting sqref="H22">
    <cfRule type="expression" dxfId="1" priority="2">
      <formula>IF($H$6&lt;&gt;"","FALSE","TRUE")</formula>
    </cfRule>
  </conditionalFormatting>
  <conditionalFormatting sqref="I22:L22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="115" zoomScaleNormal="115" workbookViewId="0">
      <selection activeCell="H8" sqref="H8"/>
    </sheetView>
  </sheetViews>
  <sheetFormatPr defaultColWidth="0" defaultRowHeight="0" customHeight="1" zeroHeight="1"/>
  <cols>
    <col min="1" max="2" width="1.25" style="2" customWidth="1"/>
    <col min="3" max="3" width="70.75" style="9" customWidth="1"/>
    <col min="4" max="8" width="12.5" style="2" customWidth="1"/>
    <col min="9" max="9" width="2.25" style="2" customWidth="1"/>
    <col min="10" max="10" width="12.5" style="1" customWidth="1"/>
    <col min="11" max="14" width="12.5" style="2" customWidth="1"/>
    <col min="15" max="16" width="2.75" style="2" customWidth="1"/>
    <col min="17" max="16382" width="0" style="2" hidden="1"/>
    <col min="16383" max="16384" width="14.25" style="2" hidden="1"/>
  </cols>
  <sheetData>
    <row r="1" spans="2:23" s="11" customFormat="1" ht="18" customHeight="1">
      <c r="B1" s="3" t="str">
        <f>'Input | General'!$B$1</f>
        <v>Victorian TNSP 2023-27 Regulatory Proposal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2017–18</v>
      </c>
      <c r="E7" s="179" t="str">
        <f>IF('Input | General'!E14="Yes",'Input | General'!E13,"n/a")</f>
        <v>2018–19</v>
      </c>
      <c r="F7" s="179" t="str">
        <f>IF('Input | General'!F14="Yes",'Input | General'!F13,"n/a")</f>
        <v>2019–20</v>
      </c>
      <c r="G7" s="179" t="str">
        <f>IF('Input | General'!G14="Yes",'Input | General'!G13,"n/a")</f>
        <v>2020–21</v>
      </c>
      <c r="H7" s="184" t="str">
        <f>IF('Input | General'!H14="Yes",'Input | General'!H13,"n/a")</f>
        <v>2021–22</v>
      </c>
      <c r="I7" s="97"/>
    </row>
    <row r="8" spans="2:23" ht="11.25" customHeight="1">
      <c r="C8" s="145" t="s">
        <v>94</v>
      </c>
      <c r="D8" s="166">
        <f>'Input | Inflation and Disc Rate'!G20</f>
        <v>3.3220820087888514E-2</v>
      </c>
      <c r="E8" s="167">
        <f>'Input | Inflation and Disc Rate'!H20</f>
        <v>3.3279987102855291E-2</v>
      </c>
      <c r="F8" s="167">
        <f>'Input | Inflation and Disc Rate'!I20</f>
        <v>3.3176000712503706E-2</v>
      </c>
      <c r="G8" s="167">
        <f>'Input | Inflation and Disc Rate'!J20</f>
        <v>3.2328199973441274E-2</v>
      </c>
      <c r="H8" s="168">
        <f>'Input | Inflation and Disc Rate'!K20</f>
        <v>3.1048962640370714E-2</v>
      </c>
      <c r="I8" s="97"/>
      <c r="J8" s="79"/>
      <c r="K8" s="79"/>
    </row>
    <row r="9" spans="2:23" ht="11.25" customHeight="1">
      <c r="C9" s="148" t="s">
        <v>95</v>
      </c>
      <c r="D9" s="167">
        <f>'Input | Inflation and Disc Rate'!G22</f>
        <v>5.2109683343608548E-2</v>
      </c>
      <c r="E9" s="167">
        <f>'Input | Inflation and Disc Rate'!H22</f>
        <v>5.2758335154165836E-2</v>
      </c>
      <c r="F9" s="167">
        <f>'Input | Inflation and Disc Rate'!I22</f>
        <v>5.0471457993153557E-2</v>
      </c>
      <c r="G9" s="167">
        <f>'Input | Inflation and Disc Rate'!J22</f>
        <v>3.9484721290414804E-2</v>
      </c>
      <c r="H9" s="168">
        <f>'Input | Inflation and Disc Rate'!K22</f>
        <v>5.5792120032501114E-2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186.34200950112827</v>
      </c>
      <c r="E10" s="170">
        <f>'Input | Reported Capex'!I$12*'Input | Inflation and Disc Rate'!H$15*(1+'Input | Inflation and Disc Rate'!H$20)^0.5</f>
        <v>165.83213884899229</v>
      </c>
      <c r="F10" s="170">
        <f>'Input | Reported Capex'!J$12*'Input | Inflation and Disc Rate'!I$15*(1+'Input | Inflation and Disc Rate'!I$20)^0.5</f>
        <v>164.19928715302945</v>
      </c>
      <c r="G10" s="170">
        <f>'Input | Reported Capex'!K$12*'Input | Inflation and Disc Rate'!J$15*(1+'Input | Inflation and Disc Rate'!J$20)^0.5</f>
        <v>153.86039493290644</v>
      </c>
      <c r="H10" s="171">
        <f>'Input | Reported Capex'!L$12*'Input | Inflation and Disc Rate'!K$15*(1+'Input | Inflation and Disc Rate'!K$20)^0.5</f>
        <v>118.25966563396941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Capex'!H24*(1+D$9)^0.5</f>
        <v>131.01477346944466</v>
      </c>
      <c r="E11" s="170">
        <f>'Input | Reported Capex'!I24*(1+E$9)^0.5</f>
        <v>145.02579264253032</v>
      </c>
      <c r="F11" s="170">
        <f>'Input | Reported Capex'!J24*(1+F$9)^0.5</f>
        <v>196.86501882315824</v>
      </c>
      <c r="G11" s="170">
        <f>'Input | Reported Capex'!K24*(1+G$9)^0.5</f>
        <v>136.36338636661424</v>
      </c>
      <c r="H11" s="171">
        <f>'Input | Reported Capex'!L24*(1+H$9)^0.5</f>
        <v>137.40313641292994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55.327236031683611</v>
      </c>
      <c r="E12" s="146">
        <f>(E10-E11)</f>
        <v>20.806346206461967</v>
      </c>
      <c r="F12" s="146">
        <f>(F10-F11)</f>
        <v>-32.665731670128793</v>
      </c>
      <c r="G12" s="146">
        <f>(G10-G11)</f>
        <v>17.497008566292209</v>
      </c>
      <c r="H12" s="151">
        <f>(H10-H11)</f>
        <v>-19.143470778960534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1.8412897015710612</v>
      </c>
      <c r="F13" s="146">
        <f>$D$12*$F$8*(1+'Input | Inflation and Disc Rate'!H13)</f>
        <v>1.8701380960314862</v>
      </c>
      <c r="G13" s="146">
        <f>$D$12*$G$8*(1+'Input | Inflation and Disc Rate'!H13)*(1+'Input | Inflation and Disc Rate'!I13)</f>
        <v>1.8528536470136459</v>
      </c>
      <c r="H13" s="151">
        <f>$D$12*$H$8*(1+'Input | Inflation and Disc Rate'!H13)*(1+'Input | Inflation and Disc Rate'!I13)*(1+'Input | Inflation and Disc Rate'!J13)</f>
        <v>1.7918720975212179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0.69027135657018102</v>
      </c>
      <c r="G14" s="146">
        <f>$E$12*G$8*(1+'Input | Inflation and Disc Rate'!I13)</f>
        <v>0.68389163514937745</v>
      </c>
      <c r="H14" s="151">
        <f>$E$12*H$8*(1+'Input | Inflation and Disc Rate'!I13)*(1+'Input | Inflation and Disc Rate'!J13)</f>
        <v>0.66138323484288952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-1.0560243057106975</v>
      </c>
      <c r="H15" s="151">
        <f>$F$12*$H$8*(1+'Input | Inflation and Disc Rate'!J13)</f>
        <v>-1.021268188535605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0.5432639652930531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1.8412897015710612</v>
      </c>
      <c r="F18" s="152">
        <f>SUM(F13:F17)</f>
        <v>2.5604094526016672</v>
      </c>
      <c r="G18" s="152">
        <f>SUM(G13:G17)</f>
        <v>1.4807209764523259</v>
      </c>
      <c r="H18" s="153">
        <f>SUM(H13:H17)</f>
        <v>1.9752511091215554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93</v>
      </c>
      <c r="D19" s="126">
        <f>E19*(1+E$9)</f>
        <v>1.2136947463439935</v>
      </c>
      <c r="E19" s="152">
        <f>F19*(1+F$9)</f>
        <v>1.15287118212772</v>
      </c>
      <c r="F19" s="152">
        <f>G19*(1+G$9)</f>
        <v>1.0974797776326006</v>
      </c>
      <c r="G19" s="152">
        <f>H19*(1+H$9)</f>
        <v>1.0557921200325011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67.150375701388498</v>
      </c>
      <c r="E20" s="146">
        <f>E12*E19</f>
        <v>23.987036946802409</v>
      </c>
      <c r="F20" s="146">
        <f>F12*F19</f>
        <v>-35.849979929539145</v>
      </c>
      <c r="G20" s="146">
        <f>G12*G19</f>
        <v>18.473203768432484</v>
      </c>
      <c r="H20" s="151">
        <f>H12*H19</f>
        <v>-19.143470778960534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2.1227698348898261</v>
      </c>
      <c r="F21" s="152">
        <f>F18*F19</f>
        <v>2.8099975966896866</v>
      </c>
      <c r="G21" s="152">
        <f>G18*G19</f>
        <v>1.5633335389051963</v>
      </c>
      <c r="H21" s="153">
        <f>H18*H19</f>
        <v>1.9752511091215554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2022-23</v>
      </c>
      <c r="E24" s="185" t="str">
        <f>'Input | General'!$E$18</f>
        <v>2023–24</v>
      </c>
      <c r="F24" s="185" t="str">
        <f>'Input | General'!$F$18</f>
        <v>2024–25</v>
      </c>
      <c r="G24" s="185" t="str">
        <f>'Input | General'!$G$18</f>
        <v>2025–26</v>
      </c>
      <c r="H24" s="186" t="str">
        <f>'Input | General'!$H$18</f>
        <v>2026–27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4.501004368245165E-2</v>
      </c>
      <c r="E25" s="173">
        <f>'Input | Inflation and Disc Rate'!M$22</f>
        <v>4.3818896579591815E-2</v>
      </c>
      <c r="F25" s="173">
        <f>'Input | Inflation and Disc Rate'!N$22</f>
        <v>4.2627749476732202E-2</v>
      </c>
      <c r="G25" s="173">
        <f>'Input | Inflation and Disc Rate'!O$22</f>
        <v>4.1436602373872589E-2</v>
      </c>
      <c r="H25" s="174">
        <f>'Input | Inflation and Disc Rate'!P$22</f>
        <v>4.0245455271012753E-2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Capex'!H32</f>
        <v>0</v>
      </c>
      <c r="E26" s="170">
        <f>'Input | Reported Capex'!I32</f>
        <v>0</v>
      </c>
      <c r="F26" s="170">
        <f>'Input | Reported Capex'!J32</f>
        <v>0</v>
      </c>
      <c r="G26" s="170">
        <f>'Input | Reported Capex'!K32</f>
        <v>0</v>
      </c>
      <c r="H26" s="171">
        <f>'Input | Reported Capex'!L32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0.97822727514142471</v>
      </c>
      <c r="E27" s="124">
        <f>1/((1+E25)^(0.5)*(1+D25))</f>
        <v>0.93662761496320901</v>
      </c>
      <c r="F27" s="124">
        <f>1/((1+F25)^(0.5)*(1+E25)*(1+D25))</f>
        <v>0.89782096213030338</v>
      </c>
      <c r="G27" s="124">
        <f>1/((1+G25)^(0.5)*(1+F25)*(1+E25)*(1+D25))</f>
        <v>0.86160593647546624</v>
      </c>
      <c r="H27" s="125">
        <f>1/((1+H25)^(0.5)*(1+G25)*(1+F25)*(1+E25)*(1+D25))</f>
        <v>0.82779795729492689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>E26*E27</f>
        <v>0</v>
      </c>
      <c r="F28" s="91">
        <f>F26*F27</f>
        <v>0</v>
      </c>
      <c r="G28" s="91">
        <f>G26*G27</f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54.617165708123707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38.232015995686595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16.385149712437112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8.4713520796062642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7.9137976328308479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2022-23</v>
      </c>
      <c r="E40" s="187" t="str">
        <f>'Input | General'!E18</f>
        <v>2023–24</v>
      </c>
      <c r="F40" s="187" t="str">
        <f>'Input | General'!F18</f>
        <v>2024–25</v>
      </c>
      <c r="G40" s="187" t="str">
        <f>'Input | General'!G18</f>
        <v>2025–26</v>
      </c>
      <c r="H40" s="187" t="str">
        <f>'Input | General'!H18</f>
        <v>2026–27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99</v>
      </c>
      <c r="D41" s="175">
        <f>1/(1+'Input | Inflation and Disc Rate'!L21)</f>
        <v>0.97606131029186005</v>
      </c>
      <c r="E41" s="175">
        <f>D41/(1+'Input | Inflation and Disc Rate'!M21)</f>
        <v>0.95378284389090551</v>
      </c>
      <c r="F41" s="175">
        <f>E41/(1+'Input | Inflation and Disc Rate'!N21)</f>
        <v>0.93307765591048275</v>
      </c>
      <c r="G41" s="175">
        <f>F41/(1+'Input | Inflation and Disc Rate'!O21)</f>
        <v>0.91386598995126311</v>
      </c>
      <c r="H41" s="176">
        <f>G41/(1+'Input | Inflation and Disc Rate'!P21)</f>
        <v>0.89607477285062243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($2021–22 million)</v>
      </c>
      <c r="D42" s="110">
        <f>D36/(SUM(D41:H41))</f>
        <v>1.6935652417288509</v>
      </c>
      <c r="E42" s="110">
        <f>D42</f>
        <v>1.6935652417288509</v>
      </c>
      <c r="F42" s="110">
        <f>E42</f>
        <v>1.6935652417288509</v>
      </c>
      <c r="G42" s="110">
        <f>F42</f>
        <v>1.6935652417288509</v>
      </c>
      <c r="H42" s="149">
        <f>G42</f>
        <v>1.6935652417288509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($2021–22 million)</v>
      </c>
      <c r="D44" s="158">
        <f>SUM(D42:H42)</f>
        <v>8.4678262086442544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zoomScale="115" zoomScaleNormal="115" workbookViewId="0">
      <selection activeCell="J8" sqref="J8"/>
    </sheetView>
  </sheetViews>
  <sheetFormatPr defaultColWidth="0" defaultRowHeight="11.25" customHeight="1" zeroHeight="1"/>
  <cols>
    <col min="1" max="2" width="1.25" style="51" customWidth="1"/>
    <col min="3" max="3" width="35.875" style="51" customWidth="1"/>
    <col min="4" max="4" width="23.375" style="52" customWidth="1"/>
    <col min="5" max="5" width="13.375" style="52" customWidth="1"/>
    <col min="6" max="6" width="8.875" style="52" customWidth="1"/>
    <col min="7" max="9" width="2.75" style="52" customWidth="1"/>
    <col min="10" max="15" width="9.25" style="51" customWidth="1"/>
    <col min="16" max="17" width="2.875" style="51" customWidth="1"/>
    <col min="18" max="24" width="9.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Victorian TNSP 2023-27 Regulatory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196"/>
      <c r="K3" s="196"/>
      <c r="L3" s="196"/>
      <c r="M3" s="42"/>
      <c r="N3" s="196"/>
      <c r="O3" s="196"/>
      <c r="P3" s="196"/>
      <c r="Q3" s="196"/>
      <c r="R3" s="196"/>
      <c r="S3" s="196"/>
      <c r="T3" s="196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2022-23</v>
      </c>
      <c r="K6" s="188" t="str">
        <f>'Calc | CESS Revenue Increments'!E40</f>
        <v>2023–24</v>
      </c>
      <c r="L6" s="188" t="str">
        <f>'Calc | CESS Revenue Increments'!F40</f>
        <v>2024–25</v>
      </c>
      <c r="M6" s="188" t="str">
        <f>'Calc | CESS Revenue Increments'!G40</f>
        <v>2025–26</v>
      </c>
      <c r="N6" s="188" t="str">
        <f>'Calc | CESS Revenue Increments'!H40</f>
        <v>2026–27</v>
      </c>
      <c r="O6" s="56" t="s">
        <v>87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2021–22</v>
      </c>
      <c r="H8" s="55"/>
      <c r="I8" s="55"/>
      <c r="J8" s="133">
        <f>'Calc | CESS Revenue Increments'!D42</f>
        <v>1.6935652417288509</v>
      </c>
      <c r="K8" s="133">
        <f>'Calc | CESS Revenue Increments'!E42</f>
        <v>1.6935652417288509</v>
      </c>
      <c r="L8" s="133">
        <f>'Calc | CESS Revenue Increments'!F42</f>
        <v>1.6935652417288509</v>
      </c>
      <c r="M8" s="133">
        <f>'Calc | CESS Revenue Increments'!G42</f>
        <v>1.6935652417288509</v>
      </c>
      <c r="N8" s="133">
        <f>'Calc | CESS Revenue Increments'!H42</f>
        <v>1.6935652417288509</v>
      </c>
      <c r="O8" s="60">
        <f>SUM(J8:N8)</f>
        <v>8.4678262086442544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B762DC-160D-4994-A3B4-233FB2B872AE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FINAL RIN templates</dc:subject>
  <dc:creator>AER</dc:creator>
  <cp:keywords>DNSP; Reset; CESS; 2021-25; QLD</cp:keywords>
  <dc:description>6. CESS model based on FINAL RIN issued to Ergon in Qld/SA Reset 2021-25</dc:description>
  <cp:lastModifiedBy>Steven Martin</cp:lastModifiedBy>
  <dcterms:created xsi:type="dcterms:W3CDTF">2017-09-22T02:00:05Z</dcterms:created>
  <dcterms:modified xsi:type="dcterms:W3CDTF">2021-08-31T05:51:39Z</dcterms:modified>
  <cp:category>DNSP;Reset;CESS;2021-25;QLD</cp:category>
  <cp:contentStatus>20190208 - final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