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B:\Price Review\2023-27 TRR\15.0 TRR 2023 - Revised Proposal Development\Supporting Models\"/>
    </mc:Choice>
  </mc:AlternateContent>
  <xr:revisionPtr revIDLastSave="0" documentId="13_ncr:1_{7FEE6127-A8BF-4F52-89E9-387DF06E4AEF}" xr6:coauthVersionLast="47" xr6:coauthVersionMax="47" xr10:uidLastSave="{00000000-0000-0000-0000-000000000000}"/>
  <bookViews>
    <workbookView xWindow="-108" yWindow="-108" windowWidth="23256" windowHeight="12576" tabRatio="691" firstSheet="2" activeTab="5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  <externalReference r:id="rId8"/>
    <externalReference r:id="rId9"/>
  </externalReferences>
  <definedNames>
    <definedName name="dollars">#REF!</definedName>
    <definedName name="factor">#REF!</definedName>
    <definedName name="MdoStgs" hidden="1">"{EEB762DC-160D-4994-A3B4-233FB2B872AE}"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1" i="3" l="1"/>
  <c r="K21" i="3"/>
  <c r="J21" i="3"/>
  <c r="I21" i="3"/>
  <c r="H21" i="3"/>
  <c r="K18" i="3"/>
  <c r="J18" i="3"/>
  <c r="I18" i="3"/>
  <c r="H18" i="3"/>
  <c r="L10" i="3"/>
  <c r="K10" i="3"/>
  <c r="J10" i="3"/>
  <c r="I10" i="3"/>
  <c r="H10" i="3"/>
  <c r="L8" i="3"/>
  <c r="K8" i="3"/>
  <c r="J8" i="3"/>
  <c r="I8" i="3"/>
  <c r="H8" i="3"/>
  <c r="H12" i="3" s="1"/>
  <c r="D10" i="4" s="1"/>
  <c r="H13" i="2"/>
  <c r="G13" i="2"/>
  <c r="F13" i="2"/>
  <c r="E13" i="2"/>
  <c r="D13" i="2"/>
  <c r="D18" i="2"/>
  <c r="E18" i="2"/>
  <c r="F18" i="2"/>
  <c r="G18" i="2"/>
  <c r="H18" i="2"/>
  <c r="G7" i="13"/>
  <c r="F7" i="13"/>
  <c r="F31" i="3"/>
  <c r="F10" i="3"/>
  <c r="F9" i="3"/>
  <c r="F12" i="3"/>
  <c r="F8" i="3"/>
  <c r="M7" i="13"/>
  <c r="N7" i="13"/>
  <c r="O7" i="13"/>
  <c r="P7" i="13"/>
  <c r="L7" i="13"/>
  <c r="H7" i="13"/>
  <c r="I7" i="13"/>
  <c r="J7" i="13"/>
  <c r="K7" i="13"/>
  <c r="D18" i="4"/>
  <c r="D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/>
  <c r="I16" i="3"/>
  <c r="I12" i="3"/>
  <c r="L16" i="3"/>
  <c r="K16" i="3"/>
  <c r="K12" i="3"/>
  <c r="G10" i="4" s="1"/>
  <c r="J16" i="3"/>
  <c r="J12" i="3"/>
  <c r="F10" i="4" s="1"/>
  <c r="G22" i="13"/>
  <c r="D9" i="4" s="1"/>
  <c r="H22" i="13"/>
  <c r="I22" i="13"/>
  <c r="J22" i="13"/>
  <c r="K22" i="13"/>
  <c r="H9" i="4"/>
  <c r="H8" i="4"/>
  <c r="G19" i="4"/>
  <c r="M14" i="13"/>
  <c r="E9" i="4"/>
  <c r="M9" i="13"/>
  <c r="N9" i="13" s="1"/>
  <c r="O9" i="13" s="1"/>
  <c r="P9" i="13" s="1"/>
  <c r="C15" i="13"/>
  <c r="G15" i="13"/>
  <c r="H15" i="13"/>
  <c r="I15" i="13"/>
  <c r="J15" i="13"/>
  <c r="K15" i="13"/>
  <c r="C10" i="13"/>
  <c r="G8" i="4"/>
  <c r="F8" i="4"/>
  <c r="E8" i="4"/>
  <c r="F9" i="4"/>
  <c r="B1" i="2"/>
  <c r="B1" i="10"/>
  <c r="G9" i="4"/>
  <c r="D40" i="4"/>
  <c r="J6" i="10"/>
  <c r="F8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H28" i="3"/>
  <c r="I28" i="3"/>
  <c r="J28" i="3"/>
  <c r="K28" i="3"/>
  <c r="L28" i="3"/>
  <c r="C42" i="4"/>
  <c r="C44" i="4"/>
  <c r="G10" i="13"/>
  <c r="H10" i="13"/>
  <c r="I10" i="13"/>
  <c r="J10" i="13"/>
  <c r="K10" i="13"/>
  <c r="L10" i="13"/>
  <c r="M10" i="13" s="1"/>
  <c r="I31" i="3"/>
  <c r="I32" i="3" s="1"/>
  <c r="E26" i="4" s="1"/>
  <c r="E10" i="4"/>
  <c r="F19" i="4"/>
  <c r="E19" i="4"/>
  <c r="D19" i="4"/>
  <c r="N14" i="13"/>
  <c r="L15" i="13"/>
  <c r="M15" i="13"/>
  <c r="B1" i="5"/>
  <c r="B1" i="3"/>
  <c r="B1" i="13"/>
  <c r="B1" i="4"/>
  <c r="D21" i="4"/>
  <c r="H31" i="3"/>
  <c r="H32" i="3"/>
  <c r="D26" i="4" s="1"/>
  <c r="N15" i="13"/>
  <c r="O14" i="13"/>
  <c r="P14" i="13"/>
  <c r="O15" i="13"/>
  <c r="P15" i="13"/>
  <c r="K24" i="3"/>
  <c r="G11" i="4" s="1"/>
  <c r="L12" i="3" l="1"/>
  <c r="H10" i="4" s="1"/>
  <c r="N10" i="13"/>
  <c r="K31" i="3" s="1"/>
  <c r="K32" i="3" s="1"/>
  <c r="G26" i="4" s="1"/>
  <c r="J31" i="3"/>
  <c r="J32" i="3" s="1"/>
  <c r="F26" i="4" s="1"/>
  <c r="O10" i="13"/>
  <c r="G12" i="4"/>
  <c r="H16" i="4" s="1"/>
  <c r="P10" i="13" l="1"/>
  <c r="L31" i="3"/>
  <c r="L32" i="3" s="1"/>
  <c r="H26" i="4" s="1"/>
  <c r="G20" i="4"/>
  <c r="I24" i="3" l="1"/>
  <c r="E11" i="4" s="1"/>
  <c r="E12" i="4" s="1"/>
  <c r="J24" i="3"/>
  <c r="F11" i="4" s="1"/>
  <c r="F12" i="4" s="1"/>
  <c r="F20" i="4" l="1"/>
  <c r="H15" i="4"/>
  <c r="G15" i="4"/>
  <c r="E20" i="4"/>
  <c r="G14" i="4"/>
  <c r="H14" i="4"/>
  <c r="F14" i="4"/>
  <c r="H24" i="3"/>
  <c r="D11" i="4" s="1"/>
  <c r="D12" i="4" s="1"/>
  <c r="E13" i="4" l="1"/>
  <c r="E18" i="4" s="1"/>
  <c r="E21" i="4" s="1"/>
  <c r="F13" i="4"/>
  <c r="F18" i="4" s="1"/>
  <c r="F21" i="4" s="1"/>
  <c r="H13" i="4"/>
  <c r="H18" i="4" s="1"/>
  <c r="H21" i="4" s="1"/>
  <c r="G13" i="4"/>
  <c r="G18" i="4" s="1"/>
  <c r="G21" i="4" s="1"/>
  <c r="D20" i="4"/>
  <c r="D35" i="4" l="1"/>
  <c r="P22" i="13" l="1"/>
  <c r="H25" i="4" s="1"/>
  <c r="N22" i="13"/>
  <c r="F25" i="4" s="1"/>
  <c r="O22" i="13"/>
  <c r="G25" i="4" s="1"/>
  <c r="M22" i="13"/>
  <c r="E25" i="4" s="1"/>
  <c r="L22" i="13" l="1"/>
  <c r="D25" i="4" s="1"/>
  <c r="D27" i="4" s="1"/>
  <c r="D28" i="4" s="1"/>
  <c r="D41" i="4"/>
  <c r="E41" i="4" s="1"/>
  <c r="F41" i="4" s="1"/>
  <c r="G41" i="4" s="1"/>
  <c r="H41" i="4" s="1"/>
  <c r="F27" i="4"/>
  <c r="F28" i="4" s="1"/>
  <c r="G27" i="4"/>
  <c r="G28" i="4" s="1"/>
  <c r="H27" i="4" l="1"/>
  <c r="H28" i="4" s="1"/>
  <c r="E27" i="4"/>
  <c r="E28" i="4" s="1"/>
  <c r="L18" i="3" l="1"/>
  <c r="L24" i="3" s="1"/>
  <c r="H11" i="4" s="1"/>
  <c r="H12" i="4" s="1"/>
  <c r="H20" i="4" s="1"/>
  <c r="D31" i="4" s="1"/>
  <c r="D34" i="4" l="1"/>
  <c r="D36" i="4" s="1"/>
  <c r="D42" i="4" s="1"/>
  <c r="D33" i="4"/>
  <c r="J8" i="10" l="1"/>
  <c r="E42" i="4"/>
  <c r="F42" i="4" l="1"/>
  <c r="K8" i="10"/>
  <c r="G42" i="4" l="1"/>
  <c r="L8" i="10"/>
  <c r="M8" i="10" l="1"/>
  <c r="H42" i="4"/>
  <c r="N8" i="10" s="1"/>
  <c r="D44" i="4" l="1"/>
  <c r="O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Martin</author>
  </authors>
  <commentList>
    <comment ref="K13" authorId="0" shapeId="0" xr:uid="{E4FF6406-4095-48A9-ADA7-15375B592AE6}">
      <text>
        <r>
          <rPr>
            <b/>
            <sz val="9"/>
            <color indexed="81"/>
            <rFont val="Tahoma"/>
            <family val="2"/>
          </rPr>
          <t>Steven Martin:</t>
        </r>
        <r>
          <rPr>
            <sz val="9"/>
            <color indexed="81"/>
            <rFont val="Tahoma"/>
            <family val="2"/>
          </rPr>
          <t xml:space="preserve">
Update these current period AER inflation estimates with actual with ABS data when available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RG</author>
  </authors>
  <commentList>
    <comment ref="C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30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1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2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<sst xmlns="http://schemas.openxmlformats.org/spreadsheetml/2006/main" count="203" uniqueCount="106">
  <si>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</si>
  <si>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</si>
  <si>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</si>
  <si>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</si>
  <si>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</si>
  <si>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</si>
  <si>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</si>
  <si>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</si>
  <si>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</si>
  <si>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</si>
  <si>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</si>
  <si>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</si>
  <si>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</si>
  <si>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</si>
  <si>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</si>
  <si>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</si>
  <si>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</si>
  <si>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</si>
  <si>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</si>
  <si>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</si>
  <si>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</si>
  <si>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</si>
  <si>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</si>
  <si>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</si>
  <si>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</si>
  <si>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</si>
  <si>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</si>
  <si>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</si>
  <si>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</si>
  <si>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</si>
  <si>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</si>
  <si>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</si>
  <si>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</si>
  <si>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</si>
  <si>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</si>
  <si>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</si>
  <si>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</si>
  <si>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</si>
  <si>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</si>
  <si>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</si>
  <si>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</si>
  <si>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</si>
  <si>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</si>
  <si>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</si>
  <si>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</si>
  <si>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</si>
  <si>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</si>
  <si>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</si>
  <si>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</si>
  <si>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</si>
  <si>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</si>
  <si>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</si>
  <si>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</si>
  <si>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</si>
  <si>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</si>
  <si>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</si>
  <si>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</si>
  <si>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</si>
  <si>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</si>
  <si>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</si>
  <si>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</si>
  <si>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</si>
  <si>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</si>
  <si>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</si>
  <si>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</si>
  <si>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</si>
  <si>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</si>
  <si>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</si>
  <si>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</si>
  <si>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</si>
  <si>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</si>
  <si>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</si>
  <si>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</si>
  <si>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</si>
  <si>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</si>
  <si>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</si>
  <si>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</si>
  <si>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</si>
  <si>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</si>
  <si>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</si>
  <si>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</si>
  <si>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</si>
  <si>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</si>
  <si>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</si>
  <si>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</si>
  <si>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</si>
  <si>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</si>
  <si>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</si>
  <si>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</si>
  <si>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</si>
  <si>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</si>
  <si>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</si>
  <si>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</si>
  <si>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</si>
  <si>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</si>
  <si>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</si>
  <si>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</si>
  <si>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</si>
  <si>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</si>
  <si>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</si>
  <si>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</si>
  <si>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Regulatory Proposal</t>
  </si>
  <si>
    <t>Victorian TNSP</t>
  </si>
  <si>
    <t>2023-27</t>
  </si>
  <si>
    <t>2022-23</t>
  </si>
  <si>
    <t>Capitalised Leases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</si>
</sst>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6" formatCode="_(#\ ##0.00_);\(#\ ##0.00\);_(&quot;-&quot;_)"/>
    <numFmt numFmtId="187" formatCode="_-* #,##0.0000_-;\-* #,##0.0000_-;_-* &quot;-&quot;??_-;_-@_-"/>
    <numFmt numFmtId="188" formatCode="#,##0.000"/>
    <numFmt numFmtId="189" formatCode="0.000"/>
    <numFmt numFmtId="190" formatCode="_(* #,##0.0_);_(* \(#,##0.0\);_(* &quot;-&quot;?_);_(@_)"/>
    <numFmt numFmtId="191" formatCode="_-* #,##0.00000_-;\-* #,##0.00000_-;_-* &quot;-&quot;??_-;_-@_-"/>
    <numFmt numFmtId="192" formatCode="_(###0_);\(###0\);_(&quot;-&quot;_);_)@_)"/>
    <numFmt numFmtId="193" formatCode="_)d\-mmm\-yy_);_)d\-mmm\-yy_);_)&quot;-&quot;_);_)@_)"/>
    <numFmt numFmtId="194" formatCode="_(#,##0.0_);\(#,##0.0\);_(&quot;-&quot;_);_)@_)"/>
    <numFmt numFmtId="195" formatCode="_(#,##0.0%_);\(#,##0.0%\);_(&quot;-&quot;_);_)@_)"/>
    <numFmt numFmtId="196" formatCode="_(#,##0.0\x_);\(#,##0.0\x\);_(&quot;-&quot;_);_)@_)"/>
    <numFmt numFmtId="197" formatCode="_(&quot;$&quot;#,##0.0_);\(&quot;$&quot;#,##0.0\);_(&quot;-&quot;_);_)@_)"/>
  </numFmts>
  <fonts count="120">
    <font>
      <sz val="9"/>
      <color theme="1" tint="0.24994659260841701"/>
      <name val="Arial"/>
      <family val="2"/>
      <scheme val="minor"/>
    </font>
    <font>
      <sz val="11"/>
      <color rgb="FF3F3F76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Arial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 tint="0.24994659260841701"/>
      <name val="Arial"/>
      <family val="2"/>
      <scheme val="major"/>
    </font>
    <font>
      <b/>
      <sz val="10"/>
      <color theme="1" tint="0.24994659260841701"/>
      <name val="Arial"/>
      <family val="2"/>
      <scheme val="major"/>
    </font>
    <font>
      <sz val="9"/>
      <color theme="0"/>
      <name val="Arial"/>
      <family val="2"/>
      <scheme val="major"/>
    </font>
    <font>
      <b/>
      <sz val="9"/>
      <color theme="4" tint="-0.49995422223578601"/>
      <name val="Arial"/>
      <family val="2"/>
      <scheme val="major"/>
    </font>
    <font>
      <b/>
      <sz val="9"/>
      <color theme="1" tint="0.24994659260841701"/>
      <name val="Arial"/>
      <family val="2"/>
      <scheme val="major"/>
    </font>
    <font>
      <sz val="9"/>
      <color theme="1" tint="0.24994659260841701"/>
      <name val="Arial"/>
      <family val="2"/>
      <scheme val="major"/>
    </font>
    <font>
      <sz val="9"/>
      <color theme="1" tint="0.24994659260841701"/>
      <name val="Arial"/>
      <family val="2"/>
      <scheme val="minor"/>
    </font>
    <font>
      <sz val="9"/>
      <color theme="0"/>
      <name val="Arial"/>
      <family val="2"/>
      <scheme val="minor"/>
    </font>
    <font>
      <b/>
      <sz val="9"/>
      <color theme="1" tint="0.24994659260841701"/>
      <name val="Arial"/>
      <family val="2"/>
      <scheme val="minor"/>
    </font>
    <font>
      <u/>
      <sz val="9"/>
      <color theme="11"/>
      <name val="Arial"/>
      <family val="2"/>
      <scheme val="minor"/>
    </font>
    <font>
      <sz val="9"/>
      <color theme="11"/>
      <name val="Wingdings"/>
      <charset val="2"/>
    </font>
    <font>
      <b/>
      <u/>
      <sz val="9"/>
      <color theme="11"/>
      <name val="Arial"/>
      <family val="2"/>
      <scheme val="minor"/>
    </font>
    <font>
      <sz val="9"/>
      <color theme="11"/>
      <name val="Arial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0691854609822"/>
        <bgColor indexed="64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4" tint="-0.4999542222357860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95">
    <xf numFmtId="0" fontId="0" fillId="0" borderId="0" applyFill="0" applyBorder="0">
      <alignment vertical="center"/>
    </xf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4" fillId="0" borderId="0"/>
    <xf numFmtId="166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7" fontId="24" fillId="0" borderId="8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8" fontId="23" fillId="28" borderId="0" applyNumberFormat="0" applyFont="0" applyBorder="0" applyAlignment="0">
      <alignment horizontal="right"/>
    </xf>
    <xf numFmtId="168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69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5" fontId="17" fillId="37" borderId="0" applyProtection="0"/>
    <xf numFmtId="168" fontId="23" fillId="38" borderId="0" applyFont="0" applyBorder="0" applyAlignment="0">
      <alignment horizontal="right"/>
      <protection locked="0"/>
    </xf>
    <xf numFmtId="168" fontId="23" fillId="38" borderId="0" applyFont="0" applyBorder="0" applyAlignment="0">
      <alignment horizontal="right"/>
      <protection locked="0"/>
    </xf>
    <xf numFmtId="176" fontId="23" fillId="5" borderId="0" applyFont="0" applyBorder="0">
      <alignment horizontal="right"/>
      <protection locked="0"/>
    </xf>
    <xf numFmtId="176" fontId="23" fillId="5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7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8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79" fontId="23" fillId="0" borderId="0" applyFill="0" applyBorder="0"/>
    <xf numFmtId="179" fontId="23" fillId="0" borderId="0" applyFill="0" applyBorder="0"/>
    <xf numFmtId="179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0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1" fontId="23" fillId="0" borderId="0"/>
    <xf numFmtId="181" fontId="23" fillId="0" borderId="0"/>
    <xf numFmtId="181" fontId="23" fillId="0" borderId="0"/>
    <xf numFmtId="182" fontId="24" fillId="0" borderId="0" applyFill="0" applyBorder="0">
      <alignment horizontal="right" vertical="center"/>
    </xf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7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7" fontId="24" fillId="0" borderId="27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69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0" fontId="23" fillId="39" borderId="0" applyFont="0" applyBorder="0">
      <alignment horizontal="right"/>
    </xf>
    <xf numFmtId="174" fontId="23" fillId="39" borderId="0" applyFont="0" applyBorder="0" applyAlignment="0"/>
    <xf numFmtId="190" fontId="23" fillId="39" borderId="0" applyFont="0" applyBorder="0">
      <alignment horizontal="right"/>
    </xf>
    <xf numFmtId="168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8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4" fontId="51" fillId="49" borderId="0" applyBorder="0" applyAlignment="0">
      <protection locked="0"/>
    </xf>
    <xf numFmtId="174" fontId="96" fillId="50" borderId="0" applyBorder="0" applyAlignment="0"/>
    <xf numFmtId="190" fontId="97" fillId="28" borderId="35" applyFont="0" applyBorder="0" applyAlignment="0"/>
    <xf numFmtId="174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07" fillId="0" borderId="0" applyFill="0" applyBorder="0">
      <alignment vertical="center"/>
    </xf>
    <xf numFmtId="0" fontId="108" fillId="0" borderId="0" applyFill="0" applyBorder="0">
      <alignment vertical="center"/>
    </xf>
    <xf numFmtId="0" fontId="108" fillId="0" borderId="0" applyFill="0" applyBorder="0">
      <alignment vertical="center"/>
    </xf>
    <xf numFmtId="0" fontId="109" fillId="58" borderId="0" applyBorder="0">
      <alignment vertical="center"/>
    </xf>
    <xf numFmtId="0" fontId="110" fillId="59" borderId="44">
      <alignment vertical="center"/>
    </xf>
    <xf numFmtId="0" fontId="111" fillId="0" borderId="0" applyFill="0" applyBorder="0">
      <alignment vertical="center"/>
    </xf>
    <xf numFmtId="0" fontId="112" fillId="0" borderId="0" applyFill="0" applyBorder="0">
      <alignment vertical="center"/>
    </xf>
    <xf numFmtId="0" fontId="112" fillId="0" borderId="0" applyFill="0" applyBorder="0">
      <alignment vertical="center"/>
      <protection locked="0"/>
    </xf>
    <xf numFmtId="0" fontId="113" fillId="60" borderId="45">
      <alignment vertical="center"/>
      <protection locked="0"/>
    </xf>
    <xf numFmtId="192" fontId="113" fillId="60" borderId="45">
      <alignment vertical="center"/>
      <protection locked="0"/>
    </xf>
    <xf numFmtId="193" fontId="113" fillId="60" borderId="45">
      <alignment vertical="center"/>
      <protection locked="0"/>
    </xf>
    <xf numFmtId="194" fontId="113" fillId="60" borderId="45">
      <alignment vertical="center"/>
      <protection locked="0"/>
    </xf>
    <xf numFmtId="195" fontId="113" fillId="60" borderId="45">
      <alignment vertical="center"/>
      <protection locked="0"/>
    </xf>
    <xf numFmtId="196" fontId="113" fillId="60" borderId="45">
      <alignment vertical="center"/>
      <protection locked="0"/>
    </xf>
    <xf numFmtId="197" fontId="113" fillId="60" borderId="45">
      <alignment vertical="center"/>
      <protection locked="0"/>
    </xf>
    <xf numFmtId="0" fontId="11" fillId="0" borderId="0" applyNumberFormat="0" applyFont="0" applyFill="0" applyBorder="0">
      <alignment horizontal="center" vertical="center"/>
      <protection locked="0"/>
    </xf>
    <xf numFmtId="192" fontId="113" fillId="0" borderId="0" applyFill="0" applyBorder="0">
      <alignment vertical="center"/>
    </xf>
    <xf numFmtId="193" fontId="113" fillId="0" borderId="0" applyFill="0" applyBorder="0">
      <alignment vertical="center"/>
    </xf>
    <xf numFmtId="194" fontId="113" fillId="0" borderId="0" applyFill="0" applyBorder="0">
      <alignment vertical="center"/>
    </xf>
    <xf numFmtId="195" fontId="113" fillId="0" borderId="0" applyFill="0" applyBorder="0">
      <alignment vertical="center"/>
    </xf>
    <xf numFmtId="196" fontId="113" fillId="0" borderId="0" applyFill="0" applyBorder="0">
      <alignment vertical="center"/>
    </xf>
    <xf numFmtId="197" fontId="113" fillId="0" borderId="0" applyFill="0" applyBorder="0">
      <alignment vertical="center"/>
    </xf>
    <xf numFmtId="0" fontId="114" fillId="61" borderId="0" applyBorder="0">
      <alignment vertical="center"/>
    </xf>
    <xf numFmtId="0" fontId="115" fillId="0" borderId="6" applyFill="0">
      <alignment horizontal="center" vertical="center"/>
    </xf>
    <xf numFmtId="194" fontId="113" fillId="0" borderId="6" applyFill="0">
      <alignment horizontal="center" vertical="center"/>
    </xf>
    <xf numFmtId="0" fontId="113" fillId="0" borderId="6" applyFill="0">
      <alignment horizontal="center" vertical="center"/>
    </xf>
    <xf numFmtId="0" fontId="116" fillId="0" borderId="0" applyFill="0" applyBorder="0">
      <alignment vertical="center"/>
    </xf>
    <xf numFmtId="0" fontId="117" fillId="0" borderId="0" applyFill="0" applyBorder="0">
      <alignment horizontal="center" vertical="center"/>
    </xf>
    <xf numFmtId="0" fontId="117" fillId="0" borderId="0" applyFill="0" applyBorder="0">
      <alignment horizontal="center" vertical="center"/>
    </xf>
    <xf numFmtId="0" fontId="118" fillId="0" borderId="0" applyFill="0" applyBorder="0">
      <alignment vertical="center"/>
    </xf>
    <xf numFmtId="0" fontId="116" fillId="0" borderId="0" applyFill="0" applyBorder="0">
      <alignment vertical="center"/>
    </xf>
    <xf numFmtId="0" fontId="119" fillId="0" borderId="0" applyFill="0" applyBorder="0">
      <alignment vertical="center"/>
    </xf>
    <xf numFmtId="0" fontId="119" fillId="0" borderId="0" applyFill="0" applyBorder="0">
      <alignment vertical="center"/>
    </xf>
    <xf numFmtId="0" fontId="107" fillId="0" borderId="0" applyFill="0" applyBorder="0">
      <alignment vertical="center"/>
    </xf>
    <xf numFmtId="0" fontId="108" fillId="0" borderId="0" applyFill="0" applyBorder="0">
      <alignment vertical="center"/>
    </xf>
    <xf numFmtId="0" fontId="108" fillId="0" borderId="0" applyFill="0" applyBorder="0">
      <alignment vertical="center"/>
    </xf>
    <xf numFmtId="0" fontId="109" fillId="58" borderId="0" applyBorder="0">
      <alignment vertical="center"/>
    </xf>
    <xf numFmtId="0" fontId="111" fillId="62" borderId="0" applyBorder="0">
      <alignment vertical="center"/>
    </xf>
    <xf numFmtId="0" fontId="111" fillId="0" borderId="0" applyFill="0" applyBorder="0">
      <alignment vertical="center"/>
    </xf>
    <xf numFmtId="0" fontId="112" fillId="0" borderId="0" applyFill="0" applyBorder="0">
      <alignment vertical="center"/>
    </xf>
    <xf numFmtId="0" fontId="112" fillId="0" borderId="0" applyFill="0" applyBorder="0">
      <alignment vertical="center"/>
      <protection locked="0"/>
    </xf>
    <xf numFmtId="194" fontId="113" fillId="0" borderId="0" applyFill="0" applyBorder="0">
      <alignment vertical="center"/>
    </xf>
    <xf numFmtId="195" fontId="113" fillId="0" borderId="0" applyFill="0" applyBorder="0">
      <alignment vertical="center"/>
    </xf>
    <xf numFmtId="196" fontId="113" fillId="0" borderId="0" applyFill="0" applyBorder="0">
      <alignment vertical="center"/>
    </xf>
    <xf numFmtId="197" fontId="113" fillId="0" borderId="0" applyFill="0" applyBorder="0">
      <alignment vertical="center"/>
    </xf>
    <xf numFmtId="192" fontId="113" fillId="0" borderId="0" applyFill="0" applyBorder="0">
      <alignment vertical="center"/>
    </xf>
    <xf numFmtId="193" fontId="113" fillId="0" borderId="0" applyFill="0" applyBorder="0">
      <alignment vertical="center"/>
    </xf>
    <xf numFmtId="0" fontId="114" fillId="61" borderId="0" applyBorder="0">
      <alignment vertical="center"/>
    </xf>
    <xf numFmtId="0" fontId="116" fillId="0" borderId="0" applyFill="0" applyBorder="0">
      <alignment vertical="center"/>
    </xf>
    <xf numFmtId="0" fontId="117" fillId="0" borderId="0" applyFill="0" applyBorder="0">
      <alignment horizontal="center" vertical="center"/>
    </xf>
    <xf numFmtId="0" fontId="117" fillId="0" borderId="0" applyFill="0" applyBorder="0">
      <alignment horizontal="center" vertical="center"/>
    </xf>
    <xf numFmtId="0" fontId="118" fillId="0" borderId="0" applyFill="0" applyBorder="0">
      <alignment vertical="center"/>
    </xf>
    <xf numFmtId="0" fontId="116" fillId="0" borderId="0" applyFill="0" applyBorder="0">
      <alignment vertical="center"/>
    </xf>
    <xf numFmtId="0" fontId="119" fillId="0" borderId="0" applyFill="0" applyBorder="0">
      <alignment vertical="center"/>
    </xf>
    <xf numFmtId="0" fontId="119" fillId="0" borderId="0" applyFill="0" applyBorder="0">
      <alignment vertical="center"/>
    </xf>
    <xf numFmtId="0" fontId="113" fillId="0" borderId="0" applyFill="0" applyBorder="0">
      <alignment vertical="center"/>
    </xf>
  </cellStyleXfs>
  <cellXfs count="197">
    <xf numFmtId="0" fontId="0" fillId="0" borderId="0" xfId="0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0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6" fontId="20" fillId="0" borderId="24" xfId="55" applyNumberFormat="1" applyFont="1" applyFill="1" applyBorder="1" applyAlignment="1" applyProtection="1">
      <alignment horizontal="center" vertical="center"/>
    </xf>
    <xf numFmtId="187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8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89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>
      <alignment vertical="center"/>
    </xf>
    <xf numFmtId="0" fontId="91" fillId="3" borderId="0" xfId="0" applyFont="1" applyFill="1" applyBorder="1">
      <alignment vertical="center"/>
    </xf>
    <xf numFmtId="2" fontId="15" fillId="3" borderId="0" xfId="0" applyNumberFormat="1" applyFont="1" applyFill="1" applyBorder="1">
      <alignment vertical="center"/>
    </xf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>
      <alignment vertical="center"/>
    </xf>
    <xf numFmtId="2" fontId="15" fillId="0" borderId="4" xfId="0" applyNumberFormat="1" applyFont="1" applyBorder="1">
      <alignment vertical="center"/>
    </xf>
    <xf numFmtId="2" fontId="15" fillId="0" borderId="38" xfId="0" applyNumberFormat="1" applyFont="1" applyBorder="1">
      <alignment vertical="center"/>
    </xf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4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89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1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6" fontId="20" fillId="0" borderId="0" xfId="55" applyNumberFormat="1" applyFont="1" applyFill="1" applyBorder="1" applyAlignment="1" applyProtection="1">
      <alignment horizontal="center" vertical="center"/>
    </xf>
    <xf numFmtId="189" fontId="24" fillId="3" borderId="26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1" fillId="0" borderId="0" xfId="265" applyFont="1" applyFill="1" applyBorder="1" applyAlignment="1" applyProtection="1">
      <alignment horizontal="center" vertical="center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10" fontId="24" fillId="56" borderId="26" xfId="0" applyNumberFormat="1" applyFont="1" applyFill="1" applyBorder="1" applyAlignment="1">
      <alignment horizontal="center" vertical="center"/>
    </xf>
    <xf numFmtId="10" fontId="24" fillId="57" borderId="26" xfId="0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95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 Currency." xfId="353" xr:uid="{18EEFB71-8432-4007-BBEC-6C396F8D288A}"/>
    <cellStyle name="Assumption Date." xfId="349" xr:uid="{B1BBB37D-6F41-4F66-87A0-09C5EAD14304}"/>
    <cellStyle name="Assumption Heading." xfId="347" xr:uid="{2E981725-5085-4C22-AF49-321A7B135F12}"/>
    <cellStyle name="Assumption Multiple." xfId="352" xr:uid="{40718935-1FED-45C4-AA35-CCE1ADD1CF4A}"/>
    <cellStyle name="Assumption Number." xfId="350" xr:uid="{AADB3F33-7542-40AA-B41B-659513B35F7D}"/>
    <cellStyle name="Assumption Percentage." xfId="351" xr:uid="{DD1937FA-0DEF-4C6C-AA23-3066F73AC133}"/>
    <cellStyle name="Assumption Year." xfId="348" xr:uid="{F799E881-EC29-4076-8F8E-6A7805E7A923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ell Link." xfId="354" xr:uid="{BD73EAF9-87B5-4830-B2FF-EE1C0EFEFA28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Currency." xfId="360" xr:uid="{BE2CF122-F74C-45F5-8603-C55BD75397B7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Date." xfId="356" xr:uid="{7BBF973F-4BBA-4352-B159-DF073E7E727C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1." xfId="342" xr:uid="{2EE13962-A0F7-49E6-A54C-E8F7690660D5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2." xfId="343" xr:uid="{5D0D5B9A-6A1A-4603-A429-8524E34DB5ED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3." xfId="344" xr:uid="{44C6FB0B-C43C-4C70-8AA0-F781F894A0E7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 4." xfId="345" xr:uid="{82D134B6-854D-4381-8E48-79C8559AD6F6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Arrow." xfId="366" xr:uid="{83B2CBF4-8453-4031-8C74-3C140C03CE5C}"/>
    <cellStyle name="Hyperlink Check." xfId="367" xr:uid="{54B87400-9F42-40CA-A98C-15F69D95CD18}"/>
    <cellStyle name="Hyperlink Text" xfId="129" xr:uid="{00000000-0005-0000-0000-0000A6000000}"/>
    <cellStyle name="Hyperlink Text." xfId="365" xr:uid="{17A3B158-C58F-4574-9FEC-92F02655BEE8}"/>
    <cellStyle name="Hyperlink TOC 1." xfId="368" xr:uid="{C92297E9-843A-49EC-B393-C7BF3795ADCE}"/>
    <cellStyle name="Hyperlink TOC 2." xfId="369" xr:uid="{08BA12B7-0394-479D-85AE-432E91B2CC29}"/>
    <cellStyle name="Hyperlink TOC 3." xfId="370" xr:uid="{98F77A92-9C1A-4D19-90B9-FC2D27581751}"/>
    <cellStyle name="Hyperlink TOC 4." xfId="371" xr:uid="{9AB4C483-C1D0-448D-9C77-7DBE114D117B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Lookup Table Heading." xfId="362" xr:uid="{83151E8C-9E44-48E8-8FE2-130608A858A9}"/>
    <cellStyle name="Lookup Table Label." xfId="364" xr:uid="{D94D67A8-6EB1-48F2-89DE-1C1C33236A5F}"/>
    <cellStyle name="Lookup Table Number." xfId="363" xr:uid="{723CCD6A-BDD6-474F-B89D-761D3E2A38D6}"/>
    <cellStyle name="Mine" xfId="142" xr:uid="{00000000-0005-0000-0000-0000C5000000}"/>
    <cellStyle name="Model Name" xfId="143" xr:uid="{00000000-0005-0000-0000-0000C6000000}"/>
    <cellStyle name="Model Name." xfId="341" xr:uid="{B38CF14C-7FAB-41C2-829E-695C1E13B396}"/>
    <cellStyle name="Multiple." xfId="359" xr:uid="{C5EEA4BD-AC16-4676-82AF-2C3434A99C05}"/>
    <cellStyle name="Neutral 2" xfId="144" xr:uid="{00000000-0005-0000-0000-0000C7000000}"/>
    <cellStyle name="Normal" xfId="0" builtinId="0" customBuiltin="1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Number." xfId="357" xr:uid="{BD066CD1-FB5E-4E38-A767-B3D96A6C81EB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centage." xfId="358" xr:uid="{8968FA31-24A0-4702-88E7-1090EF223D70}"/>
    <cellStyle name="Period Title" xfId="195" xr:uid="{00000000-0005-0000-0000-00000E010000}"/>
    <cellStyle name="Period Title." xfId="361" xr:uid="{B46D7689-3B96-48F1-9BC0-1D7F53EBA28E}"/>
    <cellStyle name="Presentation Currency." xfId="383" xr:uid="{38F4508E-0090-4A76-A25B-9F9E3C01EAA0}"/>
    <cellStyle name="Presentation Date." xfId="385" xr:uid="{EE486CE0-59DC-4429-B84E-D2338B71AA91}"/>
    <cellStyle name="Presentation Heading 1." xfId="375" xr:uid="{C2C44C1D-6290-44AC-9BF2-00EB0540D938}"/>
    <cellStyle name="Presentation Heading 2." xfId="376" xr:uid="{B620A986-125E-4E95-841E-46942DA4AFEA}"/>
    <cellStyle name="Presentation Heading 3." xfId="377" xr:uid="{0DBDB3A6-F842-4DEC-B27B-01521D6C4C6B}"/>
    <cellStyle name="Presentation Heading 4." xfId="378" xr:uid="{09B6C2A4-69B1-4AB1-800D-DF315DC7FD36}"/>
    <cellStyle name="Presentation Hyperlink Arrow." xfId="388" xr:uid="{6FF212FE-6755-458F-BAA5-BF978D8CE279}"/>
    <cellStyle name="Presentation Hyperlink Check." xfId="389" xr:uid="{CC6A951C-5FCB-45C8-B618-25094DDA42B8}"/>
    <cellStyle name="Presentation Hyperlink Text." xfId="387" xr:uid="{B6BD0BE5-FEEC-4330-93FF-675CFE2316BB}"/>
    <cellStyle name="Presentation Model Name." xfId="374" xr:uid="{89B25BD8-DCE8-4C1C-9154-62E304892E56}"/>
    <cellStyle name="Presentation Multiple." xfId="382" xr:uid="{B51C3E0B-6A1C-4ABF-A346-D43CDC3A0736}"/>
    <cellStyle name="Presentation Normal." xfId="394" xr:uid="{725F402D-5208-4DCA-9CDD-558B1004BCB2}"/>
    <cellStyle name="Presentation Number." xfId="380" xr:uid="{539967F6-ED29-46CD-8592-38DB209325B2}"/>
    <cellStyle name="Presentation Percentage." xfId="381" xr:uid="{88509F81-216B-4ADD-8462-27D628273081}"/>
    <cellStyle name="Presentation Period Title." xfId="386" xr:uid="{7252CD68-0D36-4739-B053-DBE2C8D54472}"/>
    <cellStyle name="Presentation Section Number." xfId="373" xr:uid="{8602C8F7-E4AD-4F3F-9D61-EBE33864D1AD}"/>
    <cellStyle name="Presentation Sheet Title." xfId="372" xr:uid="{08962615-5485-4A4B-81B0-98F444EA1DC9}"/>
    <cellStyle name="Presentation Sub Total." xfId="379" xr:uid="{B2C5B180-D5B7-4BC0-AEB7-86E57C587713}"/>
    <cellStyle name="Presentation TOC 1." xfId="390" xr:uid="{8BF038EA-6BCD-43D3-84C5-71BC3485690A}"/>
    <cellStyle name="Presentation TOC 2." xfId="391" xr:uid="{DC6A69F6-FBE9-4C3F-8637-0BAA96343B67}"/>
    <cellStyle name="Presentation TOC 3." xfId="392" xr:uid="{C7240244-BF12-4C37-B9C8-8A5A0B5D0050}"/>
    <cellStyle name="Presentation TOC 4." xfId="393" xr:uid="{78459AC3-2645-4961-AE4F-1BBC421C18A2}"/>
    <cellStyle name="Presentation Year." xfId="384" xr:uid="{EDCBC710-9465-4E0F-924F-283304DB6515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ection Number." xfId="340" xr:uid="{4281442A-45C0-4A6A-89EA-F269089B21D9}"/>
    <cellStyle name="Sheet Title" xfId="223" xr:uid="{00000000-0005-0000-0000-00002A010000}"/>
    <cellStyle name="Sheet Title." xfId="339" xr:uid="{941BFCD7-C660-4D5D-B998-EE60E6623A36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Sub Total." xfId="346" xr:uid="{E0044578-05BD-4950-93BC-FB7F22E4BD04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." xfId="355" xr:uid="{0A64115E-33EA-4F21-8C4B-CC84AC143F9C}"/>
    <cellStyle name="year_29(d) - Gas extensions -tariffs" xfId="262" xr:uid="{00000000-0005-0000-0000-000052010000}"/>
  </cellStyles>
  <dxfs count="8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0404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E6E6E6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54F72"/>
      <rgbColor rgb="00339966"/>
      <rgbColor rgb="00CB2840"/>
      <rgbColor rgb="00375623"/>
      <rgbColor rgb="00203764"/>
      <rgbColor rgb="00993366"/>
      <rgbColor rgb="00FFFF78"/>
      <rgbColor rgb="00FFFFFF"/>
    </indexed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gulation\Price%20Review\2017-22%20TRR\21.0%202017%20TRR%20-%20Annual%20debt%20updates\AusNet%20(T)%20-%20Final%20Decision%20-%20PTRM%20-%202021-22%20RoD%20update%20-%20(Tower%20PT)%20September%20202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NT%20-%20TRR%202023-27%20Revised%20Proposal%20Roll%20Forward%20Model%20-%2001%20Sep%202021%20PUBLI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PTRM input"/>
      <sheetName val="AST Depreciation"/>
      <sheetName val="Opening RAB v Depn"/>
      <sheetName val="WACC"/>
      <sheetName val="Analysis"/>
      <sheetName val="X factors"/>
      <sheetName val="Revenue summary"/>
      <sheetName val="PTRM Assets"/>
      <sheetName val="Equity raising costs"/>
      <sheetName val="Chart 1-Revenue"/>
      <sheetName val="Chart 2-Price path"/>
      <sheetName val="Chart 3-Building blocks"/>
      <sheetName val="AusNet (T) - Final Decision - P"/>
    </sheetNames>
    <sheetDataSet>
      <sheetData sheetId="0"/>
      <sheetData sheetId="1"/>
      <sheetData sheetId="2">
        <row r="7">
          <cell r="N7">
            <v>218.71141168449321</v>
          </cell>
        </row>
        <row r="219">
          <cell r="G219">
            <v>180.24860099364153</v>
          </cell>
          <cell r="H219">
            <v>157.41756010216841</v>
          </cell>
          <cell r="I219">
            <v>153.38146235424443</v>
          </cell>
          <cell r="J219">
            <v>142.77332554459289</v>
          </cell>
          <cell r="K219">
            <v>107.2881742431224</v>
          </cell>
        </row>
        <row r="327">
          <cell r="G327">
            <v>0.218</v>
          </cell>
          <cell r="H327">
            <v>0.17100000000000001</v>
          </cell>
          <cell r="I327">
            <v>0.23899999999999999</v>
          </cell>
          <cell r="J327">
            <v>0.20300000000000001</v>
          </cell>
          <cell r="K327">
            <v>0.20799999999999999</v>
          </cell>
        </row>
      </sheetData>
      <sheetData sheetId="3">
        <row r="170">
          <cell r="C170">
            <v>25801.917933809822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RFM input"/>
      <sheetName val="Adjustment for previous period"/>
      <sheetName val="RAB roll forward"/>
      <sheetName val="Total RAB roll forward"/>
      <sheetName val="TAB roll forward"/>
      <sheetName val="RAB remaining lives"/>
      <sheetName val="TAB remaining lives"/>
      <sheetName val="PTRM input summary"/>
      <sheetName val="Inputs working"/>
    </sheetNames>
    <sheetDataSet>
      <sheetData sheetId="0"/>
      <sheetData sheetId="1"/>
      <sheetData sheetId="2"/>
      <sheetData sheetId="3"/>
      <sheetData sheetId="4"/>
      <sheetData sheetId="5"/>
      <sheetData sheetId="6">
        <row r="111">
          <cell r="H111">
            <v>133.7206228094602</v>
          </cell>
          <cell r="I111">
            <v>144.46882316614159</v>
          </cell>
          <cell r="J111">
            <v>155.27520369416771</v>
          </cell>
          <cell r="K111">
            <v>141.68553545872189</v>
          </cell>
          <cell r="L111">
            <v>133.9472011475037</v>
          </cell>
        </row>
        <row r="165">
          <cell r="H165">
            <v>5.9979069300000001</v>
          </cell>
          <cell r="I165">
            <v>0.62382812999999993</v>
          </cell>
          <cell r="J165">
            <v>2.6018094370554201</v>
          </cell>
          <cell r="K165">
            <v>0.11489252000000001</v>
          </cell>
          <cell r="L165">
            <v>0.22379259259259254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rial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rial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22"/>
  <sheetViews>
    <sheetView workbookViewId="0">
      <selection activeCell="A12" sqref="A12:XFD12"/>
    </sheetView>
  </sheetViews>
  <sheetFormatPr defaultColWidth="0" defaultRowHeight="18" customHeight="1" zeroHeight="1"/>
  <cols>
    <col min="1" max="2" width="1.25" style="2" customWidth="1"/>
    <col min="3" max="3" width="26.375" style="1" customWidth="1"/>
    <col min="4" max="4" width="79.25" style="1" customWidth="1"/>
    <col min="5" max="5" width="2.75" style="1" customWidth="1"/>
    <col min="6" max="6" width="2.75" style="2" customWidth="1"/>
    <col min="7" max="28" width="12.5" style="2" hidden="1" customWidth="1"/>
    <col min="29" max="16384" width="10.25" style="2" hidden="1"/>
  </cols>
  <sheetData>
    <row r="1" spans="2:13" s="5" customFormat="1" ht="18" customHeight="1">
      <c r="B1" s="3" t="str">
        <f>'Input | General'!$B$1</f>
        <v>Victorian TNSP 2023-27 Regulatory Proposal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9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79</v>
      </c>
      <c r="D8" s="32" t="s">
        <v>78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9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80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34</v>
      </c>
      <c r="D13" s="7"/>
      <c r="E13" s="7"/>
    </row>
    <row r="22" ht="18" customHeight="1"/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Index!A1" display="Output | Models" xr:uid="{00000000-0004-0000-0000-000004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>
      <selection activeCell="G15" sqref="G15"/>
    </sheetView>
  </sheetViews>
  <sheetFormatPr defaultColWidth="0" defaultRowHeight="0" customHeight="1" zeroHeight="1"/>
  <cols>
    <col min="1" max="2" width="1.25" style="14" customWidth="1"/>
    <col min="3" max="3" width="56.5" style="15" customWidth="1"/>
    <col min="4" max="4" width="14.875" style="14" customWidth="1"/>
    <col min="5" max="8" width="12.5" style="14" customWidth="1"/>
    <col min="9" max="9" width="9.375" style="14" customWidth="1"/>
    <col min="10" max="10" width="9.25" style="14" customWidth="1"/>
    <col min="11" max="12" width="2.75" style="14" customWidth="1"/>
    <col min="13" max="22" width="8.875" style="14" hidden="1" customWidth="1"/>
    <col min="23" max="16384" width="14.2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Victorian TNSP 2023-27 Regulatory Proposal - Capital expenditure sharing scheme model</v>
      </c>
      <c r="F1" s="105"/>
      <c r="G1" s="106" t="s">
        <v>47</v>
      </c>
      <c r="H1" s="160" t="s">
        <v>48</v>
      </c>
      <c r="I1" s="165" t="s">
        <v>36</v>
      </c>
      <c r="M1" s="107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61" t="s">
        <v>102</v>
      </c>
      <c r="J6" s="79"/>
      <c r="K6" s="79"/>
      <c r="L6" s="79"/>
      <c r="M6" s="79"/>
    </row>
    <row r="7" spans="1:13" s="70" customFormat="1" ht="11.25" customHeight="1">
      <c r="C7" s="69" t="s">
        <v>89</v>
      </c>
      <c r="D7" s="161" t="s">
        <v>101</v>
      </c>
      <c r="I7" s="79"/>
      <c r="J7" s="79"/>
      <c r="K7" s="79"/>
      <c r="L7" s="79"/>
    </row>
    <row r="8" spans="1:13" s="70" customFormat="1" ht="11.25" customHeight="1">
      <c r="C8" s="69" t="s">
        <v>90</v>
      </c>
      <c r="D8" s="161" t="s">
        <v>103</v>
      </c>
      <c r="J8" s="79"/>
      <c r="K8" s="79"/>
      <c r="L8" s="79"/>
      <c r="M8" s="79"/>
    </row>
    <row r="9" spans="1:13" s="70" customFormat="1" ht="11.25" customHeight="1">
      <c r="C9" s="192" t="s">
        <v>100</v>
      </c>
      <c r="D9" s="161" t="s">
        <v>104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5" t="s">
        <v>88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63</v>
      </c>
      <c r="E12" s="71" t="s">
        <v>64</v>
      </c>
      <c r="F12" s="71" t="s">
        <v>65</v>
      </c>
      <c r="G12" s="71" t="s">
        <v>66</v>
      </c>
      <c r="H12" s="71" t="s">
        <v>67</v>
      </c>
      <c r="J12" s="79"/>
      <c r="K12" s="79"/>
      <c r="L12" s="79"/>
      <c r="M12" s="79"/>
    </row>
    <row r="13" spans="1:13" s="70" customFormat="1" ht="11.25" customHeight="1">
      <c r="C13" s="69" t="s">
        <v>61</v>
      </c>
      <c r="D13" s="191" t="str">
        <f>IF(LEN(E13)&gt;4,CONCATENATE(LEFT(E13,4)-1&amp;"–"&amp;IF(RIGHT(E13,2)="00","99",IF(RIGHT(E13,2)-1&lt;10,"0","")&amp;RIGHT(E13,2)-1)),E13-1)</f>
        <v>2017–18</v>
      </c>
      <c r="E13" s="191" t="str">
        <f>IF(LEN(F13)&gt;4,CONCATENATE(LEFT(F13,4)-1&amp;"–"&amp;IF(RIGHT(F13,2)="00","99",IF(RIGHT(F13,2)-1&lt;10,"0","")&amp;RIGHT(F13,2)-1)),F13-1)</f>
        <v>2018–19</v>
      </c>
      <c r="F13" s="191" t="str">
        <f>IF(LEN(G13)&gt;4,CONCATENATE(LEFT(G13,4)-1&amp;"–"&amp;IF(RIGHT(G13,2)="00","99",IF(RIGHT(G13,2)-1&lt;10,"0","")&amp;RIGHT(G13,2)-1)),G13-1)</f>
        <v>2019–20</v>
      </c>
      <c r="G13" s="191" t="str">
        <f>IF(LEN(H13)&gt;4,CONCATENATE(LEFT(H13,4)-1&amp;"–"&amp;IF(RIGHT(H13,2)="00","99",IF(RIGHT(H13,2)-1&lt;10,"0","")&amp;RIGHT(H13,2)-1)),H13-1)</f>
        <v>2020–21</v>
      </c>
      <c r="H13" s="191" t="str">
        <f>IF(LEN(D9)&gt;4,CONCATENATE(LEFT(D9,4)-1&amp;"–"&amp;IF(RIGHT(D9,2)="00","99",IF(RIGHT(D9,2)-1&lt;10,"0","")&amp;RIGHT(D9,2)-1)),D9-1)</f>
        <v>2021–22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61" t="s">
        <v>8</v>
      </c>
      <c r="E14" s="161" t="s">
        <v>8</v>
      </c>
      <c r="F14" s="161" t="s">
        <v>8</v>
      </c>
      <c r="G14" s="161" t="s">
        <v>8</v>
      </c>
      <c r="H14" s="161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61" t="s">
        <v>7</v>
      </c>
      <c r="E15" s="161" t="s">
        <v>7</v>
      </c>
      <c r="F15" s="161" t="s">
        <v>7</v>
      </c>
      <c r="G15" s="161" t="s">
        <v>7</v>
      </c>
      <c r="H15" s="161" t="s">
        <v>29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63</v>
      </c>
      <c r="E17" s="71" t="s">
        <v>64</v>
      </c>
      <c r="F17" s="71" t="s">
        <v>65</v>
      </c>
      <c r="G17" s="71" t="s">
        <v>66</v>
      </c>
      <c r="H17" s="71" t="s">
        <v>67</v>
      </c>
      <c r="J17" s="79"/>
      <c r="K17" s="79"/>
      <c r="L17" s="79"/>
      <c r="M17" s="79"/>
    </row>
    <row r="18" spans="1:13" s="70" customFormat="1" ht="11.25" customHeight="1">
      <c r="C18" s="69" t="s">
        <v>62</v>
      </c>
      <c r="D18" s="191" t="str">
        <f>D9</f>
        <v>2022-23</v>
      </c>
      <c r="E18" s="191" t="str">
        <f>IF(LEN(D18)&gt;4,CONCATENATE(LEFT(D18,4)+1&amp;"–"&amp;IF(RIGHT(D18,2)+1&gt;9,"","0")&amp;RIGHT(D18,2)+1),D18+1)</f>
        <v>2023–24</v>
      </c>
      <c r="F18" s="191" t="str">
        <f>IF(LEN(E18)&gt;4,CONCATENATE(LEFT(E18,4)+1&amp;"–"&amp;IF(RIGHT(E18,2)+1&gt;9,"","0")&amp;RIGHT(E18,2)+1),E18+1)</f>
        <v>2024–25</v>
      </c>
      <c r="G18" s="191" t="str">
        <f>IF(LEN(F18)&gt;4,CONCATENATE(LEFT(F18,4)+1&amp;"–"&amp;IF(RIGHT(F18,2)+1&gt;9,"","0")&amp;RIGHT(F18,2)+1),F18+1)</f>
        <v>2025–26</v>
      </c>
      <c r="H18" s="191" t="str">
        <f>IF(LEN(G18)&gt;4,CONCATENATE(LEFT(G18,4)+1&amp;"–"&amp;IF(RIGHT(G18,2)+1&gt;9,"","0")&amp;RIGHT(G18,2)+1),G18+1)</f>
        <v>2026–27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topLeftCell="B1" zoomScale="115" zoomScaleNormal="115" workbookViewId="0">
      <selection activeCell="L21" sqref="L21"/>
    </sheetView>
  </sheetViews>
  <sheetFormatPr defaultColWidth="0" defaultRowHeight="18" customHeight="1" zeroHeight="1"/>
  <cols>
    <col min="1" max="2" width="1" style="24" customWidth="1"/>
    <col min="3" max="3" width="36.5" style="24" customWidth="1"/>
    <col min="4" max="5" width="22.75" style="24" customWidth="1"/>
    <col min="6" max="6" width="12.5" style="24" customWidth="1"/>
    <col min="7" max="12" width="12.5" style="11" customWidth="1"/>
    <col min="13" max="13" width="12.375" style="22" customWidth="1"/>
    <col min="14" max="16" width="12.5" style="24" customWidth="1"/>
    <col min="17" max="18" width="2.75" style="24" customWidth="1"/>
    <col min="19" max="32" width="12.5" style="24" hidden="1" customWidth="1"/>
    <col min="33" max="16384" width="10.25" style="24" hidden="1"/>
  </cols>
  <sheetData>
    <row r="1" spans="1:20" s="11" customFormat="1" ht="18" customHeight="1">
      <c r="B1" s="3" t="str">
        <f>'Input | General'!$B$1</f>
        <v>Victorian TNSP 2023-27 Regulatory Proposal - Capital expenditure sharing scheme model</v>
      </c>
      <c r="D1" s="12"/>
      <c r="E1" s="12"/>
      <c r="F1" s="12"/>
      <c r="G1" s="105"/>
      <c r="H1" s="106" t="s">
        <v>47</v>
      </c>
      <c r="I1" s="160" t="s">
        <v>48</v>
      </c>
      <c r="J1" s="165" t="s">
        <v>36</v>
      </c>
      <c r="K1" s="156"/>
      <c r="N1" s="107"/>
      <c r="O1" s="79"/>
      <c r="P1" s="79"/>
      <c r="Q1" s="79"/>
      <c r="R1" s="79"/>
      <c r="S1" s="79"/>
      <c r="T1" s="79"/>
    </row>
    <row r="2" spans="1:20" s="11" customFormat="1" ht="18" customHeight="1">
      <c r="C2" s="13" t="s">
        <v>91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81" customFormat="1" ht="12.75" customHeight="1">
      <c r="C4" s="29" t="s">
        <v>43</v>
      </c>
      <c r="D4" s="82"/>
      <c r="E4" s="82"/>
      <c r="F4" s="82"/>
      <c r="M4" s="83"/>
    </row>
    <row r="5" spans="1:20" ht="11.25" customHeight="1">
      <c r="A5" s="11"/>
      <c r="B5" s="11"/>
      <c r="C5" s="16"/>
      <c r="D5" s="79"/>
      <c r="E5" s="79"/>
      <c r="F5" s="79"/>
      <c r="N5" s="11"/>
    </row>
    <row r="6" spans="1:20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20" ht="11.25" customHeight="1">
      <c r="A7" s="11"/>
      <c r="B7" s="11"/>
      <c r="C7" s="16"/>
      <c r="D7" s="79"/>
      <c r="E7" s="79"/>
      <c r="F7" s="178" t="str">
        <f>IF(LEN(G7)&gt;4,CONCATENATE(LEFT(G7,4)-1&amp;"–"&amp;IF(RIGHT(G7,2)="00","99",IF(RIGHT(G7,2)-1&lt;10,"0","")&amp;RIGHT(G7,2)-1)),G7-1)</f>
        <v>2016–17</v>
      </c>
      <c r="G7" s="177" t="str">
        <f>'Input | General'!D13</f>
        <v>2017–18</v>
      </c>
      <c r="H7" s="177" t="str">
        <f>'Input | General'!E13</f>
        <v>2018–19</v>
      </c>
      <c r="I7" s="177" t="str">
        <f>'Input | General'!F13</f>
        <v>2019–20</v>
      </c>
      <c r="J7" s="177" t="str">
        <f>'Input | General'!G13</f>
        <v>2020–21</v>
      </c>
      <c r="K7" s="177" t="str">
        <f>'Input | General'!H13</f>
        <v>2021–22</v>
      </c>
      <c r="L7" s="177" t="str">
        <f>'Input | General'!D18</f>
        <v>2022-23</v>
      </c>
      <c r="M7" s="177" t="str">
        <f>'Input | General'!E18</f>
        <v>2023–24</v>
      </c>
      <c r="N7" s="177" t="str">
        <f>'Input | General'!F18</f>
        <v>2024–25</v>
      </c>
      <c r="O7" s="177" t="str">
        <f>'Input | General'!G18</f>
        <v>2025–26</v>
      </c>
      <c r="P7" s="177" t="str">
        <f>'Input | General'!H18</f>
        <v>2026–27</v>
      </c>
    </row>
    <row r="8" spans="1:20" ht="11.25" customHeight="1">
      <c r="A8" s="11"/>
      <c r="B8" s="11"/>
      <c r="C8" s="80" t="s">
        <v>81</v>
      </c>
      <c r="D8" s="78" t="s">
        <v>86</v>
      </c>
      <c r="E8" s="78" t="s">
        <v>51</v>
      </c>
      <c r="F8" s="78"/>
      <c r="G8" s="162">
        <v>1.8281535648994485E-2</v>
      </c>
      <c r="H8" s="162">
        <v>1.8850987432674993E-2</v>
      </c>
      <c r="I8" s="162">
        <v>1.6740088105726914E-2</v>
      </c>
      <c r="J8" s="162">
        <v>6.9324090121316573E-3</v>
      </c>
      <c r="K8" s="162">
        <v>2.9833620195065969E-2</v>
      </c>
      <c r="L8" s="86"/>
      <c r="M8" s="86"/>
      <c r="N8" s="86"/>
      <c r="O8" s="86"/>
      <c r="P8" s="86"/>
    </row>
    <row r="9" spans="1:20" ht="11.25" customHeight="1">
      <c r="A9" s="11"/>
      <c r="B9" s="11"/>
      <c r="C9" s="80" t="s">
        <v>82</v>
      </c>
      <c r="D9" s="78" t="s">
        <v>86</v>
      </c>
      <c r="E9" s="78" t="s">
        <v>51</v>
      </c>
      <c r="F9" s="78"/>
      <c r="G9" s="130"/>
      <c r="H9" s="130"/>
      <c r="I9" s="130"/>
      <c r="J9" s="130"/>
      <c r="K9" s="130"/>
      <c r="L9" s="162">
        <v>2.2496597515569983E-2</v>
      </c>
      <c r="M9" s="143">
        <f>L9</f>
        <v>2.2496597515569983E-2</v>
      </c>
      <c r="N9" s="143">
        <f>M9</f>
        <v>2.2496597515569983E-2</v>
      </c>
      <c r="O9" s="143">
        <f>N9</f>
        <v>2.2496597515569983E-2</v>
      </c>
      <c r="P9" s="143">
        <f>O9</f>
        <v>2.2496597515569983E-2</v>
      </c>
    </row>
    <row r="10" spans="1:20" ht="11.25" customHeight="1">
      <c r="A10" s="11"/>
      <c r="B10" s="11"/>
      <c r="C10" s="140" t="str">
        <f>"CPI Index (base year "&amp;F7&amp;")"</f>
        <v>CPI Index (base year 2016–17)</v>
      </c>
      <c r="D10" s="78" t="s">
        <v>86</v>
      </c>
      <c r="E10" s="78" t="s">
        <v>30</v>
      </c>
      <c r="F10" s="138">
        <v>1</v>
      </c>
      <c r="G10" s="123">
        <f>IF(G7&lt;&gt;"",(F10*(1+G8)),"")</f>
        <v>1.0182815356489945</v>
      </c>
      <c r="H10" s="123">
        <f>IF(H7&lt;&gt;"",(G10*(1+H8)),"")</f>
        <v>1.0374771480804388</v>
      </c>
      <c r="I10" s="123">
        <f>IF(I7&lt;&gt;"",(H10*(1+I8)),"")</f>
        <v>1.0548446069469837</v>
      </c>
      <c r="J10" s="123">
        <f>IF(J7&lt;&gt;"",(I10*(1+J8)),"")</f>
        <v>1.0621572212065815</v>
      </c>
      <c r="K10" s="123">
        <f>IF(K7&lt;&gt;"",(J10*(1+K8)),"")</f>
        <v>1.0938452163315053</v>
      </c>
      <c r="L10" s="87">
        <f>IF(L7&lt;&gt;"",(K10*(1+L9)),"")</f>
        <v>1.1184530119076468</v>
      </c>
      <c r="M10" s="87">
        <f>IF(M7&lt;&gt;"",(L10*(1+M9)),"")</f>
        <v>1.1436143991566101</v>
      </c>
      <c r="N10" s="87">
        <f>IF(N7&lt;&gt;"",(M10*(1+N9)),"")</f>
        <v>1.1693418320074467</v>
      </c>
      <c r="O10" s="87">
        <f>IF(O7&lt;&gt;"",(N10*(1+O9)),"")</f>
        <v>1.1956480445602375</v>
      </c>
      <c r="P10" s="87">
        <f>IF(P7&lt;&gt;"",(O10*(1+P9)),"")</f>
        <v>1.2225460573889875</v>
      </c>
    </row>
    <row r="11" spans="1:20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31"/>
      <c r="L11" s="131"/>
      <c r="M11" s="131"/>
      <c r="N11" s="131"/>
      <c r="O11" s="131"/>
      <c r="P11" s="131"/>
    </row>
    <row r="12" spans="1:20" ht="11.25" customHeight="1">
      <c r="A12" s="11"/>
      <c r="B12" s="11"/>
      <c r="C12" s="80"/>
      <c r="D12" s="78"/>
      <c r="E12" s="78"/>
      <c r="F12" s="78"/>
      <c r="G12" s="127"/>
      <c r="H12" s="127"/>
      <c r="I12" s="127"/>
      <c r="J12" s="127"/>
      <c r="K12" s="24"/>
      <c r="L12" s="24"/>
      <c r="M12" s="24"/>
    </row>
    <row r="13" spans="1:20" ht="11.25" customHeight="1">
      <c r="A13" s="11"/>
      <c r="B13" s="11"/>
      <c r="C13" s="80" t="s">
        <v>81</v>
      </c>
      <c r="D13" s="78" t="s">
        <v>49</v>
      </c>
      <c r="E13" s="78" t="s">
        <v>51</v>
      </c>
      <c r="F13" s="78"/>
      <c r="G13" s="162">
        <v>1.8281535648994485E-2</v>
      </c>
      <c r="H13" s="162">
        <v>1.8850987432674993E-2</v>
      </c>
      <c r="I13" s="162">
        <v>1.6740088105726914E-2</v>
      </c>
      <c r="J13" s="162">
        <v>6.9324090121316573E-3</v>
      </c>
      <c r="K13" s="195">
        <v>2.3998043050028173E-2</v>
      </c>
      <c r="L13" s="127"/>
      <c r="M13" s="127"/>
      <c r="N13" s="127"/>
      <c r="O13" s="127"/>
      <c r="P13" s="127"/>
    </row>
    <row r="14" spans="1:20" ht="11.25" customHeight="1">
      <c r="A14" s="11"/>
      <c r="B14" s="11"/>
      <c r="C14" s="80" t="s">
        <v>82</v>
      </c>
      <c r="D14" s="78" t="s">
        <v>49</v>
      </c>
      <c r="E14" s="78" t="s">
        <v>51</v>
      </c>
      <c r="F14" s="78"/>
      <c r="G14" s="86"/>
      <c r="H14" s="86"/>
      <c r="I14" s="86"/>
      <c r="J14" s="86"/>
      <c r="K14" s="86"/>
      <c r="L14" s="162">
        <v>1.9993872504847632E-2</v>
      </c>
      <c r="M14" s="143">
        <f>L14</f>
        <v>1.9993872504847632E-2</v>
      </c>
      <c r="N14" s="143">
        <f>M14</f>
        <v>1.9993872504847632E-2</v>
      </c>
      <c r="O14" s="143">
        <f>N14</f>
        <v>1.9993872504847632E-2</v>
      </c>
      <c r="P14" s="143">
        <f>O14</f>
        <v>1.9993872504847632E-2</v>
      </c>
    </row>
    <row r="15" spans="1:20" ht="11.25" customHeight="1">
      <c r="A15" s="11"/>
      <c r="B15" s="11"/>
      <c r="C15" s="140" t="str">
        <f>"CPI Index (base year "&amp;F7&amp;")"</f>
        <v>CPI Index (base year 2016–17)</v>
      </c>
      <c r="D15" s="78" t="s">
        <v>49</v>
      </c>
      <c r="E15" s="78" t="s">
        <v>30</v>
      </c>
      <c r="F15" s="138">
        <v>1</v>
      </c>
      <c r="G15" s="123">
        <f>IF(G7&lt;&gt;"",(F15*(1+G13)),"")</f>
        <v>1.0182815356489945</v>
      </c>
      <c r="H15" s="123">
        <f>IF(H7&lt;&gt;"",(G15*(1+H13)),"")</f>
        <v>1.0374771480804388</v>
      </c>
      <c r="I15" s="123">
        <f>IF(I7&lt;&gt;"",(H15*(1+I13)),"")</f>
        <v>1.0548446069469837</v>
      </c>
      <c r="J15" s="123">
        <f>IF(J7&lt;&gt;"",(I15*(1+J13)),"")</f>
        <v>1.0621572212065815</v>
      </c>
      <c r="K15" s="87">
        <f>IF(K7&lt;&gt;"",(J15*(1+K13)),"")</f>
        <v>1.0876469159269953</v>
      </c>
      <c r="L15" s="87">
        <f>IF(L7&lt;&gt;"",(K15*(1+L14)),"")</f>
        <v>1.1093931896943303</v>
      </c>
      <c r="M15" s="87">
        <f>IF(M7&lt;&gt;"",(L15*(1+M14)),"")</f>
        <v>1.1315742556868249</v>
      </c>
      <c r="N15" s="87">
        <f>IF(N7&lt;&gt;"",(M15*(1+N14)),"")</f>
        <v>1.1541988070847951</v>
      </c>
      <c r="O15" s="87">
        <f>IF(O7&lt;&gt;"",(N15*(1+O14)),"")</f>
        <v>1.1772757108788956</v>
      </c>
      <c r="P15" s="87">
        <f>IF(P7&lt;&gt;"",(O15*(1+P14)),"")</f>
        <v>1.2008140113452621</v>
      </c>
    </row>
    <row r="16" spans="1:20" s="129" customFormat="1" ht="11.25" customHeight="1">
      <c r="A16" s="2"/>
      <c r="B16" s="2"/>
      <c r="C16" s="80"/>
      <c r="D16" s="128"/>
      <c r="E16" s="128"/>
      <c r="F16" s="128"/>
      <c r="G16" s="86"/>
      <c r="H16" s="86"/>
      <c r="I16" s="86"/>
      <c r="J16" s="86"/>
      <c r="K16" s="132"/>
      <c r="L16" s="132"/>
      <c r="M16" s="132"/>
      <c r="N16" s="132"/>
      <c r="O16" s="132"/>
      <c r="P16" s="132"/>
    </row>
    <row r="17" spans="1:16" s="81" customFormat="1" ht="12.75" customHeight="1">
      <c r="C17" s="29" t="s">
        <v>68</v>
      </c>
      <c r="D17" s="82"/>
      <c r="E17" s="82"/>
      <c r="F17" s="82"/>
      <c r="M17" s="83"/>
    </row>
    <row r="18" spans="1:16" ht="11.25" customHeight="1">
      <c r="A18" s="16"/>
      <c r="B18" s="79"/>
      <c r="C18" s="79"/>
      <c r="D18" s="79"/>
      <c r="E18" s="79"/>
      <c r="F18" s="75"/>
      <c r="N18" s="11"/>
    </row>
    <row r="19" spans="1:16" ht="11.25" customHeight="1">
      <c r="C19" s="16"/>
      <c r="D19" s="75" t="s">
        <v>6</v>
      </c>
      <c r="E19" s="75" t="s">
        <v>52</v>
      </c>
      <c r="F19" s="79"/>
      <c r="G19" s="177" t="str">
        <f>G7</f>
        <v>2017–18</v>
      </c>
      <c r="H19" s="177" t="str">
        <f t="shared" ref="H19:P19" si="0">H7</f>
        <v>2018–19</v>
      </c>
      <c r="I19" s="177" t="str">
        <f t="shared" si="0"/>
        <v>2019–20</v>
      </c>
      <c r="J19" s="177" t="str">
        <f t="shared" si="0"/>
        <v>2020–21</v>
      </c>
      <c r="K19" s="177" t="str">
        <f t="shared" si="0"/>
        <v>2021–22</v>
      </c>
      <c r="L19" s="177" t="str">
        <f t="shared" si="0"/>
        <v>2022-23</v>
      </c>
      <c r="M19" s="177" t="str">
        <f t="shared" si="0"/>
        <v>2023–24</v>
      </c>
      <c r="N19" s="177" t="str">
        <f t="shared" si="0"/>
        <v>2024–25</v>
      </c>
      <c r="O19" s="177" t="str">
        <f t="shared" si="0"/>
        <v>2025–26</v>
      </c>
      <c r="P19" s="177" t="str">
        <f t="shared" si="0"/>
        <v>2026–27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162">
        <v>3.3220820087888514E-2</v>
      </c>
      <c r="H20" s="162">
        <v>3.3279987102855291E-2</v>
      </c>
      <c r="I20" s="162">
        <v>3.3176000712503706E-2</v>
      </c>
      <c r="J20" s="162">
        <v>3.2328199973441274E-2</v>
      </c>
      <c r="K20" s="162">
        <v>3.1048962640370714E-2</v>
      </c>
      <c r="L20" s="86"/>
      <c r="M20" s="86"/>
      <c r="N20" s="86"/>
      <c r="O20" s="86"/>
      <c r="P20" s="86"/>
    </row>
    <row r="21" spans="1:16" ht="11.25" customHeight="1">
      <c r="C21" s="155" t="s">
        <v>96</v>
      </c>
      <c r="D21" s="78" t="s">
        <v>49</v>
      </c>
      <c r="E21" s="78" t="s">
        <v>51</v>
      </c>
      <c r="F21" s="79"/>
      <c r="G21" s="79"/>
      <c r="H21" s="79"/>
      <c r="I21" s="79"/>
      <c r="J21" s="79"/>
      <c r="K21" s="79"/>
      <c r="L21" s="194">
        <v>2.4525805352311192E-2</v>
      </c>
      <c r="M21" s="194">
        <v>2.3358007059626651E-2</v>
      </c>
      <c r="N21" s="194">
        <v>2.2190208766942377E-2</v>
      </c>
      <c r="O21" s="194">
        <v>2.1022410474257968E-2</v>
      </c>
      <c r="P21" s="194">
        <v>1.9854612181573427E-2</v>
      </c>
    </row>
    <row r="22" spans="1:16" ht="11.25" customHeight="1">
      <c r="C22" s="80" t="s">
        <v>69</v>
      </c>
      <c r="D22" s="78" t="s">
        <v>60</v>
      </c>
      <c r="E22" s="78" t="s">
        <v>51</v>
      </c>
      <c r="F22" s="79"/>
      <c r="G22" s="144">
        <f>IF(AND(G13&lt;&gt;"",G20&lt;&gt;""),((1+G20)*(1+G13)-1),"")</f>
        <v>5.2109683343608548E-2</v>
      </c>
      <c r="H22" s="144">
        <f>IF(AND(H13&lt;&gt;"",H20&lt;&gt;""),((1+H20)*(1+H13)-1),"")</f>
        <v>5.2758335154165836E-2</v>
      </c>
      <c r="I22" s="144">
        <f>IF(AND(I13&lt;&gt;"",I20&lt;&gt;""),((1+I20)*(1+I13)-1),"")</f>
        <v>5.0471457993153557E-2</v>
      </c>
      <c r="J22" s="144">
        <f>IF(AND(J13&lt;&gt;"",J20&lt;&gt;""),((1+J20)*(1+J13)-1),"")</f>
        <v>3.9484721290414804E-2</v>
      </c>
      <c r="K22" s="144">
        <f>IF(AND(K13&lt;&gt;"",K20&lt;&gt;""),((1+K20)*(1+K13)-1),"")</f>
        <v>5.5792120032501114E-2</v>
      </c>
      <c r="L22" s="144">
        <f>IF(AND(L14&lt;&gt;"",L21&lt;&gt;""),((1+L21)*(1+L14)-1),"")</f>
        <v>4.501004368245165E-2</v>
      </c>
      <c r="M22" s="144">
        <f>IF(AND(M14&lt;&gt;"",M21&lt;&gt;""),((1+M21)*(1+M14)-1),"")</f>
        <v>4.3818896579591815E-2</v>
      </c>
      <c r="N22" s="144">
        <f>IF(AND(N14&lt;&gt;"",N21&lt;&gt;""),((1+N21)*(1+N14)-1),"")</f>
        <v>4.2627749476732202E-2</v>
      </c>
      <c r="O22" s="144">
        <f>IF(AND(O14&lt;&gt;"",O21&lt;&gt;""),((1+O21)*(1+O14)-1),"")</f>
        <v>4.1436602373872589E-2</v>
      </c>
      <c r="P22" s="144">
        <f>IF(AND(P14&lt;&gt;"",P21&lt;&gt;""),((1+P21)*(1+P14)-1),"")</f>
        <v>4.0245455271012753E-2</v>
      </c>
    </row>
    <row r="23" spans="1:16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N23" s="11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hidden="1" customHeight="1">
      <c r="G25" s="85"/>
      <c r="H25" s="85"/>
      <c r="I25" s="85"/>
      <c r="J25" s="85"/>
      <c r="K25" s="85"/>
      <c r="L25" s="85"/>
      <c r="M25" s="85"/>
    </row>
    <row r="26" spans="1:16" ht="18" hidden="1" customHeight="1">
      <c r="G26" s="85"/>
      <c r="H26" s="85"/>
      <c r="I26" s="85"/>
      <c r="J26" s="85"/>
      <c r="K26" s="85"/>
      <c r="L26" s="85"/>
      <c r="M26" s="85"/>
    </row>
    <row r="27" spans="1:16" ht="18" hidden="1" customHeight="1">
      <c r="G27" s="85"/>
      <c r="H27" s="85"/>
      <c r="I27" s="85"/>
      <c r="J27" s="85"/>
      <c r="K27" s="85"/>
      <c r="L27" s="85"/>
      <c r="M27" s="85"/>
    </row>
    <row r="28" spans="1:16" ht="18" hidden="1" customHeight="1">
      <c r="G28" s="85"/>
      <c r="H28" s="85"/>
      <c r="I28" s="85"/>
      <c r="J28" s="85"/>
      <c r="K28" s="85"/>
      <c r="L28" s="85"/>
      <c r="M28" s="85"/>
    </row>
    <row r="107" ht="18" customHeight="1"/>
    <row r="108" ht="18" customHeight="1"/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9"/>
  <sheetViews>
    <sheetView topLeftCell="A13" zoomScale="115" zoomScaleNormal="115" workbookViewId="0">
      <selection activeCell="L18" sqref="L18"/>
    </sheetView>
  </sheetViews>
  <sheetFormatPr defaultColWidth="0" defaultRowHeight="18" customHeight="1" zeroHeight="1"/>
  <cols>
    <col min="1" max="2" width="1.25" style="11" customWidth="1"/>
    <col min="3" max="3" width="49.75" style="16" customWidth="1"/>
    <col min="4" max="4" width="23.5" style="16" customWidth="1"/>
    <col min="5" max="5" width="13.375" style="16" customWidth="1"/>
    <col min="6" max="6" width="8.875" style="16" customWidth="1"/>
    <col min="7" max="7" width="2.75" style="16" customWidth="1"/>
    <col min="8" max="12" width="13.5" style="11" customWidth="1"/>
    <col min="13" max="14" width="2.75" style="11" customWidth="1"/>
    <col min="15" max="23" width="0" style="11" hidden="1" customWidth="1"/>
    <col min="24" max="16384" width="14.25" style="11" hidden="1"/>
  </cols>
  <sheetData>
    <row r="1" spans="2:14" ht="18" customHeight="1">
      <c r="B1" s="3" t="str">
        <f>'Input | General'!$B$1</f>
        <v>Victorian TNSP 2023-27 Regulatory Proposal - Capital expenditure sharing scheme model</v>
      </c>
      <c r="D1" s="12"/>
      <c r="E1" s="12"/>
      <c r="F1" s="12"/>
      <c r="G1" s="12"/>
      <c r="H1" s="105"/>
      <c r="I1" s="106" t="s">
        <v>47</v>
      </c>
      <c r="J1" s="160" t="s">
        <v>48</v>
      </c>
      <c r="K1" s="165" t="s">
        <v>36</v>
      </c>
      <c r="L1" s="79"/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52</v>
      </c>
      <c r="F6" s="75" t="s">
        <v>4</v>
      </c>
      <c r="G6" s="64"/>
      <c r="H6" s="179" t="str">
        <f>IF('Input | General'!D14="Yes",'Input | General'!D13,"n/a")</f>
        <v>2017–18</v>
      </c>
      <c r="I6" s="179" t="str">
        <f>IF('Input | General'!E14="Yes",'Input | General'!E13,"n/a")</f>
        <v>2018–19</v>
      </c>
      <c r="J6" s="179" t="str">
        <f>IF('Input | General'!F14="Yes",'Input | General'!F13,"n/a")</f>
        <v>2019–20</v>
      </c>
      <c r="K6" s="179" t="str">
        <f>IF('Input | General'!G14="Yes",'Input | General'!G13,"n/a")</f>
        <v>2020–21</v>
      </c>
      <c r="L6" s="179" t="str">
        <f>IF('Input | General'!H14="Yes",'Input | General'!H13,"n/a")</f>
        <v>2021–22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49</v>
      </c>
      <c r="E8" s="78" t="s">
        <v>50</v>
      </c>
      <c r="F8" s="182" t="str">
        <f>'Input | Inflation and Disc Rate'!$F$7</f>
        <v>2016–17</v>
      </c>
      <c r="G8" s="68"/>
      <c r="H8" s="163">
        <f>'[2]PTRM input'!G219</f>
        <v>180.24860099364153</v>
      </c>
      <c r="I8" s="163">
        <f>'[2]PTRM input'!H219</f>
        <v>157.41756010216841</v>
      </c>
      <c r="J8" s="163">
        <f>'[2]PTRM input'!I219</f>
        <v>153.38146235424443</v>
      </c>
      <c r="K8" s="163">
        <f>'[2]PTRM input'!J219</f>
        <v>142.77332554459289</v>
      </c>
      <c r="L8" s="163">
        <f>'[2]PTRM input'!K219</f>
        <v>107.2881742431224</v>
      </c>
      <c r="M8" s="2"/>
      <c r="N8" s="2"/>
    </row>
    <row r="9" spans="2:14" ht="10.5" customHeight="1">
      <c r="C9" s="80" t="s">
        <v>98</v>
      </c>
      <c r="D9" s="78" t="s">
        <v>49</v>
      </c>
      <c r="E9" s="78" t="s">
        <v>50</v>
      </c>
      <c r="F9" s="182" t="str">
        <f>'Input | Inflation and Disc Rate'!$F$7</f>
        <v>2016–17</v>
      </c>
      <c r="G9" s="68"/>
      <c r="H9" s="163"/>
      <c r="I9" s="163"/>
      <c r="J9" s="163"/>
      <c r="K9" s="163"/>
      <c r="L9" s="163"/>
      <c r="M9" s="2"/>
      <c r="N9" s="2"/>
    </row>
    <row r="10" spans="2:14" ht="10.5" customHeight="1">
      <c r="C10" s="80" t="s">
        <v>92</v>
      </c>
      <c r="D10" s="78" t="s">
        <v>49</v>
      </c>
      <c r="E10" s="78" t="s">
        <v>50</v>
      </c>
      <c r="F10" s="182" t="str">
        <f>'Input | Inflation and Disc Rate'!$F$7</f>
        <v>2016–17</v>
      </c>
      <c r="G10" s="68"/>
      <c r="H10" s="163">
        <f>'[2]PTRM input'!G327</f>
        <v>0.218</v>
      </c>
      <c r="I10" s="163">
        <f>'[2]PTRM input'!H327</f>
        <v>0.17100000000000001</v>
      </c>
      <c r="J10" s="163">
        <f>'[2]PTRM input'!I327</f>
        <v>0.23899999999999999</v>
      </c>
      <c r="K10" s="163">
        <f>'[2]PTRM input'!J327</f>
        <v>0.20300000000000001</v>
      </c>
      <c r="L10" s="163">
        <f>'[2]PTRM input'!K327</f>
        <v>0.20799999999999999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8"/>
      <c r="N11" s="108"/>
    </row>
    <row r="12" spans="2:14" ht="10.5" customHeight="1">
      <c r="C12" s="77" t="s">
        <v>5</v>
      </c>
      <c r="D12" s="76" t="s">
        <v>60</v>
      </c>
      <c r="E12" s="180" t="s">
        <v>50</v>
      </c>
      <c r="F12" s="181" t="str">
        <f>'Input | Inflation and Disc Rate'!$F$7</f>
        <v>2016–17</v>
      </c>
      <c r="G12" s="68"/>
      <c r="H12" s="66">
        <f>IF(H6="", "", H8-H9-H10)</f>
        <v>180.03060099364154</v>
      </c>
      <c r="I12" s="66">
        <f>IF(I6="", "", I8-I9-I10)</f>
        <v>157.24656010216842</v>
      </c>
      <c r="J12" s="66">
        <f>IF(J6="", "", J8-J9-J10)</f>
        <v>153.14246235424443</v>
      </c>
      <c r="K12" s="66">
        <f>IF(K6="", "", K8-K9-K10)</f>
        <v>142.57032554459289</v>
      </c>
      <c r="L12" s="66">
        <f>IF(L6="", "", L8-L9-L10)</f>
        <v>107.0801742431224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41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52</v>
      </c>
      <c r="F16" s="75" t="s">
        <v>4</v>
      </c>
      <c r="G16" s="64"/>
      <c r="H16" s="179" t="str">
        <f>H6</f>
        <v>2017–18</v>
      </c>
      <c r="I16" s="179" t="str">
        <f>I6</f>
        <v>2018–19</v>
      </c>
      <c r="J16" s="179" t="str">
        <f>J6</f>
        <v>2019–20</v>
      </c>
      <c r="K16" s="179" t="str">
        <f>K6</f>
        <v>2020–21</v>
      </c>
      <c r="L16" s="179" t="str">
        <f>L6</f>
        <v>2021–22</v>
      </c>
      <c r="M16" s="108"/>
      <c r="N16" s="108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2:14" s="2" customFormat="1" ht="10.5" customHeight="1">
      <c r="B18" s="73"/>
      <c r="C18" s="80" t="s">
        <v>77</v>
      </c>
      <c r="D18" s="78" t="s">
        <v>49</v>
      </c>
      <c r="E18" s="78" t="s">
        <v>50</v>
      </c>
      <c r="F18" s="78" t="s">
        <v>53</v>
      </c>
      <c r="G18" s="68"/>
      <c r="H18" s="163">
        <f>'[3]RFM input'!H$111</f>
        <v>133.7206228094602</v>
      </c>
      <c r="I18" s="163">
        <f>'[3]RFM input'!I$111</f>
        <v>144.46882316614159</v>
      </c>
      <c r="J18" s="163">
        <f>'[3]RFM input'!J$111</f>
        <v>155.27520369416771</v>
      </c>
      <c r="K18" s="163">
        <f>'[3]RFM input'!K$111</f>
        <v>141.68553545872189</v>
      </c>
      <c r="L18" s="163">
        <f>'[3]RFM input'!L$111</f>
        <v>133.9472011475037</v>
      </c>
    </row>
    <row r="19" spans="2:14" s="2" customFormat="1" ht="10.5" customHeight="1">
      <c r="B19" s="73"/>
      <c r="C19" s="80" t="s">
        <v>105</v>
      </c>
      <c r="D19" s="78" t="s">
        <v>49</v>
      </c>
      <c r="E19" s="78" t="s">
        <v>50</v>
      </c>
      <c r="F19" s="78" t="s">
        <v>53</v>
      </c>
      <c r="G19" s="68"/>
      <c r="H19" s="163"/>
      <c r="I19" s="163"/>
      <c r="J19" s="163">
        <v>44.322978580000004</v>
      </c>
      <c r="K19" s="163">
        <v>-0.26854162999999964</v>
      </c>
      <c r="L19" s="163">
        <v>0</v>
      </c>
    </row>
    <row r="20" spans="2:14" s="2" customFormat="1" ht="10.5" customHeight="1">
      <c r="B20" s="73"/>
      <c r="C20" s="80" t="s">
        <v>98</v>
      </c>
      <c r="D20" s="78" t="s">
        <v>49</v>
      </c>
      <c r="E20" s="78" t="s">
        <v>50</v>
      </c>
      <c r="F20" s="78" t="s">
        <v>53</v>
      </c>
      <c r="G20" s="142"/>
      <c r="H20" s="164"/>
      <c r="I20" s="163"/>
      <c r="J20" s="163"/>
      <c r="K20" s="163"/>
      <c r="L20" s="163"/>
    </row>
    <row r="21" spans="2:14" s="2" customFormat="1" ht="10.5" customHeight="1">
      <c r="B21" s="73"/>
      <c r="C21" s="141" t="s">
        <v>92</v>
      </c>
      <c r="D21" s="78" t="s">
        <v>49</v>
      </c>
      <c r="E21" s="78" t="s">
        <v>50</v>
      </c>
      <c r="F21" s="78" t="s">
        <v>53</v>
      </c>
      <c r="G21" s="142"/>
      <c r="H21" s="164">
        <f>'[3]RFM input'!H$165</f>
        <v>5.9979069300000001</v>
      </c>
      <c r="I21" s="163">
        <f>'[3]RFM input'!I$165</f>
        <v>0.62382812999999993</v>
      </c>
      <c r="J21" s="163">
        <f>'[3]RFM input'!J$165</f>
        <v>2.6018094370554201</v>
      </c>
      <c r="K21" s="163">
        <f>'[3]RFM input'!K$165</f>
        <v>0.11489252000000001</v>
      </c>
      <c r="L21" s="163">
        <f>'[3]RFM input'!L$165</f>
        <v>0.22379259259259254</v>
      </c>
    </row>
    <row r="22" spans="2:14" s="2" customFormat="1" ht="10.5" customHeight="1">
      <c r="B22" s="73"/>
      <c r="C22" s="157" t="s">
        <v>97</v>
      </c>
      <c r="D22" s="78" t="s">
        <v>49</v>
      </c>
      <c r="E22" s="78" t="s">
        <v>50</v>
      </c>
      <c r="F22" s="78" t="s">
        <v>53</v>
      </c>
      <c r="G22" s="68"/>
      <c r="H22" s="164">
        <v>-6.3574499999999997E-3</v>
      </c>
      <c r="I22" s="163">
        <v>2.4998475</v>
      </c>
      <c r="J22" s="163">
        <v>4.9189038900000002</v>
      </c>
      <c r="K22" s="163">
        <v>7.5536621399999992</v>
      </c>
      <c r="L22" s="163">
        <v>0</v>
      </c>
    </row>
    <row r="23" spans="2:14" s="2" customFormat="1" ht="10.5" customHeight="1">
      <c r="B23" s="73"/>
      <c r="C23" s="68"/>
      <c r="D23" s="68"/>
      <c r="E23" s="68"/>
      <c r="F23" s="68"/>
      <c r="G23" s="68"/>
      <c r="H23" s="67"/>
      <c r="I23" s="67"/>
      <c r="J23" s="67"/>
      <c r="K23" s="67"/>
      <c r="L23" s="67"/>
      <c r="M23" s="108"/>
      <c r="N23" s="108"/>
    </row>
    <row r="24" spans="2:14" s="2" customFormat="1" ht="10.5" customHeight="1">
      <c r="B24" s="73"/>
      <c r="C24" s="77" t="s">
        <v>76</v>
      </c>
      <c r="D24" s="76" t="s">
        <v>60</v>
      </c>
      <c r="E24" s="183" t="s">
        <v>50</v>
      </c>
      <c r="F24" s="183" t="s">
        <v>53</v>
      </c>
      <c r="G24" s="68"/>
      <c r="H24" s="66">
        <f>IF(H16="", "", H18+H19-H20-H21-H22)</f>
        <v>127.72907332946019</v>
      </c>
      <c r="I24" s="66">
        <f>IF(I16="", "", I18+I19-I20-I21-I22)</f>
        <v>141.34514753614161</v>
      </c>
      <c r="J24" s="66">
        <f>IF(J16="", "", J18+J19-J20-J21-J22)</f>
        <v>192.07746894711232</v>
      </c>
      <c r="K24" s="66">
        <f>IF(K16="", "", K18+K19-K20-K21-K22)</f>
        <v>133.74843916872189</v>
      </c>
      <c r="L24" s="66">
        <f>IF(L16="", "", L18+L19-L20-L21-L22)</f>
        <v>133.72340855491112</v>
      </c>
    </row>
    <row r="25" spans="2:14" s="2" customFormat="1" ht="10.5" customHeight="1">
      <c r="B25" s="73"/>
      <c r="D25" s="21"/>
      <c r="E25" s="21"/>
      <c r="F25" s="21"/>
      <c r="G25" s="21"/>
      <c r="M25" s="72"/>
      <c r="N25" s="72"/>
    </row>
    <row r="26" spans="2:14" s="8" customFormat="1" ht="12.75" customHeight="1">
      <c r="B26" s="74" t="s">
        <v>42</v>
      </c>
      <c r="D26" s="18"/>
      <c r="E26" s="18"/>
      <c r="F26" s="18"/>
      <c r="G26" s="18"/>
    </row>
    <row r="27" spans="2:14" ht="10.5" customHeight="1">
      <c r="D27" s="68"/>
      <c r="E27" s="68"/>
      <c r="F27" s="68"/>
      <c r="G27" s="68"/>
      <c r="M27" s="2"/>
      <c r="N27" s="2"/>
    </row>
    <row r="28" spans="2:14" ht="10.5" customHeight="1">
      <c r="D28" s="68"/>
      <c r="E28" s="68"/>
      <c r="F28" s="68"/>
      <c r="G28" s="68"/>
      <c r="H28" s="179" t="str">
        <f>'Input | General'!D18</f>
        <v>2022-23</v>
      </c>
      <c r="I28" s="179" t="str">
        <f>'Input | General'!E18</f>
        <v>2023–24</v>
      </c>
      <c r="J28" s="179" t="str">
        <f>'Input | General'!F18</f>
        <v>2024–25</v>
      </c>
      <c r="K28" s="179" t="str">
        <f>'Input | General'!G18</f>
        <v>2025–26</v>
      </c>
      <c r="L28" s="179" t="str">
        <f>'Input | General'!H18</f>
        <v>2026–27</v>
      </c>
      <c r="M28" s="2"/>
      <c r="N28" s="2"/>
    </row>
    <row r="29" spans="2:14" s="17" customFormat="1" ht="10.5" customHeight="1">
      <c r="C29" s="16"/>
      <c r="D29" s="68"/>
      <c r="E29" s="68"/>
      <c r="F29" s="68"/>
      <c r="G29" s="68"/>
      <c r="M29" s="19"/>
      <c r="N29" s="19"/>
    </row>
    <row r="30" spans="2:14" ht="11.25" customHeight="1">
      <c r="C30" s="84" t="s">
        <v>85</v>
      </c>
      <c r="D30" s="65" t="s">
        <v>86</v>
      </c>
      <c r="E30" s="78" t="s">
        <v>50</v>
      </c>
      <c r="F30" s="78" t="s">
        <v>53</v>
      </c>
      <c r="G30" s="68"/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2"/>
      <c r="N30" s="2"/>
    </row>
    <row r="31" spans="2:14" ht="11.25" customHeight="1">
      <c r="C31" s="84" t="s">
        <v>85</v>
      </c>
      <c r="D31" s="65" t="s">
        <v>60</v>
      </c>
      <c r="E31" s="78" t="s">
        <v>50</v>
      </c>
      <c r="F31" s="78" t="str">
        <f>'Input | Inflation and Disc Rate'!$F$7</f>
        <v>2016–17</v>
      </c>
      <c r="G31" s="68"/>
      <c r="H31" s="150">
        <f>IF(H30&lt;&gt;"",H30/('Input | Inflation and Disc Rate'!K10*(1+'Input | Inflation and Disc Rate'!L9)^0.5),"")</f>
        <v>0</v>
      </c>
      <c r="I31" s="150">
        <f>IF(I30&lt;&gt;"",I30/('Input | Inflation and Disc Rate'!L10*(1+'Input | Inflation and Disc Rate'!M9)^0.5),"")</f>
        <v>0</v>
      </c>
      <c r="J31" s="150">
        <f>IF(J30&lt;&gt;"",J30/('Input | Inflation and Disc Rate'!M10*(1+'Input | Inflation and Disc Rate'!N9)^0.5),"")</f>
        <v>0</v>
      </c>
      <c r="K31" s="150">
        <f>IF(K30&lt;&gt;"",K30/('Input | Inflation and Disc Rate'!N10*(1+'Input | Inflation and Disc Rate'!O9)^0.5),"")</f>
        <v>0</v>
      </c>
      <c r="L31" s="150">
        <f>IF(L30&lt;&gt;"",L30/('Input | Inflation and Disc Rate'!O10*(1+'Input | Inflation and Disc Rate'!P9)^0.5),"")</f>
        <v>0</v>
      </c>
      <c r="M31" s="2"/>
      <c r="N31" s="2"/>
    </row>
    <row r="32" spans="2:14" ht="11.25" customHeight="1">
      <c r="C32" s="84" t="s">
        <v>85</v>
      </c>
      <c r="D32" s="65" t="s">
        <v>49</v>
      </c>
      <c r="E32" s="78" t="s">
        <v>50</v>
      </c>
      <c r="F32" s="78" t="s">
        <v>53</v>
      </c>
      <c r="G32" s="68"/>
      <c r="H32" s="150">
        <f>IF(H30&lt;&gt;"",H31*'Input | Inflation and Disc Rate'!K15*(1+'Input | Inflation and Disc Rate'!L14)^0.5,"")</f>
        <v>0</v>
      </c>
      <c r="I32" s="150">
        <f>IF(I30&lt;&gt;"",I31*'Input | Inflation and Disc Rate'!L15*(1+'Input | Inflation and Disc Rate'!M14)^0.5,"")</f>
        <v>0</v>
      </c>
      <c r="J32" s="150">
        <f>IF(J30&lt;&gt;"",J31*'Input | Inflation and Disc Rate'!M15*(1+'Input | Inflation and Disc Rate'!N14)^0.5,"")</f>
        <v>0</v>
      </c>
      <c r="K32" s="150">
        <f>IF(K30&lt;&gt;"",K31*'Input | Inflation and Disc Rate'!N15*(1+'Input | Inflation and Disc Rate'!O14)^0.5,"")</f>
        <v>0</v>
      </c>
      <c r="L32" s="150">
        <f>IF(L30&lt;&gt;"",L31*'Input | Inflation and Disc Rate'!O15*(1+'Input | Inflation and Disc Rate'!P14)^0.5,"")</f>
        <v>0</v>
      </c>
      <c r="M32" s="2"/>
      <c r="N32" s="2"/>
    </row>
    <row r="33" spans="1:14" ht="10.5" customHeight="1">
      <c r="D33" s="68"/>
      <c r="E33" s="68"/>
      <c r="F33" s="68"/>
      <c r="G33" s="68"/>
      <c r="M33" s="72"/>
      <c r="N33" s="72"/>
    </row>
    <row r="34" spans="1:14" s="62" customFormat="1" ht="12.75" customHeight="1">
      <c r="A34" s="8"/>
      <c r="B34" s="29" t="s">
        <v>34</v>
      </c>
      <c r="D34" s="63"/>
      <c r="E34" s="63"/>
      <c r="F34" s="63"/>
    </row>
    <row r="35" spans="1:14" ht="10.5" hidden="1" customHeight="1"/>
    <row r="37" spans="1:14" s="2" customFormat="1" ht="18" hidden="1" customHeight="1"/>
    <row r="40" spans="1:14" s="17" customFormat="1" ht="18" hidden="1" customHeight="1"/>
    <row r="45" spans="1:14" s="17" customFormat="1" ht="18" hidden="1" customHeight="1"/>
    <row r="49" spans="3:14" ht="18" customHeight="1"/>
    <row r="52" spans="3:14" s="2" customFormat="1" ht="18" hidden="1" customHeight="1"/>
    <row r="56" spans="3:14" s="17" customFormat="1" ht="18" hidden="1" customHeight="1"/>
    <row r="64" spans="3:14" ht="18" hidden="1" customHeight="1">
      <c r="C64" s="21"/>
      <c r="D64" s="21"/>
      <c r="E64" s="21"/>
      <c r="F64" s="21"/>
      <c r="G64" s="21"/>
      <c r="H64" s="2"/>
      <c r="I64" s="2"/>
      <c r="J64" s="2"/>
      <c r="K64" s="2"/>
      <c r="L64" s="2"/>
      <c r="M64" s="2"/>
      <c r="N64" s="2"/>
    </row>
    <row r="65" spans="3:14" ht="18" hidden="1" customHeight="1">
      <c r="C65" s="21"/>
      <c r="D65" s="21"/>
      <c r="E65" s="21"/>
      <c r="F65" s="21"/>
      <c r="G65" s="21"/>
      <c r="H65" s="19"/>
      <c r="I65" s="19"/>
      <c r="J65" s="19"/>
      <c r="K65" s="19"/>
      <c r="L65" s="19"/>
      <c r="M65" s="19"/>
      <c r="N65" s="19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>
      <c r="C69" s="21"/>
      <c r="D69" s="21"/>
      <c r="E69" s="21"/>
      <c r="F69" s="21"/>
      <c r="G69" s="21"/>
      <c r="H69" s="2"/>
      <c r="I69" s="2"/>
      <c r="J69" s="2"/>
      <c r="K69" s="2"/>
      <c r="L69" s="2"/>
      <c r="M69" s="2"/>
      <c r="N69" s="2"/>
    </row>
  </sheetData>
  <conditionalFormatting sqref="H8:H10 I8:L9">
    <cfRule type="expression" dxfId="7" priority="19">
      <formula>IF($H$6&lt;&gt;"","FALSE","TRUE")</formula>
    </cfRule>
  </conditionalFormatting>
  <conditionalFormatting sqref="H18:L19">
    <cfRule type="expression" dxfId="6" priority="14">
      <formula>IF($H$6&lt;&gt;"","FALSE","TRUE")</formula>
    </cfRule>
  </conditionalFormatting>
  <conditionalFormatting sqref="H20:H21">
    <cfRule type="expression" dxfId="5" priority="9">
      <formula>IF($H$6&lt;&gt;"","FALSE","TRUE")</formula>
    </cfRule>
  </conditionalFormatting>
  <conditionalFormatting sqref="I10:L10">
    <cfRule type="expression" dxfId="4" priority="5">
      <formula>IF($H$6&lt;&gt;"","FALSE","TRUE")</formula>
    </cfRule>
  </conditionalFormatting>
  <conditionalFormatting sqref="I20:L21">
    <cfRule type="expression" dxfId="3" priority="4">
      <formula>IF($H$6&lt;&gt;"","FALSE","TRUE")</formula>
    </cfRule>
  </conditionalFormatting>
  <conditionalFormatting sqref="H30:L30">
    <cfRule type="expression" dxfId="2" priority="3">
      <formula>IF($H$6&lt;&gt;"","FALSE","TRUE")</formula>
    </cfRule>
  </conditionalFormatting>
  <conditionalFormatting sqref="H22">
    <cfRule type="expression" dxfId="1" priority="2">
      <formula>IF($H$6&lt;&gt;"","FALSE","TRUE")</formula>
    </cfRule>
  </conditionalFormatting>
  <conditionalFormatting sqref="I22:L22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53"/>
  <sheetViews>
    <sheetView zoomScale="115" zoomScaleNormal="115" workbookViewId="0">
      <selection activeCell="H8" sqref="H8"/>
    </sheetView>
  </sheetViews>
  <sheetFormatPr defaultColWidth="0" defaultRowHeight="0" customHeight="1" zeroHeight="1"/>
  <cols>
    <col min="1" max="2" width="1.25" style="2" customWidth="1"/>
    <col min="3" max="3" width="70.75" style="9" customWidth="1"/>
    <col min="4" max="8" width="12.5" style="2" customWidth="1"/>
    <col min="9" max="9" width="2.25" style="2" customWidth="1"/>
    <col min="10" max="10" width="12.5" style="1" customWidth="1"/>
    <col min="11" max="14" width="12.5" style="2" customWidth="1"/>
    <col min="15" max="16" width="2.75" style="2" customWidth="1"/>
    <col min="17" max="16382" width="0" style="2" hidden="1"/>
    <col min="16383" max="16384" width="14.25" style="2" hidden="1"/>
  </cols>
  <sheetData>
    <row r="1" spans="2:23" s="11" customFormat="1" ht="18" customHeight="1">
      <c r="B1" s="3" t="str">
        <f>'Input | General'!$B$1</f>
        <v>Victorian TNSP 2023-27 Regulatory Proposal - Capital expenditure sharing scheme model</v>
      </c>
      <c r="J1" s="122"/>
      <c r="K1" s="106" t="s">
        <v>47</v>
      </c>
      <c r="L1" s="160" t="s">
        <v>48</v>
      </c>
      <c r="M1" s="165" t="s">
        <v>36</v>
      </c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8" t="s">
        <v>11</v>
      </c>
      <c r="D6" s="119"/>
      <c r="E6" s="120"/>
      <c r="F6" s="120"/>
      <c r="G6" s="120"/>
      <c r="H6" s="120"/>
      <c r="I6" s="97"/>
    </row>
    <row r="7" spans="2:23" ht="11.25" customHeight="1">
      <c r="C7" s="117" t="s">
        <v>9</v>
      </c>
      <c r="D7" s="179" t="str">
        <f>IF('Input | General'!D14="Yes",'Input | General'!D13,"n/a")</f>
        <v>2017–18</v>
      </c>
      <c r="E7" s="179" t="str">
        <f>IF('Input | General'!E14="Yes",'Input | General'!E13,"n/a")</f>
        <v>2018–19</v>
      </c>
      <c r="F7" s="179" t="str">
        <f>IF('Input | General'!F14="Yes",'Input | General'!F13,"n/a")</f>
        <v>2019–20</v>
      </c>
      <c r="G7" s="179" t="str">
        <f>IF('Input | General'!G14="Yes",'Input | General'!G13,"n/a")</f>
        <v>2020–21</v>
      </c>
      <c r="H7" s="184" t="str">
        <f>IF('Input | General'!H14="Yes",'Input | General'!H13,"n/a")</f>
        <v>2021–22</v>
      </c>
      <c r="I7" s="97"/>
    </row>
    <row r="8" spans="2:23" ht="11.25" customHeight="1">
      <c r="C8" s="145" t="s">
        <v>94</v>
      </c>
      <c r="D8" s="166">
        <f>'Input | Inflation and Disc Rate'!G20</f>
        <v>3.3220820087888514E-2</v>
      </c>
      <c r="E8" s="167">
        <f>'Input | Inflation and Disc Rate'!H20</f>
        <v>3.3279987102855291E-2</v>
      </c>
      <c r="F8" s="167">
        <f>'Input | Inflation and Disc Rate'!I20</f>
        <v>3.3176000712503706E-2</v>
      </c>
      <c r="G8" s="167">
        <f>'Input | Inflation and Disc Rate'!J20</f>
        <v>3.2328199973441274E-2</v>
      </c>
      <c r="H8" s="168">
        <f>'Input | Inflation and Disc Rate'!K20</f>
        <v>3.1048962640370714E-2</v>
      </c>
      <c r="I8" s="97"/>
      <c r="J8" s="79"/>
      <c r="K8" s="79"/>
    </row>
    <row r="9" spans="2:23" ht="11.25" customHeight="1">
      <c r="C9" s="148" t="s">
        <v>95</v>
      </c>
      <c r="D9" s="167">
        <f>'Input | Inflation and Disc Rate'!G22</f>
        <v>5.2109683343608548E-2</v>
      </c>
      <c r="E9" s="167">
        <f>'Input | Inflation and Disc Rate'!H22</f>
        <v>5.2758335154165836E-2</v>
      </c>
      <c r="F9" s="167">
        <f>'Input | Inflation and Disc Rate'!I22</f>
        <v>5.0471457993153557E-2</v>
      </c>
      <c r="G9" s="167">
        <f>'Input | Inflation and Disc Rate'!J22</f>
        <v>3.9484721290414804E-2</v>
      </c>
      <c r="H9" s="168">
        <f>'Input | Inflation and Disc Rate'!K22</f>
        <v>5.5792120032501114E-2</v>
      </c>
      <c r="I9" s="97"/>
      <c r="J9" s="79"/>
      <c r="K9" s="79"/>
    </row>
    <row r="10" spans="2:23" ht="11.25" customHeight="1">
      <c r="C10" s="113" t="s">
        <v>13</v>
      </c>
      <c r="D10" s="169">
        <f>'Input | Reported Capex'!H$12*'Input | Inflation and Disc Rate'!G$15*(1+'Input | Inflation and Disc Rate'!G$20)^0.5</f>
        <v>186.34200950112827</v>
      </c>
      <c r="E10" s="170">
        <f>'Input | Reported Capex'!I$12*'Input | Inflation and Disc Rate'!H$15*(1+'Input | Inflation and Disc Rate'!H$20)^0.5</f>
        <v>165.83213884899229</v>
      </c>
      <c r="F10" s="170">
        <f>'Input | Reported Capex'!J$12*'Input | Inflation and Disc Rate'!I$15*(1+'Input | Inflation and Disc Rate'!I$20)^0.5</f>
        <v>164.19928715302945</v>
      </c>
      <c r="G10" s="170">
        <f>'Input | Reported Capex'!K$12*'Input | Inflation and Disc Rate'!J$15*(1+'Input | Inflation and Disc Rate'!J$20)^0.5</f>
        <v>153.86039493290644</v>
      </c>
      <c r="H10" s="171">
        <f>'Input | Reported Capex'!L$12*'Input | Inflation and Disc Rate'!K$15*(1+'Input | Inflation and Disc Rate'!K$20)^0.5</f>
        <v>118.25966563396941</v>
      </c>
      <c r="I10" s="97"/>
      <c r="J10" s="79"/>
      <c r="K10" s="79"/>
      <c r="N10" s="139"/>
    </row>
    <row r="11" spans="2:23" ht="11.25" customHeight="1">
      <c r="C11" s="113" t="s">
        <v>15</v>
      </c>
      <c r="D11" s="172">
        <f>'Input | Reported Capex'!H24*(1+D$9)^0.5</f>
        <v>131.01477346944466</v>
      </c>
      <c r="E11" s="170">
        <f>'Input | Reported Capex'!I24*(1+E$9)^0.5</f>
        <v>145.02579264253032</v>
      </c>
      <c r="F11" s="170">
        <f>'Input | Reported Capex'!J24*(1+F$9)^0.5</f>
        <v>196.86501882315824</v>
      </c>
      <c r="G11" s="170">
        <f>'Input | Reported Capex'!K24*(1+G$9)^0.5</f>
        <v>136.36338636661424</v>
      </c>
      <c r="H11" s="171">
        <f>'Input | Reported Capex'!L24*(1+H$9)^0.5</f>
        <v>137.40313641292994</v>
      </c>
      <c r="I11" s="97"/>
      <c r="J11" s="79"/>
      <c r="K11" s="79"/>
    </row>
    <row r="12" spans="2:23" s="19" customFormat="1" ht="11.25" customHeight="1">
      <c r="C12" s="113" t="s">
        <v>17</v>
      </c>
      <c r="D12" s="159">
        <f>(D10-D11)</f>
        <v>55.327236031683611</v>
      </c>
      <c r="E12" s="146">
        <f>(E10-E11)</f>
        <v>20.806346206461967</v>
      </c>
      <c r="F12" s="146">
        <f>(F10-F11)</f>
        <v>-32.665731670128793</v>
      </c>
      <c r="G12" s="146">
        <f>(G10-G11)</f>
        <v>17.497008566292209</v>
      </c>
      <c r="H12" s="151">
        <f>(H10-H11)</f>
        <v>-19.143470778960534</v>
      </c>
      <c r="I12" s="97"/>
      <c r="J12" s="79"/>
      <c r="K12" s="79"/>
    </row>
    <row r="13" spans="2:23" ht="11.25" customHeight="1">
      <c r="C13" s="113" t="s">
        <v>71</v>
      </c>
      <c r="D13" s="89"/>
      <c r="E13" s="146">
        <f>$D$12*$E$8</f>
        <v>1.8412897015710612</v>
      </c>
      <c r="F13" s="146">
        <f>$D$12*$F$8*(1+'Input | Inflation and Disc Rate'!H13)</f>
        <v>1.8701380960314862</v>
      </c>
      <c r="G13" s="146">
        <f>$D$12*$G$8*(1+'Input | Inflation and Disc Rate'!H13)*(1+'Input | Inflation and Disc Rate'!I13)</f>
        <v>1.8528536470136459</v>
      </c>
      <c r="H13" s="151">
        <f>$D$12*$H$8*(1+'Input | Inflation and Disc Rate'!H13)*(1+'Input | Inflation and Disc Rate'!I13)*(1+'Input | Inflation and Disc Rate'!J13)</f>
        <v>1.7918720975212179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3" t="s">
        <v>72</v>
      </c>
      <c r="D14" s="89"/>
      <c r="E14" s="147"/>
      <c r="F14" s="146">
        <f>$E$12*F$8</f>
        <v>0.69027135657018102</v>
      </c>
      <c r="G14" s="146">
        <f>$E$12*G$8*(1+'Input | Inflation and Disc Rate'!I13)</f>
        <v>0.68389163514937745</v>
      </c>
      <c r="H14" s="151">
        <f>$E$12*H$8*(1+'Input | Inflation and Disc Rate'!I13)*(1+'Input | Inflation and Disc Rate'!J13)</f>
        <v>0.66138323484288952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3" t="s">
        <v>73</v>
      </c>
      <c r="D15" s="89"/>
      <c r="E15" s="146"/>
      <c r="F15" s="146"/>
      <c r="G15" s="146">
        <f>$F$12*G$8</f>
        <v>-1.0560243057106975</v>
      </c>
      <c r="H15" s="151">
        <f>$F$12*$H$8*(1+'Input | Inflation and Disc Rate'!J13)</f>
        <v>-1.021268188535605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3" t="s">
        <v>74</v>
      </c>
      <c r="D16" s="89"/>
      <c r="E16" s="146"/>
      <c r="F16" s="146"/>
      <c r="G16" s="146"/>
      <c r="H16" s="151">
        <f>$G$12*$H$8</f>
        <v>0.5432639652930531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3" t="s">
        <v>75</v>
      </c>
      <c r="D17" s="89"/>
      <c r="E17" s="146"/>
      <c r="F17" s="146"/>
      <c r="G17" s="146"/>
      <c r="H17" s="151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4" t="s">
        <v>19</v>
      </c>
      <c r="D18" s="90">
        <f>SUM(D13:D17)</f>
        <v>0</v>
      </c>
      <c r="E18" s="152">
        <f>SUM(E13:E17)</f>
        <v>1.8412897015710612</v>
      </c>
      <c r="F18" s="152">
        <f>SUM(F13:F17)</f>
        <v>2.5604094526016672</v>
      </c>
      <c r="G18" s="152">
        <f>SUM(G13:G17)</f>
        <v>1.4807209764523259</v>
      </c>
      <c r="H18" s="153">
        <f>SUM(H13:H17)</f>
        <v>1.9752511091215554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15" t="s">
        <v>93</v>
      </c>
      <c r="D19" s="126">
        <f>E19*(1+E$9)</f>
        <v>1.2136947463439935</v>
      </c>
      <c r="E19" s="152">
        <f>F19*(1+F$9)</f>
        <v>1.15287118212772</v>
      </c>
      <c r="F19" s="152">
        <f>G19*(1+G$9)</f>
        <v>1.0974797776326006</v>
      </c>
      <c r="G19" s="152">
        <f>H19*(1+H$9)</f>
        <v>1.0557921200325011</v>
      </c>
      <c r="H19" s="154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113" t="s">
        <v>20</v>
      </c>
      <c r="D20" s="89">
        <f>D12*D19</f>
        <v>67.150375701388498</v>
      </c>
      <c r="E20" s="146">
        <f>E12*E19</f>
        <v>23.987036946802409</v>
      </c>
      <c r="F20" s="146">
        <f>F12*F19</f>
        <v>-35.849979929539145</v>
      </c>
      <c r="G20" s="146">
        <f>G12*G19</f>
        <v>18.473203768432484</v>
      </c>
      <c r="H20" s="151">
        <f>H12*H19</f>
        <v>-19.143470778960534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114" t="s">
        <v>21</v>
      </c>
      <c r="D21" s="90">
        <f>D18*D19</f>
        <v>0</v>
      </c>
      <c r="E21" s="152">
        <f>E18*E19</f>
        <v>2.1227698348898261</v>
      </c>
      <c r="F21" s="152">
        <f>F18*F19</f>
        <v>2.8099975966896866</v>
      </c>
      <c r="G21" s="152">
        <f>G18*G19</f>
        <v>1.5633335389051963</v>
      </c>
      <c r="H21" s="153">
        <f>H18*H19</f>
        <v>1.9752511091215554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8" t="s">
        <v>12</v>
      </c>
      <c r="D23" s="119"/>
      <c r="E23" s="120"/>
      <c r="F23" s="120"/>
      <c r="G23" s="120"/>
      <c r="H23" s="120"/>
      <c r="I23" s="97"/>
      <c r="J23" s="79"/>
      <c r="K23" s="79"/>
      <c r="L23" s="97"/>
      <c r="M23" s="97"/>
      <c r="N23" s="97"/>
      <c r="O23" s="97"/>
    </row>
    <row r="24" spans="3:15" ht="11.25" customHeight="1">
      <c r="C24" s="112" t="s">
        <v>9</v>
      </c>
      <c r="D24" s="185" t="str">
        <f>'Input | General'!$D$18</f>
        <v>2022-23</v>
      </c>
      <c r="E24" s="185" t="str">
        <f>'Input | General'!$E$18</f>
        <v>2023–24</v>
      </c>
      <c r="F24" s="185" t="str">
        <f>'Input | General'!$F$18</f>
        <v>2024–25</v>
      </c>
      <c r="G24" s="185" t="str">
        <f>'Input | General'!$G$18</f>
        <v>2025–26</v>
      </c>
      <c r="H24" s="186" t="str">
        <f>'Input | General'!$H$18</f>
        <v>2026–27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6" t="s">
        <v>70</v>
      </c>
      <c r="D25" s="173">
        <f>'Input | Inflation and Disc Rate'!L$22</f>
        <v>4.501004368245165E-2</v>
      </c>
      <c r="E25" s="173">
        <f>'Input | Inflation and Disc Rate'!M$22</f>
        <v>4.3818896579591815E-2</v>
      </c>
      <c r="F25" s="173">
        <f>'Input | Inflation and Disc Rate'!N$22</f>
        <v>4.2627749476732202E-2</v>
      </c>
      <c r="G25" s="173">
        <f>'Input | Inflation and Disc Rate'!O$22</f>
        <v>4.1436602373872589E-2</v>
      </c>
      <c r="H25" s="174">
        <f>'Input | Inflation and Disc Rate'!P$22</f>
        <v>4.0245455271012753E-2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7" t="s">
        <v>14</v>
      </c>
      <c r="D26" s="170">
        <f>'Input | Reported Capex'!H32</f>
        <v>0</v>
      </c>
      <c r="E26" s="170">
        <f>'Input | Reported Capex'!I32</f>
        <v>0</v>
      </c>
      <c r="F26" s="170">
        <f>'Input | Reported Capex'!J32</f>
        <v>0</v>
      </c>
      <c r="G26" s="170">
        <f>'Input | Reported Capex'!K32</f>
        <v>0</v>
      </c>
      <c r="H26" s="171">
        <f>'Input | Reported Capex'!L32</f>
        <v>0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7" t="s">
        <v>16</v>
      </c>
      <c r="D27" s="124">
        <f>1/(1+D25)^(0.5)</f>
        <v>0.97822727514142471</v>
      </c>
      <c r="E27" s="124">
        <f>1/((1+E25)^(0.5)*(1+D25))</f>
        <v>0.93662761496320901</v>
      </c>
      <c r="F27" s="124">
        <f>1/((1+F25)^(0.5)*(1+E25)*(1+D25))</f>
        <v>0.89782096213030338</v>
      </c>
      <c r="G27" s="124">
        <f>1/((1+G25)^(0.5)*(1+F25)*(1+E25)*(1+D25))</f>
        <v>0.86160593647546624</v>
      </c>
      <c r="H27" s="125">
        <f>1/((1+H25)^(0.5)*(1+G25)*(1+F25)*(1+E25)*(1+D25))</f>
        <v>0.82779795729492689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112" t="s">
        <v>18</v>
      </c>
      <c r="D28" s="91">
        <f>D26*D27</f>
        <v>0</v>
      </c>
      <c r="E28" s="91">
        <f>E26*E27</f>
        <v>0</v>
      </c>
      <c r="F28" s="91">
        <f>F26*F27</f>
        <v>0</v>
      </c>
      <c r="G28" s="91">
        <f>G26*G27</f>
        <v>0</v>
      </c>
      <c r="H28" s="92">
        <f>H26*H27</f>
        <v>0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1" t="s">
        <v>22</v>
      </c>
      <c r="D30" s="121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3" t="s">
        <v>23</v>
      </c>
      <c r="D31" s="102">
        <f>SUM(D20:H20)-SUM(D28:H28)</f>
        <v>54.617165708123707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3" t="s">
        <v>24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1:16382" ht="11.25" customHeight="1">
      <c r="C33" s="113" t="s">
        <v>25</v>
      </c>
      <c r="D33" s="102">
        <f>(1-D32)*D31</f>
        <v>38.232015995686595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1:16382" ht="11.25" customHeight="1">
      <c r="C34" s="113" t="s">
        <v>26</v>
      </c>
      <c r="D34" s="102">
        <f>D32*D31</f>
        <v>16.385149712437112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1:16382" ht="11.25" customHeight="1">
      <c r="C35" s="113" t="s">
        <v>27</v>
      </c>
      <c r="D35" s="102">
        <f>SUM(D21:H21)</f>
        <v>8.4713520796062642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1:16382" ht="11.25" customHeight="1">
      <c r="C36" s="114" t="s">
        <v>28</v>
      </c>
      <c r="D36" s="103">
        <f>D34-D35</f>
        <v>7.9137976328308479</v>
      </c>
      <c r="E36" s="96"/>
      <c r="F36" s="96"/>
      <c r="G36" s="96"/>
      <c r="H36" s="96"/>
      <c r="I36" s="97"/>
      <c r="J36" s="79"/>
      <c r="K36" s="79"/>
      <c r="L36" s="97"/>
      <c r="M36" s="97"/>
      <c r="N36" s="97"/>
      <c r="O36" s="97"/>
    </row>
    <row r="37" spans="1:16382" ht="11.25" customHeight="1">
      <c r="D37" s="25"/>
      <c r="J37" s="2"/>
    </row>
    <row r="38" spans="1:16382" s="8" customFormat="1" ht="12" customHeight="1">
      <c r="B38" s="29" t="s">
        <v>45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93"/>
      <c r="D40" s="187" t="str">
        <f>'Input | General'!D18</f>
        <v>2022-23</v>
      </c>
      <c r="E40" s="187" t="str">
        <f>'Input | General'!E18</f>
        <v>2023–24</v>
      </c>
      <c r="F40" s="187" t="str">
        <f>'Input | General'!F18</f>
        <v>2024–25</v>
      </c>
      <c r="G40" s="187" t="str">
        <f>'Input | General'!G18</f>
        <v>2025–26</v>
      </c>
      <c r="H40" s="187" t="str">
        <f>'Input | General'!H18</f>
        <v>2026–27</v>
      </c>
      <c r="I40" s="94"/>
      <c r="J40" s="94"/>
      <c r="K40" s="94"/>
      <c r="L40" s="94"/>
      <c r="M40" s="94"/>
      <c r="N40" s="94"/>
      <c r="O40" s="94"/>
    </row>
    <row r="41" spans="1:16382" s="30" customFormat="1" ht="11.25" customHeight="1">
      <c r="C41" s="100" t="s">
        <v>99</v>
      </c>
      <c r="D41" s="175">
        <f>1/(1+'Input | Inflation and Disc Rate'!L21)</f>
        <v>0.97606131029186005</v>
      </c>
      <c r="E41" s="175">
        <f>D41/(1+'Input | Inflation and Disc Rate'!M21)</f>
        <v>0.95378284389090551</v>
      </c>
      <c r="F41" s="175">
        <f>E41/(1+'Input | Inflation and Disc Rate'!N21)</f>
        <v>0.93307765591048275</v>
      </c>
      <c r="G41" s="175">
        <f>F41/(1+'Input | Inflation and Disc Rate'!O21)</f>
        <v>0.91386598995126311</v>
      </c>
      <c r="H41" s="176">
        <f>G41/(1+'Input | Inflation and Disc Rate'!P21)</f>
        <v>0.89607477285062243</v>
      </c>
      <c r="I41" s="94"/>
      <c r="J41" s="94"/>
      <c r="K41" s="94"/>
      <c r="L41" s="94"/>
      <c r="M41" s="94"/>
      <c r="N41" s="94"/>
      <c r="O41" s="94"/>
    </row>
    <row r="42" spans="1:16382" s="30" customFormat="1" ht="11.25" customHeight="1">
      <c r="C42" s="193" t="str">
        <f>CONCATENATE("CESS Payment Per Year ($", 'Output | Models'!$F$8," million)")</f>
        <v>CESS Payment Per Year ($2021–22 million)</v>
      </c>
      <c r="D42" s="110">
        <f>D36/(SUM(D41:H41))</f>
        <v>1.6935652417288509</v>
      </c>
      <c r="E42" s="110">
        <f>D42</f>
        <v>1.6935652417288509</v>
      </c>
      <c r="F42" s="110">
        <f>E42</f>
        <v>1.6935652417288509</v>
      </c>
      <c r="G42" s="110">
        <f>F42</f>
        <v>1.6935652417288509</v>
      </c>
      <c r="H42" s="149">
        <f>G42</f>
        <v>1.6935652417288509</v>
      </c>
      <c r="I42" s="94"/>
      <c r="J42" s="94"/>
      <c r="K42" s="94"/>
      <c r="L42" s="94"/>
      <c r="M42" s="94"/>
      <c r="N42" s="94"/>
      <c r="O42" s="94"/>
    </row>
    <row r="43" spans="1:16382" s="79" customFormat="1" ht="11.25" customHeight="1"/>
    <row r="44" spans="1:16382" s="30" customFormat="1" ht="11.25" customHeight="1">
      <c r="C44" s="193" t="str">
        <f>CONCATENATE("Total CESS Payment ($", 'Output | Models'!$F$8," million)")</f>
        <v>Total CESS Payment ($2021–22 million)</v>
      </c>
      <c r="D44" s="158">
        <f>SUM(D42:H42)</f>
        <v>8.4678262086442544</v>
      </c>
      <c r="E44" s="70"/>
      <c r="F44" s="70"/>
      <c r="G44" s="70"/>
      <c r="H44" s="70"/>
      <c r="I44" s="94"/>
      <c r="J44" s="94"/>
      <c r="K44" s="94"/>
      <c r="L44" s="94"/>
      <c r="M44" s="94"/>
      <c r="N44" s="94"/>
      <c r="O44" s="94"/>
    </row>
    <row r="45" spans="1:16382" s="30" customFormat="1" ht="11.25" customHeight="1">
      <c r="C45" s="69"/>
      <c r="D45" s="99"/>
      <c r="E45" s="70"/>
      <c r="F45" s="70"/>
      <c r="G45" s="70"/>
      <c r="H45" s="70"/>
      <c r="I45" s="94"/>
      <c r="J45" s="94"/>
      <c r="K45" s="94"/>
      <c r="L45" s="94"/>
      <c r="M45" s="94"/>
      <c r="N45" s="94"/>
      <c r="O45" s="94"/>
    </row>
    <row r="46" spans="1:16382" s="30" customFormat="1" ht="11.25" customHeight="1"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</row>
    <row r="47" spans="1:16382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  <c r="UAN47" s="62"/>
      <c r="UAO47" s="62"/>
      <c r="UAP47" s="62"/>
      <c r="UAQ47" s="62"/>
      <c r="UAR47" s="62"/>
      <c r="UAS47" s="62"/>
      <c r="UAT47" s="62"/>
      <c r="UAU47" s="62"/>
      <c r="UAV47" s="62"/>
      <c r="UAW47" s="62"/>
      <c r="UAX47" s="62"/>
      <c r="UAY47" s="62"/>
      <c r="UAZ47" s="62"/>
      <c r="UBA47" s="62"/>
      <c r="UBB47" s="62"/>
      <c r="UBC47" s="62"/>
      <c r="UBD47" s="62"/>
      <c r="UBE47" s="62"/>
      <c r="UBF47" s="62"/>
      <c r="UBG47" s="62"/>
      <c r="UBH47" s="62"/>
      <c r="UBI47" s="62"/>
      <c r="UBJ47" s="62"/>
      <c r="UBK47" s="62"/>
      <c r="UBL47" s="62"/>
      <c r="UBM47" s="62"/>
      <c r="UBN47" s="62"/>
      <c r="UBO47" s="62"/>
      <c r="UBP47" s="62"/>
      <c r="UBQ47" s="62"/>
      <c r="UBR47" s="62"/>
      <c r="UBS47" s="62"/>
      <c r="UBT47" s="62"/>
      <c r="UBU47" s="62"/>
      <c r="UBV47" s="62"/>
      <c r="UBW47" s="62"/>
      <c r="UBX47" s="62"/>
      <c r="UBY47" s="62"/>
      <c r="UBZ47" s="62"/>
      <c r="UCA47" s="62"/>
      <c r="UCB47" s="62"/>
      <c r="UCC47" s="62"/>
      <c r="UCD47" s="62"/>
      <c r="UCE47" s="62"/>
      <c r="UCF47" s="62"/>
      <c r="UCG47" s="62"/>
      <c r="UCH47" s="62"/>
      <c r="UCI47" s="62"/>
      <c r="UCJ47" s="62"/>
      <c r="UCK47" s="62"/>
      <c r="UCL47" s="62"/>
      <c r="UCM47" s="62"/>
      <c r="UCN47" s="62"/>
      <c r="UCO47" s="62"/>
      <c r="UCP47" s="62"/>
      <c r="UCQ47" s="62"/>
      <c r="UCR47" s="62"/>
      <c r="UCS47" s="62"/>
      <c r="UCT47" s="62"/>
      <c r="UCU47" s="62"/>
      <c r="UCV47" s="62"/>
      <c r="UCW47" s="62"/>
      <c r="UCX47" s="62"/>
      <c r="UCY47" s="62"/>
      <c r="UCZ47" s="62"/>
      <c r="UDA47" s="62"/>
      <c r="UDB47" s="62"/>
      <c r="UDC47" s="62"/>
      <c r="UDD47" s="62"/>
      <c r="UDE47" s="62"/>
      <c r="UDF47" s="62"/>
      <c r="UDG47" s="62"/>
      <c r="UDH47" s="62"/>
      <c r="UDI47" s="62"/>
      <c r="UDJ47" s="62"/>
      <c r="UDK47" s="62"/>
      <c r="UDL47" s="62"/>
      <c r="UDM47" s="62"/>
      <c r="UDN47" s="62"/>
      <c r="UDO47" s="62"/>
      <c r="UDP47" s="62"/>
      <c r="UDQ47" s="62"/>
      <c r="UDR47" s="62"/>
      <c r="UDS47" s="62"/>
      <c r="UDT47" s="62"/>
      <c r="UDU47" s="62"/>
      <c r="UDV47" s="62"/>
      <c r="UDW47" s="62"/>
      <c r="UDX47" s="62"/>
      <c r="UDY47" s="62"/>
      <c r="UDZ47" s="62"/>
      <c r="UEA47" s="62"/>
      <c r="UEB47" s="62"/>
      <c r="UEC47" s="62"/>
      <c r="UED47" s="62"/>
      <c r="UEE47" s="62"/>
      <c r="UEF47" s="62"/>
      <c r="UEG47" s="62"/>
      <c r="UEH47" s="62"/>
      <c r="UEI47" s="62"/>
      <c r="UEJ47" s="62"/>
      <c r="UEK47" s="62"/>
      <c r="UEL47" s="62"/>
      <c r="UEM47" s="62"/>
      <c r="UEN47" s="62"/>
      <c r="UEO47" s="62"/>
      <c r="UEP47" s="62"/>
      <c r="UEQ47" s="62"/>
      <c r="UER47" s="62"/>
      <c r="UES47" s="62"/>
      <c r="UET47" s="62"/>
      <c r="UEU47" s="62"/>
      <c r="UEV47" s="62"/>
      <c r="UEW47" s="62"/>
      <c r="UEX47" s="62"/>
      <c r="UEY47" s="62"/>
      <c r="UEZ47" s="62"/>
      <c r="UFA47" s="62"/>
      <c r="UFB47" s="62"/>
      <c r="UFC47" s="62"/>
      <c r="UFD47" s="62"/>
      <c r="UFE47" s="62"/>
      <c r="UFF47" s="62"/>
      <c r="UFG47" s="62"/>
      <c r="UFH47" s="62"/>
      <c r="UFI47" s="62"/>
      <c r="UFJ47" s="62"/>
      <c r="UFK47" s="62"/>
      <c r="UFL47" s="62"/>
      <c r="UFM47" s="62"/>
      <c r="UFN47" s="62"/>
      <c r="UFO47" s="62"/>
      <c r="UFP47" s="62"/>
      <c r="UFQ47" s="62"/>
      <c r="UFR47" s="62"/>
      <c r="UFS47" s="62"/>
      <c r="UFT47" s="62"/>
      <c r="UFU47" s="62"/>
      <c r="UFV47" s="62"/>
      <c r="UFW47" s="62"/>
      <c r="UFX47" s="62"/>
      <c r="UFY47" s="62"/>
      <c r="UFZ47" s="62"/>
      <c r="UGA47" s="62"/>
      <c r="UGB47" s="62"/>
      <c r="UGC47" s="62"/>
      <c r="UGD47" s="62"/>
      <c r="UGE47" s="62"/>
      <c r="UGF47" s="62"/>
      <c r="UGG47" s="62"/>
      <c r="UGH47" s="62"/>
      <c r="UGI47" s="62"/>
      <c r="UGJ47" s="62"/>
      <c r="UGK47" s="62"/>
      <c r="UGL47" s="62"/>
      <c r="UGM47" s="62"/>
      <c r="UGN47" s="62"/>
      <c r="UGO47" s="62"/>
      <c r="UGP47" s="62"/>
      <c r="UGQ47" s="62"/>
      <c r="UGR47" s="62"/>
      <c r="UGS47" s="62"/>
      <c r="UGT47" s="62"/>
      <c r="UGU47" s="62"/>
      <c r="UGV47" s="62"/>
      <c r="UGW47" s="62"/>
      <c r="UGX47" s="62"/>
      <c r="UGY47" s="62"/>
      <c r="UGZ47" s="62"/>
      <c r="UHA47" s="62"/>
      <c r="UHB47" s="62"/>
      <c r="UHC47" s="62"/>
      <c r="UHD47" s="62"/>
      <c r="UHE47" s="62"/>
      <c r="UHF47" s="62"/>
      <c r="UHG47" s="62"/>
      <c r="UHH47" s="62"/>
      <c r="UHI47" s="62"/>
      <c r="UHJ47" s="62"/>
      <c r="UHK47" s="62"/>
      <c r="UHL47" s="62"/>
      <c r="UHM47" s="62"/>
      <c r="UHN47" s="62"/>
      <c r="UHO47" s="62"/>
      <c r="UHP47" s="62"/>
      <c r="UHQ47" s="62"/>
      <c r="UHR47" s="62"/>
      <c r="UHS47" s="62"/>
      <c r="UHT47" s="62"/>
      <c r="UHU47" s="62"/>
      <c r="UHV47" s="62"/>
      <c r="UHW47" s="62"/>
      <c r="UHX47" s="62"/>
      <c r="UHY47" s="62"/>
      <c r="UHZ47" s="62"/>
      <c r="UIA47" s="62"/>
      <c r="UIB47" s="62"/>
      <c r="UIC47" s="62"/>
      <c r="UID47" s="62"/>
      <c r="UIE47" s="62"/>
      <c r="UIF47" s="62"/>
      <c r="UIG47" s="62"/>
      <c r="UIH47" s="62"/>
      <c r="UII47" s="62"/>
      <c r="UIJ47" s="62"/>
      <c r="UIK47" s="62"/>
      <c r="UIL47" s="62"/>
      <c r="UIM47" s="62"/>
      <c r="UIN47" s="62"/>
      <c r="UIO47" s="62"/>
      <c r="UIP47" s="62"/>
      <c r="UIQ47" s="62"/>
      <c r="UIR47" s="62"/>
      <c r="UIS47" s="62"/>
      <c r="UIT47" s="62"/>
      <c r="UIU47" s="62"/>
      <c r="UIV47" s="62"/>
      <c r="UIW47" s="62"/>
      <c r="UIX47" s="62"/>
      <c r="UIY47" s="62"/>
      <c r="UIZ47" s="62"/>
      <c r="UJA47" s="62"/>
      <c r="UJB47" s="62"/>
      <c r="UJC47" s="62"/>
      <c r="UJD47" s="62"/>
      <c r="UJE47" s="62"/>
      <c r="UJF47" s="62"/>
      <c r="UJG47" s="62"/>
      <c r="UJH47" s="62"/>
      <c r="UJI47" s="62"/>
      <c r="UJJ47" s="62"/>
      <c r="UJK47" s="62"/>
      <c r="UJL47" s="62"/>
      <c r="UJM47" s="62"/>
      <c r="UJN47" s="62"/>
      <c r="UJO47" s="62"/>
      <c r="UJP47" s="62"/>
      <c r="UJQ47" s="62"/>
      <c r="UJR47" s="62"/>
      <c r="UJS47" s="62"/>
      <c r="UJT47" s="62"/>
      <c r="UJU47" s="62"/>
      <c r="UJV47" s="62"/>
      <c r="UJW47" s="62"/>
      <c r="UJX47" s="62"/>
      <c r="UJY47" s="62"/>
      <c r="UJZ47" s="62"/>
      <c r="UKA47" s="62"/>
      <c r="UKB47" s="62"/>
      <c r="UKC47" s="62"/>
      <c r="UKD47" s="62"/>
      <c r="UKE47" s="62"/>
      <c r="UKF47" s="62"/>
      <c r="UKG47" s="62"/>
      <c r="UKH47" s="62"/>
      <c r="UKI47" s="62"/>
      <c r="UKJ47" s="62"/>
      <c r="UKK47" s="62"/>
      <c r="UKL47" s="62"/>
      <c r="UKM47" s="62"/>
      <c r="UKN47" s="62"/>
      <c r="UKO47" s="62"/>
      <c r="UKP47" s="62"/>
      <c r="UKQ47" s="62"/>
      <c r="UKR47" s="62"/>
      <c r="UKS47" s="62"/>
      <c r="UKT47" s="62"/>
      <c r="UKU47" s="62"/>
      <c r="UKV47" s="62"/>
      <c r="UKW47" s="62"/>
      <c r="UKX47" s="62"/>
      <c r="UKY47" s="62"/>
      <c r="UKZ47" s="62"/>
      <c r="ULA47" s="62"/>
      <c r="ULB47" s="62"/>
      <c r="ULC47" s="62"/>
      <c r="ULD47" s="62"/>
      <c r="ULE47" s="62"/>
      <c r="ULF47" s="62"/>
      <c r="ULG47" s="62"/>
      <c r="ULH47" s="62"/>
      <c r="ULI47" s="62"/>
      <c r="ULJ47" s="62"/>
      <c r="ULK47" s="62"/>
      <c r="ULL47" s="62"/>
      <c r="ULM47" s="62"/>
      <c r="ULN47" s="62"/>
      <c r="ULO47" s="62"/>
      <c r="ULP47" s="62"/>
      <c r="ULQ47" s="62"/>
      <c r="ULR47" s="62"/>
      <c r="ULS47" s="62"/>
      <c r="ULT47" s="62"/>
      <c r="ULU47" s="62"/>
      <c r="ULV47" s="62"/>
      <c r="ULW47" s="62"/>
      <c r="ULX47" s="62"/>
      <c r="ULY47" s="62"/>
      <c r="ULZ47" s="62"/>
      <c r="UMA47" s="62"/>
      <c r="UMB47" s="62"/>
      <c r="UMC47" s="62"/>
      <c r="UMD47" s="62"/>
      <c r="UME47" s="62"/>
      <c r="UMF47" s="62"/>
      <c r="UMG47" s="62"/>
      <c r="UMH47" s="62"/>
      <c r="UMI47" s="62"/>
      <c r="UMJ47" s="62"/>
      <c r="UMK47" s="62"/>
      <c r="UML47" s="62"/>
      <c r="UMM47" s="62"/>
      <c r="UMN47" s="62"/>
      <c r="UMO47" s="62"/>
      <c r="UMP47" s="62"/>
      <c r="UMQ47" s="62"/>
      <c r="UMR47" s="62"/>
      <c r="UMS47" s="62"/>
      <c r="UMT47" s="62"/>
      <c r="UMU47" s="62"/>
      <c r="UMV47" s="62"/>
      <c r="UMW47" s="62"/>
      <c r="UMX47" s="62"/>
      <c r="UMY47" s="62"/>
      <c r="UMZ47" s="62"/>
      <c r="UNA47" s="62"/>
      <c r="UNB47" s="62"/>
      <c r="UNC47" s="62"/>
      <c r="UND47" s="62"/>
      <c r="UNE47" s="62"/>
      <c r="UNF47" s="62"/>
      <c r="UNG47" s="62"/>
      <c r="UNH47" s="62"/>
      <c r="UNI47" s="62"/>
      <c r="UNJ47" s="62"/>
      <c r="UNK47" s="62"/>
      <c r="UNL47" s="62"/>
      <c r="UNM47" s="62"/>
      <c r="UNN47" s="62"/>
      <c r="UNO47" s="62"/>
      <c r="UNP47" s="62"/>
      <c r="UNQ47" s="62"/>
      <c r="UNR47" s="62"/>
      <c r="UNS47" s="62"/>
      <c r="UNT47" s="62"/>
      <c r="UNU47" s="62"/>
      <c r="UNV47" s="62"/>
      <c r="UNW47" s="62"/>
      <c r="UNX47" s="62"/>
      <c r="UNY47" s="62"/>
      <c r="UNZ47" s="62"/>
      <c r="UOA47" s="62"/>
      <c r="UOB47" s="62"/>
      <c r="UOC47" s="62"/>
      <c r="UOD47" s="62"/>
      <c r="UOE47" s="62"/>
      <c r="UOF47" s="62"/>
      <c r="UOG47" s="62"/>
      <c r="UOH47" s="62"/>
      <c r="UOI47" s="62"/>
      <c r="UOJ47" s="62"/>
      <c r="UOK47" s="62"/>
      <c r="UOL47" s="62"/>
      <c r="UOM47" s="62"/>
      <c r="UON47" s="62"/>
      <c r="UOO47" s="62"/>
      <c r="UOP47" s="62"/>
      <c r="UOQ47" s="62"/>
      <c r="UOR47" s="62"/>
      <c r="UOS47" s="62"/>
      <c r="UOT47" s="62"/>
      <c r="UOU47" s="62"/>
      <c r="UOV47" s="62"/>
      <c r="UOW47" s="62"/>
      <c r="UOX47" s="62"/>
      <c r="UOY47" s="62"/>
      <c r="UOZ47" s="62"/>
      <c r="UPA47" s="62"/>
      <c r="UPB47" s="62"/>
      <c r="UPC47" s="62"/>
      <c r="UPD47" s="62"/>
      <c r="UPE47" s="62"/>
      <c r="UPF47" s="62"/>
      <c r="UPG47" s="62"/>
      <c r="UPH47" s="62"/>
      <c r="UPI47" s="62"/>
      <c r="UPJ47" s="62"/>
      <c r="UPK47" s="62"/>
      <c r="UPL47" s="62"/>
      <c r="UPM47" s="62"/>
      <c r="UPN47" s="62"/>
      <c r="UPO47" s="62"/>
      <c r="UPP47" s="62"/>
      <c r="UPQ47" s="62"/>
      <c r="UPR47" s="62"/>
      <c r="UPS47" s="62"/>
      <c r="UPT47" s="62"/>
      <c r="UPU47" s="62"/>
      <c r="UPV47" s="62"/>
      <c r="UPW47" s="62"/>
      <c r="UPX47" s="62"/>
      <c r="UPY47" s="62"/>
      <c r="UPZ47" s="62"/>
      <c r="UQA47" s="62"/>
      <c r="UQB47" s="62"/>
      <c r="UQC47" s="62"/>
      <c r="UQD47" s="62"/>
      <c r="UQE47" s="62"/>
      <c r="UQF47" s="62"/>
      <c r="UQG47" s="62"/>
      <c r="UQH47" s="62"/>
      <c r="UQI47" s="62"/>
      <c r="UQJ47" s="62"/>
      <c r="UQK47" s="62"/>
      <c r="UQL47" s="62"/>
      <c r="UQM47" s="62"/>
      <c r="UQN47" s="62"/>
      <c r="UQO47" s="62"/>
      <c r="UQP47" s="62"/>
      <c r="UQQ47" s="62"/>
      <c r="UQR47" s="62"/>
      <c r="UQS47" s="62"/>
      <c r="UQT47" s="62"/>
      <c r="UQU47" s="62"/>
      <c r="UQV47" s="62"/>
      <c r="UQW47" s="62"/>
      <c r="UQX47" s="62"/>
      <c r="UQY47" s="62"/>
      <c r="UQZ47" s="62"/>
      <c r="URA47" s="62"/>
      <c r="URB47" s="62"/>
      <c r="URC47" s="62"/>
      <c r="URD47" s="62"/>
      <c r="URE47" s="62"/>
      <c r="URF47" s="62"/>
      <c r="URG47" s="62"/>
      <c r="URH47" s="62"/>
      <c r="URI47" s="62"/>
      <c r="URJ47" s="62"/>
      <c r="URK47" s="62"/>
      <c r="URL47" s="62"/>
      <c r="URM47" s="62"/>
      <c r="URN47" s="62"/>
      <c r="URO47" s="62"/>
      <c r="URP47" s="62"/>
      <c r="URQ47" s="62"/>
      <c r="URR47" s="62"/>
      <c r="URS47" s="62"/>
      <c r="URT47" s="62"/>
      <c r="URU47" s="62"/>
      <c r="URV47" s="62"/>
      <c r="URW47" s="62"/>
      <c r="URX47" s="62"/>
      <c r="URY47" s="62"/>
      <c r="URZ47" s="62"/>
      <c r="USA47" s="62"/>
      <c r="USB47" s="62"/>
      <c r="USC47" s="62"/>
      <c r="USD47" s="62"/>
      <c r="USE47" s="62"/>
      <c r="USF47" s="62"/>
      <c r="USG47" s="62"/>
      <c r="USH47" s="62"/>
      <c r="USI47" s="62"/>
      <c r="USJ47" s="62"/>
      <c r="USK47" s="62"/>
      <c r="USL47" s="62"/>
      <c r="USM47" s="62"/>
      <c r="USN47" s="62"/>
      <c r="USO47" s="62"/>
      <c r="USP47" s="62"/>
      <c r="USQ47" s="62"/>
      <c r="USR47" s="62"/>
      <c r="USS47" s="62"/>
      <c r="UST47" s="62"/>
      <c r="USU47" s="62"/>
      <c r="USV47" s="62"/>
      <c r="USW47" s="62"/>
      <c r="USX47" s="62"/>
      <c r="USY47" s="62"/>
      <c r="USZ47" s="62"/>
      <c r="UTA47" s="62"/>
      <c r="UTB47" s="62"/>
      <c r="UTC47" s="62"/>
      <c r="UTD47" s="62"/>
      <c r="UTE47" s="62"/>
      <c r="UTF47" s="62"/>
      <c r="UTG47" s="62"/>
      <c r="UTH47" s="62"/>
      <c r="UTI47" s="62"/>
      <c r="UTJ47" s="62"/>
      <c r="UTK47" s="62"/>
      <c r="UTL47" s="62"/>
      <c r="UTM47" s="62"/>
      <c r="UTN47" s="62"/>
      <c r="UTO47" s="62"/>
      <c r="UTP47" s="62"/>
      <c r="UTQ47" s="62"/>
      <c r="UTR47" s="62"/>
      <c r="UTS47" s="62"/>
      <c r="UTT47" s="62"/>
      <c r="UTU47" s="62"/>
      <c r="UTV47" s="62"/>
      <c r="UTW47" s="62"/>
      <c r="UTX47" s="62"/>
      <c r="UTY47" s="62"/>
      <c r="UTZ47" s="62"/>
      <c r="UUA47" s="62"/>
      <c r="UUB47" s="62"/>
      <c r="UUC47" s="62"/>
      <c r="UUD47" s="62"/>
      <c r="UUE47" s="62"/>
      <c r="UUF47" s="62"/>
      <c r="UUG47" s="62"/>
      <c r="UUH47" s="62"/>
      <c r="UUI47" s="62"/>
      <c r="UUJ47" s="62"/>
      <c r="UUK47" s="62"/>
      <c r="UUL47" s="62"/>
      <c r="UUM47" s="62"/>
      <c r="UUN47" s="62"/>
      <c r="UUO47" s="62"/>
      <c r="UUP47" s="62"/>
      <c r="UUQ47" s="62"/>
      <c r="UUR47" s="62"/>
      <c r="UUS47" s="62"/>
      <c r="UUT47" s="62"/>
      <c r="UUU47" s="62"/>
      <c r="UUV47" s="62"/>
      <c r="UUW47" s="62"/>
      <c r="UUX47" s="62"/>
      <c r="UUY47" s="62"/>
      <c r="UUZ47" s="62"/>
      <c r="UVA47" s="62"/>
      <c r="UVB47" s="62"/>
      <c r="UVC47" s="62"/>
      <c r="UVD47" s="62"/>
      <c r="UVE47" s="62"/>
      <c r="UVF47" s="62"/>
      <c r="UVG47" s="62"/>
      <c r="UVH47" s="62"/>
      <c r="UVI47" s="62"/>
      <c r="UVJ47" s="62"/>
      <c r="UVK47" s="62"/>
      <c r="UVL47" s="62"/>
      <c r="UVM47" s="62"/>
      <c r="UVN47" s="62"/>
      <c r="UVO47" s="62"/>
      <c r="UVP47" s="62"/>
      <c r="UVQ47" s="62"/>
      <c r="UVR47" s="62"/>
      <c r="UVS47" s="62"/>
      <c r="UVT47" s="62"/>
      <c r="UVU47" s="62"/>
      <c r="UVV47" s="62"/>
      <c r="UVW47" s="62"/>
      <c r="UVX47" s="62"/>
      <c r="UVY47" s="62"/>
      <c r="UVZ47" s="62"/>
      <c r="UWA47" s="62"/>
      <c r="UWB47" s="62"/>
      <c r="UWC47" s="62"/>
      <c r="UWD47" s="62"/>
      <c r="UWE47" s="62"/>
      <c r="UWF47" s="62"/>
      <c r="UWG47" s="62"/>
      <c r="UWH47" s="62"/>
      <c r="UWI47" s="62"/>
      <c r="UWJ47" s="62"/>
      <c r="UWK47" s="62"/>
      <c r="UWL47" s="62"/>
      <c r="UWM47" s="62"/>
      <c r="UWN47" s="62"/>
      <c r="UWO47" s="62"/>
      <c r="UWP47" s="62"/>
      <c r="UWQ47" s="62"/>
      <c r="UWR47" s="62"/>
      <c r="UWS47" s="62"/>
      <c r="UWT47" s="62"/>
      <c r="UWU47" s="62"/>
      <c r="UWV47" s="62"/>
      <c r="UWW47" s="62"/>
      <c r="UWX47" s="62"/>
      <c r="UWY47" s="62"/>
      <c r="UWZ47" s="62"/>
      <c r="UXA47" s="62"/>
      <c r="UXB47" s="62"/>
      <c r="UXC47" s="62"/>
      <c r="UXD47" s="62"/>
      <c r="UXE47" s="62"/>
      <c r="UXF47" s="62"/>
      <c r="UXG47" s="62"/>
      <c r="UXH47" s="62"/>
      <c r="UXI47" s="62"/>
      <c r="UXJ47" s="62"/>
      <c r="UXK47" s="62"/>
      <c r="UXL47" s="62"/>
      <c r="UXM47" s="62"/>
      <c r="UXN47" s="62"/>
      <c r="UXO47" s="62"/>
      <c r="UXP47" s="62"/>
      <c r="UXQ47" s="62"/>
      <c r="UXR47" s="62"/>
      <c r="UXS47" s="62"/>
      <c r="UXT47" s="62"/>
      <c r="UXU47" s="62"/>
      <c r="UXV47" s="62"/>
      <c r="UXW47" s="62"/>
      <c r="UXX47" s="62"/>
      <c r="UXY47" s="62"/>
      <c r="UXZ47" s="62"/>
      <c r="UYA47" s="62"/>
      <c r="UYB47" s="62"/>
      <c r="UYC47" s="62"/>
      <c r="UYD47" s="62"/>
      <c r="UYE47" s="62"/>
      <c r="UYF47" s="62"/>
      <c r="UYG47" s="62"/>
      <c r="UYH47" s="62"/>
      <c r="UYI47" s="62"/>
      <c r="UYJ47" s="62"/>
      <c r="UYK47" s="62"/>
      <c r="UYL47" s="62"/>
      <c r="UYM47" s="62"/>
      <c r="UYN47" s="62"/>
      <c r="UYO47" s="62"/>
      <c r="UYP47" s="62"/>
      <c r="UYQ47" s="62"/>
      <c r="UYR47" s="62"/>
      <c r="UYS47" s="62"/>
      <c r="UYT47" s="62"/>
      <c r="UYU47" s="62"/>
      <c r="UYV47" s="62"/>
      <c r="UYW47" s="62"/>
      <c r="UYX47" s="62"/>
      <c r="UYY47" s="62"/>
      <c r="UYZ47" s="62"/>
      <c r="UZA47" s="62"/>
      <c r="UZB47" s="62"/>
      <c r="UZC47" s="62"/>
      <c r="UZD47" s="62"/>
      <c r="UZE47" s="62"/>
      <c r="UZF47" s="62"/>
      <c r="UZG47" s="62"/>
      <c r="UZH47" s="62"/>
      <c r="UZI47" s="62"/>
      <c r="UZJ47" s="62"/>
      <c r="UZK47" s="62"/>
      <c r="UZL47" s="62"/>
      <c r="UZM47" s="62"/>
      <c r="UZN47" s="62"/>
      <c r="UZO47" s="62"/>
      <c r="UZP47" s="62"/>
      <c r="UZQ47" s="62"/>
      <c r="UZR47" s="62"/>
      <c r="UZS47" s="62"/>
      <c r="UZT47" s="62"/>
      <c r="UZU47" s="62"/>
      <c r="UZV47" s="62"/>
      <c r="UZW47" s="62"/>
      <c r="UZX47" s="62"/>
      <c r="UZY47" s="62"/>
      <c r="UZZ47" s="62"/>
      <c r="VAA47" s="62"/>
      <c r="VAB47" s="62"/>
      <c r="VAC47" s="62"/>
      <c r="VAD47" s="62"/>
      <c r="VAE47" s="62"/>
      <c r="VAF47" s="62"/>
      <c r="VAG47" s="62"/>
      <c r="VAH47" s="62"/>
      <c r="VAI47" s="62"/>
      <c r="VAJ47" s="62"/>
      <c r="VAK47" s="62"/>
      <c r="VAL47" s="62"/>
      <c r="VAM47" s="62"/>
      <c r="VAN47" s="62"/>
      <c r="VAO47" s="62"/>
      <c r="VAP47" s="62"/>
      <c r="VAQ47" s="62"/>
      <c r="VAR47" s="62"/>
      <c r="VAS47" s="62"/>
      <c r="VAT47" s="62"/>
      <c r="VAU47" s="62"/>
      <c r="VAV47" s="62"/>
      <c r="VAW47" s="62"/>
      <c r="VAX47" s="62"/>
      <c r="VAY47" s="62"/>
      <c r="VAZ47" s="62"/>
      <c r="VBA47" s="62"/>
      <c r="VBB47" s="62"/>
      <c r="VBC47" s="62"/>
      <c r="VBD47" s="62"/>
      <c r="VBE47" s="62"/>
      <c r="VBF47" s="62"/>
      <c r="VBG47" s="62"/>
      <c r="VBH47" s="62"/>
      <c r="VBI47" s="62"/>
      <c r="VBJ47" s="62"/>
      <c r="VBK47" s="62"/>
      <c r="VBL47" s="62"/>
      <c r="VBM47" s="62"/>
      <c r="VBN47" s="62"/>
      <c r="VBO47" s="62"/>
      <c r="VBP47" s="62"/>
      <c r="VBQ47" s="62"/>
      <c r="VBR47" s="62"/>
      <c r="VBS47" s="62"/>
      <c r="VBT47" s="62"/>
      <c r="VBU47" s="62"/>
      <c r="VBV47" s="62"/>
      <c r="VBW47" s="62"/>
      <c r="VBX47" s="62"/>
      <c r="VBY47" s="62"/>
      <c r="VBZ47" s="62"/>
      <c r="VCA47" s="62"/>
      <c r="VCB47" s="62"/>
      <c r="VCC47" s="62"/>
      <c r="VCD47" s="62"/>
      <c r="VCE47" s="62"/>
      <c r="VCF47" s="62"/>
      <c r="VCG47" s="62"/>
      <c r="VCH47" s="62"/>
      <c r="VCI47" s="62"/>
      <c r="VCJ47" s="62"/>
      <c r="VCK47" s="62"/>
      <c r="VCL47" s="62"/>
      <c r="VCM47" s="62"/>
      <c r="VCN47" s="62"/>
      <c r="VCO47" s="62"/>
      <c r="VCP47" s="62"/>
      <c r="VCQ47" s="62"/>
      <c r="VCR47" s="62"/>
      <c r="VCS47" s="62"/>
      <c r="VCT47" s="62"/>
      <c r="VCU47" s="62"/>
      <c r="VCV47" s="62"/>
      <c r="VCW47" s="62"/>
      <c r="VCX47" s="62"/>
      <c r="VCY47" s="62"/>
      <c r="VCZ47" s="62"/>
      <c r="VDA47" s="62"/>
      <c r="VDB47" s="62"/>
      <c r="VDC47" s="62"/>
      <c r="VDD47" s="62"/>
      <c r="VDE47" s="62"/>
      <c r="VDF47" s="62"/>
      <c r="VDG47" s="62"/>
      <c r="VDH47" s="62"/>
      <c r="VDI47" s="62"/>
      <c r="VDJ47" s="62"/>
      <c r="VDK47" s="62"/>
      <c r="VDL47" s="62"/>
      <c r="VDM47" s="62"/>
      <c r="VDN47" s="62"/>
      <c r="VDO47" s="62"/>
      <c r="VDP47" s="62"/>
      <c r="VDQ47" s="62"/>
      <c r="VDR47" s="62"/>
      <c r="VDS47" s="62"/>
      <c r="VDT47" s="62"/>
      <c r="VDU47" s="62"/>
      <c r="VDV47" s="62"/>
      <c r="VDW47" s="62"/>
      <c r="VDX47" s="62"/>
      <c r="VDY47" s="62"/>
      <c r="VDZ47" s="62"/>
      <c r="VEA47" s="62"/>
      <c r="VEB47" s="62"/>
      <c r="VEC47" s="62"/>
      <c r="VED47" s="62"/>
      <c r="VEE47" s="62"/>
      <c r="VEF47" s="62"/>
      <c r="VEG47" s="62"/>
      <c r="VEH47" s="62"/>
      <c r="VEI47" s="62"/>
      <c r="VEJ47" s="62"/>
      <c r="VEK47" s="62"/>
      <c r="VEL47" s="62"/>
      <c r="VEM47" s="62"/>
      <c r="VEN47" s="62"/>
      <c r="VEO47" s="62"/>
      <c r="VEP47" s="62"/>
      <c r="VEQ47" s="62"/>
      <c r="VER47" s="62"/>
      <c r="VES47" s="62"/>
      <c r="VET47" s="62"/>
      <c r="VEU47" s="62"/>
      <c r="VEV47" s="62"/>
      <c r="VEW47" s="62"/>
      <c r="VEX47" s="62"/>
      <c r="VEY47" s="62"/>
      <c r="VEZ47" s="62"/>
      <c r="VFA47" s="62"/>
      <c r="VFB47" s="62"/>
      <c r="VFC47" s="62"/>
      <c r="VFD47" s="62"/>
      <c r="VFE47" s="62"/>
      <c r="VFF47" s="62"/>
      <c r="VFG47" s="62"/>
      <c r="VFH47" s="62"/>
      <c r="VFI47" s="62"/>
      <c r="VFJ47" s="62"/>
      <c r="VFK47" s="62"/>
      <c r="VFL47" s="62"/>
      <c r="VFM47" s="62"/>
      <c r="VFN47" s="62"/>
      <c r="VFO47" s="62"/>
      <c r="VFP47" s="62"/>
      <c r="VFQ47" s="62"/>
      <c r="VFR47" s="62"/>
      <c r="VFS47" s="62"/>
      <c r="VFT47" s="62"/>
      <c r="VFU47" s="62"/>
      <c r="VFV47" s="62"/>
      <c r="VFW47" s="62"/>
      <c r="VFX47" s="62"/>
      <c r="VFY47" s="62"/>
      <c r="VFZ47" s="62"/>
      <c r="VGA47" s="62"/>
      <c r="VGB47" s="62"/>
      <c r="VGC47" s="62"/>
      <c r="VGD47" s="62"/>
      <c r="VGE47" s="62"/>
      <c r="VGF47" s="62"/>
      <c r="VGG47" s="62"/>
      <c r="VGH47" s="62"/>
      <c r="VGI47" s="62"/>
      <c r="VGJ47" s="62"/>
      <c r="VGK47" s="62"/>
      <c r="VGL47" s="62"/>
      <c r="VGM47" s="62"/>
      <c r="VGN47" s="62"/>
      <c r="VGO47" s="62"/>
      <c r="VGP47" s="62"/>
      <c r="VGQ47" s="62"/>
      <c r="VGR47" s="62"/>
      <c r="VGS47" s="62"/>
      <c r="VGT47" s="62"/>
      <c r="VGU47" s="62"/>
      <c r="VGV47" s="62"/>
      <c r="VGW47" s="62"/>
      <c r="VGX47" s="62"/>
      <c r="VGY47" s="62"/>
      <c r="VGZ47" s="62"/>
      <c r="VHA47" s="62"/>
      <c r="VHB47" s="62"/>
      <c r="VHC47" s="62"/>
      <c r="VHD47" s="62"/>
      <c r="VHE47" s="62"/>
      <c r="VHF47" s="62"/>
      <c r="VHG47" s="62"/>
      <c r="VHH47" s="62"/>
      <c r="VHI47" s="62"/>
      <c r="VHJ47" s="62"/>
      <c r="VHK47" s="62"/>
      <c r="VHL47" s="62"/>
      <c r="VHM47" s="62"/>
      <c r="VHN47" s="62"/>
      <c r="VHO47" s="62"/>
      <c r="VHP47" s="62"/>
      <c r="VHQ47" s="62"/>
      <c r="VHR47" s="62"/>
      <c r="VHS47" s="62"/>
      <c r="VHT47" s="62"/>
      <c r="VHU47" s="62"/>
      <c r="VHV47" s="62"/>
      <c r="VHW47" s="62"/>
      <c r="VHX47" s="62"/>
      <c r="VHY47" s="62"/>
      <c r="VHZ47" s="62"/>
      <c r="VIA47" s="62"/>
      <c r="VIB47" s="62"/>
      <c r="VIC47" s="62"/>
      <c r="VID47" s="62"/>
      <c r="VIE47" s="62"/>
      <c r="VIF47" s="62"/>
      <c r="VIG47" s="62"/>
      <c r="VIH47" s="62"/>
      <c r="VII47" s="62"/>
      <c r="VIJ47" s="62"/>
      <c r="VIK47" s="62"/>
      <c r="VIL47" s="62"/>
      <c r="VIM47" s="62"/>
      <c r="VIN47" s="62"/>
      <c r="VIO47" s="62"/>
      <c r="VIP47" s="62"/>
      <c r="VIQ47" s="62"/>
      <c r="VIR47" s="62"/>
      <c r="VIS47" s="62"/>
      <c r="VIT47" s="62"/>
      <c r="VIU47" s="62"/>
      <c r="VIV47" s="62"/>
      <c r="VIW47" s="62"/>
      <c r="VIX47" s="62"/>
      <c r="VIY47" s="62"/>
      <c r="VIZ47" s="62"/>
      <c r="VJA47" s="62"/>
      <c r="VJB47" s="62"/>
      <c r="VJC47" s="62"/>
      <c r="VJD47" s="62"/>
      <c r="VJE47" s="62"/>
      <c r="VJF47" s="62"/>
      <c r="VJG47" s="62"/>
      <c r="VJH47" s="62"/>
      <c r="VJI47" s="62"/>
      <c r="VJJ47" s="62"/>
      <c r="VJK47" s="62"/>
      <c r="VJL47" s="62"/>
      <c r="VJM47" s="62"/>
      <c r="VJN47" s="62"/>
      <c r="VJO47" s="62"/>
      <c r="VJP47" s="62"/>
      <c r="VJQ47" s="62"/>
      <c r="VJR47" s="62"/>
      <c r="VJS47" s="62"/>
      <c r="VJT47" s="62"/>
      <c r="VJU47" s="62"/>
      <c r="VJV47" s="62"/>
      <c r="VJW47" s="62"/>
      <c r="VJX47" s="62"/>
      <c r="VJY47" s="62"/>
      <c r="VJZ47" s="62"/>
      <c r="VKA47" s="62"/>
      <c r="VKB47" s="62"/>
      <c r="VKC47" s="62"/>
      <c r="VKD47" s="62"/>
      <c r="VKE47" s="62"/>
      <c r="VKF47" s="62"/>
      <c r="VKG47" s="62"/>
      <c r="VKH47" s="62"/>
      <c r="VKI47" s="62"/>
      <c r="VKJ47" s="62"/>
      <c r="VKK47" s="62"/>
      <c r="VKL47" s="62"/>
      <c r="VKM47" s="62"/>
      <c r="VKN47" s="62"/>
      <c r="VKO47" s="62"/>
      <c r="VKP47" s="62"/>
      <c r="VKQ47" s="62"/>
      <c r="VKR47" s="62"/>
      <c r="VKS47" s="62"/>
      <c r="VKT47" s="62"/>
      <c r="VKU47" s="62"/>
      <c r="VKV47" s="62"/>
      <c r="VKW47" s="62"/>
      <c r="VKX47" s="62"/>
      <c r="VKY47" s="62"/>
      <c r="VKZ47" s="62"/>
      <c r="VLA47" s="62"/>
      <c r="VLB47" s="62"/>
      <c r="VLC47" s="62"/>
      <c r="VLD47" s="62"/>
      <c r="VLE47" s="62"/>
      <c r="VLF47" s="62"/>
      <c r="VLG47" s="62"/>
      <c r="VLH47" s="62"/>
      <c r="VLI47" s="62"/>
      <c r="VLJ47" s="62"/>
      <c r="VLK47" s="62"/>
      <c r="VLL47" s="62"/>
      <c r="VLM47" s="62"/>
      <c r="VLN47" s="62"/>
      <c r="VLO47" s="62"/>
      <c r="VLP47" s="62"/>
      <c r="VLQ47" s="62"/>
      <c r="VLR47" s="62"/>
      <c r="VLS47" s="62"/>
      <c r="VLT47" s="62"/>
      <c r="VLU47" s="62"/>
      <c r="VLV47" s="62"/>
      <c r="VLW47" s="62"/>
      <c r="VLX47" s="62"/>
      <c r="VLY47" s="62"/>
      <c r="VLZ47" s="62"/>
      <c r="VMA47" s="62"/>
      <c r="VMB47" s="62"/>
      <c r="VMC47" s="62"/>
      <c r="VMD47" s="62"/>
      <c r="VME47" s="62"/>
      <c r="VMF47" s="62"/>
      <c r="VMG47" s="62"/>
      <c r="VMH47" s="62"/>
      <c r="VMI47" s="62"/>
      <c r="VMJ47" s="62"/>
      <c r="VMK47" s="62"/>
      <c r="VML47" s="62"/>
      <c r="VMM47" s="62"/>
      <c r="VMN47" s="62"/>
      <c r="VMO47" s="62"/>
      <c r="VMP47" s="62"/>
      <c r="VMQ47" s="62"/>
      <c r="VMR47" s="62"/>
      <c r="VMS47" s="62"/>
      <c r="VMT47" s="62"/>
      <c r="VMU47" s="62"/>
      <c r="VMV47" s="62"/>
      <c r="VMW47" s="62"/>
      <c r="VMX47" s="62"/>
      <c r="VMY47" s="62"/>
      <c r="VMZ47" s="62"/>
      <c r="VNA47" s="62"/>
      <c r="VNB47" s="62"/>
      <c r="VNC47" s="62"/>
      <c r="VND47" s="62"/>
      <c r="VNE47" s="62"/>
      <c r="VNF47" s="62"/>
      <c r="VNG47" s="62"/>
      <c r="VNH47" s="62"/>
      <c r="VNI47" s="62"/>
      <c r="VNJ47" s="62"/>
      <c r="VNK47" s="62"/>
      <c r="VNL47" s="62"/>
      <c r="VNM47" s="62"/>
      <c r="VNN47" s="62"/>
      <c r="VNO47" s="62"/>
      <c r="VNP47" s="62"/>
      <c r="VNQ47" s="62"/>
      <c r="VNR47" s="62"/>
      <c r="VNS47" s="62"/>
      <c r="VNT47" s="62"/>
      <c r="VNU47" s="62"/>
      <c r="VNV47" s="62"/>
      <c r="VNW47" s="62"/>
      <c r="VNX47" s="62"/>
      <c r="VNY47" s="62"/>
      <c r="VNZ47" s="62"/>
      <c r="VOA47" s="62"/>
      <c r="VOB47" s="62"/>
      <c r="VOC47" s="62"/>
      <c r="VOD47" s="62"/>
      <c r="VOE47" s="62"/>
      <c r="VOF47" s="62"/>
      <c r="VOG47" s="62"/>
      <c r="VOH47" s="62"/>
      <c r="VOI47" s="62"/>
      <c r="VOJ47" s="62"/>
      <c r="VOK47" s="62"/>
      <c r="VOL47" s="62"/>
      <c r="VOM47" s="62"/>
      <c r="VON47" s="62"/>
      <c r="VOO47" s="62"/>
      <c r="VOP47" s="62"/>
      <c r="VOQ47" s="62"/>
      <c r="VOR47" s="62"/>
      <c r="VOS47" s="62"/>
      <c r="VOT47" s="62"/>
      <c r="VOU47" s="62"/>
      <c r="VOV47" s="62"/>
      <c r="VOW47" s="62"/>
      <c r="VOX47" s="62"/>
      <c r="VOY47" s="62"/>
      <c r="VOZ47" s="62"/>
      <c r="VPA47" s="62"/>
      <c r="VPB47" s="62"/>
      <c r="VPC47" s="62"/>
      <c r="VPD47" s="62"/>
      <c r="VPE47" s="62"/>
      <c r="VPF47" s="62"/>
      <c r="VPG47" s="62"/>
      <c r="VPH47" s="62"/>
      <c r="VPI47" s="62"/>
      <c r="VPJ47" s="62"/>
      <c r="VPK47" s="62"/>
      <c r="VPL47" s="62"/>
      <c r="VPM47" s="62"/>
      <c r="VPN47" s="62"/>
      <c r="VPO47" s="62"/>
      <c r="VPP47" s="62"/>
      <c r="VPQ47" s="62"/>
      <c r="VPR47" s="62"/>
      <c r="VPS47" s="62"/>
      <c r="VPT47" s="62"/>
      <c r="VPU47" s="62"/>
      <c r="VPV47" s="62"/>
      <c r="VPW47" s="62"/>
      <c r="VPX47" s="62"/>
      <c r="VPY47" s="62"/>
      <c r="VPZ47" s="62"/>
      <c r="VQA47" s="62"/>
      <c r="VQB47" s="62"/>
      <c r="VQC47" s="62"/>
      <c r="VQD47" s="62"/>
      <c r="VQE47" s="62"/>
      <c r="VQF47" s="62"/>
      <c r="VQG47" s="62"/>
      <c r="VQH47" s="62"/>
      <c r="VQI47" s="62"/>
      <c r="VQJ47" s="62"/>
      <c r="VQK47" s="62"/>
      <c r="VQL47" s="62"/>
      <c r="VQM47" s="62"/>
      <c r="VQN47" s="62"/>
      <c r="VQO47" s="62"/>
      <c r="VQP47" s="62"/>
      <c r="VQQ47" s="62"/>
      <c r="VQR47" s="62"/>
      <c r="VQS47" s="62"/>
      <c r="VQT47" s="62"/>
      <c r="VQU47" s="62"/>
      <c r="VQV47" s="62"/>
      <c r="VQW47" s="62"/>
      <c r="VQX47" s="62"/>
      <c r="VQY47" s="62"/>
      <c r="VQZ47" s="62"/>
      <c r="VRA47" s="62"/>
      <c r="VRB47" s="62"/>
      <c r="VRC47" s="62"/>
      <c r="VRD47" s="62"/>
      <c r="VRE47" s="62"/>
      <c r="VRF47" s="62"/>
      <c r="VRG47" s="62"/>
      <c r="VRH47" s="62"/>
      <c r="VRI47" s="62"/>
      <c r="VRJ47" s="62"/>
      <c r="VRK47" s="62"/>
      <c r="VRL47" s="62"/>
      <c r="VRM47" s="62"/>
      <c r="VRN47" s="62"/>
      <c r="VRO47" s="62"/>
      <c r="VRP47" s="62"/>
      <c r="VRQ47" s="62"/>
      <c r="VRR47" s="62"/>
      <c r="VRS47" s="62"/>
      <c r="VRT47" s="62"/>
      <c r="VRU47" s="62"/>
      <c r="VRV47" s="62"/>
      <c r="VRW47" s="62"/>
      <c r="VRX47" s="62"/>
      <c r="VRY47" s="62"/>
      <c r="VRZ47" s="62"/>
      <c r="VSA47" s="62"/>
      <c r="VSB47" s="62"/>
      <c r="VSC47" s="62"/>
      <c r="VSD47" s="62"/>
      <c r="VSE47" s="62"/>
      <c r="VSF47" s="62"/>
      <c r="VSG47" s="62"/>
      <c r="VSH47" s="62"/>
      <c r="VSI47" s="62"/>
      <c r="VSJ47" s="62"/>
      <c r="VSK47" s="62"/>
      <c r="VSL47" s="62"/>
      <c r="VSM47" s="62"/>
      <c r="VSN47" s="62"/>
      <c r="VSO47" s="62"/>
      <c r="VSP47" s="62"/>
      <c r="VSQ47" s="62"/>
      <c r="VSR47" s="62"/>
      <c r="VSS47" s="62"/>
      <c r="VST47" s="62"/>
      <c r="VSU47" s="62"/>
      <c r="VSV47" s="62"/>
      <c r="VSW47" s="62"/>
      <c r="VSX47" s="62"/>
      <c r="VSY47" s="62"/>
      <c r="VSZ47" s="62"/>
      <c r="VTA47" s="62"/>
      <c r="VTB47" s="62"/>
      <c r="VTC47" s="62"/>
      <c r="VTD47" s="62"/>
      <c r="VTE47" s="62"/>
      <c r="VTF47" s="62"/>
      <c r="VTG47" s="62"/>
      <c r="VTH47" s="62"/>
      <c r="VTI47" s="62"/>
      <c r="VTJ47" s="62"/>
      <c r="VTK47" s="62"/>
      <c r="VTL47" s="62"/>
      <c r="VTM47" s="62"/>
      <c r="VTN47" s="62"/>
      <c r="VTO47" s="62"/>
      <c r="VTP47" s="62"/>
      <c r="VTQ47" s="62"/>
      <c r="VTR47" s="62"/>
      <c r="VTS47" s="62"/>
      <c r="VTT47" s="62"/>
      <c r="VTU47" s="62"/>
      <c r="VTV47" s="62"/>
      <c r="VTW47" s="62"/>
      <c r="VTX47" s="62"/>
      <c r="VTY47" s="62"/>
      <c r="VTZ47" s="62"/>
      <c r="VUA47" s="62"/>
      <c r="VUB47" s="62"/>
      <c r="VUC47" s="62"/>
      <c r="VUD47" s="62"/>
      <c r="VUE47" s="62"/>
      <c r="VUF47" s="62"/>
      <c r="VUG47" s="62"/>
      <c r="VUH47" s="62"/>
      <c r="VUI47" s="62"/>
      <c r="VUJ47" s="62"/>
      <c r="VUK47" s="62"/>
      <c r="VUL47" s="62"/>
      <c r="VUM47" s="62"/>
      <c r="VUN47" s="62"/>
      <c r="VUO47" s="62"/>
      <c r="VUP47" s="62"/>
      <c r="VUQ47" s="62"/>
      <c r="VUR47" s="62"/>
      <c r="VUS47" s="62"/>
      <c r="VUT47" s="62"/>
      <c r="VUU47" s="62"/>
      <c r="VUV47" s="62"/>
      <c r="VUW47" s="62"/>
      <c r="VUX47" s="62"/>
      <c r="VUY47" s="62"/>
      <c r="VUZ47" s="62"/>
      <c r="VVA47" s="62"/>
      <c r="VVB47" s="62"/>
      <c r="VVC47" s="62"/>
      <c r="VVD47" s="62"/>
      <c r="VVE47" s="62"/>
      <c r="VVF47" s="62"/>
      <c r="VVG47" s="62"/>
      <c r="VVH47" s="62"/>
      <c r="VVI47" s="62"/>
      <c r="VVJ47" s="62"/>
      <c r="VVK47" s="62"/>
      <c r="VVL47" s="62"/>
      <c r="VVM47" s="62"/>
      <c r="VVN47" s="62"/>
      <c r="VVO47" s="62"/>
      <c r="VVP47" s="62"/>
      <c r="VVQ47" s="62"/>
      <c r="VVR47" s="62"/>
      <c r="VVS47" s="62"/>
      <c r="VVT47" s="62"/>
      <c r="VVU47" s="62"/>
      <c r="VVV47" s="62"/>
      <c r="VVW47" s="62"/>
      <c r="VVX47" s="62"/>
      <c r="VVY47" s="62"/>
      <c r="VVZ47" s="62"/>
      <c r="VWA47" s="62"/>
      <c r="VWB47" s="62"/>
      <c r="VWC47" s="62"/>
      <c r="VWD47" s="62"/>
      <c r="VWE47" s="62"/>
      <c r="VWF47" s="62"/>
      <c r="VWG47" s="62"/>
      <c r="VWH47" s="62"/>
      <c r="VWI47" s="62"/>
      <c r="VWJ47" s="62"/>
      <c r="VWK47" s="62"/>
      <c r="VWL47" s="62"/>
      <c r="VWM47" s="62"/>
      <c r="VWN47" s="62"/>
      <c r="VWO47" s="62"/>
      <c r="VWP47" s="62"/>
      <c r="VWQ47" s="62"/>
      <c r="VWR47" s="62"/>
      <c r="VWS47" s="62"/>
      <c r="VWT47" s="62"/>
      <c r="VWU47" s="62"/>
      <c r="VWV47" s="62"/>
      <c r="VWW47" s="62"/>
      <c r="VWX47" s="62"/>
      <c r="VWY47" s="62"/>
      <c r="VWZ47" s="62"/>
      <c r="VXA47" s="62"/>
      <c r="VXB47" s="62"/>
      <c r="VXC47" s="62"/>
      <c r="VXD47" s="62"/>
      <c r="VXE47" s="62"/>
      <c r="VXF47" s="62"/>
      <c r="VXG47" s="62"/>
      <c r="VXH47" s="62"/>
      <c r="VXI47" s="62"/>
      <c r="VXJ47" s="62"/>
      <c r="VXK47" s="62"/>
      <c r="VXL47" s="62"/>
      <c r="VXM47" s="62"/>
      <c r="VXN47" s="62"/>
      <c r="VXO47" s="62"/>
      <c r="VXP47" s="62"/>
      <c r="VXQ47" s="62"/>
      <c r="VXR47" s="62"/>
      <c r="VXS47" s="62"/>
      <c r="VXT47" s="62"/>
      <c r="VXU47" s="62"/>
      <c r="VXV47" s="62"/>
      <c r="VXW47" s="62"/>
      <c r="VXX47" s="62"/>
      <c r="VXY47" s="62"/>
      <c r="VXZ47" s="62"/>
      <c r="VYA47" s="62"/>
      <c r="VYB47" s="62"/>
      <c r="VYC47" s="62"/>
      <c r="VYD47" s="62"/>
      <c r="VYE47" s="62"/>
      <c r="VYF47" s="62"/>
      <c r="VYG47" s="62"/>
      <c r="VYH47" s="62"/>
      <c r="VYI47" s="62"/>
      <c r="VYJ47" s="62"/>
      <c r="VYK47" s="62"/>
      <c r="VYL47" s="62"/>
      <c r="VYM47" s="62"/>
      <c r="VYN47" s="62"/>
      <c r="VYO47" s="62"/>
      <c r="VYP47" s="62"/>
      <c r="VYQ47" s="62"/>
      <c r="VYR47" s="62"/>
      <c r="VYS47" s="62"/>
      <c r="VYT47" s="62"/>
      <c r="VYU47" s="62"/>
      <c r="VYV47" s="62"/>
      <c r="VYW47" s="62"/>
      <c r="VYX47" s="62"/>
      <c r="VYY47" s="62"/>
      <c r="VYZ47" s="62"/>
      <c r="VZA47" s="62"/>
      <c r="VZB47" s="62"/>
      <c r="VZC47" s="62"/>
      <c r="VZD47" s="62"/>
      <c r="VZE47" s="62"/>
      <c r="VZF47" s="62"/>
      <c r="VZG47" s="62"/>
      <c r="VZH47" s="62"/>
      <c r="VZI47" s="62"/>
      <c r="VZJ47" s="62"/>
      <c r="VZK47" s="62"/>
      <c r="VZL47" s="62"/>
      <c r="VZM47" s="62"/>
      <c r="VZN47" s="62"/>
      <c r="VZO47" s="62"/>
      <c r="VZP47" s="62"/>
      <c r="VZQ47" s="62"/>
      <c r="VZR47" s="62"/>
      <c r="VZS47" s="62"/>
      <c r="VZT47" s="62"/>
      <c r="VZU47" s="62"/>
      <c r="VZV47" s="62"/>
      <c r="VZW47" s="62"/>
      <c r="VZX47" s="62"/>
      <c r="VZY47" s="62"/>
      <c r="VZZ47" s="62"/>
      <c r="WAA47" s="62"/>
      <c r="WAB47" s="62"/>
      <c r="WAC47" s="62"/>
      <c r="WAD47" s="62"/>
      <c r="WAE47" s="62"/>
      <c r="WAF47" s="62"/>
      <c r="WAG47" s="62"/>
      <c r="WAH47" s="62"/>
      <c r="WAI47" s="62"/>
      <c r="WAJ47" s="62"/>
      <c r="WAK47" s="62"/>
      <c r="WAL47" s="62"/>
      <c r="WAM47" s="62"/>
      <c r="WAN47" s="62"/>
      <c r="WAO47" s="62"/>
      <c r="WAP47" s="62"/>
      <c r="WAQ47" s="62"/>
      <c r="WAR47" s="62"/>
      <c r="WAS47" s="62"/>
      <c r="WAT47" s="62"/>
      <c r="WAU47" s="62"/>
      <c r="WAV47" s="62"/>
      <c r="WAW47" s="62"/>
      <c r="WAX47" s="62"/>
      <c r="WAY47" s="62"/>
      <c r="WAZ47" s="62"/>
      <c r="WBA47" s="62"/>
      <c r="WBB47" s="62"/>
      <c r="WBC47" s="62"/>
      <c r="WBD47" s="62"/>
      <c r="WBE47" s="62"/>
      <c r="WBF47" s="62"/>
      <c r="WBG47" s="62"/>
      <c r="WBH47" s="62"/>
      <c r="WBI47" s="62"/>
      <c r="WBJ47" s="62"/>
      <c r="WBK47" s="62"/>
      <c r="WBL47" s="62"/>
      <c r="WBM47" s="62"/>
      <c r="WBN47" s="62"/>
      <c r="WBO47" s="62"/>
      <c r="WBP47" s="62"/>
      <c r="WBQ47" s="62"/>
      <c r="WBR47" s="62"/>
      <c r="WBS47" s="62"/>
      <c r="WBT47" s="62"/>
      <c r="WBU47" s="62"/>
      <c r="WBV47" s="62"/>
      <c r="WBW47" s="62"/>
      <c r="WBX47" s="62"/>
      <c r="WBY47" s="62"/>
      <c r="WBZ47" s="62"/>
      <c r="WCA47" s="62"/>
      <c r="WCB47" s="62"/>
      <c r="WCC47" s="62"/>
      <c r="WCD47" s="62"/>
      <c r="WCE47" s="62"/>
      <c r="WCF47" s="62"/>
      <c r="WCG47" s="62"/>
      <c r="WCH47" s="62"/>
      <c r="WCI47" s="62"/>
      <c r="WCJ47" s="62"/>
      <c r="WCK47" s="62"/>
      <c r="WCL47" s="62"/>
      <c r="WCM47" s="62"/>
      <c r="WCN47" s="62"/>
      <c r="WCO47" s="62"/>
      <c r="WCP47" s="62"/>
      <c r="WCQ47" s="62"/>
      <c r="WCR47" s="62"/>
      <c r="WCS47" s="62"/>
      <c r="WCT47" s="62"/>
      <c r="WCU47" s="62"/>
      <c r="WCV47" s="62"/>
      <c r="WCW47" s="62"/>
      <c r="WCX47" s="62"/>
      <c r="WCY47" s="62"/>
      <c r="WCZ47" s="62"/>
      <c r="WDA47" s="62"/>
      <c r="WDB47" s="62"/>
      <c r="WDC47" s="62"/>
      <c r="WDD47" s="62"/>
      <c r="WDE47" s="62"/>
      <c r="WDF47" s="62"/>
      <c r="WDG47" s="62"/>
      <c r="WDH47" s="62"/>
      <c r="WDI47" s="62"/>
      <c r="WDJ47" s="62"/>
      <c r="WDK47" s="62"/>
      <c r="WDL47" s="62"/>
      <c r="WDM47" s="62"/>
      <c r="WDN47" s="62"/>
      <c r="WDO47" s="62"/>
      <c r="WDP47" s="62"/>
      <c r="WDQ47" s="62"/>
      <c r="WDR47" s="62"/>
      <c r="WDS47" s="62"/>
      <c r="WDT47" s="62"/>
      <c r="WDU47" s="62"/>
      <c r="WDV47" s="62"/>
      <c r="WDW47" s="62"/>
      <c r="WDX47" s="62"/>
      <c r="WDY47" s="62"/>
      <c r="WDZ47" s="62"/>
      <c r="WEA47" s="62"/>
      <c r="WEB47" s="62"/>
      <c r="WEC47" s="62"/>
      <c r="WED47" s="62"/>
      <c r="WEE47" s="62"/>
      <c r="WEF47" s="62"/>
      <c r="WEG47" s="62"/>
      <c r="WEH47" s="62"/>
      <c r="WEI47" s="62"/>
      <c r="WEJ47" s="62"/>
      <c r="WEK47" s="62"/>
      <c r="WEL47" s="62"/>
      <c r="WEM47" s="62"/>
      <c r="WEN47" s="62"/>
      <c r="WEO47" s="62"/>
      <c r="WEP47" s="62"/>
      <c r="WEQ47" s="62"/>
      <c r="WER47" s="62"/>
      <c r="WES47" s="62"/>
      <c r="WET47" s="62"/>
      <c r="WEU47" s="62"/>
      <c r="WEV47" s="62"/>
      <c r="WEW47" s="62"/>
      <c r="WEX47" s="62"/>
      <c r="WEY47" s="62"/>
      <c r="WEZ47" s="62"/>
      <c r="WFA47" s="62"/>
      <c r="WFB47" s="62"/>
      <c r="WFC47" s="62"/>
      <c r="WFD47" s="62"/>
      <c r="WFE47" s="62"/>
      <c r="WFF47" s="62"/>
      <c r="WFG47" s="62"/>
      <c r="WFH47" s="62"/>
      <c r="WFI47" s="62"/>
      <c r="WFJ47" s="62"/>
      <c r="WFK47" s="62"/>
      <c r="WFL47" s="62"/>
      <c r="WFM47" s="62"/>
      <c r="WFN47" s="62"/>
      <c r="WFO47" s="62"/>
      <c r="WFP47" s="62"/>
      <c r="WFQ47" s="62"/>
      <c r="WFR47" s="62"/>
      <c r="WFS47" s="62"/>
      <c r="WFT47" s="62"/>
      <c r="WFU47" s="62"/>
      <c r="WFV47" s="62"/>
      <c r="WFW47" s="62"/>
      <c r="WFX47" s="62"/>
      <c r="WFY47" s="62"/>
      <c r="WFZ47" s="62"/>
      <c r="WGA47" s="62"/>
      <c r="WGB47" s="62"/>
      <c r="WGC47" s="62"/>
      <c r="WGD47" s="62"/>
      <c r="WGE47" s="62"/>
      <c r="WGF47" s="62"/>
      <c r="WGG47" s="62"/>
      <c r="WGH47" s="62"/>
      <c r="WGI47" s="62"/>
      <c r="WGJ47" s="62"/>
      <c r="WGK47" s="62"/>
      <c r="WGL47" s="62"/>
      <c r="WGM47" s="62"/>
      <c r="WGN47" s="62"/>
      <c r="WGO47" s="62"/>
      <c r="WGP47" s="62"/>
      <c r="WGQ47" s="62"/>
      <c r="WGR47" s="62"/>
      <c r="WGS47" s="62"/>
      <c r="WGT47" s="62"/>
      <c r="WGU47" s="62"/>
      <c r="WGV47" s="62"/>
      <c r="WGW47" s="62"/>
      <c r="WGX47" s="62"/>
      <c r="WGY47" s="62"/>
      <c r="WGZ47" s="62"/>
      <c r="WHA47" s="62"/>
      <c r="WHB47" s="62"/>
      <c r="WHC47" s="62"/>
      <c r="WHD47" s="62"/>
      <c r="WHE47" s="62"/>
      <c r="WHF47" s="62"/>
      <c r="WHG47" s="62"/>
      <c r="WHH47" s="62"/>
      <c r="WHI47" s="62"/>
      <c r="WHJ47" s="62"/>
      <c r="WHK47" s="62"/>
      <c r="WHL47" s="62"/>
      <c r="WHM47" s="62"/>
      <c r="WHN47" s="62"/>
      <c r="WHO47" s="62"/>
      <c r="WHP47" s="62"/>
      <c r="WHQ47" s="62"/>
      <c r="WHR47" s="62"/>
      <c r="WHS47" s="62"/>
      <c r="WHT47" s="62"/>
      <c r="WHU47" s="62"/>
      <c r="WHV47" s="62"/>
      <c r="WHW47" s="62"/>
      <c r="WHX47" s="62"/>
      <c r="WHY47" s="62"/>
      <c r="WHZ47" s="62"/>
      <c r="WIA47" s="62"/>
      <c r="WIB47" s="62"/>
      <c r="WIC47" s="62"/>
      <c r="WID47" s="62"/>
      <c r="WIE47" s="62"/>
      <c r="WIF47" s="62"/>
      <c r="WIG47" s="62"/>
      <c r="WIH47" s="62"/>
      <c r="WII47" s="62"/>
      <c r="WIJ47" s="62"/>
      <c r="WIK47" s="62"/>
      <c r="WIL47" s="62"/>
      <c r="WIM47" s="62"/>
      <c r="WIN47" s="62"/>
      <c r="WIO47" s="62"/>
      <c r="WIP47" s="62"/>
      <c r="WIQ47" s="62"/>
      <c r="WIR47" s="62"/>
      <c r="WIS47" s="62"/>
      <c r="WIT47" s="62"/>
      <c r="WIU47" s="62"/>
      <c r="WIV47" s="62"/>
      <c r="WIW47" s="62"/>
      <c r="WIX47" s="62"/>
      <c r="WIY47" s="62"/>
      <c r="WIZ47" s="62"/>
      <c r="WJA47" s="62"/>
      <c r="WJB47" s="62"/>
      <c r="WJC47" s="62"/>
      <c r="WJD47" s="62"/>
      <c r="WJE47" s="62"/>
      <c r="WJF47" s="62"/>
      <c r="WJG47" s="62"/>
      <c r="WJH47" s="62"/>
      <c r="WJI47" s="62"/>
      <c r="WJJ47" s="62"/>
      <c r="WJK47" s="62"/>
      <c r="WJL47" s="62"/>
      <c r="WJM47" s="62"/>
      <c r="WJN47" s="62"/>
      <c r="WJO47" s="62"/>
      <c r="WJP47" s="62"/>
      <c r="WJQ47" s="62"/>
      <c r="WJR47" s="62"/>
      <c r="WJS47" s="62"/>
      <c r="WJT47" s="62"/>
      <c r="WJU47" s="62"/>
      <c r="WJV47" s="62"/>
      <c r="WJW47" s="62"/>
      <c r="WJX47" s="62"/>
      <c r="WJY47" s="62"/>
      <c r="WJZ47" s="62"/>
      <c r="WKA47" s="62"/>
      <c r="WKB47" s="62"/>
      <c r="WKC47" s="62"/>
      <c r="WKD47" s="62"/>
      <c r="WKE47" s="62"/>
      <c r="WKF47" s="62"/>
      <c r="WKG47" s="62"/>
      <c r="WKH47" s="62"/>
      <c r="WKI47" s="62"/>
      <c r="WKJ47" s="62"/>
      <c r="WKK47" s="62"/>
      <c r="WKL47" s="62"/>
      <c r="WKM47" s="62"/>
      <c r="WKN47" s="62"/>
      <c r="WKO47" s="62"/>
      <c r="WKP47" s="62"/>
      <c r="WKQ47" s="62"/>
      <c r="WKR47" s="62"/>
      <c r="WKS47" s="62"/>
      <c r="WKT47" s="62"/>
      <c r="WKU47" s="62"/>
      <c r="WKV47" s="62"/>
      <c r="WKW47" s="62"/>
      <c r="WKX47" s="62"/>
      <c r="WKY47" s="62"/>
      <c r="WKZ47" s="62"/>
      <c r="WLA47" s="62"/>
      <c r="WLB47" s="62"/>
      <c r="WLC47" s="62"/>
      <c r="WLD47" s="62"/>
      <c r="WLE47" s="62"/>
      <c r="WLF47" s="62"/>
      <c r="WLG47" s="62"/>
      <c r="WLH47" s="62"/>
      <c r="WLI47" s="62"/>
      <c r="WLJ47" s="62"/>
      <c r="WLK47" s="62"/>
      <c r="WLL47" s="62"/>
      <c r="WLM47" s="62"/>
      <c r="WLN47" s="62"/>
      <c r="WLO47" s="62"/>
      <c r="WLP47" s="62"/>
      <c r="WLQ47" s="62"/>
      <c r="WLR47" s="62"/>
      <c r="WLS47" s="62"/>
      <c r="WLT47" s="62"/>
      <c r="WLU47" s="62"/>
      <c r="WLV47" s="62"/>
      <c r="WLW47" s="62"/>
      <c r="WLX47" s="62"/>
      <c r="WLY47" s="62"/>
      <c r="WLZ47" s="62"/>
      <c r="WMA47" s="62"/>
      <c r="WMB47" s="62"/>
      <c r="WMC47" s="62"/>
      <c r="WMD47" s="62"/>
      <c r="WME47" s="62"/>
      <c r="WMF47" s="62"/>
      <c r="WMG47" s="62"/>
      <c r="WMH47" s="62"/>
      <c r="WMI47" s="62"/>
      <c r="WMJ47" s="62"/>
      <c r="WMK47" s="62"/>
      <c r="WML47" s="62"/>
      <c r="WMM47" s="62"/>
      <c r="WMN47" s="62"/>
      <c r="WMO47" s="62"/>
      <c r="WMP47" s="62"/>
      <c r="WMQ47" s="62"/>
      <c r="WMR47" s="62"/>
      <c r="WMS47" s="62"/>
      <c r="WMT47" s="62"/>
      <c r="WMU47" s="62"/>
      <c r="WMV47" s="62"/>
      <c r="WMW47" s="62"/>
      <c r="WMX47" s="62"/>
      <c r="WMY47" s="62"/>
      <c r="WMZ47" s="62"/>
      <c r="WNA47" s="62"/>
      <c r="WNB47" s="62"/>
      <c r="WNC47" s="62"/>
      <c r="WND47" s="62"/>
      <c r="WNE47" s="62"/>
      <c r="WNF47" s="62"/>
      <c r="WNG47" s="62"/>
      <c r="WNH47" s="62"/>
      <c r="WNI47" s="62"/>
      <c r="WNJ47" s="62"/>
      <c r="WNK47" s="62"/>
      <c r="WNL47" s="62"/>
      <c r="WNM47" s="62"/>
      <c r="WNN47" s="62"/>
      <c r="WNO47" s="62"/>
      <c r="WNP47" s="62"/>
      <c r="WNQ47" s="62"/>
      <c r="WNR47" s="62"/>
      <c r="WNS47" s="62"/>
      <c r="WNT47" s="62"/>
      <c r="WNU47" s="62"/>
      <c r="WNV47" s="62"/>
      <c r="WNW47" s="62"/>
      <c r="WNX47" s="62"/>
      <c r="WNY47" s="62"/>
      <c r="WNZ47" s="62"/>
      <c r="WOA47" s="62"/>
      <c r="WOB47" s="62"/>
      <c r="WOC47" s="62"/>
      <c r="WOD47" s="62"/>
      <c r="WOE47" s="62"/>
      <c r="WOF47" s="62"/>
      <c r="WOG47" s="62"/>
      <c r="WOH47" s="62"/>
      <c r="WOI47" s="62"/>
      <c r="WOJ47" s="62"/>
      <c r="WOK47" s="62"/>
      <c r="WOL47" s="62"/>
      <c r="WOM47" s="62"/>
      <c r="WON47" s="62"/>
      <c r="WOO47" s="62"/>
      <c r="WOP47" s="62"/>
      <c r="WOQ47" s="62"/>
      <c r="WOR47" s="62"/>
      <c r="WOS47" s="62"/>
      <c r="WOT47" s="62"/>
      <c r="WOU47" s="62"/>
      <c r="WOV47" s="62"/>
      <c r="WOW47" s="62"/>
      <c r="WOX47" s="62"/>
      <c r="WOY47" s="62"/>
      <c r="WOZ47" s="62"/>
      <c r="WPA47" s="62"/>
      <c r="WPB47" s="62"/>
      <c r="WPC47" s="62"/>
      <c r="WPD47" s="62"/>
      <c r="WPE47" s="62"/>
      <c r="WPF47" s="62"/>
      <c r="WPG47" s="62"/>
      <c r="WPH47" s="62"/>
      <c r="WPI47" s="62"/>
      <c r="WPJ47" s="62"/>
      <c r="WPK47" s="62"/>
      <c r="WPL47" s="62"/>
      <c r="WPM47" s="62"/>
      <c r="WPN47" s="62"/>
      <c r="WPO47" s="62"/>
      <c r="WPP47" s="62"/>
      <c r="WPQ47" s="62"/>
      <c r="WPR47" s="62"/>
      <c r="WPS47" s="62"/>
      <c r="WPT47" s="62"/>
      <c r="WPU47" s="62"/>
      <c r="WPV47" s="62"/>
      <c r="WPW47" s="62"/>
      <c r="WPX47" s="62"/>
      <c r="WPY47" s="62"/>
      <c r="WPZ47" s="62"/>
      <c r="WQA47" s="62"/>
      <c r="WQB47" s="62"/>
      <c r="WQC47" s="62"/>
      <c r="WQD47" s="62"/>
      <c r="WQE47" s="62"/>
      <c r="WQF47" s="62"/>
      <c r="WQG47" s="62"/>
      <c r="WQH47" s="62"/>
      <c r="WQI47" s="62"/>
      <c r="WQJ47" s="62"/>
      <c r="WQK47" s="62"/>
      <c r="WQL47" s="62"/>
      <c r="WQM47" s="62"/>
      <c r="WQN47" s="62"/>
      <c r="WQO47" s="62"/>
      <c r="WQP47" s="62"/>
      <c r="WQQ47" s="62"/>
      <c r="WQR47" s="62"/>
      <c r="WQS47" s="62"/>
      <c r="WQT47" s="62"/>
      <c r="WQU47" s="62"/>
      <c r="WQV47" s="62"/>
      <c r="WQW47" s="62"/>
      <c r="WQX47" s="62"/>
      <c r="WQY47" s="62"/>
      <c r="WQZ47" s="62"/>
      <c r="WRA47" s="62"/>
      <c r="WRB47" s="62"/>
      <c r="WRC47" s="62"/>
      <c r="WRD47" s="62"/>
      <c r="WRE47" s="62"/>
      <c r="WRF47" s="62"/>
      <c r="WRG47" s="62"/>
      <c r="WRH47" s="62"/>
      <c r="WRI47" s="62"/>
      <c r="WRJ47" s="62"/>
      <c r="WRK47" s="62"/>
      <c r="WRL47" s="62"/>
      <c r="WRM47" s="62"/>
      <c r="WRN47" s="62"/>
      <c r="WRO47" s="62"/>
      <c r="WRP47" s="62"/>
      <c r="WRQ47" s="62"/>
      <c r="WRR47" s="62"/>
      <c r="WRS47" s="62"/>
      <c r="WRT47" s="62"/>
      <c r="WRU47" s="62"/>
      <c r="WRV47" s="62"/>
      <c r="WRW47" s="62"/>
      <c r="WRX47" s="62"/>
      <c r="WRY47" s="62"/>
      <c r="WRZ47" s="62"/>
      <c r="WSA47" s="62"/>
      <c r="WSB47" s="62"/>
      <c r="WSC47" s="62"/>
      <c r="WSD47" s="62"/>
      <c r="WSE47" s="62"/>
      <c r="WSF47" s="62"/>
      <c r="WSG47" s="62"/>
      <c r="WSH47" s="62"/>
      <c r="WSI47" s="62"/>
      <c r="WSJ47" s="62"/>
      <c r="WSK47" s="62"/>
      <c r="WSL47" s="62"/>
      <c r="WSM47" s="62"/>
      <c r="WSN47" s="62"/>
      <c r="WSO47" s="62"/>
      <c r="WSP47" s="62"/>
      <c r="WSQ47" s="62"/>
      <c r="WSR47" s="62"/>
      <c r="WSS47" s="62"/>
      <c r="WST47" s="62"/>
      <c r="WSU47" s="62"/>
      <c r="WSV47" s="62"/>
      <c r="WSW47" s="62"/>
      <c r="WSX47" s="62"/>
      <c r="WSY47" s="62"/>
      <c r="WSZ47" s="62"/>
      <c r="WTA47" s="62"/>
      <c r="WTB47" s="62"/>
      <c r="WTC47" s="62"/>
      <c r="WTD47" s="62"/>
      <c r="WTE47" s="62"/>
      <c r="WTF47" s="62"/>
      <c r="WTG47" s="62"/>
      <c r="WTH47" s="62"/>
      <c r="WTI47" s="62"/>
      <c r="WTJ47" s="62"/>
      <c r="WTK47" s="62"/>
      <c r="WTL47" s="62"/>
      <c r="WTM47" s="62"/>
      <c r="WTN47" s="62"/>
      <c r="WTO47" s="62"/>
      <c r="WTP47" s="62"/>
      <c r="WTQ47" s="62"/>
      <c r="WTR47" s="62"/>
      <c r="WTS47" s="62"/>
      <c r="WTT47" s="62"/>
      <c r="WTU47" s="62"/>
      <c r="WTV47" s="62"/>
      <c r="WTW47" s="62"/>
      <c r="WTX47" s="62"/>
      <c r="WTY47" s="62"/>
      <c r="WTZ47" s="62"/>
      <c r="WUA47" s="62"/>
      <c r="WUB47" s="62"/>
      <c r="WUC47" s="62"/>
      <c r="WUD47" s="62"/>
      <c r="WUE47" s="62"/>
      <c r="WUF47" s="62"/>
      <c r="WUG47" s="62"/>
      <c r="WUH47" s="62"/>
      <c r="WUI47" s="62"/>
      <c r="WUJ47" s="62"/>
      <c r="WUK47" s="62"/>
      <c r="WUL47" s="62"/>
      <c r="WUM47" s="62"/>
      <c r="WUN47" s="62"/>
      <c r="WUO47" s="62"/>
      <c r="WUP47" s="62"/>
      <c r="WUQ47" s="62"/>
      <c r="WUR47" s="62"/>
      <c r="WUS47" s="62"/>
      <c r="WUT47" s="62"/>
      <c r="WUU47" s="62"/>
      <c r="WUV47" s="62"/>
      <c r="WUW47" s="62"/>
      <c r="WUX47" s="62"/>
      <c r="WUY47" s="62"/>
      <c r="WUZ47" s="62"/>
      <c r="WVA47" s="62"/>
      <c r="WVB47" s="62"/>
      <c r="WVC47" s="62"/>
      <c r="WVD47" s="62"/>
      <c r="WVE47" s="62"/>
      <c r="WVF47" s="62"/>
      <c r="WVG47" s="62"/>
      <c r="WVH47" s="62"/>
      <c r="WVI47" s="62"/>
      <c r="WVJ47" s="62"/>
      <c r="WVK47" s="62"/>
      <c r="WVL47" s="62"/>
      <c r="WVM47" s="62"/>
      <c r="WVN47" s="62"/>
      <c r="WVO47" s="62"/>
      <c r="WVP47" s="62"/>
      <c r="WVQ47" s="62"/>
      <c r="WVR47" s="62"/>
      <c r="WVS47" s="62"/>
      <c r="WVT47" s="62"/>
      <c r="WVU47" s="62"/>
      <c r="WVV47" s="62"/>
      <c r="WVW47" s="62"/>
      <c r="WVX47" s="62"/>
      <c r="WVY47" s="62"/>
      <c r="WVZ47" s="62"/>
      <c r="WWA47" s="62"/>
      <c r="WWB47" s="62"/>
      <c r="WWC47" s="62"/>
      <c r="WWD47" s="62"/>
      <c r="WWE47" s="62"/>
      <c r="WWF47" s="62"/>
      <c r="WWG47" s="62"/>
      <c r="WWH47" s="62"/>
      <c r="WWI47" s="62"/>
      <c r="WWJ47" s="62"/>
      <c r="WWK47" s="62"/>
      <c r="WWL47" s="62"/>
      <c r="WWM47" s="62"/>
      <c r="WWN47" s="62"/>
      <c r="WWO47" s="62"/>
      <c r="WWP47" s="62"/>
      <c r="WWQ47" s="62"/>
      <c r="WWR47" s="62"/>
      <c r="WWS47" s="62"/>
      <c r="WWT47" s="62"/>
      <c r="WWU47" s="62"/>
      <c r="WWV47" s="62"/>
      <c r="WWW47" s="62"/>
      <c r="WWX47" s="62"/>
      <c r="WWY47" s="62"/>
      <c r="WWZ47" s="62"/>
      <c r="WXA47" s="62"/>
      <c r="WXB47" s="62"/>
      <c r="WXC47" s="62"/>
      <c r="WXD47" s="62"/>
      <c r="WXE47" s="62"/>
      <c r="WXF47" s="62"/>
      <c r="WXG47" s="62"/>
      <c r="WXH47" s="62"/>
      <c r="WXI47" s="62"/>
      <c r="WXJ47" s="62"/>
      <c r="WXK47" s="62"/>
      <c r="WXL47" s="62"/>
      <c r="WXM47" s="62"/>
      <c r="WXN47" s="62"/>
      <c r="WXO47" s="62"/>
      <c r="WXP47" s="62"/>
      <c r="WXQ47" s="62"/>
      <c r="WXR47" s="62"/>
      <c r="WXS47" s="62"/>
      <c r="WXT47" s="62"/>
      <c r="WXU47" s="62"/>
      <c r="WXV47" s="62"/>
      <c r="WXW47" s="62"/>
      <c r="WXX47" s="62"/>
      <c r="WXY47" s="62"/>
      <c r="WXZ47" s="62"/>
      <c r="WYA47" s="62"/>
      <c r="WYB47" s="62"/>
      <c r="WYC47" s="62"/>
      <c r="WYD47" s="62"/>
      <c r="WYE47" s="62"/>
      <c r="WYF47" s="62"/>
      <c r="WYG47" s="62"/>
      <c r="WYH47" s="62"/>
      <c r="WYI47" s="62"/>
      <c r="WYJ47" s="62"/>
      <c r="WYK47" s="62"/>
      <c r="WYL47" s="62"/>
      <c r="WYM47" s="62"/>
      <c r="WYN47" s="62"/>
      <c r="WYO47" s="62"/>
      <c r="WYP47" s="62"/>
      <c r="WYQ47" s="62"/>
      <c r="WYR47" s="62"/>
      <c r="WYS47" s="62"/>
      <c r="WYT47" s="62"/>
      <c r="WYU47" s="62"/>
      <c r="WYV47" s="62"/>
      <c r="WYW47" s="62"/>
      <c r="WYX47" s="62"/>
      <c r="WYY47" s="62"/>
      <c r="WYZ47" s="62"/>
      <c r="WZA47" s="62"/>
      <c r="WZB47" s="62"/>
      <c r="WZC47" s="62"/>
      <c r="WZD47" s="62"/>
      <c r="WZE47" s="62"/>
      <c r="WZF47" s="62"/>
      <c r="WZG47" s="62"/>
      <c r="WZH47" s="62"/>
      <c r="WZI47" s="62"/>
      <c r="WZJ47" s="62"/>
      <c r="WZK47" s="62"/>
      <c r="WZL47" s="62"/>
      <c r="WZM47" s="62"/>
      <c r="WZN47" s="62"/>
      <c r="WZO47" s="62"/>
      <c r="WZP47" s="62"/>
      <c r="WZQ47" s="62"/>
      <c r="WZR47" s="62"/>
      <c r="WZS47" s="62"/>
      <c r="WZT47" s="62"/>
      <c r="WZU47" s="62"/>
      <c r="WZV47" s="62"/>
      <c r="WZW47" s="62"/>
      <c r="WZX47" s="62"/>
      <c r="WZY47" s="62"/>
      <c r="WZZ47" s="62"/>
      <c r="XAA47" s="62"/>
      <c r="XAB47" s="62"/>
      <c r="XAC47" s="62"/>
      <c r="XAD47" s="62"/>
      <c r="XAE47" s="62"/>
      <c r="XAF47" s="62"/>
      <c r="XAG47" s="62"/>
      <c r="XAH47" s="62"/>
      <c r="XAI47" s="62"/>
      <c r="XAJ47" s="62"/>
      <c r="XAK47" s="62"/>
      <c r="XAL47" s="62"/>
      <c r="XAM47" s="62"/>
      <c r="XAN47" s="62"/>
      <c r="XAO47" s="62"/>
      <c r="XAP47" s="62"/>
      <c r="XAQ47" s="62"/>
      <c r="XAR47" s="62"/>
      <c r="XAS47" s="62"/>
      <c r="XAT47" s="62"/>
      <c r="XAU47" s="62"/>
      <c r="XAV47" s="62"/>
      <c r="XAW47" s="62"/>
      <c r="XAX47" s="62"/>
      <c r="XAY47" s="62"/>
      <c r="XAZ47" s="62"/>
      <c r="XBA47" s="62"/>
      <c r="XBB47" s="62"/>
      <c r="XBC47" s="62"/>
      <c r="XBD47" s="62"/>
      <c r="XBE47" s="62"/>
      <c r="XBF47" s="62"/>
      <c r="XBG47" s="62"/>
      <c r="XBH47" s="62"/>
      <c r="XBI47" s="62"/>
      <c r="XBJ47" s="62"/>
      <c r="XBK47" s="62"/>
      <c r="XBL47" s="62"/>
      <c r="XBM47" s="62"/>
      <c r="XBN47" s="62"/>
      <c r="XBO47" s="62"/>
      <c r="XBP47" s="62"/>
      <c r="XBQ47" s="62"/>
      <c r="XBR47" s="62"/>
      <c r="XBS47" s="62"/>
      <c r="XBT47" s="62"/>
      <c r="XBU47" s="62"/>
      <c r="XBV47" s="62"/>
      <c r="XBW47" s="62"/>
      <c r="XBX47" s="62"/>
      <c r="XBY47" s="62"/>
      <c r="XBZ47" s="62"/>
      <c r="XCA47" s="62"/>
      <c r="XCB47" s="62"/>
      <c r="XCC47" s="62"/>
      <c r="XCD47" s="62"/>
      <c r="XCE47" s="62"/>
      <c r="XCF47" s="62"/>
      <c r="XCG47" s="62"/>
      <c r="XCH47" s="62"/>
      <c r="XCI47" s="62"/>
      <c r="XCJ47" s="62"/>
      <c r="XCK47" s="62"/>
      <c r="XCL47" s="62"/>
      <c r="XCM47" s="62"/>
      <c r="XCN47" s="62"/>
      <c r="XCO47" s="62"/>
      <c r="XCP47" s="62"/>
      <c r="XCQ47" s="62"/>
      <c r="XCR47" s="62"/>
      <c r="XCS47" s="62"/>
      <c r="XCT47" s="62"/>
      <c r="XCU47" s="62"/>
      <c r="XCV47" s="62"/>
      <c r="XCW47" s="62"/>
      <c r="XCX47" s="62"/>
      <c r="XCY47" s="62"/>
      <c r="XCZ47" s="62"/>
      <c r="XDA47" s="62"/>
      <c r="XDB47" s="62"/>
      <c r="XDC47" s="62"/>
      <c r="XDD47" s="62"/>
      <c r="XDE47" s="62"/>
      <c r="XDF47" s="62"/>
      <c r="XDG47" s="62"/>
      <c r="XDH47" s="62"/>
      <c r="XDI47" s="62"/>
      <c r="XDJ47" s="62"/>
      <c r="XDK47" s="62"/>
      <c r="XDL47" s="62"/>
      <c r="XDM47" s="62"/>
      <c r="XDN47" s="62"/>
      <c r="XDO47" s="62"/>
      <c r="XDP47" s="62"/>
      <c r="XDQ47" s="62"/>
      <c r="XDR47" s="62"/>
      <c r="XDS47" s="62"/>
      <c r="XDT47" s="62"/>
      <c r="XDU47" s="62"/>
      <c r="XDV47" s="62"/>
      <c r="XDW47" s="62"/>
      <c r="XDX47" s="62"/>
      <c r="XDY47" s="62"/>
      <c r="XDZ47" s="62"/>
      <c r="XEA47" s="62"/>
      <c r="XEB47" s="62"/>
      <c r="XEC47" s="62"/>
      <c r="XED47" s="62"/>
      <c r="XEE47" s="62"/>
      <c r="XEF47" s="62"/>
      <c r="XEG47" s="62"/>
      <c r="XEH47" s="62"/>
      <c r="XEI47" s="62"/>
      <c r="XEJ47" s="62"/>
      <c r="XEK47" s="62"/>
      <c r="XEL47" s="62"/>
      <c r="XEM47" s="62"/>
      <c r="XEN47" s="62"/>
      <c r="XEO47" s="62"/>
      <c r="XEP47" s="62"/>
      <c r="XEQ47" s="62"/>
      <c r="XER47" s="62"/>
      <c r="XES47" s="62"/>
      <c r="XET47" s="62"/>
      <c r="XEU47" s="62"/>
      <c r="XEV47" s="62"/>
      <c r="XEW47" s="62"/>
      <c r="XEX47" s="62"/>
      <c r="XEY47" s="62"/>
      <c r="XEZ47" s="62"/>
      <c r="XFA47" s="62"/>
      <c r="XFB47" s="62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17"/>
  <sheetViews>
    <sheetView tabSelected="1" zoomScale="115" zoomScaleNormal="115" workbookViewId="0">
      <selection activeCell="J8" sqref="J8"/>
    </sheetView>
  </sheetViews>
  <sheetFormatPr defaultColWidth="0" defaultRowHeight="11.25" customHeight="1" zeroHeight="1"/>
  <cols>
    <col min="1" max="2" width="1.25" style="51" customWidth="1"/>
    <col min="3" max="3" width="35.875" style="51" customWidth="1"/>
    <col min="4" max="4" width="23.375" style="52" customWidth="1"/>
    <col min="5" max="5" width="13.375" style="52" customWidth="1"/>
    <col min="6" max="6" width="8.875" style="52" customWidth="1"/>
    <col min="7" max="9" width="2.75" style="52" customWidth="1"/>
    <col min="10" max="15" width="9.25" style="51" customWidth="1"/>
    <col min="16" max="17" width="2.875" style="51" customWidth="1"/>
    <col min="18" max="24" width="9.25" style="51" hidden="1" customWidth="1"/>
    <col min="25" max="48" width="0" style="51" hidden="1" customWidth="1"/>
    <col min="49" max="16384" width="0" style="51" hidden="1"/>
  </cols>
  <sheetData>
    <row r="1" spans="1:27" s="34" customFormat="1" ht="15.6">
      <c r="B1" s="3" t="str">
        <f>'Input | General'!$B$1</f>
        <v>Victorian TNSP 2023-27 Regulatory Proposal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47</v>
      </c>
      <c r="L1" s="160" t="s">
        <v>48</v>
      </c>
      <c r="M1" s="165" t="s">
        <v>36</v>
      </c>
      <c r="R1" s="107"/>
      <c r="S1" s="79"/>
      <c r="T1" s="79"/>
      <c r="U1" s="79"/>
      <c r="V1" s="79"/>
      <c r="W1" s="79"/>
    </row>
    <row r="2" spans="1:27" s="37" customFormat="1" ht="13.8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 ht="10.199999999999999">
      <c r="C3" s="41"/>
      <c r="D3" s="42"/>
      <c r="E3" s="42"/>
      <c r="F3" s="42"/>
      <c r="G3" s="42"/>
      <c r="H3" s="42"/>
      <c r="I3" s="42"/>
      <c r="J3" s="196"/>
      <c r="K3" s="196"/>
      <c r="L3" s="196"/>
      <c r="M3" s="42"/>
      <c r="N3" s="196"/>
      <c r="O3" s="196"/>
      <c r="P3" s="196"/>
      <c r="Q3" s="196"/>
      <c r="R3" s="196"/>
      <c r="S3" s="196"/>
      <c r="T3" s="196"/>
      <c r="U3" s="43"/>
      <c r="V3" s="43"/>
      <c r="W3" s="43"/>
      <c r="X3" s="43"/>
      <c r="Y3" s="43"/>
      <c r="Z3" s="43"/>
      <c r="AA3" s="43"/>
    </row>
    <row r="4" spans="1:27" s="50" customFormat="1" ht="13.2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59</v>
      </c>
      <c r="D6" s="55" t="s">
        <v>6</v>
      </c>
      <c r="E6" s="55" t="s">
        <v>52</v>
      </c>
      <c r="F6" s="55" t="s">
        <v>4</v>
      </c>
      <c r="H6" s="55"/>
      <c r="I6" s="55"/>
      <c r="J6" s="188" t="str">
        <f>'Calc | CESS Revenue Increments'!D40</f>
        <v>2022-23</v>
      </c>
      <c r="K6" s="188" t="str">
        <f>'Calc | CESS Revenue Increments'!E40</f>
        <v>2023–24</v>
      </c>
      <c r="L6" s="188" t="str">
        <f>'Calc | CESS Revenue Increments'!F40</f>
        <v>2024–25</v>
      </c>
      <c r="M6" s="188" t="str">
        <f>'Calc | CESS Revenue Increments'!G40</f>
        <v>2025–26</v>
      </c>
      <c r="N6" s="188" t="str">
        <f>'Calc | CESS Revenue Increments'!H40</f>
        <v>2026–27</v>
      </c>
      <c r="O6" s="56" t="s">
        <v>87</v>
      </c>
      <c r="P6" s="136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83</v>
      </c>
      <c r="D8" s="190" t="s">
        <v>58</v>
      </c>
      <c r="E8" s="52" t="s">
        <v>50</v>
      </c>
      <c r="F8" s="189" t="str">
        <f>IF(LEN(J6)&gt;4,CONCATENATE(LEFT(J6,4)-1&amp;"–"&amp;IF(RIGHT(J6,2)="00","99",IF(RIGHT(J6,2)-1&lt;10,"0","")&amp;RIGHT(J6,2)-1)),J6-1)</f>
        <v>2021–22</v>
      </c>
      <c r="H8" s="55"/>
      <c r="I8" s="55"/>
      <c r="J8" s="133">
        <f>'Calc | CESS Revenue Increments'!D42</f>
        <v>1.6935652417288509</v>
      </c>
      <c r="K8" s="133">
        <f>'Calc | CESS Revenue Increments'!E42</f>
        <v>1.6935652417288509</v>
      </c>
      <c r="L8" s="133">
        <f>'Calc | CESS Revenue Increments'!F42</f>
        <v>1.6935652417288509</v>
      </c>
      <c r="M8" s="133">
        <f>'Calc | CESS Revenue Increments'!G42</f>
        <v>1.6935652417288509</v>
      </c>
      <c r="N8" s="133">
        <f>'Calc | CESS Revenue Increments'!H42</f>
        <v>1.6935652417288509</v>
      </c>
      <c r="O8" s="60">
        <f>SUM(J8:N8)</f>
        <v>8.4678262086442544</v>
      </c>
      <c r="P8" s="137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4"/>
      <c r="K10" s="134"/>
      <c r="L10" s="134"/>
      <c r="M10" s="134"/>
      <c r="N10" s="134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3.2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7" spans="13:20" ht="10.199999999999999" hidden="1">
      <c r="M17" s="61"/>
      <c r="N17" s="61"/>
      <c r="O17" s="61"/>
      <c r="P17" s="61"/>
      <c r="Q17" s="61"/>
      <c r="R17" s="61"/>
      <c r="S17" s="61"/>
      <c r="T17" s="61"/>
    </row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e t t i n g s   x m l n s : x s i = " h t t p : / / w w w . w 3 . o r g / 2 0 0 1 / X M L S c h e m a - i n s t a n c e "   x m l n s : x s d = " h t t p : / / w w w . w 3 . o r g / 2 0 0 1 / X M L S c h e m a " >  
     < O p t i o n >  
         < O p t i o n T y p e > T o c I n c l u d e P r i n t e d P a g e N u m b e r s < / O p t i o n T y p e >  
         < U s e A p p l i c a t i o n S e t t i n g > t r u e < / U s e A p p l i c a t i o n S e t t i n g >  
         < V a l u e > f a l s e < / V a l u e >  
     < / O p t i o n >  
     < O p t i o n >  
         < O p t i o n T y p e > T o c P r o m p t F o r P a g e N u m b e r s < / O p t i o n T y p e >  
         < U s e A p p l i c a t i o n S e t t i n g > t r u e < / U s e A p p l i c a t i o n S e t t i n g >  
         < V a l u e > t r u e < / V a l u e >  
     < / O p t i o n >  
     < O p t i o n >  
         < O p t i o n T y p e > T o c S h o w C u s t o m T o c E n t r i e s < / O p t i o n T y p e >  
         < U s e A p p l i c a t i o n S e t t i n g > t r u e < / U s e A p p l i c a t i o n S e t t i n g >  
         < V a l u e > f a l s e < / V a l u e >  
     < / O p t i o n >  
     < O p t i o n >  
         < O p t i o n T y p e > A u t o I n s e r t P r o j e c t S e c t i o n C o v e r s < / O p t i o n T y p e >  
         < U s e A p p l i c a t i o n S e t t i n g > t r u e < / U s e A p p l i c a t i o n S e t t i n g >  
         < V a l u e > t r u e < / V a l u e >  
     < / O p t i o n >  
     < O p t i o n >  
         < O p t i o n T y p e > A u t o I n s e r t P r o j e c t S u b S e c t i o n C o v e r s < / O p t i o n T y p e >  
         < U s e A p p l i c a t i o n S e t t i n g > t r u e < / U s e A p p l i c a t i o n S e t t i n g >  
         < V a l u e > f a l s e < / V a l u e >  
     < / O p t i o n >  
     < O p t i o n >  
         < O p t i o n T y p e > A u t o I n s e r t M o d u l e S e c t i o n C o v e r s < / O p t i o n T y p e >  
         < U s e A p p l i c a t i o n S e t t i n g > t r u e < / U s e A p p l i c a t i o n S e t t i n g >  
         < V a l u e > f a l s e < / V a l u e >  
     < / O p t i o n >  
     < O p t i o n >  
         < O p t i o n T y p e > A u t o I n s e r t M o d u l e S u b S e c t i o n C o v e r s < / O p t i o n T y p e >  
         < U s e A p p l i c a t i o n S e t t i n g > t r u e < / U s e A p p l i c a t i o n S e t t i n g >  
         < V a l u e > f a l s e < / V a l u e >  
     < / O p t i o n >  
     < O p t i o n >  
         < O p t i o n T y p e > G r o u p L o o k u p s C o m p o n e n t s < / O p t i o n T y p e >  
         < U s e A p p l i c a t i o n S e t t i n g > t r u e < / U s e A p p l i c a t i o n S e t t i n g >  
         < V a l u e > t r u e < / V a l u e >  
     < / O p t i o n >  
     < O p t i o n >  
         < O p t i o n T y p e > S h e e t N a m e s B e s t P r a c t i c e S y n t a x < / O p t i o n T y p e >  
         < U s e A p p l i c a t i o n S e t t i n g > t r u e < / U s e A p p l i c a t i o n S e t t i n g >  
         < V a l u e > f a l s e < / V a l u e >  
     < / O p t i o n >  
     < O p t i o n >  
         < O p t i o n T y p e > S h e e t N a m e s A u t o U n d e r s c o r e < / O p t i o n T y p e >  
         < U s e A p p l i c a t i o n S e t t i n g > t r u e < / U s e A p p l i c a t i o n S e t t i n g >  
         < V a l u e > t r u e < / V a l u e >  
     < / O p t i o n >  
     < O p t i o n >  
         < O p t i o n T y p e > G r o u p C o m p o n e n t R o w s < / O p t i o n T y p e >  
         < U s e A p p l i c a t i o n S e t t i n g > t r u e < / U s e A p p l i c a t i o n S e t t i n g >  
         < V a l u e > t r u e < / V a l u e >  
     < / O p t i o n >  
     < O p t i o n >  
         < O p t i o n T y p e > A d d C o m p o n e n t H y p e r l i n k s < / O p t i o n T y p e >  
         < U s e A p p l i c a t i o n S e t t i n g > t r u e < / U s e A p p l i c a t i o n S e t t i n g >  
         < V a l u e > f a l s e < / V a l u e >  
     < / O p t i o n >  
     < O p t i o n >  
         < O p t i o n T y p e > D i s a b l e T h e m e C h a n g e P r o m p t < / O p t i o n T y p e >  
         < U s e A p p l i c a t i o n S e t t i n g > t r u e < / U s e A p p l i c a t i o n S e t t i n g >  
         < V a l u e > f a l s e < / V a l u e >  
     < / O p t i o n >  
     < O p t i o n >  
         < O p t i o n T y p e > I n s e r t M o d u l e s S p e c i f y C o m p o n e n t s < / O p t i o n T y p e >  
         < U s e A p p l i c a t i o n S e t t i n g > t r u e < / U s e A p p l i c a t i o n S e t t i n g >  
         < V a l u e > f a l s e < / V a l u e >  
     < / O p t i o n >  
     < O p t i o n >  
         < O p t i o n T y p e > I n s e r t M o d u l e s S p e c i f y L i n k s < / O p t i o n T y p e >  
         < U s e A p p l i c a t i o n S e t t i n g > t r u e < / U s e A p p l i c a t i o n S e t t i n g >  
         < V a l u e > f a l s e < / V a l u e >  
     < / O p t i o n >  
     < I g n o r e C e l l C o n t e n t > f a l s e < / I g n o r e C e l l C o n t e n t >  
     < A u t o F o n t C o l o r S t y l e T y p e s > 0 , 1 , 2 , 5 , 6 , 7 , 8 , 9 , 1 0 , 1 1 , 1 2 , 1 3 , 1 4 , 1 5 , 1 6 , 1 7 , 1 8 , 1 9 , 2 0 , 2 1 , 2 3 , 2 4 , 2 5 , 3 3 < / A u t o F o n t C o l o r S t y l e T y p e s >  
     < B a s e S h e e t T y p e C o l o r >  
         < B a s e S h e e t T y p e > C o v e r 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 C o n t e n t s 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 S e c t i o n C o v e r 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 S u b S e c t i o n C o v e r 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 B l a n k A s s u m p t i o n s 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 T i m e S e r i e s A s s u m p t i o n s 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 B l a n k O u t p u t s 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 T i m e S e r i e s O u t p u t s 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 L o o k u p s 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 S c h e m a t i c s 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 C h a r t 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 O v e r v i e w 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R e q u i r e d C o l o r >  
         < R e q u i r e d C o l o r T y p e > C o n s t a n t < / R e q u i r e d C o l o r T y p e >  
         < C o l o r T y p e > T h e m e C o l o r P a t c h < / C o l o r T y p e >  
         < C o l o r N u m b e r > 5 < / C o l o r N u m b e r >  
         < C o l o r P a t c h R g b > 6 5 6 7 7 1 2 < / C o l o r P a t c h R g b >  
         < T i n t A n d S h a d e > - 0 . 4 9 9 9 8 4 7 < / T i n t A n d S h a d e >  
     < / R e q u i r e d C o l o r >  
     < R e q u i r e d C o l o r >  
         < R e q u i r e d C o l o r T y p e > F o r m u l a < / R e q u i r e d C o l o r T y p e >  
         < C o l o r T y p e > T h e m e C o l o r P a t c h < / C o l o r T y p e >  
         < C o l o r N u m b e r > 2 < / C o l o r N u m b e r >  
         < C o l o r P a t c h R g b > 4 2 1 0 7 5 2 < / C o l o r P a t c h R g b >  
         < T i n t A n d S h a d e > 0 . 2 4 9 9 7 7 1 < / T i n t A n d S h a d e >  
     < / R e q u i r e d C o l o r >  
     < R e q u i r e d C o l o r >  
         < R e q u i r e d C o l o r T y p e > M i x e d C e l l < / R e q u i r e d C o l o r T y p e >  
         < C o l o r T y p e > T h e m e C o l o r P a t c h < / C o l o r T y p e >  
         < C o l o r N u m b e r > 1 0 < / C o l o r N u m b e r >  
         < C o l o r P a t c h R g b > 2 3 1 5 8 3 1 < / C o l o r P a t c h R g b >  
         < T i n t A n d S h a d e > - 0 . 4 9 9 9 8 4 7 < / T i n t A n d S h a d e >  
     < / R e q u i r e d C o l o r >  
     < R e q u i r e d C o l o r >  
         < R e q u i r e d C o l o r T y p e > C h e c k < / R e q u i r e d C o l o r T y p e >  
         < C o l o r T y p e > C o l o r I n d e x < / C o l o r T y p e >  
         < C o l o r N u m b e r > 5 1 < / C o l o r N u m b e r >  
         < C o l o r P a t c h R g b > 4 2 0 4 7 4 7 < / C o l o r P a t c h R g b >  
         < T i n t A n d S h a d e > 0 < / T i n t A n d S h a d e >  
     < / R e q u i r e d C o l o r >  
     < R e q u i r e d C o l o r >  
         < R e q u i r e d C o l o r T y p e > H y p e r l i n k < / R e q u i r e d C o l o r T y p e >  
         < C o l o r T y p e > T h e m e C o l o r P a t c h < / C o l o r T y p e >  
         < C o l o r N u m b e r > 1 2 < / C o l o r N u m b e r >  
         < C o l o r P a t c h R g b > 7 4 9 1 4 7 7 < / C o l o r P a t c h R g b >  
         < T i n t A n d S h a d e > 0 < / T i n t A n d S h a d e >  
     < / R e q u i r e d C o l o r >  
     < R e q u i r e d C o l o r >  
         < R e q u i r e d C o l o r T y p e > W o r k I n P r o g r e s s < / R e q u i r e d C o l o r T y p e >  
         < C o l o r T y p e > C o l o r I n d e x < / C o l o r T y p e >  
         < C o l o r N u m b e r > 5 5 < / C o l o r N u m b e r >  
         < C o l o r P a t c h R g b > 7 9 2 9 8 5 5 < / C o l o r P a t c h R g b >  
         < T i n t A n d S h a d e > 0 < / T i n t A n d S h a d e >  
     < / R e q u i r e d C o l o r >  
     < R e q u i r e d C o l o r >  
         < R e q u i r e d C o l o r T y p e > C o l o r A < / R e q u i r e d C o l o r T y p e >  
         < C o l o r T y p e > C o l o r I n d e x < / C o l o r T y p e >  
         < C o l o r N u m b e r > 1 1 < / C o l o r N u m b e r >  
         < C o l o r P a t c h R g b > 1 5 1 3 2 3 9 0 < / C o l o r P a t c h R g b >  
         < T i n t A n d S h a d e > 0 < / T i n t A n d S h a d e >  
     < / R e q u i r e d C o l o r >  
     < R e q u i r e d C o l o r >  
         < R e q u i r e d C o l o r T y p e > C o l o r B < / R e q u i r e d C o l o r T y p e >  
         < C o l o r T y p e > C o l o r I n d e x < / C o l o r T y p e >  
         < C o l o r N u m b e r > 5 6 < / C o l o r N u m b e r >  
         < C o l o r P a t c h R g b > 1 6 7 7 7 2 1 5 < / C o l o r P a t c h R g b >  
         < T i n t A n d S h a d e > 0 < / T i n t A n d S h a d e >  
     < / R e q u i r e d C o l o r >  
     < S h e e t T i t l e R o w >  
         < T y p e > S h e e t T i t l e < / T y p e >  
         < I n c l u d e > t r u e < / I n c l u d e >  
         < S e t t i n g > V i s i b l e < / S e t t i n g >  
         < C o l u m n N u m b e r > 2 < / C o l u m n N u m b e r >  
     < / S h e e t T i t l e R o w >  
     < S h e e t T i t l e R o w >  
         < T y p e > M o d e l N a m e < / T y p e >  
         < I n c l u d e > t r u e < / I n c l u d e >  
         < S e t t i n g > V i s i b l e < / S e t t i n g >  
         < C o l u m n N u m b e r > 2 < / C o l u m n N u m b e r >  
     < / S h e e t T i t l e R o w >  
     < S h e e t T i t l e R o w >  
         < T y p e > T o c H y p e r l i n k < / T y p e >  
         < I n c l u d e > f a l s e < / I n c l u d e >  
         < S e t t i n g > V i s i b l e < / S e t t i n g >  
         < C o l u m n N u m b e r > 2 < / C o l u m n N u m b e r >  
     < / S h e e t T i t l e R o w >  
     < S h e e t T i t l e R o w >  
         < T y p e > N a v i g a t i o n H y p e r l i n k s < / T y p e >  
         < I n c l u d e > f a l s e < / I n c l u d e >  
         < S e t t i n g > V i s i b l e < / S e t t i n g >  
         < C o l u m n N u m b e r > 1 < / C o l u m n N u m b e r >  
     < / S h e e t T i t l e R o w >  
     < I s s u e s R e g i s t e r S o r t B y / >  
     < I s s u e s R e g i s t e r C o l o r >  
         < T y p e > H e a d e r F o n t < / T y p e >  
         < C o l o r T y p e > C u s t o m < / C o l o r T y p e >  
         < C o l o r N u m b e r > 1 6 7 7 7 2 1 5 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 H e a d e r F i l l < / T y p e >  
         < C o l o r T y p e > T h e m e C o l o r < / C o l o r T y p e >  
         < C o l o r N u m b e r > 5 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 O p e n I s s u e s F o n t < / T y p e >  
         < C o l o r T y p e > N o n e O r A u t o m a t i c < / C o l o r T y p e >  
         < C o l o r N u m b e r > 0 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 O p e n I s s u e s F i l l < / T y p e >  
         < C o l o r T y p e > N o n e O r A u t o m a t i c < / C o l o r T y p e >  
         < C o l o r N u m b e r > 0 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 C l o s e d I s s u e s F o n t < / T y p e >  
         < C o l o r T y p e > C u s t o m < / C o l o r T y p e >  
         < C o l o r N u m b e r > 6 7 1 0 8 8 6 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 C l o s e d I s s u e s F i l l < / T y p e >  
         < C o l o r T y p e > C u s t o m < / C o l o r T y p e >  
         < C o l o r N u m b e r > 1 5 5 9 2 9 4 1 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 R e d u n d a n t I s s u e s F o n t < / T y p e >  
         < C o l o r T y p e > C u s t o m < / C o l o r T y p e >  
         < C o l o r N u m b e r > 1 6 7 7 7 2 1 5 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 R e d u n d a n t I s s u e s F i l l < / T y p e >  
         < C o l o r T y p e > C u s t o m < / C o l o r T y p e >  
         < C o l o r N u m b e r > 4 2 0 4 7 4 7 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 I s s u e s B o r d e r < / T y p e >  
         < C o l o r T y p e > C u s t o m < / C o l o r T y p e >  
         < C o l o r N u m b e r > 1 3 2 2 4 3 9 3 < / C o l o r N u m b e r >  
         < C o l o r P a t c h R g b > 0 < / C o l o r P a t c h R g b >  
         < T i n t A n d S h a d e > 0 < / T i n t A n d S h a d e >  
     < / I s s u e s R e g i s t e r C o l o r >  
 < / W o r k b o o k S e t t i n g s > 
</file>

<file path=customXml/itemProps1.xml><?xml version="1.0" encoding="utf-8"?>
<ds:datastoreItem xmlns:ds="http://schemas.openxmlformats.org/officeDocument/2006/customXml" ds:itemID="{EEB762DC-160D-4994-A3B4-233FB2B872AE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 CESS model</dc:title>
  <dc:subject>FINAL RIN templates</dc:subject>
  <dc:creator>AER</dc:creator>
  <cp:keywords>DNSP; Reset; CESS; 2021-25; QLD</cp:keywords>
  <dc:description>6. CESS model based on FINAL RIN issued to Ergon in Qld/SA Reset 2021-25</dc:description>
  <cp:lastModifiedBy>Steven Martin</cp:lastModifiedBy>
  <dcterms:created xsi:type="dcterms:W3CDTF">2017-09-22T02:00:05Z</dcterms:created>
  <dcterms:modified xsi:type="dcterms:W3CDTF">2021-08-31T05:51:39Z</dcterms:modified>
  <cp:category>DNSP;Reset;CESS;2021-25;QLD</cp:category>
  <cp:contentStatus>20190208 - final template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</Properties>
</file>