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filterPrivacy="1" codeName="ThisWorkbook" autoCompressPictures="0" defaultThemeVersion="124226"/>
  <xr:revisionPtr revIDLastSave="0" documentId="8_{A5B20317-BC1F-40B6-83BF-161FBCF1A9A3}" xr6:coauthVersionLast="45" xr6:coauthVersionMax="45" xr10:uidLastSave="{00000000-0000-0000-0000-000000000000}"/>
  <bookViews>
    <workbookView xWindow="2145" yWindow="2475" windowWidth="15375" windowHeight="7875" tabRatio="915" activeTab="2" xr2:uid="{00000000-000D-0000-FFFF-FFFF00000000}"/>
  </bookViews>
  <sheets>
    <sheet name="Inputs to Connections Model" sheetId="62" r:id="rId1"/>
    <sheet name="Input from Connections Model" sheetId="61" r:id="rId2"/>
    <sheet name="Contents" sheetId="1" r:id="rId3"/>
    <sheet name="Assumptions" sheetId="2" r:id="rId4"/>
    <sheet name="Lookups -&gt;" sheetId="27" r:id="rId5"/>
    <sheet name="Lab_Mat" sheetId="29" r:id="rId6"/>
    <sheet name="Escalators" sheetId="28" r:id="rId7"/>
    <sheet name="Lookups" sheetId="30" r:id="rId8"/>
    <sheet name="START" sheetId="48" r:id="rId9"/>
    <sheet name="Inputs -&gt;" sheetId="3" r:id="rId10"/>
    <sheet name="Augmentation" sheetId="4" r:id="rId11"/>
    <sheet name="Connections" sheetId="12" r:id="rId12"/>
    <sheet name="Major_Rebuilds" sheetId="5" r:id="rId13"/>
    <sheet name="Stations" sheetId="6" r:id="rId14"/>
    <sheet name="Lines" sheetId="7" r:id="rId15"/>
    <sheet name="PC&amp;A" sheetId="8" r:id="rId16"/>
    <sheet name="SCADA&amp;Comms" sheetId="9" r:id="rId17"/>
    <sheet name="ESL_1" sheetId="11" r:id="rId18"/>
    <sheet name="ESL_2" sheetId="40" r:id="rId19"/>
    <sheet name="REFCL" sheetId="47" r:id="rId20"/>
    <sheet name="ICT" sheetId="13" r:id="rId21"/>
    <sheet name="Metering_SCS" sheetId="55" r:id="rId22"/>
    <sheet name="Other_NN" sheetId="15" r:id="rId23"/>
    <sheet name="Downer_Contract" sheetId="44" r:id="rId24"/>
    <sheet name="Aggregations &amp; Alloc -&gt;" sheetId="16" r:id="rId25"/>
    <sheet name="Base_Forecast" sheetId="17" r:id="rId26"/>
    <sheet name="Reg_Forecast" sheetId="52" r:id="rId27"/>
    <sheet name="Capex_by_Driver" sheetId="54" r:id="rId28"/>
    <sheet name="Safety" sheetId="53" r:id="rId29"/>
    <sheet name="AusNet_Overheads" sheetId="19" r:id="rId30"/>
    <sheet name="Outputs -&gt;" sheetId="21" r:id="rId31"/>
    <sheet name="RFM_PTRM" sheetId="23" r:id="rId32"/>
    <sheet name="Capex_2016-2026" sheetId="60" r:id="rId33"/>
    <sheet name="DER" sheetId="56" r:id="rId34"/>
    <sheet name="REFCL_view" sheetId="59" r:id="rId35"/>
    <sheet name="RIN Template -&gt;" sheetId="32" r:id="rId36"/>
    <sheet name="2.1 Exp Summary" sheetId="20" r:id="rId37"/>
    <sheet name="2.1.8 Cap Overheads" sheetId="58" r:id="rId38"/>
    <sheet name="2.6 Non-Network" sheetId="26" r:id="rId39"/>
    <sheet name="2.11 Labour" sheetId="57" r:id="rId40"/>
    <sheet name="2.17 Step Changes" sheetId="41" r:id="rId41"/>
    <sheet name="Other -&gt;" sheetId="46" r:id="rId42"/>
    <sheet name="Repex_Analysis" sheetId="42" r:id="rId43"/>
  </sheets>
  <externalReferences>
    <externalReference r:id="rId44"/>
    <externalReference r:id="rId45"/>
    <externalReference r:id="rId46"/>
    <externalReference r:id="rId47"/>
    <externalReference r:id="rId48"/>
    <externalReference r:id="rId49"/>
    <externalReference r:id="rId50"/>
  </externalReferences>
  <definedNames>
    <definedName name="_xlnm._FilterDatabase" localSheetId="36" hidden="1">'2.1 Exp Summary'!$C$18:$L$19</definedName>
    <definedName name="_xlnm._FilterDatabase" localSheetId="10" hidden="1">Augmentation!$B$5:$I$37</definedName>
    <definedName name="_xlnm._FilterDatabase" localSheetId="29" hidden="1">AusNet_Overheads!$B$21:$O$25</definedName>
    <definedName name="_xlnm._FilterDatabase" localSheetId="17" hidden="1">ESL_1!$C$6:$I$37</definedName>
    <definedName name="_xlnm._FilterDatabase" localSheetId="14" hidden="1">Lines!$B$6:$R$37</definedName>
    <definedName name="_xlnm._FilterDatabase" localSheetId="22" hidden="1">Other_NN!$B$5:$H$14</definedName>
    <definedName name="_xlnm._FilterDatabase" localSheetId="19" hidden="1">REFCL!$B$5:$I$47</definedName>
    <definedName name="Act_Type_Augex">Lab_Mat!$C$33:$C$49</definedName>
    <definedName name="Act_Type_Augex_Splits">Lab_Mat!$D$33:$H$49</definedName>
    <definedName name="Act_Type_Connections">Lab_Mat!$C$50:$C$61</definedName>
    <definedName name="Act_Type_Connections_Splits">Lab_Mat!$D$50:$H$61</definedName>
    <definedName name="Act_Type_Repex">Lab_Mat!$C$62:$C$98</definedName>
    <definedName name="Act_Type_Repex_Splits">Lab_Mat!$D$62:$H$98</definedName>
    <definedName name="CP_Yr_4">START!$D$13</definedName>
    <definedName name="CP_Yr_5">START!$E$13</definedName>
    <definedName name="CReg_Period">START!$D$3</definedName>
    <definedName name="Direct_Cost_Splits_Network">Lab_Mat!$D$6:$G$24</definedName>
    <definedName name="Direct_Cost_Splits_Non_Ntwk">Lab_Mat!$D$25:$G$28</definedName>
    <definedName name="Direct_Cost_Type">Lab_Mat!$D$5:$G$5</definedName>
    <definedName name="Mat_Type">Lab_Mat!$D$32:$H$32</definedName>
    <definedName name="Millions">Lookups!$D$30</definedName>
    <definedName name="NReg_Period">START!$D$5</definedName>
    <definedName name="_xlnm.Print_Area" localSheetId="40">'2.17 Step Changes'!$A$1:$M$30</definedName>
    <definedName name="_xlnm.Print_Area" localSheetId="2">Contents!$A$1:$H$39</definedName>
    <definedName name="RIN_Asset_Cat_Network">Lab_Mat!$C$6:$C$24</definedName>
    <definedName name="RIN_Asset_Cat_Non_Ntwk">Lab_Mat!$C$25:$C$28</definedName>
    <definedName name="Stub">START!$F$13</definedName>
    <definedName name="Thousands" localSheetId="23">Lookups!$D$31</definedName>
    <definedName name="Thousands">Lookups!$D$31</definedName>
    <definedName name="Yr_1">START!$G$13</definedName>
    <definedName name="Yr_2">START!$H$13</definedName>
    <definedName name="Yr_3">START!$I$13</definedName>
    <definedName name="Yr_4">START!$J$13</definedName>
    <definedName name="Yr_5">START!$K$13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28" l="1"/>
  <c r="T26" i="28"/>
  <c r="S26" i="28"/>
  <c r="R26" i="28"/>
  <c r="Q26" i="28"/>
  <c r="P26" i="28"/>
  <c r="X26" i="28"/>
  <c r="AA26" i="28"/>
  <c r="O26" i="28"/>
  <c r="W26" i="28"/>
  <c r="Z26" i="28"/>
  <c r="N26" i="28"/>
  <c r="N27" i="28"/>
  <c r="O27" i="28"/>
  <c r="P27" i="28"/>
  <c r="Q27" i="28"/>
  <c r="R27" i="28"/>
  <c r="S27" i="28"/>
  <c r="T27" i="28"/>
  <c r="U27" i="28"/>
  <c r="Y8" i="15"/>
  <c r="AQ8" i="15"/>
  <c r="BI8" i="15"/>
  <c r="Y9" i="15"/>
  <c r="AQ9" i="15"/>
  <c r="BI9" i="15"/>
  <c r="AD16" i="23"/>
  <c r="X8" i="15"/>
  <c r="AP8" i="15"/>
  <c r="BH8" i="15"/>
  <c r="X9" i="15"/>
  <c r="AP9" i="15"/>
  <c r="BH9" i="15"/>
  <c r="AC16" i="23"/>
  <c r="W8" i="15"/>
  <c r="AO8" i="15"/>
  <c r="BG8" i="15"/>
  <c r="W9" i="15"/>
  <c r="AO9" i="15"/>
  <c r="BG9" i="15"/>
  <c r="AB16" i="23"/>
  <c r="V8" i="15"/>
  <c r="AN8" i="15"/>
  <c r="BF8" i="15"/>
  <c r="V9" i="15"/>
  <c r="AN9" i="15"/>
  <c r="BF9" i="15"/>
  <c r="AA16" i="23"/>
  <c r="U8" i="15"/>
  <c r="AM8" i="15"/>
  <c r="BE8" i="15"/>
  <c r="U9" i="15"/>
  <c r="AM9" i="15"/>
  <c r="BE9" i="15"/>
  <c r="Z16" i="23"/>
  <c r="Y6" i="15"/>
  <c r="AQ6" i="15"/>
  <c r="BI6" i="15"/>
  <c r="Y7" i="15"/>
  <c r="AQ7" i="15"/>
  <c r="BI7" i="15"/>
  <c r="Y10" i="15"/>
  <c r="AQ10" i="15"/>
  <c r="BI10" i="15"/>
  <c r="Y12" i="15"/>
  <c r="AQ12" i="15"/>
  <c r="BI12" i="15"/>
  <c r="AD12" i="23"/>
  <c r="X6" i="15"/>
  <c r="AP6" i="15"/>
  <c r="BH6" i="15"/>
  <c r="X7" i="15"/>
  <c r="AP7" i="15"/>
  <c r="BH7" i="15"/>
  <c r="X10" i="15"/>
  <c r="AP10" i="15"/>
  <c r="BH10" i="15"/>
  <c r="X12" i="15"/>
  <c r="AP12" i="15"/>
  <c r="BH12" i="15"/>
  <c r="AC12" i="23"/>
  <c r="W6" i="15"/>
  <c r="AO6" i="15"/>
  <c r="BG6" i="15"/>
  <c r="W7" i="15"/>
  <c r="AO7" i="15"/>
  <c r="BG7" i="15"/>
  <c r="W10" i="15"/>
  <c r="AO10" i="15"/>
  <c r="BG10" i="15"/>
  <c r="W12" i="15"/>
  <c r="AO12" i="15"/>
  <c r="BG12" i="15"/>
  <c r="AB12" i="23"/>
  <c r="V6" i="15"/>
  <c r="AN6" i="15"/>
  <c r="BF6" i="15"/>
  <c r="V7" i="15"/>
  <c r="AN7" i="15"/>
  <c r="BF7" i="15"/>
  <c r="V10" i="15"/>
  <c r="AN10" i="15"/>
  <c r="BF10" i="15"/>
  <c r="V12" i="15"/>
  <c r="AN12" i="15"/>
  <c r="BF12" i="15"/>
  <c r="AA12" i="23"/>
  <c r="U6" i="15"/>
  <c r="AM6" i="15"/>
  <c r="BE6" i="15"/>
  <c r="U7" i="15"/>
  <c r="AM7" i="15"/>
  <c r="BE7" i="15"/>
  <c r="U10" i="15"/>
  <c r="AM10" i="15"/>
  <c r="BE10" i="15"/>
  <c r="U12" i="15"/>
  <c r="AM12" i="15"/>
  <c r="BE12" i="15"/>
  <c r="Z12" i="23"/>
  <c r="G61" i="61"/>
  <c r="G60" i="61"/>
  <c r="K57" i="61"/>
  <c r="J57" i="61"/>
  <c r="I57" i="61"/>
  <c r="H57" i="61"/>
  <c r="K56" i="61"/>
  <c r="J56" i="61"/>
  <c r="I56" i="61"/>
  <c r="H56" i="61"/>
  <c r="K55" i="61"/>
  <c r="J55" i="61"/>
  <c r="I55" i="61"/>
  <c r="H55" i="61"/>
  <c r="K54" i="61"/>
  <c r="J54" i="61"/>
  <c r="I54" i="61"/>
  <c r="H54" i="61"/>
  <c r="K53" i="61"/>
  <c r="J53" i="61"/>
  <c r="I53" i="61"/>
  <c r="H53" i="61"/>
  <c r="K52" i="61"/>
  <c r="J52" i="61"/>
  <c r="I52" i="61"/>
  <c r="H52" i="61"/>
  <c r="K51" i="61"/>
  <c r="J51" i="61"/>
  <c r="I51" i="61"/>
  <c r="H51" i="61"/>
  <c r="K50" i="61"/>
  <c r="J50" i="61"/>
  <c r="I50" i="61"/>
  <c r="H50" i="61"/>
  <c r="G41" i="61"/>
  <c r="G40" i="61"/>
  <c r="K38" i="61"/>
  <c r="J38" i="61"/>
  <c r="I38" i="61"/>
  <c r="H38" i="61"/>
  <c r="F38" i="61"/>
  <c r="E38" i="61"/>
  <c r="D38" i="61"/>
  <c r="K37" i="61"/>
  <c r="J37" i="61"/>
  <c r="I37" i="61"/>
  <c r="H37" i="61"/>
  <c r="F37" i="61"/>
  <c r="E37" i="61"/>
  <c r="D37" i="61"/>
  <c r="N10" i="55"/>
  <c r="Q12" i="55"/>
  <c r="P12" i="55"/>
  <c r="O12" i="55"/>
  <c r="N12" i="55"/>
  <c r="Q11" i="55"/>
  <c r="P11" i="55"/>
  <c r="O11" i="55"/>
  <c r="N11" i="55"/>
  <c r="M12" i="55"/>
  <c r="M11" i="55"/>
  <c r="M10" i="55"/>
  <c r="L12" i="55"/>
  <c r="L11" i="55"/>
  <c r="L10" i="55"/>
  <c r="Q30" i="4"/>
  <c r="P30" i="4"/>
  <c r="O30" i="4"/>
  <c r="N30" i="4"/>
  <c r="M30" i="4"/>
  <c r="Q29" i="4"/>
  <c r="P29" i="4"/>
  <c r="O29" i="4"/>
  <c r="N29" i="4"/>
  <c r="M29" i="4"/>
  <c r="Q28" i="4"/>
  <c r="P28" i="4"/>
  <c r="O28" i="4"/>
  <c r="N28" i="4"/>
  <c r="M28" i="4"/>
  <c r="Q27" i="4"/>
  <c r="P27" i="4"/>
  <c r="O27" i="4"/>
  <c r="N27" i="4"/>
  <c r="M27" i="4"/>
  <c r="N68" i="47"/>
  <c r="N45" i="47"/>
  <c r="M45" i="47"/>
  <c r="L45" i="47"/>
  <c r="N43" i="47"/>
  <c r="M43" i="47"/>
  <c r="L43" i="47"/>
  <c r="N42" i="47"/>
  <c r="M42" i="47"/>
  <c r="L42" i="47"/>
  <c r="N41" i="47"/>
  <c r="M41" i="47"/>
  <c r="L41" i="47"/>
  <c r="N40" i="47"/>
  <c r="M40" i="47"/>
  <c r="L40" i="47"/>
  <c r="N39" i="47"/>
  <c r="M39" i="47"/>
  <c r="L39" i="47"/>
  <c r="I23" i="60"/>
  <c r="W39" i="47"/>
  <c r="AZ39" i="47"/>
  <c r="BA39" i="47"/>
  <c r="BB39" i="47"/>
  <c r="BC39" i="47"/>
  <c r="BD39" i="47"/>
  <c r="BE39" i="47"/>
  <c r="CC39" i="47"/>
  <c r="CL39" i="47"/>
  <c r="CU39" i="47"/>
  <c r="W40" i="47"/>
  <c r="AZ40" i="47"/>
  <c r="BA40" i="47"/>
  <c r="BB40" i="47"/>
  <c r="BC40" i="47"/>
  <c r="BD40" i="47"/>
  <c r="BE40" i="47"/>
  <c r="CC40" i="47"/>
  <c r="CL40" i="47"/>
  <c r="CU40" i="47"/>
  <c r="W41" i="47"/>
  <c r="AZ41" i="47"/>
  <c r="BA41" i="47"/>
  <c r="BB41" i="47"/>
  <c r="BC41" i="47"/>
  <c r="BD41" i="47"/>
  <c r="BE41" i="47"/>
  <c r="CC41" i="47"/>
  <c r="CL41" i="47"/>
  <c r="CU41" i="47"/>
  <c r="W42" i="47"/>
  <c r="AZ42" i="47"/>
  <c r="BA42" i="47"/>
  <c r="BB42" i="47"/>
  <c r="BC42" i="47"/>
  <c r="BD42" i="47"/>
  <c r="BE42" i="47"/>
  <c r="CC42" i="47"/>
  <c r="CL42" i="47"/>
  <c r="CU42" i="47"/>
  <c r="W43" i="47"/>
  <c r="AZ43" i="47"/>
  <c r="BA43" i="47"/>
  <c r="BB43" i="47"/>
  <c r="BC43" i="47"/>
  <c r="BD43" i="47"/>
  <c r="BE43" i="47"/>
  <c r="CC43" i="47"/>
  <c r="CL43" i="47"/>
  <c r="CU43" i="47"/>
  <c r="W45" i="47"/>
  <c r="AZ45" i="47"/>
  <c r="BA45" i="47"/>
  <c r="BB45" i="47"/>
  <c r="BC45" i="47"/>
  <c r="BD45" i="47"/>
  <c r="BE45" i="47"/>
  <c r="CC45" i="47"/>
  <c r="CL45" i="47"/>
  <c r="CU45" i="47"/>
  <c r="W44" i="47"/>
  <c r="CC44" i="47"/>
  <c r="CU44" i="47"/>
  <c r="K11" i="59"/>
  <c r="V39" i="47"/>
  <c r="AT39" i="47"/>
  <c r="AU39" i="47"/>
  <c r="AV39" i="47"/>
  <c r="AW39" i="47"/>
  <c r="AX39" i="47"/>
  <c r="AY39" i="47"/>
  <c r="CB39" i="47"/>
  <c r="CK39" i="47"/>
  <c r="CT39" i="47"/>
  <c r="V40" i="47"/>
  <c r="AT40" i="47"/>
  <c r="AU40" i="47"/>
  <c r="AV40" i="47"/>
  <c r="AW40" i="47"/>
  <c r="AX40" i="47"/>
  <c r="AY40" i="47"/>
  <c r="CB40" i="47"/>
  <c r="CK40" i="47"/>
  <c r="CT40" i="47"/>
  <c r="V41" i="47"/>
  <c r="AT41" i="47"/>
  <c r="AU41" i="47"/>
  <c r="AV41" i="47"/>
  <c r="AW41" i="47"/>
  <c r="AX41" i="47"/>
  <c r="AY41" i="47"/>
  <c r="CB41" i="47"/>
  <c r="CK41" i="47"/>
  <c r="CT41" i="47"/>
  <c r="V42" i="47"/>
  <c r="AT42" i="47"/>
  <c r="AU42" i="47"/>
  <c r="AV42" i="47"/>
  <c r="AW42" i="47"/>
  <c r="AX42" i="47"/>
  <c r="AY42" i="47"/>
  <c r="CB42" i="47"/>
  <c r="CK42" i="47"/>
  <c r="CT42" i="47"/>
  <c r="V43" i="47"/>
  <c r="AT43" i="47"/>
  <c r="AU43" i="47"/>
  <c r="AV43" i="47"/>
  <c r="AW43" i="47"/>
  <c r="AX43" i="47"/>
  <c r="AY43" i="47"/>
  <c r="CB43" i="47"/>
  <c r="CK43" i="47"/>
  <c r="CT43" i="47"/>
  <c r="V45" i="47"/>
  <c r="AT45" i="47"/>
  <c r="AU45" i="47"/>
  <c r="AV45" i="47"/>
  <c r="AW45" i="47"/>
  <c r="AX45" i="47"/>
  <c r="AY45" i="47"/>
  <c r="CB45" i="47"/>
  <c r="CK45" i="47"/>
  <c r="CT45" i="47"/>
  <c r="V44" i="47"/>
  <c r="CB44" i="47"/>
  <c r="CT44" i="47"/>
  <c r="J11" i="59"/>
  <c r="S27" i="4"/>
  <c r="BY27" i="4"/>
  <c r="CQ27" i="4"/>
  <c r="S28" i="4"/>
  <c r="BY28" i="4"/>
  <c r="CQ28" i="4"/>
  <c r="S29" i="4"/>
  <c r="BY29" i="4"/>
  <c r="CQ29" i="4"/>
  <c r="S30" i="4"/>
  <c r="BY30" i="4"/>
  <c r="CQ30" i="4"/>
  <c r="G13" i="59"/>
  <c r="F25" i="59"/>
  <c r="F58" i="59"/>
  <c r="E58" i="59"/>
  <c r="D58" i="59"/>
  <c r="F57" i="59"/>
  <c r="E57" i="59"/>
  <c r="D57" i="59"/>
  <c r="U39" i="47"/>
  <c r="AN39" i="47"/>
  <c r="AO39" i="47"/>
  <c r="AP39" i="47"/>
  <c r="AQ39" i="47"/>
  <c r="AR39" i="47"/>
  <c r="AS39" i="47"/>
  <c r="CA39" i="47"/>
  <c r="CJ39" i="47"/>
  <c r="CS39" i="47"/>
  <c r="U40" i="47"/>
  <c r="AN40" i="47"/>
  <c r="AO40" i="47"/>
  <c r="AP40" i="47"/>
  <c r="AQ40" i="47"/>
  <c r="AR40" i="47"/>
  <c r="AS40" i="47"/>
  <c r="CA40" i="47"/>
  <c r="CJ40" i="47"/>
  <c r="CS40" i="47"/>
  <c r="U41" i="47"/>
  <c r="AN41" i="47"/>
  <c r="AO41" i="47"/>
  <c r="AP41" i="47"/>
  <c r="AQ41" i="47"/>
  <c r="AR41" i="47"/>
  <c r="AS41" i="47"/>
  <c r="CA41" i="47"/>
  <c r="CJ41" i="47"/>
  <c r="CS41" i="47"/>
  <c r="U42" i="47"/>
  <c r="AN42" i="47"/>
  <c r="AO42" i="47"/>
  <c r="AP42" i="47"/>
  <c r="AQ42" i="47"/>
  <c r="AR42" i="47"/>
  <c r="AS42" i="47"/>
  <c r="CA42" i="47"/>
  <c r="CJ42" i="47"/>
  <c r="CS42" i="47"/>
  <c r="U43" i="47"/>
  <c r="AN43" i="47"/>
  <c r="AO43" i="47"/>
  <c r="AP43" i="47"/>
  <c r="AQ43" i="47"/>
  <c r="AR43" i="47"/>
  <c r="AS43" i="47"/>
  <c r="CA43" i="47"/>
  <c r="CJ43" i="47"/>
  <c r="CS43" i="47"/>
  <c r="U45" i="47"/>
  <c r="AN45" i="47"/>
  <c r="AO45" i="47"/>
  <c r="AP45" i="47"/>
  <c r="AQ45" i="47"/>
  <c r="AR45" i="47"/>
  <c r="AS45" i="47"/>
  <c r="CA45" i="47"/>
  <c r="CJ45" i="47"/>
  <c r="CS45" i="47"/>
  <c r="U44" i="47"/>
  <c r="CA44" i="47"/>
  <c r="CS44" i="47"/>
  <c r="I11" i="59"/>
  <c r="I9" i="59"/>
  <c r="M37" i="8"/>
  <c r="N37" i="8"/>
  <c r="O37" i="8"/>
  <c r="P37" i="8"/>
  <c r="Q37" i="8"/>
  <c r="S6" i="8"/>
  <c r="S7" i="8"/>
  <c r="S8" i="8"/>
  <c r="S9" i="8"/>
  <c r="S11" i="8"/>
  <c r="S12" i="8"/>
  <c r="S13" i="8"/>
  <c r="S14" i="8"/>
  <c r="S15" i="8"/>
  <c r="S37" i="8"/>
  <c r="T6" i="8"/>
  <c r="T7" i="8"/>
  <c r="T8" i="8"/>
  <c r="T9" i="8"/>
  <c r="T11" i="8"/>
  <c r="T12" i="8"/>
  <c r="T13" i="8"/>
  <c r="T14" i="8"/>
  <c r="T15" i="8"/>
  <c r="T37" i="8"/>
  <c r="U6" i="8"/>
  <c r="U7" i="8"/>
  <c r="U8" i="8"/>
  <c r="U9" i="8"/>
  <c r="U11" i="8"/>
  <c r="U12" i="8"/>
  <c r="U13" i="8"/>
  <c r="U14" i="8"/>
  <c r="U15" i="8"/>
  <c r="U37" i="8"/>
  <c r="V6" i="8"/>
  <c r="V7" i="8"/>
  <c r="V8" i="8"/>
  <c r="V9" i="8"/>
  <c r="V11" i="8"/>
  <c r="V12" i="8"/>
  <c r="V13" i="8"/>
  <c r="V14" i="8"/>
  <c r="V15" i="8"/>
  <c r="V37" i="8"/>
  <c r="W6" i="8"/>
  <c r="W7" i="8"/>
  <c r="W8" i="8"/>
  <c r="W9" i="8"/>
  <c r="W11" i="8"/>
  <c r="W12" i="8"/>
  <c r="W13" i="8"/>
  <c r="W14" i="8"/>
  <c r="W15" i="8"/>
  <c r="W37" i="8"/>
  <c r="X6" i="8"/>
  <c r="X7" i="8"/>
  <c r="X8" i="8"/>
  <c r="X9" i="8"/>
  <c r="X11" i="8"/>
  <c r="X12" i="8"/>
  <c r="X13" i="8"/>
  <c r="X14" i="8"/>
  <c r="X15" i="8"/>
  <c r="X37" i="8"/>
  <c r="Y6" i="8"/>
  <c r="Y7" i="8"/>
  <c r="Y8" i="8"/>
  <c r="Y9" i="8"/>
  <c r="Y11" i="8"/>
  <c r="Y12" i="8"/>
  <c r="Y13" i="8"/>
  <c r="Y14" i="8"/>
  <c r="Y15" i="8"/>
  <c r="Y37" i="8"/>
  <c r="Z6" i="8"/>
  <c r="Z7" i="8"/>
  <c r="Z8" i="8"/>
  <c r="Z9" i="8"/>
  <c r="Z11" i="8"/>
  <c r="Z12" i="8"/>
  <c r="Z13" i="8"/>
  <c r="Z14" i="8"/>
  <c r="Z15" i="8"/>
  <c r="Z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Y6" i="8"/>
  <c r="BY7" i="8"/>
  <c r="BY8" i="8"/>
  <c r="BY9" i="8"/>
  <c r="BY11" i="8"/>
  <c r="BY12" i="8"/>
  <c r="BY13" i="8"/>
  <c r="BY14" i="8"/>
  <c r="BY15" i="8"/>
  <c r="BY37" i="8"/>
  <c r="BZ6" i="8"/>
  <c r="BZ7" i="8"/>
  <c r="BZ8" i="8"/>
  <c r="BZ9" i="8"/>
  <c r="BZ11" i="8"/>
  <c r="BZ12" i="8"/>
  <c r="BZ13" i="8"/>
  <c r="BZ14" i="8"/>
  <c r="BZ15" i="8"/>
  <c r="BZ37" i="8"/>
  <c r="CA6" i="8"/>
  <c r="CA7" i="8"/>
  <c r="CA8" i="8"/>
  <c r="CA9" i="8"/>
  <c r="CA11" i="8"/>
  <c r="CA12" i="8"/>
  <c r="CA13" i="8"/>
  <c r="CA14" i="8"/>
  <c r="CA15" i="8"/>
  <c r="CA37" i="8"/>
  <c r="CB6" i="8"/>
  <c r="CB7" i="8"/>
  <c r="CB8" i="8"/>
  <c r="CB9" i="8"/>
  <c r="CB11" i="8"/>
  <c r="CB12" i="8"/>
  <c r="CB13" i="8"/>
  <c r="CB14" i="8"/>
  <c r="CB15" i="8"/>
  <c r="CB37" i="8"/>
  <c r="CC6" i="8"/>
  <c r="CC7" i="8"/>
  <c r="CC8" i="8"/>
  <c r="CC9" i="8"/>
  <c r="CC11" i="8"/>
  <c r="CC12" i="8"/>
  <c r="CC13" i="8"/>
  <c r="CC14" i="8"/>
  <c r="CC15" i="8"/>
  <c r="CC37" i="8"/>
  <c r="CD6" i="8"/>
  <c r="CD7" i="8"/>
  <c r="CD8" i="8"/>
  <c r="CD9" i="8"/>
  <c r="CD11" i="8"/>
  <c r="CD12" i="8"/>
  <c r="CD13" i="8"/>
  <c r="CD14" i="8"/>
  <c r="CD15" i="8"/>
  <c r="CD37" i="8"/>
  <c r="CE6" i="8"/>
  <c r="CE7" i="8"/>
  <c r="CE8" i="8"/>
  <c r="CE9" i="8"/>
  <c r="CE11" i="8"/>
  <c r="CE12" i="8"/>
  <c r="CE13" i="8"/>
  <c r="CE14" i="8"/>
  <c r="CE15" i="8"/>
  <c r="CE37" i="8"/>
  <c r="CF6" i="8"/>
  <c r="CF7" i="8"/>
  <c r="CF8" i="8"/>
  <c r="CF9" i="8"/>
  <c r="CF11" i="8"/>
  <c r="CF12" i="8"/>
  <c r="CF13" i="8"/>
  <c r="CF14" i="8"/>
  <c r="CF15" i="8"/>
  <c r="CF37" i="8"/>
  <c r="CH37" i="8"/>
  <c r="CI37" i="8"/>
  <c r="CJ37" i="8"/>
  <c r="CK37" i="8"/>
  <c r="CL37" i="8"/>
  <c r="CM37" i="8"/>
  <c r="CN37" i="8"/>
  <c r="CO37" i="8"/>
  <c r="CQ6" i="8"/>
  <c r="CQ7" i="8"/>
  <c r="CQ8" i="8"/>
  <c r="CQ9" i="8"/>
  <c r="CQ11" i="8"/>
  <c r="CQ12" i="8"/>
  <c r="CQ13" i="8"/>
  <c r="CQ14" i="8"/>
  <c r="CQ15" i="8"/>
  <c r="CQ37" i="8"/>
  <c r="CR6" i="8"/>
  <c r="CR7" i="8"/>
  <c r="CR8" i="8"/>
  <c r="CR9" i="8"/>
  <c r="CR11" i="8"/>
  <c r="CR12" i="8"/>
  <c r="CR13" i="8"/>
  <c r="CR14" i="8"/>
  <c r="CR15" i="8"/>
  <c r="CR37" i="8"/>
  <c r="CS6" i="8"/>
  <c r="CS7" i="8"/>
  <c r="CS8" i="8"/>
  <c r="CS9" i="8"/>
  <c r="CS11" i="8"/>
  <c r="CS12" i="8"/>
  <c r="CS13" i="8"/>
  <c r="CS14" i="8"/>
  <c r="CS15" i="8"/>
  <c r="CS37" i="8"/>
  <c r="CT6" i="8"/>
  <c r="CT7" i="8"/>
  <c r="CT8" i="8"/>
  <c r="CT9" i="8"/>
  <c r="CT11" i="8"/>
  <c r="CT12" i="8"/>
  <c r="CT13" i="8"/>
  <c r="CT14" i="8"/>
  <c r="CT15" i="8"/>
  <c r="CT37" i="8"/>
  <c r="CU6" i="8"/>
  <c r="CU7" i="8"/>
  <c r="CU8" i="8"/>
  <c r="CU9" i="8"/>
  <c r="CU11" i="8"/>
  <c r="CU12" i="8"/>
  <c r="CU13" i="8"/>
  <c r="CU14" i="8"/>
  <c r="CU15" i="8"/>
  <c r="CU37" i="8"/>
  <c r="CV6" i="8"/>
  <c r="CV7" i="8"/>
  <c r="CV8" i="8"/>
  <c r="CV9" i="8"/>
  <c r="CV11" i="8"/>
  <c r="CV12" i="8"/>
  <c r="CV13" i="8"/>
  <c r="CV14" i="8"/>
  <c r="CV15" i="8"/>
  <c r="CV37" i="8"/>
  <c r="CW6" i="8"/>
  <c r="CW7" i="8"/>
  <c r="CW8" i="8"/>
  <c r="CW9" i="8"/>
  <c r="CW11" i="8"/>
  <c r="CW12" i="8"/>
  <c r="CW13" i="8"/>
  <c r="CW14" i="8"/>
  <c r="CW15" i="8"/>
  <c r="CW37" i="8"/>
  <c r="CX6" i="8"/>
  <c r="CX7" i="8"/>
  <c r="CX8" i="8"/>
  <c r="CX9" i="8"/>
  <c r="CX11" i="8"/>
  <c r="CX12" i="8"/>
  <c r="CX13" i="8"/>
  <c r="CX14" i="8"/>
  <c r="CX15" i="8"/>
  <c r="CX37" i="8"/>
  <c r="BI37" i="54"/>
  <c r="BP37" i="54"/>
  <c r="O17" i="60"/>
  <c r="BH37" i="54"/>
  <c r="BO37" i="54"/>
  <c r="N17" i="60"/>
  <c r="BG37" i="54"/>
  <c r="BN37" i="54"/>
  <c r="M17" i="60"/>
  <c r="BF37" i="54"/>
  <c r="BM37" i="54"/>
  <c r="L17" i="60"/>
  <c r="BI40" i="54"/>
  <c r="BI39" i="54"/>
  <c r="BP39" i="54"/>
  <c r="O16" i="60"/>
  <c r="BH40" i="54"/>
  <c r="BH39" i="54"/>
  <c r="BO39" i="54"/>
  <c r="N16" i="60"/>
  <c r="BG40" i="54"/>
  <c r="BG39" i="54"/>
  <c r="BN39" i="54"/>
  <c r="M16" i="60"/>
  <c r="BF40" i="54"/>
  <c r="BF39" i="54"/>
  <c r="BM39" i="54"/>
  <c r="L16" i="60"/>
  <c r="Y11" i="15"/>
  <c r="AQ11" i="15"/>
  <c r="BI11" i="15"/>
  <c r="BI37" i="15"/>
  <c r="BI36" i="54"/>
  <c r="BP36" i="54"/>
  <c r="O15" i="60"/>
  <c r="X11" i="15"/>
  <c r="AP11" i="15"/>
  <c r="BH11" i="15"/>
  <c r="BH37" i="15"/>
  <c r="BH36" i="54"/>
  <c r="BO36" i="54"/>
  <c r="N15" i="60"/>
  <c r="W11" i="15"/>
  <c r="AO11" i="15"/>
  <c r="BG11" i="15"/>
  <c r="BG37" i="15"/>
  <c r="BG36" i="54"/>
  <c r="BN36" i="54"/>
  <c r="M15" i="60"/>
  <c r="V11" i="15"/>
  <c r="AN11" i="15"/>
  <c r="BF11" i="15"/>
  <c r="BF37" i="15"/>
  <c r="BF36" i="54"/>
  <c r="BM36" i="54"/>
  <c r="L15" i="60"/>
  <c r="BE37" i="54"/>
  <c r="BL37" i="54"/>
  <c r="K17" i="60"/>
  <c r="BE40" i="54"/>
  <c r="BE39" i="54"/>
  <c r="BL39" i="54"/>
  <c r="K16" i="60"/>
  <c r="U11" i="15"/>
  <c r="AM11" i="15"/>
  <c r="BE11" i="15"/>
  <c r="BE37" i="15"/>
  <c r="BE36" i="54"/>
  <c r="BL36" i="54"/>
  <c r="K15" i="60"/>
  <c r="Z14" i="55"/>
  <c r="AI14" i="55"/>
  <c r="AR14" i="55"/>
  <c r="BA14" i="55"/>
  <c r="BJ14" i="55"/>
  <c r="Z17" i="55"/>
  <c r="AI17" i="55"/>
  <c r="AR17" i="55"/>
  <c r="BA17" i="55"/>
  <c r="BJ17" i="55"/>
  <c r="Z18" i="55"/>
  <c r="AR18" i="55"/>
  <c r="AI18" i="55"/>
  <c r="BA18" i="55"/>
  <c r="BJ18" i="55"/>
  <c r="Z6" i="13"/>
  <c r="AR6" i="13"/>
  <c r="BJ6" i="13"/>
  <c r="Z7" i="13"/>
  <c r="AR7" i="13"/>
  <c r="BJ7" i="13"/>
  <c r="Z8" i="13"/>
  <c r="AR8" i="13"/>
  <c r="BJ8" i="13"/>
  <c r="Z9" i="13"/>
  <c r="AR9" i="13"/>
  <c r="BJ9" i="13"/>
  <c r="Z10" i="13"/>
  <c r="AR10" i="13"/>
  <c r="BJ10" i="13"/>
  <c r="Z11" i="13"/>
  <c r="AR11" i="13"/>
  <c r="BJ11" i="13"/>
  <c r="O125" i="19"/>
  <c r="O134" i="19"/>
  <c r="O135" i="19"/>
  <c r="O139" i="19"/>
  <c r="O137" i="19"/>
  <c r="AY35" i="54"/>
  <c r="BI35" i="54"/>
  <c r="BP35" i="54"/>
  <c r="O13" i="60"/>
  <c r="Y14" i="55"/>
  <c r="AH14" i="55"/>
  <c r="AQ14" i="55"/>
  <c r="AZ14" i="55"/>
  <c r="BI14" i="55"/>
  <c r="Y17" i="55"/>
  <c r="AH17" i="55"/>
  <c r="AQ17" i="55"/>
  <c r="AZ17" i="55"/>
  <c r="BI17" i="55"/>
  <c r="Y18" i="55"/>
  <c r="AQ18" i="55"/>
  <c r="AH18" i="55"/>
  <c r="AZ18" i="55"/>
  <c r="BI18" i="55"/>
  <c r="Y6" i="13"/>
  <c r="AQ6" i="13"/>
  <c r="BI6" i="13"/>
  <c r="Y7" i="13"/>
  <c r="AQ7" i="13"/>
  <c r="BI7" i="13"/>
  <c r="Y8" i="13"/>
  <c r="AQ8" i="13"/>
  <c r="BI8" i="13"/>
  <c r="Y9" i="13"/>
  <c r="AQ9" i="13"/>
  <c r="BI9" i="13"/>
  <c r="Y10" i="13"/>
  <c r="AQ10" i="13"/>
  <c r="BI10" i="13"/>
  <c r="Y11" i="13"/>
  <c r="AQ11" i="13"/>
  <c r="BI11" i="13"/>
  <c r="N125" i="19"/>
  <c r="N134" i="19"/>
  <c r="N135" i="19"/>
  <c r="N139" i="19"/>
  <c r="N137" i="19"/>
  <c r="AX35" i="54"/>
  <c r="BH35" i="54"/>
  <c r="BO35" i="54"/>
  <c r="N13" i="60"/>
  <c r="X14" i="55"/>
  <c r="AG14" i="55"/>
  <c r="AP14" i="55"/>
  <c r="AY14" i="55"/>
  <c r="BH14" i="55"/>
  <c r="X17" i="55"/>
  <c r="AG17" i="55"/>
  <c r="AP17" i="55"/>
  <c r="AY17" i="55"/>
  <c r="BH17" i="55"/>
  <c r="X18" i="55"/>
  <c r="AP18" i="55"/>
  <c r="AG18" i="55"/>
  <c r="AY18" i="55"/>
  <c r="BH18" i="55"/>
  <c r="X6" i="13"/>
  <c r="AP6" i="13"/>
  <c r="BH6" i="13"/>
  <c r="X7" i="13"/>
  <c r="AP7" i="13"/>
  <c r="BH7" i="13"/>
  <c r="X8" i="13"/>
  <c r="AP8" i="13"/>
  <c r="BH8" i="13"/>
  <c r="X9" i="13"/>
  <c r="AP9" i="13"/>
  <c r="BH9" i="13"/>
  <c r="X10" i="13"/>
  <c r="AP10" i="13"/>
  <c r="BH10" i="13"/>
  <c r="X11" i="13"/>
  <c r="AP11" i="13"/>
  <c r="BH11" i="13"/>
  <c r="M125" i="19"/>
  <c r="M134" i="19"/>
  <c r="M135" i="19"/>
  <c r="M139" i="19"/>
  <c r="M137" i="19"/>
  <c r="AW35" i="54"/>
  <c r="BG35" i="54"/>
  <c r="BN35" i="54"/>
  <c r="M13" i="60"/>
  <c r="W14" i="55"/>
  <c r="AF14" i="55"/>
  <c r="AO14" i="55"/>
  <c r="AX14" i="55"/>
  <c r="BG14" i="55"/>
  <c r="W17" i="55"/>
  <c r="AF17" i="55"/>
  <c r="AO17" i="55"/>
  <c r="AX17" i="55"/>
  <c r="BG17" i="55"/>
  <c r="W18" i="55"/>
  <c r="AO18" i="55"/>
  <c r="AF18" i="55"/>
  <c r="AX18" i="55"/>
  <c r="BG18" i="55"/>
  <c r="W6" i="13"/>
  <c r="AO6" i="13"/>
  <c r="BG6" i="13"/>
  <c r="W7" i="13"/>
  <c r="AO7" i="13"/>
  <c r="BG7" i="13"/>
  <c r="W8" i="13"/>
  <c r="AO8" i="13"/>
  <c r="BG8" i="13"/>
  <c r="W9" i="13"/>
  <c r="AO9" i="13"/>
  <c r="BG9" i="13"/>
  <c r="W10" i="13"/>
  <c r="AO10" i="13"/>
  <c r="BG10" i="13"/>
  <c r="W11" i="13"/>
  <c r="AO11" i="13"/>
  <c r="BG11" i="13"/>
  <c r="L125" i="19"/>
  <c r="L134" i="19"/>
  <c r="L135" i="19"/>
  <c r="L139" i="19"/>
  <c r="L137" i="19"/>
  <c r="AV35" i="54"/>
  <c r="BF35" i="54"/>
  <c r="BM35" i="54"/>
  <c r="L13" i="60"/>
  <c r="V14" i="55"/>
  <c r="AN14" i="55"/>
  <c r="BF14" i="55"/>
  <c r="V17" i="55"/>
  <c r="AE17" i="55"/>
  <c r="AN17" i="55"/>
  <c r="AW17" i="55"/>
  <c r="BF17" i="55"/>
  <c r="V18" i="55"/>
  <c r="AN18" i="55"/>
  <c r="AE18" i="55"/>
  <c r="AW18" i="55"/>
  <c r="BF18" i="55"/>
  <c r="V6" i="13"/>
  <c r="AN6" i="13"/>
  <c r="BF6" i="13"/>
  <c r="V7" i="13"/>
  <c r="AN7" i="13"/>
  <c r="BF7" i="13"/>
  <c r="V8" i="13"/>
  <c r="AN8" i="13"/>
  <c r="BF8" i="13"/>
  <c r="V9" i="13"/>
  <c r="AN9" i="13"/>
  <c r="BF9" i="13"/>
  <c r="V10" i="13"/>
  <c r="AN10" i="13"/>
  <c r="BF10" i="13"/>
  <c r="V11" i="13"/>
  <c r="AN11" i="13"/>
  <c r="BF11" i="13"/>
  <c r="K125" i="19"/>
  <c r="K134" i="19"/>
  <c r="K135" i="19"/>
  <c r="K139" i="19"/>
  <c r="K137" i="19"/>
  <c r="AU35" i="54"/>
  <c r="BE35" i="54"/>
  <c r="BL35" i="54"/>
  <c r="K13" i="60"/>
  <c r="BJ37" i="13"/>
  <c r="AY34" i="54"/>
  <c r="BI34" i="54"/>
  <c r="BP34" i="54"/>
  <c r="O12" i="60"/>
  <c r="BI37" i="13"/>
  <c r="AX34" i="54"/>
  <c r="BH34" i="54"/>
  <c r="BO34" i="54"/>
  <c r="N12" i="60"/>
  <c r="BH37" i="13"/>
  <c r="AW34" i="54"/>
  <c r="BG34" i="54"/>
  <c r="BN34" i="54"/>
  <c r="M12" i="60"/>
  <c r="BG37" i="13"/>
  <c r="AV34" i="54"/>
  <c r="BF34" i="54"/>
  <c r="BM34" i="54"/>
  <c r="L12" i="60"/>
  <c r="Z8" i="47"/>
  <c r="CF8" i="47"/>
  <c r="CX8" i="47"/>
  <c r="Z15" i="47"/>
  <c r="CF15" i="47"/>
  <c r="CX15" i="47"/>
  <c r="Z23" i="47"/>
  <c r="CF23" i="47"/>
  <c r="CX23" i="47"/>
  <c r="Z31" i="47"/>
  <c r="CF31" i="47"/>
  <c r="CX31" i="47"/>
  <c r="Z9" i="47"/>
  <c r="CF9" i="47"/>
  <c r="CX9" i="47"/>
  <c r="Z10" i="47"/>
  <c r="CF10" i="47"/>
  <c r="CX10" i="47"/>
  <c r="Z11" i="47"/>
  <c r="CF11" i="47"/>
  <c r="CX11" i="47"/>
  <c r="Z12" i="47"/>
  <c r="CF12" i="47"/>
  <c r="CX12" i="47"/>
  <c r="Z13" i="47"/>
  <c r="CF13" i="47"/>
  <c r="CX13" i="47"/>
  <c r="Z16" i="47"/>
  <c r="CF16" i="47"/>
  <c r="CX16" i="47"/>
  <c r="Z17" i="47"/>
  <c r="CF17" i="47"/>
  <c r="CX17" i="47"/>
  <c r="Z18" i="47"/>
  <c r="CF18" i="47"/>
  <c r="CX18" i="47"/>
  <c r="Z19" i="47"/>
  <c r="CF19" i="47"/>
  <c r="CX19" i="47"/>
  <c r="Z20" i="47"/>
  <c r="CF20" i="47"/>
  <c r="CX20" i="47"/>
  <c r="Z21" i="47"/>
  <c r="CF21" i="47"/>
  <c r="CX21" i="47"/>
  <c r="Z24" i="47"/>
  <c r="CF24" i="47"/>
  <c r="CX24" i="47"/>
  <c r="Z25" i="47"/>
  <c r="CF25" i="47"/>
  <c r="CX25" i="47"/>
  <c r="Z26" i="47"/>
  <c r="CF26" i="47"/>
  <c r="CX26" i="47"/>
  <c r="Z27" i="47"/>
  <c r="CF27" i="47"/>
  <c r="CX27" i="47"/>
  <c r="Z28" i="47"/>
  <c r="CF28" i="47"/>
  <c r="CX28" i="47"/>
  <c r="Z29" i="47"/>
  <c r="CF29" i="47"/>
  <c r="CX29" i="47"/>
  <c r="Z32" i="47"/>
  <c r="CF32" i="47"/>
  <c r="CX32" i="47"/>
  <c r="Z33" i="47"/>
  <c r="CF33" i="47"/>
  <c r="CX33" i="47"/>
  <c r="Z34" i="47"/>
  <c r="CF34" i="47"/>
  <c r="CX34" i="47"/>
  <c r="Z35" i="47"/>
  <c r="CF35" i="47"/>
  <c r="CX35" i="47"/>
  <c r="Z36" i="47"/>
  <c r="CF36" i="47"/>
  <c r="CX36" i="47"/>
  <c r="Z37" i="47"/>
  <c r="CF37" i="47"/>
  <c r="CX37" i="47"/>
  <c r="Z39" i="47"/>
  <c r="CF39" i="47"/>
  <c r="CX39" i="47"/>
  <c r="Z40" i="47"/>
  <c r="CF40" i="47"/>
  <c r="CX40" i="47"/>
  <c r="Z41" i="47"/>
  <c r="CF41" i="47"/>
  <c r="CX41" i="47"/>
  <c r="Z42" i="47"/>
  <c r="CF42" i="47"/>
  <c r="CX42" i="47"/>
  <c r="Z43" i="47"/>
  <c r="CF43" i="47"/>
  <c r="CX43" i="47"/>
  <c r="Z44" i="47"/>
  <c r="CF44" i="47"/>
  <c r="CX44" i="47"/>
  <c r="Z45" i="47"/>
  <c r="CF45" i="47"/>
  <c r="CX45" i="47"/>
  <c r="O46" i="19"/>
  <c r="O47" i="19"/>
  <c r="O48" i="19"/>
  <c r="Z6" i="4"/>
  <c r="CF6" i="4"/>
  <c r="CX6" i="4"/>
  <c r="Z7" i="4"/>
  <c r="CF7" i="4"/>
  <c r="CX7" i="4"/>
  <c r="Z8" i="4"/>
  <c r="CF8" i="4"/>
  <c r="CX8" i="4"/>
  <c r="Z27" i="4"/>
  <c r="BR27" i="4"/>
  <c r="BS27" i="4"/>
  <c r="BT27" i="4"/>
  <c r="BU27" i="4"/>
  <c r="BV27" i="4"/>
  <c r="BW27" i="4"/>
  <c r="CF27" i="4"/>
  <c r="CO27" i="4"/>
  <c r="CX27" i="4"/>
  <c r="AO29" i="11"/>
  <c r="CU29" i="11"/>
  <c r="DM29" i="11"/>
  <c r="AO30" i="11"/>
  <c r="CU30" i="11"/>
  <c r="DM30" i="11"/>
  <c r="AO31" i="11"/>
  <c r="CU31" i="11"/>
  <c r="DM31" i="11"/>
  <c r="AO32" i="11"/>
  <c r="CU32" i="11"/>
  <c r="DM32" i="11"/>
  <c r="AO33" i="11"/>
  <c r="CU33" i="11"/>
  <c r="DM33" i="11"/>
  <c r="AO34" i="11"/>
  <c r="CU34" i="11"/>
  <c r="DM34" i="11"/>
  <c r="AO35" i="11"/>
  <c r="CU35" i="11"/>
  <c r="DM35" i="11"/>
  <c r="AO36" i="11"/>
  <c r="CU36" i="11"/>
  <c r="DM36" i="11"/>
  <c r="AO37" i="11"/>
  <c r="CU37" i="11"/>
  <c r="DM37" i="11"/>
  <c r="Z9" i="4"/>
  <c r="CF9" i="4"/>
  <c r="CX9" i="4"/>
  <c r="Z10" i="4"/>
  <c r="CF10" i="4"/>
  <c r="CX10" i="4"/>
  <c r="Z13" i="4"/>
  <c r="CF13" i="4"/>
  <c r="CX13" i="4"/>
  <c r="Z14" i="4"/>
  <c r="CF14" i="4"/>
  <c r="CX14" i="4"/>
  <c r="Z11" i="4"/>
  <c r="CF11" i="4"/>
  <c r="CX11" i="4"/>
  <c r="Z15" i="4"/>
  <c r="CF15" i="4"/>
  <c r="CX15" i="4"/>
  <c r="Z17" i="4"/>
  <c r="CF17" i="4"/>
  <c r="CX17" i="4"/>
  <c r="Z18" i="4"/>
  <c r="CF18" i="4"/>
  <c r="CX18" i="4"/>
  <c r="Z19" i="4"/>
  <c r="CF19" i="4"/>
  <c r="CX19" i="4"/>
  <c r="Z20" i="4"/>
  <c r="CF20" i="4"/>
  <c r="CX20" i="4"/>
  <c r="Z21" i="4"/>
  <c r="CF21" i="4"/>
  <c r="CX21" i="4"/>
  <c r="Z22" i="4"/>
  <c r="CF22" i="4"/>
  <c r="CX22" i="4"/>
  <c r="Z23" i="4"/>
  <c r="CF23" i="4"/>
  <c r="CX23" i="4"/>
  <c r="Z24" i="4"/>
  <c r="CF24" i="4"/>
  <c r="CX24" i="4"/>
  <c r="Z25" i="4"/>
  <c r="CF25" i="4"/>
  <c r="CX25" i="4"/>
  <c r="Z26" i="4"/>
  <c r="CF26" i="4"/>
  <c r="CX26" i="4"/>
  <c r="Z28" i="4"/>
  <c r="BR28" i="4"/>
  <c r="BS28" i="4"/>
  <c r="BT28" i="4"/>
  <c r="BU28" i="4"/>
  <c r="BV28" i="4"/>
  <c r="BW28" i="4"/>
  <c r="CF28" i="4"/>
  <c r="CO28" i="4"/>
  <c r="CX28" i="4"/>
  <c r="Z29" i="4"/>
  <c r="BR29" i="4"/>
  <c r="BS29" i="4"/>
  <c r="BT29" i="4"/>
  <c r="BU29" i="4"/>
  <c r="BV29" i="4"/>
  <c r="BW29" i="4"/>
  <c r="CF29" i="4"/>
  <c r="CO29" i="4"/>
  <c r="CX29" i="4"/>
  <c r="Z30" i="4"/>
  <c r="BR30" i="4"/>
  <c r="BS30" i="4"/>
  <c r="BT30" i="4"/>
  <c r="BU30" i="4"/>
  <c r="BV30" i="4"/>
  <c r="BW30" i="4"/>
  <c r="CF30" i="4"/>
  <c r="CO30" i="4"/>
  <c r="CX30" i="4"/>
  <c r="Z32" i="4"/>
  <c r="CF32" i="4"/>
  <c r="CX32" i="4"/>
  <c r="Z6" i="5"/>
  <c r="CF6" i="5"/>
  <c r="CX6" i="5"/>
  <c r="Z7" i="5"/>
  <c r="CF7" i="5"/>
  <c r="CX7" i="5"/>
  <c r="Z8" i="5"/>
  <c r="CF8" i="5"/>
  <c r="CX8" i="5"/>
  <c r="Z9" i="5"/>
  <c r="CF9" i="5"/>
  <c r="CX9" i="5"/>
  <c r="Z10" i="5"/>
  <c r="CF10" i="5"/>
  <c r="CX10" i="5"/>
  <c r="Z11" i="5"/>
  <c r="CF11" i="5"/>
  <c r="CX11" i="5"/>
  <c r="Z12" i="5"/>
  <c r="CF12" i="5"/>
  <c r="CX12" i="5"/>
  <c r="Z13" i="5"/>
  <c r="CF13" i="5"/>
  <c r="CX13" i="5"/>
  <c r="Z14" i="5"/>
  <c r="CF14" i="5"/>
  <c r="CX14" i="5"/>
  <c r="Z15" i="5"/>
  <c r="CF15" i="5"/>
  <c r="CX15" i="5"/>
  <c r="Z16" i="5"/>
  <c r="CF16" i="5"/>
  <c r="CX16" i="5"/>
  <c r="Z17" i="5"/>
  <c r="CF17" i="5"/>
  <c r="CX17" i="5"/>
  <c r="AO26" i="6"/>
  <c r="CU26" i="6"/>
  <c r="DM26" i="6"/>
  <c r="AO27" i="6"/>
  <c r="CU27" i="6"/>
  <c r="DM27" i="6"/>
  <c r="AO28" i="6"/>
  <c r="CU28" i="6"/>
  <c r="DM28" i="6"/>
  <c r="AO29" i="6"/>
  <c r="CU29" i="6"/>
  <c r="DM29" i="6"/>
  <c r="AO30" i="6"/>
  <c r="CU30" i="6"/>
  <c r="DM30" i="6"/>
  <c r="AO31" i="6"/>
  <c r="CU31" i="6"/>
  <c r="DM31" i="6"/>
  <c r="AO32" i="6"/>
  <c r="CU32" i="6"/>
  <c r="DM32" i="6"/>
  <c r="AO33" i="6"/>
  <c r="CU33" i="6"/>
  <c r="DM33" i="6"/>
  <c r="AO34" i="6"/>
  <c r="CU34" i="6"/>
  <c r="DM34" i="6"/>
  <c r="AO35" i="6"/>
  <c r="CU35" i="6"/>
  <c r="DM35" i="6"/>
  <c r="AO36" i="6"/>
  <c r="CU36" i="6"/>
  <c r="DM36" i="6"/>
  <c r="AO37" i="6"/>
  <c r="CU37" i="6"/>
  <c r="DM37" i="6"/>
  <c r="AO38" i="6"/>
  <c r="CU38" i="6"/>
  <c r="DM38" i="6"/>
  <c r="Z6" i="40"/>
  <c r="CF6" i="40"/>
  <c r="CX6" i="40"/>
  <c r="Z7" i="40"/>
  <c r="CF7" i="40"/>
  <c r="CX7" i="40"/>
  <c r="Z8" i="40"/>
  <c r="CF8" i="40"/>
  <c r="CX8" i="40"/>
  <c r="Z9" i="40"/>
  <c r="CF9" i="40"/>
  <c r="CX9" i="40"/>
  <c r="Z10" i="40"/>
  <c r="CF10" i="40"/>
  <c r="CX10" i="40"/>
  <c r="Z11" i="40"/>
  <c r="CF11" i="40"/>
  <c r="CX11" i="40"/>
  <c r="Z12" i="40"/>
  <c r="CF12" i="40"/>
  <c r="CX12" i="40"/>
  <c r="Z6" i="9"/>
  <c r="CF6" i="9"/>
  <c r="CX6" i="9"/>
  <c r="Z7" i="9"/>
  <c r="CF7" i="9"/>
  <c r="CX7" i="9"/>
  <c r="Z8" i="9"/>
  <c r="CF8" i="9"/>
  <c r="CX8" i="9"/>
  <c r="Z9" i="9"/>
  <c r="CF9" i="9"/>
  <c r="CX9" i="9"/>
  <c r="Z10" i="55"/>
  <c r="AR10" i="55"/>
  <c r="AI10" i="55"/>
  <c r="BA10" i="55"/>
  <c r="BJ10" i="55"/>
  <c r="Z11" i="55"/>
  <c r="AI11" i="55"/>
  <c r="AR11" i="55"/>
  <c r="BA11" i="55"/>
  <c r="BJ11" i="55"/>
  <c r="Z12" i="55"/>
  <c r="AI12" i="55"/>
  <c r="AR12" i="55"/>
  <c r="BA12" i="55"/>
  <c r="BJ12" i="55"/>
  <c r="Z13" i="55"/>
  <c r="AI13" i="55"/>
  <c r="AR13" i="55"/>
  <c r="BA13" i="55"/>
  <c r="BJ13" i="55"/>
  <c r="O127" i="19"/>
  <c r="O128" i="19"/>
  <c r="O132" i="19"/>
  <c r="O130" i="19"/>
  <c r="O65" i="19"/>
  <c r="AY28" i="54"/>
  <c r="BI28" i="54"/>
  <c r="AY29" i="54"/>
  <c r="BI29" i="54"/>
  <c r="AY30" i="54"/>
  <c r="BI30" i="54"/>
  <c r="BI31" i="54"/>
  <c r="BI32" i="54"/>
  <c r="BI27" i="54"/>
  <c r="BP27" i="54"/>
  <c r="O11" i="60"/>
  <c r="Y8" i="47"/>
  <c r="CE8" i="47"/>
  <c r="CW8" i="47"/>
  <c r="Y15" i="47"/>
  <c r="CE15" i="47"/>
  <c r="CW15" i="47"/>
  <c r="Y23" i="47"/>
  <c r="CE23" i="47"/>
  <c r="CW23" i="47"/>
  <c r="Y31" i="47"/>
  <c r="CE31" i="47"/>
  <c r="CW31" i="47"/>
  <c r="Y9" i="47"/>
  <c r="CE9" i="47"/>
  <c r="CW9" i="47"/>
  <c r="Y10" i="47"/>
  <c r="CE10" i="47"/>
  <c r="CW10" i="47"/>
  <c r="Y11" i="47"/>
  <c r="CE11" i="47"/>
  <c r="CW11" i="47"/>
  <c r="Y12" i="47"/>
  <c r="CE12" i="47"/>
  <c r="CW12" i="47"/>
  <c r="Y13" i="47"/>
  <c r="CE13" i="47"/>
  <c r="CW13" i="47"/>
  <c r="Y16" i="47"/>
  <c r="CE16" i="47"/>
  <c r="CW16" i="47"/>
  <c r="Y17" i="47"/>
  <c r="CE17" i="47"/>
  <c r="CW17" i="47"/>
  <c r="Y18" i="47"/>
  <c r="CE18" i="47"/>
  <c r="CW18" i="47"/>
  <c r="Y19" i="47"/>
  <c r="CE19" i="47"/>
  <c r="CW19" i="47"/>
  <c r="Y20" i="47"/>
  <c r="CE20" i="47"/>
  <c r="CW20" i="47"/>
  <c r="Y21" i="47"/>
  <c r="CE21" i="47"/>
  <c r="CW21" i="47"/>
  <c r="Y24" i="47"/>
  <c r="CE24" i="47"/>
  <c r="CW24" i="47"/>
  <c r="Y25" i="47"/>
  <c r="CE25" i="47"/>
  <c r="CW25" i="47"/>
  <c r="Y26" i="47"/>
  <c r="CE26" i="47"/>
  <c r="CW26" i="47"/>
  <c r="Y27" i="47"/>
  <c r="CE27" i="47"/>
  <c r="CW27" i="47"/>
  <c r="Y28" i="47"/>
  <c r="CE28" i="47"/>
  <c r="CW28" i="47"/>
  <c r="Y29" i="47"/>
  <c r="CE29" i="47"/>
  <c r="CW29" i="47"/>
  <c r="Y32" i="47"/>
  <c r="CE32" i="47"/>
  <c r="CW32" i="47"/>
  <c r="Y33" i="47"/>
  <c r="CE33" i="47"/>
  <c r="CW33" i="47"/>
  <c r="Y34" i="47"/>
  <c r="CE34" i="47"/>
  <c r="CW34" i="47"/>
  <c r="Y35" i="47"/>
  <c r="CE35" i="47"/>
  <c r="CW35" i="47"/>
  <c r="Y36" i="47"/>
  <c r="CE36" i="47"/>
  <c r="CW36" i="47"/>
  <c r="Y37" i="47"/>
  <c r="CE37" i="47"/>
  <c r="CW37" i="47"/>
  <c r="Y39" i="47"/>
  <c r="CE39" i="47"/>
  <c r="CW39" i="47"/>
  <c r="Y40" i="47"/>
  <c r="CE40" i="47"/>
  <c r="CW40" i="47"/>
  <c r="Y41" i="47"/>
  <c r="CE41" i="47"/>
  <c r="CW41" i="47"/>
  <c r="Y42" i="47"/>
  <c r="CE42" i="47"/>
  <c r="CW42" i="47"/>
  <c r="Y43" i="47"/>
  <c r="CE43" i="47"/>
  <c r="CW43" i="47"/>
  <c r="Y44" i="47"/>
  <c r="CE44" i="47"/>
  <c r="CW44" i="47"/>
  <c r="Y45" i="47"/>
  <c r="CE45" i="47"/>
  <c r="CW45" i="47"/>
  <c r="N46" i="19"/>
  <c r="N47" i="19"/>
  <c r="N48" i="19"/>
  <c r="Y6" i="4"/>
  <c r="CE6" i="4"/>
  <c r="CW6" i="4"/>
  <c r="Y7" i="4"/>
  <c r="CE7" i="4"/>
  <c r="CW7" i="4"/>
  <c r="Y8" i="4"/>
  <c r="CE8" i="4"/>
  <c r="CW8" i="4"/>
  <c r="Y27" i="4"/>
  <c r="BL27" i="4"/>
  <c r="BM27" i="4"/>
  <c r="BN27" i="4"/>
  <c r="BO27" i="4"/>
  <c r="BP27" i="4"/>
  <c r="BQ27" i="4"/>
  <c r="CE27" i="4"/>
  <c r="CN27" i="4"/>
  <c r="CW27" i="4"/>
  <c r="AN29" i="11"/>
  <c r="CT29" i="11"/>
  <c r="DL29" i="11"/>
  <c r="AN30" i="11"/>
  <c r="CT30" i="11"/>
  <c r="DL30" i="11"/>
  <c r="AN31" i="11"/>
  <c r="CT31" i="11"/>
  <c r="DL31" i="11"/>
  <c r="AN32" i="11"/>
  <c r="CT32" i="11"/>
  <c r="DL32" i="11"/>
  <c r="AN33" i="11"/>
  <c r="CT33" i="11"/>
  <c r="DL33" i="11"/>
  <c r="AN34" i="11"/>
  <c r="CT34" i="11"/>
  <c r="DL34" i="11"/>
  <c r="AN35" i="11"/>
  <c r="CT35" i="11"/>
  <c r="DL35" i="11"/>
  <c r="AN36" i="11"/>
  <c r="CT36" i="11"/>
  <c r="DL36" i="11"/>
  <c r="AN37" i="11"/>
  <c r="CT37" i="11"/>
  <c r="DL37" i="11"/>
  <c r="Y9" i="4"/>
  <c r="CE9" i="4"/>
  <c r="CW9" i="4"/>
  <c r="Y10" i="4"/>
  <c r="CE10" i="4"/>
  <c r="CW10" i="4"/>
  <c r="Y13" i="4"/>
  <c r="CE13" i="4"/>
  <c r="CW13" i="4"/>
  <c r="Y14" i="4"/>
  <c r="CE14" i="4"/>
  <c r="CW14" i="4"/>
  <c r="Y11" i="4"/>
  <c r="CE11" i="4"/>
  <c r="CW11" i="4"/>
  <c r="Y15" i="4"/>
  <c r="CE15" i="4"/>
  <c r="CW15" i="4"/>
  <c r="Y17" i="4"/>
  <c r="CE17" i="4"/>
  <c r="CW17" i="4"/>
  <c r="Y18" i="4"/>
  <c r="CE18" i="4"/>
  <c r="CW18" i="4"/>
  <c r="Y19" i="4"/>
  <c r="CE19" i="4"/>
  <c r="CW19" i="4"/>
  <c r="Y20" i="4"/>
  <c r="CE20" i="4"/>
  <c r="CW20" i="4"/>
  <c r="Y21" i="4"/>
  <c r="CE21" i="4"/>
  <c r="CW21" i="4"/>
  <c r="Y22" i="4"/>
  <c r="CE22" i="4"/>
  <c r="CW22" i="4"/>
  <c r="Y23" i="4"/>
  <c r="CE23" i="4"/>
  <c r="CW23" i="4"/>
  <c r="Y24" i="4"/>
  <c r="CE24" i="4"/>
  <c r="CW24" i="4"/>
  <c r="Y25" i="4"/>
  <c r="CE25" i="4"/>
  <c r="CW25" i="4"/>
  <c r="Y26" i="4"/>
  <c r="CE26" i="4"/>
  <c r="CW26" i="4"/>
  <c r="Y28" i="4"/>
  <c r="BL28" i="4"/>
  <c r="BM28" i="4"/>
  <c r="BN28" i="4"/>
  <c r="BO28" i="4"/>
  <c r="BP28" i="4"/>
  <c r="BQ28" i="4"/>
  <c r="CE28" i="4"/>
  <c r="CN28" i="4"/>
  <c r="CW28" i="4"/>
  <c r="Y29" i="4"/>
  <c r="BL29" i="4"/>
  <c r="BM29" i="4"/>
  <c r="BN29" i="4"/>
  <c r="BO29" i="4"/>
  <c r="BP29" i="4"/>
  <c r="BQ29" i="4"/>
  <c r="CE29" i="4"/>
  <c r="CN29" i="4"/>
  <c r="CW29" i="4"/>
  <c r="Y30" i="4"/>
  <c r="BL30" i="4"/>
  <c r="BM30" i="4"/>
  <c r="BN30" i="4"/>
  <c r="BO30" i="4"/>
  <c r="BP30" i="4"/>
  <c r="BQ30" i="4"/>
  <c r="CE30" i="4"/>
  <c r="CN30" i="4"/>
  <c r="CW30" i="4"/>
  <c r="Y32" i="4"/>
  <c r="CE32" i="4"/>
  <c r="CW32" i="4"/>
  <c r="Y6" i="5"/>
  <c r="CE6" i="5"/>
  <c r="CW6" i="5"/>
  <c r="Y7" i="5"/>
  <c r="CE7" i="5"/>
  <c r="CW7" i="5"/>
  <c r="Y8" i="5"/>
  <c r="CE8" i="5"/>
  <c r="CW8" i="5"/>
  <c r="Y9" i="5"/>
  <c r="CE9" i="5"/>
  <c r="CW9" i="5"/>
  <c r="Y10" i="5"/>
  <c r="CE10" i="5"/>
  <c r="CW10" i="5"/>
  <c r="Y11" i="5"/>
  <c r="CE11" i="5"/>
  <c r="CW11" i="5"/>
  <c r="Y12" i="5"/>
  <c r="CE12" i="5"/>
  <c r="CW12" i="5"/>
  <c r="Y13" i="5"/>
  <c r="CE13" i="5"/>
  <c r="CW13" i="5"/>
  <c r="Y14" i="5"/>
  <c r="CE14" i="5"/>
  <c r="CW14" i="5"/>
  <c r="Y15" i="5"/>
  <c r="CE15" i="5"/>
  <c r="CW15" i="5"/>
  <c r="Y16" i="5"/>
  <c r="CE16" i="5"/>
  <c r="CW16" i="5"/>
  <c r="Y17" i="5"/>
  <c r="CE17" i="5"/>
  <c r="CW17" i="5"/>
  <c r="AN26" i="6"/>
  <c r="CT26" i="6"/>
  <c r="DL26" i="6"/>
  <c r="AN27" i="6"/>
  <c r="CT27" i="6"/>
  <c r="DL27" i="6"/>
  <c r="AN28" i="6"/>
  <c r="CT28" i="6"/>
  <c r="DL28" i="6"/>
  <c r="AN29" i="6"/>
  <c r="CT29" i="6"/>
  <c r="DL29" i="6"/>
  <c r="AN30" i="6"/>
  <c r="CT30" i="6"/>
  <c r="DL30" i="6"/>
  <c r="AN31" i="6"/>
  <c r="CT31" i="6"/>
  <c r="DL31" i="6"/>
  <c r="AN32" i="6"/>
  <c r="CT32" i="6"/>
  <c r="DL32" i="6"/>
  <c r="AN33" i="6"/>
  <c r="CT33" i="6"/>
  <c r="DL33" i="6"/>
  <c r="AN34" i="6"/>
  <c r="CT34" i="6"/>
  <c r="DL34" i="6"/>
  <c r="AN35" i="6"/>
  <c r="CT35" i="6"/>
  <c r="DL35" i="6"/>
  <c r="AN36" i="6"/>
  <c r="CT36" i="6"/>
  <c r="DL36" i="6"/>
  <c r="AN37" i="6"/>
  <c r="CT37" i="6"/>
  <c r="DL37" i="6"/>
  <c r="AN38" i="6"/>
  <c r="CT38" i="6"/>
  <c r="DL38" i="6"/>
  <c r="Y6" i="40"/>
  <c r="CE6" i="40"/>
  <c r="CW6" i="40"/>
  <c r="Y7" i="40"/>
  <c r="CE7" i="40"/>
  <c r="CW7" i="40"/>
  <c r="Y8" i="40"/>
  <c r="CE8" i="40"/>
  <c r="CW8" i="40"/>
  <c r="Y9" i="40"/>
  <c r="CE9" i="40"/>
  <c r="CW9" i="40"/>
  <c r="Y10" i="40"/>
  <c r="CE10" i="40"/>
  <c r="CW10" i="40"/>
  <c r="Y11" i="40"/>
  <c r="CE11" i="40"/>
  <c r="CW11" i="40"/>
  <c r="Y12" i="40"/>
  <c r="CE12" i="40"/>
  <c r="CW12" i="40"/>
  <c r="Y6" i="9"/>
  <c r="CE6" i="9"/>
  <c r="CW6" i="9"/>
  <c r="Y7" i="9"/>
  <c r="CE7" i="9"/>
  <c r="CW7" i="9"/>
  <c r="Y8" i="9"/>
  <c r="CE8" i="9"/>
  <c r="CW8" i="9"/>
  <c r="Y9" i="9"/>
  <c r="CE9" i="9"/>
  <c r="CW9" i="9"/>
  <c r="Y10" i="55"/>
  <c r="AQ10" i="55"/>
  <c r="AH10" i="55"/>
  <c r="AZ10" i="55"/>
  <c r="BI10" i="55"/>
  <c r="Y11" i="55"/>
  <c r="AH11" i="55"/>
  <c r="AQ11" i="55"/>
  <c r="AZ11" i="55"/>
  <c r="BI11" i="55"/>
  <c r="Y12" i="55"/>
  <c r="AH12" i="55"/>
  <c r="AQ12" i="55"/>
  <c r="AZ12" i="55"/>
  <c r="BI12" i="55"/>
  <c r="Y13" i="55"/>
  <c r="AH13" i="55"/>
  <c r="AQ13" i="55"/>
  <c r="AZ13" i="55"/>
  <c r="BI13" i="55"/>
  <c r="N127" i="19"/>
  <c r="N128" i="19"/>
  <c r="N132" i="19"/>
  <c r="N130" i="19"/>
  <c r="N65" i="19"/>
  <c r="AX28" i="54"/>
  <c r="BH28" i="54"/>
  <c r="AX29" i="54"/>
  <c r="BH29" i="54"/>
  <c r="AX30" i="54"/>
  <c r="BH30" i="54"/>
  <c r="BH31" i="54"/>
  <c r="BH32" i="54"/>
  <c r="BH27" i="54"/>
  <c r="BO27" i="54"/>
  <c r="N11" i="60"/>
  <c r="X8" i="47"/>
  <c r="CD8" i="47"/>
  <c r="CV8" i="47"/>
  <c r="X15" i="47"/>
  <c r="CD15" i="47"/>
  <c r="CV15" i="47"/>
  <c r="X23" i="47"/>
  <c r="CD23" i="47"/>
  <c r="CV23" i="47"/>
  <c r="X31" i="47"/>
  <c r="CD31" i="47"/>
  <c r="CV31" i="47"/>
  <c r="X9" i="47"/>
  <c r="CD9" i="47"/>
  <c r="CV9" i="47"/>
  <c r="X10" i="47"/>
  <c r="CD10" i="47"/>
  <c r="CV10" i="47"/>
  <c r="X11" i="47"/>
  <c r="CD11" i="47"/>
  <c r="CV11" i="47"/>
  <c r="X12" i="47"/>
  <c r="CD12" i="47"/>
  <c r="CV12" i="47"/>
  <c r="X13" i="47"/>
  <c r="CD13" i="47"/>
  <c r="CV13" i="47"/>
  <c r="X16" i="47"/>
  <c r="CD16" i="47"/>
  <c r="CV16" i="47"/>
  <c r="X17" i="47"/>
  <c r="CD17" i="47"/>
  <c r="CV17" i="47"/>
  <c r="X18" i="47"/>
  <c r="CD18" i="47"/>
  <c r="CV18" i="47"/>
  <c r="X19" i="47"/>
  <c r="CD19" i="47"/>
  <c r="CV19" i="47"/>
  <c r="X20" i="47"/>
  <c r="CD20" i="47"/>
  <c r="CV20" i="47"/>
  <c r="X21" i="47"/>
  <c r="CD21" i="47"/>
  <c r="CV21" i="47"/>
  <c r="X24" i="47"/>
  <c r="CD24" i="47"/>
  <c r="CV24" i="47"/>
  <c r="X25" i="47"/>
  <c r="CD25" i="47"/>
  <c r="CV25" i="47"/>
  <c r="X26" i="47"/>
  <c r="CD26" i="47"/>
  <c r="CV26" i="47"/>
  <c r="X27" i="47"/>
  <c r="CD27" i="47"/>
  <c r="CV27" i="47"/>
  <c r="X28" i="47"/>
  <c r="CD28" i="47"/>
  <c r="CV28" i="47"/>
  <c r="X29" i="47"/>
  <c r="CD29" i="47"/>
  <c r="CV29" i="47"/>
  <c r="X32" i="47"/>
  <c r="CD32" i="47"/>
  <c r="CV32" i="47"/>
  <c r="X33" i="47"/>
  <c r="CD33" i="47"/>
  <c r="CV33" i="47"/>
  <c r="X34" i="47"/>
  <c r="CD34" i="47"/>
  <c r="CV34" i="47"/>
  <c r="X35" i="47"/>
  <c r="CD35" i="47"/>
  <c r="CV35" i="47"/>
  <c r="X36" i="47"/>
  <c r="CD36" i="47"/>
  <c r="CV36" i="47"/>
  <c r="X37" i="47"/>
  <c r="CD37" i="47"/>
  <c r="CV37" i="47"/>
  <c r="X39" i="47"/>
  <c r="CD39" i="47"/>
  <c r="CV39" i="47"/>
  <c r="X40" i="47"/>
  <c r="CD40" i="47"/>
  <c r="CV40" i="47"/>
  <c r="X41" i="47"/>
  <c r="CD41" i="47"/>
  <c r="CV41" i="47"/>
  <c r="X42" i="47"/>
  <c r="CD42" i="47"/>
  <c r="CV42" i="47"/>
  <c r="X43" i="47"/>
  <c r="CD43" i="47"/>
  <c r="CV43" i="47"/>
  <c r="X44" i="47"/>
  <c r="CD44" i="47"/>
  <c r="CV44" i="47"/>
  <c r="X45" i="47"/>
  <c r="CD45" i="47"/>
  <c r="CV45" i="47"/>
  <c r="M46" i="19"/>
  <c r="M47" i="19"/>
  <c r="M48" i="19"/>
  <c r="X6" i="4"/>
  <c r="CD6" i="4"/>
  <c r="CV6" i="4"/>
  <c r="X7" i="4"/>
  <c r="CD7" i="4"/>
  <c r="CV7" i="4"/>
  <c r="X8" i="4"/>
  <c r="CD8" i="4"/>
  <c r="CV8" i="4"/>
  <c r="X27" i="4"/>
  <c r="BF27" i="4"/>
  <c r="BG27" i="4"/>
  <c r="BH27" i="4"/>
  <c r="BI27" i="4"/>
  <c r="BJ27" i="4"/>
  <c r="BK27" i="4"/>
  <c r="CD27" i="4"/>
  <c r="CM27" i="4"/>
  <c r="CV27" i="4"/>
  <c r="AM29" i="11"/>
  <c r="CS29" i="11"/>
  <c r="DK29" i="11"/>
  <c r="AM30" i="11"/>
  <c r="CS30" i="11"/>
  <c r="DK30" i="11"/>
  <c r="AM31" i="11"/>
  <c r="CS31" i="11"/>
  <c r="DK31" i="11"/>
  <c r="AM32" i="11"/>
  <c r="CS32" i="11"/>
  <c r="DK32" i="11"/>
  <c r="AM33" i="11"/>
  <c r="CS33" i="11"/>
  <c r="DK33" i="11"/>
  <c r="AM34" i="11"/>
  <c r="CS34" i="11"/>
  <c r="DK34" i="11"/>
  <c r="AM35" i="11"/>
  <c r="CS35" i="11"/>
  <c r="DK35" i="11"/>
  <c r="AM36" i="11"/>
  <c r="CS36" i="11"/>
  <c r="DK36" i="11"/>
  <c r="AM37" i="11"/>
  <c r="CS37" i="11"/>
  <c r="DK37" i="11"/>
  <c r="X9" i="4"/>
  <c r="CD9" i="4"/>
  <c r="CV9" i="4"/>
  <c r="X10" i="4"/>
  <c r="CD10" i="4"/>
  <c r="CV10" i="4"/>
  <c r="X13" i="4"/>
  <c r="CD13" i="4"/>
  <c r="CV13" i="4"/>
  <c r="X14" i="4"/>
  <c r="CD14" i="4"/>
  <c r="CV14" i="4"/>
  <c r="X11" i="4"/>
  <c r="CD11" i="4"/>
  <c r="CV11" i="4"/>
  <c r="X15" i="4"/>
  <c r="CD15" i="4"/>
  <c r="CV15" i="4"/>
  <c r="X17" i="4"/>
  <c r="CD17" i="4"/>
  <c r="CV17" i="4"/>
  <c r="X18" i="4"/>
  <c r="CD18" i="4"/>
  <c r="CV18" i="4"/>
  <c r="X19" i="4"/>
  <c r="CD19" i="4"/>
  <c r="CV19" i="4"/>
  <c r="X20" i="4"/>
  <c r="CD20" i="4"/>
  <c r="CV20" i="4"/>
  <c r="X21" i="4"/>
  <c r="CD21" i="4"/>
  <c r="CV21" i="4"/>
  <c r="X22" i="4"/>
  <c r="CD22" i="4"/>
  <c r="CV22" i="4"/>
  <c r="X23" i="4"/>
  <c r="CD23" i="4"/>
  <c r="CV23" i="4"/>
  <c r="X24" i="4"/>
  <c r="CD24" i="4"/>
  <c r="CV24" i="4"/>
  <c r="X25" i="4"/>
  <c r="CD25" i="4"/>
  <c r="CV25" i="4"/>
  <c r="X26" i="4"/>
  <c r="CD26" i="4"/>
  <c r="CV26" i="4"/>
  <c r="X28" i="4"/>
  <c r="BF28" i="4"/>
  <c r="BG28" i="4"/>
  <c r="BH28" i="4"/>
  <c r="BI28" i="4"/>
  <c r="BJ28" i="4"/>
  <c r="BK28" i="4"/>
  <c r="CD28" i="4"/>
  <c r="CM28" i="4"/>
  <c r="CV28" i="4"/>
  <c r="X29" i="4"/>
  <c r="BF29" i="4"/>
  <c r="BG29" i="4"/>
  <c r="BH29" i="4"/>
  <c r="BI29" i="4"/>
  <c r="BJ29" i="4"/>
  <c r="BK29" i="4"/>
  <c r="CD29" i="4"/>
  <c r="CM29" i="4"/>
  <c r="CV29" i="4"/>
  <c r="X30" i="4"/>
  <c r="BF30" i="4"/>
  <c r="BG30" i="4"/>
  <c r="BH30" i="4"/>
  <c r="BI30" i="4"/>
  <c r="BJ30" i="4"/>
  <c r="BK30" i="4"/>
  <c r="CD30" i="4"/>
  <c r="CM30" i="4"/>
  <c r="CV30" i="4"/>
  <c r="X32" i="4"/>
  <c r="CD32" i="4"/>
  <c r="CV32" i="4"/>
  <c r="X6" i="5"/>
  <c r="CD6" i="5"/>
  <c r="CV6" i="5"/>
  <c r="X7" i="5"/>
  <c r="CD7" i="5"/>
  <c r="CV7" i="5"/>
  <c r="X8" i="5"/>
  <c r="CD8" i="5"/>
  <c r="CV8" i="5"/>
  <c r="X9" i="5"/>
  <c r="CD9" i="5"/>
  <c r="CV9" i="5"/>
  <c r="X10" i="5"/>
  <c r="CD10" i="5"/>
  <c r="CV10" i="5"/>
  <c r="X11" i="5"/>
  <c r="CD11" i="5"/>
  <c r="CV11" i="5"/>
  <c r="X12" i="5"/>
  <c r="CD12" i="5"/>
  <c r="CV12" i="5"/>
  <c r="X13" i="5"/>
  <c r="CD13" i="5"/>
  <c r="CV13" i="5"/>
  <c r="X14" i="5"/>
  <c r="CD14" i="5"/>
  <c r="CV14" i="5"/>
  <c r="X15" i="5"/>
  <c r="CD15" i="5"/>
  <c r="CV15" i="5"/>
  <c r="X16" i="5"/>
  <c r="CD16" i="5"/>
  <c r="CV16" i="5"/>
  <c r="X17" i="5"/>
  <c r="CD17" i="5"/>
  <c r="CV17" i="5"/>
  <c r="AM26" i="6"/>
  <c r="CS26" i="6"/>
  <c r="DK26" i="6"/>
  <c r="AM27" i="6"/>
  <c r="CS27" i="6"/>
  <c r="DK27" i="6"/>
  <c r="AM28" i="6"/>
  <c r="CS28" i="6"/>
  <c r="DK28" i="6"/>
  <c r="AM29" i="6"/>
  <c r="CS29" i="6"/>
  <c r="DK29" i="6"/>
  <c r="AM30" i="6"/>
  <c r="CS30" i="6"/>
  <c r="DK30" i="6"/>
  <c r="AM31" i="6"/>
  <c r="CS31" i="6"/>
  <c r="DK31" i="6"/>
  <c r="AM32" i="6"/>
  <c r="CS32" i="6"/>
  <c r="DK32" i="6"/>
  <c r="AM33" i="6"/>
  <c r="CS33" i="6"/>
  <c r="DK33" i="6"/>
  <c r="AM34" i="6"/>
  <c r="CS34" i="6"/>
  <c r="DK34" i="6"/>
  <c r="AM35" i="6"/>
  <c r="CS35" i="6"/>
  <c r="DK35" i="6"/>
  <c r="AM36" i="6"/>
  <c r="CS36" i="6"/>
  <c r="DK36" i="6"/>
  <c r="AM37" i="6"/>
  <c r="CS37" i="6"/>
  <c r="DK37" i="6"/>
  <c r="AM38" i="6"/>
  <c r="CS38" i="6"/>
  <c r="DK38" i="6"/>
  <c r="X6" i="40"/>
  <c r="CD6" i="40"/>
  <c r="CV6" i="40"/>
  <c r="X7" i="40"/>
  <c r="CD7" i="40"/>
  <c r="CV7" i="40"/>
  <c r="X8" i="40"/>
  <c r="CD8" i="40"/>
  <c r="CV8" i="40"/>
  <c r="X9" i="40"/>
  <c r="CD9" i="40"/>
  <c r="CV9" i="40"/>
  <c r="X10" i="40"/>
  <c r="CD10" i="40"/>
  <c r="CV10" i="40"/>
  <c r="X11" i="40"/>
  <c r="CD11" i="40"/>
  <c r="CV11" i="40"/>
  <c r="X12" i="40"/>
  <c r="CD12" i="40"/>
  <c r="CV12" i="40"/>
  <c r="X6" i="9"/>
  <c r="CD6" i="9"/>
  <c r="CV6" i="9"/>
  <c r="X7" i="9"/>
  <c r="CD7" i="9"/>
  <c r="CV7" i="9"/>
  <c r="X8" i="9"/>
  <c r="CD8" i="9"/>
  <c r="CV8" i="9"/>
  <c r="X9" i="9"/>
  <c r="CD9" i="9"/>
  <c r="CV9" i="9"/>
  <c r="X10" i="55"/>
  <c r="AP10" i="55"/>
  <c r="AG10" i="55"/>
  <c r="AY10" i="55"/>
  <c r="BH10" i="55"/>
  <c r="X11" i="55"/>
  <c r="AG11" i="55"/>
  <c r="AP11" i="55"/>
  <c r="AY11" i="55"/>
  <c r="BH11" i="55"/>
  <c r="X12" i="55"/>
  <c r="AG12" i="55"/>
  <c r="AP12" i="55"/>
  <c r="AY12" i="55"/>
  <c r="BH12" i="55"/>
  <c r="X13" i="55"/>
  <c r="AG13" i="55"/>
  <c r="AP13" i="55"/>
  <c r="AY13" i="55"/>
  <c r="BH13" i="55"/>
  <c r="M127" i="19"/>
  <c r="M128" i="19"/>
  <c r="M132" i="19"/>
  <c r="M130" i="19"/>
  <c r="M65" i="19"/>
  <c r="AW28" i="54"/>
  <c r="BG28" i="54"/>
  <c r="AW29" i="54"/>
  <c r="BG29" i="54"/>
  <c r="AW30" i="54"/>
  <c r="BG30" i="54"/>
  <c r="BG31" i="54"/>
  <c r="BG32" i="54"/>
  <c r="BG27" i="54"/>
  <c r="BN27" i="54"/>
  <c r="M11" i="60"/>
  <c r="W8" i="47"/>
  <c r="CC8" i="47"/>
  <c r="CU8" i="47"/>
  <c r="W15" i="47"/>
  <c r="CC15" i="47"/>
  <c r="CU15" i="47"/>
  <c r="W23" i="47"/>
  <c r="CC23" i="47"/>
  <c r="CU23" i="47"/>
  <c r="N56" i="47"/>
  <c r="N31" i="47"/>
  <c r="W31" i="47"/>
  <c r="AZ31" i="47"/>
  <c r="BA31" i="47"/>
  <c r="BB31" i="47"/>
  <c r="BC31" i="47"/>
  <c r="BD31" i="47"/>
  <c r="BE31" i="47"/>
  <c r="CC31" i="47"/>
  <c r="CL31" i="47"/>
  <c r="CU31" i="47"/>
  <c r="W9" i="47"/>
  <c r="CC9" i="47"/>
  <c r="CU9" i="47"/>
  <c r="W10" i="47"/>
  <c r="CC10" i="47"/>
  <c r="CU10" i="47"/>
  <c r="W11" i="47"/>
  <c r="CC11" i="47"/>
  <c r="CU11" i="47"/>
  <c r="W12" i="47"/>
  <c r="CC12" i="47"/>
  <c r="CU12" i="47"/>
  <c r="W13" i="47"/>
  <c r="CC13" i="47"/>
  <c r="CU13" i="47"/>
  <c r="W16" i="47"/>
  <c r="CC16" i="47"/>
  <c r="CU16" i="47"/>
  <c r="W17" i="47"/>
  <c r="CC17" i="47"/>
  <c r="CU17" i="47"/>
  <c r="W18" i="47"/>
  <c r="CC18" i="47"/>
  <c r="CU18" i="47"/>
  <c r="W19" i="47"/>
  <c r="CC19" i="47"/>
  <c r="CU19" i="47"/>
  <c r="W20" i="47"/>
  <c r="CC20" i="47"/>
  <c r="CU20" i="47"/>
  <c r="W21" i="47"/>
  <c r="CC21" i="47"/>
  <c r="CU21" i="47"/>
  <c r="W24" i="47"/>
  <c r="CC24" i="47"/>
  <c r="CU24" i="47"/>
  <c r="W25" i="47"/>
  <c r="CC25" i="47"/>
  <c r="CU25" i="47"/>
  <c r="W26" i="47"/>
  <c r="CC26" i="47"/>
  <c r="CU26" i="47"/>
  <c r="W27" i="47"/>
  <c r="CC27" i="47"/>
  <c r="CU27" i="47"/>
  <c r="W28" i="47"/>
  <c r="CC28" i="47"/>
  <c r="CU28" i="47"/>
  <c r="W29" i="47"/>
  <c r="CC29" i="47"/>
  <c r="CU29" i="47"/>
  <c r="N32" i="47"/>
  <c r="W32" i="47"/>
  <c r="AZ32" i="47"/>
  <c r="BA32" i="47"/>
  <c r="BB32" i="47"/>
  <c r="BC32" i="47"/>
  <c r="BD32" i="47"/>
  <c r="BE32" i="47"/>
  <c r="CC32" i="47"/>
  <c r="CL32" i="47"/>
  <c r="CU32" i="47"/>
  <c r="N33" i="47"/>
  <c r="W33" i="47"/>
  <c r="AZ33" i="47"/>
  <c r="BA33" i="47"/>
  <c r="BB33" i="47"/>
  <c r="BC33" i="47"/>
  <c r="BD33" i="47"/>
  <c r="BE33" i="47"/>
  <c r="CC33" i="47"/>
  <c r="CL33" i="47"/>
  <c r="CU33" i="47"/>
  <c r="N34" i="47"/>
  <c r="W34" i="47"/>
  <c r="AZ34" i="47"/>
  <c r="BA34" i="47"/>
  <c r="BB34" i="47"/>
  <c r="BC34" i="47"/>
  <c r="BD34" i="47"/>
  <c r="BE34" i="47"/>
  <c r="CC34" i="47"/>
  <c r="CL34" i="47"/>
  <c r="CU34" i="47"/>
  <c r="N35" i="47"/>
  <c r="W35" i="47"/>
  <c r="AZ35" i="47"/>
  <c r="BA35" i="47"/>
  <c r="BB35" i="47"/>
  <c r="BC35" i="47"/>
  <c r="BD35" i="47"/>
  <c r="BE35" i="47"/>
  <c r="CC35" i="47"/>
  <c r="CL35" i="47"/>
  <c r="CU35" i="47"/>
  <c r="N36" i="47"/>
  <c r="W36" i="47"/>
  <c r="AZ36" i="47"/>
  <c r="BA36" i="47"/>
  <c r="BB36" i="47"/>
  <c r="BC36" i="47"/>
  <c r="BD36" i="47"/>
  <c r="BE36" i="47"/>
  <c r="CC36" i="47"/>
  <c r="CL36" i="47"/>
  <c r="CU36" i="47"/>
  <c r="W37" i="47"/>
  <c r="CC37" i="47"/>
  <c r="CU37" i="47"/>
  <c r="L46" i="19"/>
  <c r="L47" i="19"/>
  <c r="L48" i="19"/>
  <c r="W6" i="4"/>
  <c r="CC6" i="4"/>
  <c r="CU6" i="4"/>
  <c r="W7" i="4"/>
  <c r="CC7" i="4"/>
  <c r="CU7" i="4"/>
  <c r="W8" i="4"/>
  <c r="CC8" i="4"/>
  <c r="CU8" i="4"/>
  <c r="W27" i="4"/>
  <c r="AZ27" i="4"/>
  <c r="BA27" i="4"/>
  <c r="BB27" i="4"/>
  <c r="BC27" i="4"/>
  <c r="BD27" i="4"/>
  <c r="BE27" i="4"/>
  <c r="CC27" i="4"/>
  <c r="CL27" i="4"/>
  <c r="CU27" i="4"/>
  <c r="AL29" i="11"/>
  <c r="CR29" i="11"/>
  <c r="DJ29" i="11"/>
  <c r="AL30" i="11"/>
  <c r="CR30" i="11"/>
  <c r="DJ30" i="11"/>
  <c r="AL31" i="11"/>
  <c r="CR31" i="11"/>
  <c r="DJ31" i="11"/>
  <c r="AL32" i="11"/>
  <c r="CR32" i="11"/>
  <c r="DJ32" i="11"/>
  <c r="AL33" i="11"/>
  <c r="CR33" i="11"/>
  <c r="DJ33" i="11"/>
  <c r="AL34" i="11"/>
  <c r="CR34" i="11"/>
  <c r="DJ34" i="11"/>
  <c r="AL35" i="11"/>
  <c r="CR35" i="11"/>
  <c r="DJ35" i="11"/>
  <c r="AL36" i="11"/>
  <c r="CR36" i="11"/>
  <c r="DJ36" i="11"/>
  <c r="AL37" i="11"/>
  <c r="CR37" i="11"/>
  <c r="DJ37" i="11"/>
  <c r="W9" i="4"/>
  <c r="CC9" i="4"/>
  <c r="CU9" i="4"/>
  <c r="W10" i="4"/>
  <c r="CC10" i="4"/>
  <c r="CU10" i="4"/>
  <c r="W13" i="4"/>
  <c r="CC13" i="4"/>
  <c r="CU13" i="4"/>
  <c r="W14" i="4"/>
  <c r="CC14" i="4"/>
  <c r="CU14" i="4"/>
  <c r="W11" i="4"/>
  <c r="CC11" i="4"/>
  <c r="CU11" i="4"/>
  <c r="W15" i="4"/>
  <c r="CC15" i="4"/>
  <c r="CU15" i="4"/>
  <c r="W17" i="4"/>
  <c r="CC17" i="4"/>
  <c r="CU17" i="4"/>
  <c r="W18" i="4"/>
  <c r="CC18" i="4"/>
  <c r="CU18" i="4"/>
  <c r="W19" i="4"/>
  <c r="CC19" i="4"/>
  <c r="CU19" i="4"/>
  <c r="W20" i="4"/>
  <c r="CC20" i="4"/>
  <c r="CU20" i="4"/>
  <c r="W21" i="4"/>
  <c r="CC21" i="4"/>
  <c r="CU21" i="4"/>
  <c r="W22" i="4"/>
  <c r="CC22" i="4"/>
  <c r="CU22" i="4"/>
  <c r="W23" i="4"/>
  <c r="CC23" i="4"/>
  <c r="CU23" i="4"/>
  <c r="W24" i="4"/>
  <c r="CC24" i="4"/>
  <c r="CU24" i="4"/>
  <c r="W25" i="4"/>
  <c r="CC25" i="4"/>
  <c r="CU25" i="4"/>
  <c r="W26" i="4"/>
  <c r="CC26" i="4"/>
  <c r="CU26" i="4"/>
  <c r="W28" i="4"/>
  <c r="AZ28" i="4"/>
  <c r="BA28" i="4"/>
  <c r="BB28" i="4"/>
  <c r="BC28" i="4"/>
  <c r="BD28" i="4"/>
  <c r="BE28" i="4"/>
  <c r="CC28" i="4"/>
  <c r="CL28" i="4"/>
  <c r="CU28" i="4"/>
  <c r="W29" i="4"/>
  <c r="AZ29" i="4"/>
  <c r="BA29" i="4"/>
  <c r="BB29" i="4"/>
  <c r="BC29" i="4"/>
  <c r="BD29" i="4"/>
  <c r="BE29" i="4"/>
  <c r="CC29" i="4"/>
  <c r="CL29" i="4"/>
  <c r="CU29" i="4"/>
  <c r="W30" i="4"/>
  <c r="AZ30" i="4"/>
  <c r="BA30" i="4"/>
  <c r="BB30" i="4"/>
  <c r="BC30" i="4"/>
  <c r="BD30" i="4"/>
  <c r="BE30" i="4"/>
  <c r="CC30" i="4"/>
  <c r="CL30" i="4"/>
  <c r="CU30" i="4"/>
  <c r="W32" i="4"/>
  <c r="CC32" i="4"/>
  <c r="CU32" i="4"/>
  <c r="W6" i="5"/>
  <c r="CC6" i="5"/>
  <c r="CU6" i="5"/>
  <c r="W7" i="5"/>
  <c r="CC7" i="5"/>
  <c r="CU7" i="5"/>
  <c r="W8" i="5"/>
  <c r="CC8" i="5"/>
  <c r="CU8" i="5"/>
  <c r="W9" i="5"/>
  <c r="CC9" i="5"/>
  <c r="CU9" i="5"/>
  <c r="W10" i="5"/>
  <c r="CC10" i="5"/>
  <c r="CU10" i="5"/>
  <c r="W11" i="5"/>
  <c r="CC11" i="5"/>
  <c r="CU11" i="5"/>
  <c r="W12" i="5"/>
  <c r="CC12" i="5"/>
  <c r="CU12" i="5"/>
  <c r="W13" i="5"/>
  <c r="CC13" i="5"/>
  <c r="CU13" i="5"/>
  <c r="W14" i="5"/>
  <c r="CC14" i="5"/>
  <c r="CU14" i="5"/>
  <c r="W15" i="5"/>
  <c r="CC15" i="5"/>
  <c r="CU15" i="5"/>
  <c r="W16" i="5"/>
  <c r="CC16" i="5"/>
  <c r="CU16" i="5"/>
  <c r="W17" i="5"/>
  <c r="CC17" i="5"/>
  <c r="CU17" i="5"/>
  <c r="AL26" i="6"/>
  <c r="CR26" i="6"/>
  <c r="DJ26" i="6"/>
  <c r="AL27" i="6"/>
  <c r="CR27" i="6"/>
  <c r="DJ27" i="6"/>
  <c r="AL28" i="6"/>
  <c r="CR28" i="6"/>
  <c r="DJ28" i="6"/>
  <c r="AL29" i="6"/>
  <c r="CR29" i="6"/>
  <c r="DJ29" i="6"/>
  <c r="AL30" i="6"/>
  <c r="CR30" i="6"/>
  <c r="DJ30" i="6"/>
  <c r="AL31" i="6"/>
  <c r="CR31" i="6"/>
  <c r="DJ31" i="6"/>
  <c r="AL32" i="6"/>
  <c r="CR32" i="6"/>
  <c r="DJ32" i="6"/>
  <c r="AL33" i="6"/>
  <c r="CR33" i="6"/>
  <c r="DJ33" i="6"/>
  <c r="AL34" i="6"/>
  <c r="CR34" i="6"/>
  <c r="DJ34" i="6"/>
  <c r="AL35" i="6"/>
  <c r="CR35" i="6"/>
  <c r="DJ35" i="6"/>
  <c r="AL36" i="6"/>
  <c r="CR36" i="6"/>
  <c r="DJ36" i="6"/>
  <c r="AL37" i="6"/>
  <c r="CR37" i="6"/>
  <c r="DJ37" i="6"/>
  <c r="AL38" i="6"/>
  <c r="CR38" i="6"/>
  <c r="DJ38" i="6"/>
  <c r="W6" i="40"/>
  <c r="CC6" i="40"/>
  <c r="CU6" i="40"/>
  <c r="W7" i="40"/>
  <c r="CC7" i="40"/>
  <c r="CU7" i="40"/>
  <c r="W8" i="40"/>
  <c r="CC8" i="40"/>
  <c r="CU8" i="40"/>
  <c r="W9" i="40"/>
  <c r="CC9" i="40"/>
  <c r="CU9" i="40"/>
  <c r="W10" i="40"/>
  <c r="CC10" i="40"/>
  <c r="CU10" i="40"/>
  <c r="W11" i="40"/>
  <c r="CC11" i="40"/>
  <c r="CU11" i="40"/>
  <c r="W12" i="40"/>
  <c r="CC12" i="40"/>
  <c r="CU12" i="40"/>
  <c r="W6" i="9"/>
  <c r="CC6" i="9"/>
  <c r="CU6" i="9"/>
  <c r="W7" i="9"/>
  <c r="CC7" i="9"/>
  <c r="CU7" i="9"/>
  <c r="W8" i="9"/>
  <c r="CC8" i="9"/>
  <c r="CU8" i="9"/>
  <c r="W9" i="9"/>
  <c r="CC9" i="9"/>
  <c r="CU9" i="9"/>
  <c r="W10" i="55"/>
  <c r="AF10" i="55"/>
  <c r="AO10" i="55"/>
  <c r="AX10" i="55"/>
  <c r="BG10" i="55"/>
  <c r="W11" i="55"/>
  <c r="AF11" i="55"/>
  <c r="AO11" i="55"/>
  <c r="AX11" i="55"/>
  <c r="BG11" i="55"/>
  <c r="W12" i="55"/>
  <c r="AF12" i="55"/>
  <c r="AO12" i="55"/>
  <c r="AX12" i="55"/>
  <c r="BG12" i="55"/>
  <c r="W13" i="55"/>
  <c r="AF13" i="55"/>
  <c r="AO13" i="55"/>
  <c r="AX13" i="55"/>
  <c r="BG13" i="55"/>
  <c r="L127" i="19"/>
  <c r="L128" i="19"/>
  <c r="L132" i="19"/>
  <c r="L130" i="19"/>
  <c r="L65" i="19"/>
  <c r="AV28" i="54"/>
  <c r="BF28" i="54"/>
  <c r="AV29" i="54"/>
  <c r="BF29" i="54"/>
  <c r="AV30" i="54"/>
  <c r="BF30" i="54"/>
  <c r="BF31" i="54"/>
  <c r="BF32" i="54"/>
  <c r="BF27" i="54"/>
  <c r="BM27" i="54"/>
  <c r="L11" i="60"/>
  <c r="V8" i="47"/>
  <c r="CB8" i="47"/>
  <c r="CT8" i="47"/>
  <c r="V15" i="47"/>
  <c r="CB15" i="47"/>
  <c r="CT15" i="47"/>
  <c r="V23" i="47"/>
  <c r="CB23" i="47"/>
  <c r="CT23" i="47"/>
  <c r="M56" i="47"/>
  <c r="M31" i="47"/>
  <c r="V31" i="47"/>
  <c r="AT31" i="47"/>
  <c r="AU31" i="47"/>
  <c r="AV31" i="47"/>
  <c r="AW31" i="47"/>
  <c r="AX31" i="47"/>
  <c r="AY31" i="47"/>
  <c r="CB31" i="47"/>
  <c r="CK31" i="47"/>
  <c r="CT31" i="47"/>
  <c r="V9" i="47"/>
  <c r="CB9" i="47"/>
  <c r="CT9" i="47"/>
  <c r="V10" i="47"/>
  <c r="CB10" i="47"/>
  <c r="CT10" i="47"/>
  <c r="V11" i="47"/>
  <c r="CB11" i="47"/>
  <c r="CT11" i="47"/>
  <c r="V12" i="47"/>
  <c r="CB12" i="47"/>
  <c r="CT12" i="47"/>
  <c r="V13" i="47"/>
  <c r="CB13" i="47"/>
  <c r="CT13" i="47"/>
  <c r="V16" i="47"/>
  <c r="CB16" i="47"/>
  <c r="CT16" i="47"/>
  <c r="V17" i="47"/>
  <c r="CB17" i="47"/>
  <c r="CT17" i="47"/>
  <c r="V18" i="47"/>
  <c r="CB18" i="47"/>
  <c r="CT18" i="47"/>
  <c r="V19" i="47"/>
  <c r="CB19" i="47"/>
  <c r="CT19" i="47"/>
  <c r="V20" i="47"/>
  <c r="CB20" i="47"/>
  <c r="CT20" i="47"/>
  <c r="V21" i="47"/>
  <c r="CB21" i="47"/>
  <c r="CT21" i="47"/>
  <c r="V24" i="47"/>
  <c r="CB24" i="47"/>
  <c r="CT24" i="47"/>
  <c r="V25" i="47"/>
  <c r="CB25" i="47"/>
  <c r="CT25" i="47"/>
  <c r="V26" i="47"/>
  <c r="CB26" i="47"/>
  <c r="CT26" i="47"/>
  <c r="V27" i="47"/>
  <c r="CB27" i="47"/>
  <c r="CT27" i="47"/>
  <c r="V28" i="47"/>
  <c r="CB28" i="47"/>
  <c r="CT28" i="47"/>
  <c r="V29" i="47"/>
  <c r="CB29" i="47"/>
  <c r="CT29" i="47"/>
  <c r="M32" i="47"/>
  <c r="V32" i="47"/>
  <c r="AT32" i="47"/>
  <c r="AU32" i="47"/>
  <c r="AV32" i="47"/>
  <c r="AW32" i="47"/>
  <c r="AX32" i="47"/>
  <c r="AY32" i="47"/>
  <c r="CB32" i="47"/>
  <c r="CK32" i="47"/>
  <c r="CT32" i="47"/>
  <c r="M33" i="47"/>
  <c r="V33" i="47"/>
  <c r="AT33" i="47"/>
  <c r="AU33" i="47"/>
  <c r="AV33" i="47"/>
  <c r="AW33" i="47"/>
  <c r="AX33" i="47"/>
  <c r="AY33" i="47"/>
  <c r="CB33" i="47"/>
  <c r="CK33" i="47"/>
  <c r="CT33" i="47"/>
  <c r="M34" i="47"/>
  <c r="V34" i="47"/>
  <c r="AT34" i="47"/>
  <c r="AU34" i="47"/>
  <c r="AV34" i="47"/>
  <c r="AW34" i="47"/>
  <c r="AX34" i="47"/>
  <c r="AY34" i="47"/>
  <c r="CB34" i="47"/>
  <c r="CK34" i="47"/>
  <c r="CT34" i="47"/>
  <c r="M35" i="47"/>
  <c r="V35" i="47"/>
  <c r="AT35" i="47"/>
  <c r="AU35" i="47"/>
  <c r="AV35" i="47"/>
  <c r="AW35" i="47"/>
  <c r="AX35" i="47"/>
  <c r="AY35" i="47"/>
  <c r="CB35" i="47"/>
  <c r="CK35" i="47"/>
  <c r="CT35" i="47"/>
  <c r="M36" i="47"/>
  <c r="V36" i="47"/>
  <c r="AT36" i="47"/>
  <c r="AU36" i="47"/>
  <c r="AV36" i="47"/>
  <c r="AW36" i="47"/>
  <c r="AX36" i="47"/>
  <c r="AY36" i="47"/>
  <c r="CB36" i="47"/>
  <c r="CK36" i="47"/>
  <c r="CT36" i="47"/>
  <c r="V37" i="47"/>
  <c r="CB37" i="47"/>
  <c r="CT37" i="47"/>
  <c r="G37" i="61"/>
  <c r="K46" i="19"/>
  <c r="G38" i="61"/>
  <c r="K47" i="19"/>
  <c r="K48" i="19"/>
  <c r="V6" i="4"/>
  <c r="CB6" i="4"/>
  <c r="CT6" i="4"/>
  <c r="V7" i="4"/>
  <c r="CB7" i="4"/>
  <c r="CT7" i="4"/>
  <c r="V8" i="4"/>
  <c r="CB8" i="4"/>
  <c r="CT8" i="4"/>
  <c r="V27" i="4"/>
  <c r="AT27" i="4"/>
  <c r="AU27" i="4"/>
  <c r="AV27" i="4"/>
  <c r="AW27" i="4"/>
  <c r="AX27" i="4"/>
  <c r="AY27" i="4"/>
  <c r="CB27" i="4"/>
  <c r="CK27" i="4"/>
  <c r="CT27" i="4"/>
  <c r="AK29" i="11"/>
  <c r="CQ29" i="11"/>
  <c r="DI29" i="11"/>
  <c r="AK30" i="11"/>
  <c r="CQ30" i="11"/>
  <c r="DI30" i="11"/>
  <c r="AK31" i="11"/>
  <c r="CQ31" i="11"/>
  <c r="DI31" i="11"/>
  <c r="AK32" i="11"/>
  <c r="CQ32" i="11"/>
  <c r="DI32" i="11"/>
  <c r="AK33" i="11"/>
  <c r="CQ33" i="11"/>
  <c r="DI33" i="11"/>
  <c r="AK34" i="11"/>
  <c r="CQ34" i="11"/>
  <c r="DI34" i="11"/>
  <c r="AK35" i="11"/>
  <c r="CQ35" i="11"/>
  <c r="DI35" i="11"/>
  <c r="AK36" i="11"/>
  <c r="CQ36" i="11"/>
  <c r="DI36" i="11"/>
  <c r="AK37" i="11"/>
  <c r="CQ37" i="11"/>
  <c r="DI37" i="11"/>
  <c r="V9" i="4"/>
  <c r="CB9" i="4"/>
  <c r="CT9" i="4"/>
  <c r="V10" i="4"/>
  <c r="CB10" i="4"/>
  <c r="CT10" i="4"/>
  <c r="V13" i="4"/>
  <c r="CB13" i="4"/>
  <c r="CT13" i="4"/>
  <c r="V14" i="4"/>
  <c r="CB14" i="4"/>
  <c r="CT14" i="4"/>
  <c r="V11" i="4"/>
  <c r="CB11" i="4"/>
  <c r="CT11" i="4"/>
  <c r="V15" i="4"/>
  <c r="CB15" i="4"/>
  <c r="CT15" i="4"/>
  <c r="V17" i="4"/>
  <c r="CB17" i="4"/>
  <c r="CT17" i="4"/>
  <c r="V18" i="4"/>
  <c r="CB18" i="4"/>
  <c r="CT18" i="4"/>
  <c r="V19" i="4"/>
  <c r="CB19" i="4"/>
  <c r="CT19" i="4"/>
  <c r="V20" i="4"/>
  <c r="CB20" i="4"/>
  <c r="CT20" i="4"/>
  <c r="V21" i="4"/>
  <c r="CB21" i="4"/>
  <c r="CT21" i="4"/>
  <c r="V22" i="4"/>
  <c r="CB22" i="4"/>
  <c r="CT22" i="4"/>
  <c r="V23" i="4"/>
  <c r="CB23" i="4"/>
  <c r="CT23" i="4"/>
  <c r="V24" i="4"/>
  <c r="CB24" i="4"/>
  <c r="CT24" i="4"/>
  <c r="V25" i="4"/>
  <c r="CB25" i="4"/>
  <c r="CT25" i="4"/>
  <c r="V26" i="4"/>
  <c r="CB26" i="4"/>
  <c r="CT26" i="4"/>
  <c r="V28" i="4"/>
  <c r="AT28" i="4"/>
  <c r="AU28" i="4"/>
  <c r="AV28" i="4"/>
  <c r="AW28" i="4"/>
  <c r="AX28" i="4"/>
  <c r="AY28" i="4"/>
  <c r="CB28" i="4"/>
  <c r="CK28" i="4"/>
  <c r="CT28" i="4"/>
  <c r="V29" i="4"/>
  <c r="AT29" i="4"/>
  <c r="AU29" i="4"/>
  <c r="AV29" i="4"/>
  <c r="AW29" i="4"/>
  <c r="AX29" i="4"/>
  <c r="AY29" i="4"/>
  <c r="CB29" i="4"/>
  <c r="CK29" i="4"/>
  <c r="CT29" i="4"/>
  <c r="V30" i="4"/>
  <c r="AT30" i="4"/>
  <c r="AU30" i="4"/>
  <c r="AV30" i="4"/>
  <c r="AW30" i="4"/>
  <c r="AX30" i="4"/>
  <c r="AY30" i="4"/>
  <c r="CB30" i="4"/>
  <c r="CK30" i="4"/>
  <c r="CT30" i="4"/>
  <c r="V32" i="4"/>
  <c r="CB32" i="4"/>
  <c r="CT32" i="4"/>
  <c r="V6" i="5"/>
  <c r="CB6" i="5"/>
  <c r="CT6" i="5"/>
  <c r="V7" i="5"/>
  <c r="CB7" i="5"/>
  <c r="CT7" i="5"/>
  <c r="V8" i="5"/>
  <c r="CB8" i="5"/>
  <c r="CT8" i="5"/>
  <c r="V9" i="5"/>
  <c r="CB9" i="5"/>
  <c r="CT9" i="5"/>
  <c r="V10" i="5"/>
  <c r="CB10" i="5"/>
  <c r="CT10" i="5"/>
  <c r="V11" i="5"/>
  <c r="CB11" i="5"/>
  <c r="CT11" i="5"/>
  <c r="V12" i="5"/>
  <c r="CB12" i="5"/>
  <c r="CT12" i="5"/>
  <c r="V13" i="5"/>
  <c r="CB13" i="5"/>
  <c r="CT13" i="5"/>
  <c r="V14" i="5"/>
  <c r="CB14" i="5"/>
  <c r="CT14" i="5"/>
  <c r="V15" i="5"/>
  <c r="CB15" i="5"/>
  <c r="CT15" i="5"/>
  <c r="V16" i="5"/>
  <c r="CB16" i="5"/>
  <c r="CT16" i="5"/>
  <c r="V17" i="5"/>
  <c r="CB17" i="5"/>
  <c r="CT17" i="5"/>
  <c r="AK26" i="6"/>
  <c r="CQ26" i="6"/>
  <c r="DI26" i="6"/>
  <c r="AK27" i="6"/>
  <c r="CQ27" i="6"/>
  <c r="DI27" i="6"/>
  <c r="AK28" i="6"/>
  <c r="CQ28" i="6"/>
  <c r="DI28" i="6"/>
  <c r="AK29" i="6"/>
  <c r="CQ29" i="6"/>
  <c r="DI29" i="6"/>
  <c r="AK30" i="6"/>
  <c r="CQ30" i="6"/>
  <c r="DI30" i="6"/>
  <c r="AK31" i="6"/>
  <c r="CQ31" i="6"/>
  <c r="DI31" i="6"/>
  <c r="AK32" i="6"/>
  <c r="CQ32" i="6"/>
  <c r="DI32" i="6"/>
  <c r="AK33" i="6"/>
  <c r="CQ33" i="6"/>
  <c r="DI33" i="6"/>
  <c r="AK34" i="6"/>
  <c r="CQ34" i="6"/>
  <c r="DI34" i="6"/>
  <c r="AK35" i="6"/>
  <c r="CQ35" i="6"/>
  <c r="DI35" i="6"/>
  <c r="AK36" i="6"/>
  <c r="CQ36" i="6"/>
  <c r="DI36" i="6"/>
  <c r="AK37" i="6"/>
  <c r="CQ37" i="6"/>
  <c r="DI37" i="6"/>
  <c r="AK38" i="6"/>
  <c r="CQ38" i="6"/>
  <c r="DI38" i="6"/>
  <c r="V6" i="40"/>
  <c r="CB6" i="40"/>
  <c r="CT6" i="40"/>
  <c r="V7" i="40"/>
  <c r="CB7" i="40"/>
  <c r="CT7" i="40"/>
  <c r="V8" i="40"/>
  <c r="CB8" i="40"/>
  <c r="CT8" i="40"/>
  <c r="V9" i="40"/>
  <c r="CB9" i="40"/>
  <c r="CT9" i="40"/>
  <c r="V10" i="40"/>
  <c r="CB10" i="40"/>
  <c r="CT10" i="40"/>
  <c r="V11" i="40"/>
  <c r="CB11" i="40"/>
  <c r="CT11" i="40"/>
  <c r="V12" i="40"/>
  <c r="CB12" i="40"/>
  <c r="CT12" i="40"/>
  <c r="V6" i="9"/>
  <c r="CB6" i="9"/>
  <c r="CT6" i="9"/>
  <c r="V7" i="9"/>
  <c r="CB7" i="9"/>
  <c r="CT7" i="9"/>
  <c r="V8" i="9"/>
  <c r="CB8" i="9"/>
  <c r="CT8" i="9"/>
  <c r="V9" i="9"/>
  <c r="CB9" i="9"/>
  <c r="CT9" i="9"/>
  <c r="V10" i="55"/>
  <c r="AE10" i="55"/>
  <c r="AN10" i="55"/>
  <c r="AW10" i="55"/>
  <c r="BF10" i="55"/>
  <c r="V11" i="55"/>
  <c r="AE11" i="55"/>
  <c r="AN11" i="55"/>
  <c r="AW11" i="55"/>
  <c r="BF11" i="55"/>
  <c r="V12" i="55"/>
  <c r="AE12" i="55"/>
  <c r="AN12" i="55"/>
  <c r="AW12" i="55"/>
  <c r="BF12" i="55"/>
  <c r="V13" i="55"/>
  <c r="AE13" i="55"/>
  <c r="AN13" i="55"/>
  <c r="AW13" i="55"/>
  <c r="BF13" i="55"/>
  <c r="K127" i="19"/>
  <c r="K128" i="19"/>
  <c r="K132" i="19"/>
  <c r="K130" i="19"/>
  <c r="K65" i="19"/>
  <c r="AU28" i="54"/>
  <c r="BE28" i="54"/>
  <c r="AU29" i="54"/>
  <c r="BE29" i="54"/>
  <c r="AU30" i="54"/>
  <c r="BE30" i="54"/>
  <c r="BE31" i="54"/>
  <c r="BE32" i="54"/>
  <c r="BE27" i="54"/>
  <c r="BL27" i="54"/>
  <c r="K11" i="60"/>
  <c r="BF37" i="13"/>
  <c r="AU34" i="54"/>
  <c r="BE34" i="54"/>
  <c r="BL34" i="54"/>
  <c r="K12" i="60"/>
  <c r="AY23" i="54"/>
  <c r="BI23" i="54"/>
  <c r="AY24" i="54"/>
  <c r="BI24" i="54"/>
  <c r="AY25" i="54"/>
  <c r="BI25" i="54"/>
  <c r="BI26" i="54"/>
  <c r="BI22" i="54"/>
  <c r="BP22" i="54"/>
  <c r="O10" i="60"/>
  <c r="O9" i="60"/>
  <c r="AX23" i="54"/>
  <c r="BH23" i="54"/>
  <c r="AX24" i="54"/>
  <c r="BH24" i="54"/>
  <c r="AX25" i="54"/>
  <c r="BH25" i="54"/>
  <c r="BH26" i="54"/>
  <c r="BH22" i="54"/>
  <c r="BO22" i="54"/>
  <c r="N10" i="60"/>
  <c r="N9" i="60"/>
  <c r="AW23" i="54"/>
  <c r="BG23" i="54"/>
  <c r="AW24" i="54"/>
  <c r="BG24" i="54"/>
  <c r="AW25" i="54"/>
  <c r="BG25" i="54"/>
  <c r="BG26" i="54"/>
  <c r="BG22" i="54"/>
  <c r="BN22" i="54"/>
  <c r="M10" i="60"/>
  <c r="M9" i="60"/>
  <c r="AV23" i="54"/>
  <c r="BF23" i="54"/>
  <c r="AV24" i="54"/>
  <c r="BF24" i="54"/>
  <c r="AV25" i="54"/>
  <c r="BF25" i="54"/>
  <c r="BF26" i="54"/>
  <c r="BF22" i="54"/>
  <c r="BM22" i="54"/>
  <c r="L10" i="60"/>
  <c r="L9" i="60"/>
  <c r="AY19" i="54"/>
  <c r="BI19" i="54"/>
  <c r="AY20" i="54"/>
  <c r="BI20" i="54"/>
  <c r="AY21" i="54"/>
  <c r="BI21" i="54"/>
  <c r="BI18" i="54"/>
  <c r="BP18" i="54"/>
  <c r="O8" i="60"/>
  <c r="AX19" i="54"/>
  <c r="BH19" i="54"/>
  <c r="AX20" i="54"/>
  <c r="BH20" i="54"/>
  <c r="AX21" i="54"/>
  <c r="BH21" i="54"/>
  <c r="BH18" i="54"/>
  <c r="BO18" i="54"/>
  <c r="N8" i="60"/>
  <c r="AW19" i="54"/>
  <c r="BG19" i="54"/>
  <c r="AW20" i="54"/>
  <c r="BG20" i="54"/>
  <c r="AW21" i="54"/>
  <c r="BG21" i="54"/>
  <c r="BG18" i="54"/>
  <c r="BN18" i="54"/>
  <c r="M8" i="60"/>
  <c r="AV19" i="54"/>
  <c r="BF19" i="54"/>
  <c r="AV20" i="54"/>
  <c r="BF20" i="54"/>
  <c r="AV21" i="54"/>
  <c r="BF21" i="54"/>
  <c r="BF18" i="54"/>
  <c r="BM18" i="54"/>
  <c r="L8" i="60"/>
  <c r="AY15" i="54"/>
  <c r="BI15" i="54"/>
  <c r="AY16" i="54"/>
  <c r="BI16" i="54"/>
  <c r="BI14" i="54"/>
  <c r="BP14" i="54"/>
  <c r="O7" i="60"/>
  <c r="AX15" i="54"/>
  <c r="BH15" i="54"/>
  <c r="AX16" i="54"/>
  <c r="BH16" i="54"/>
  <c r="BH14" i="54"/>
  <c r="BO14" i="54"/>
  <c r="N7" i="60"/>
  <c r="AW15" i="54"/>
  <c r="BG15" i="54"/>
  <c r="AW16" i="54"/>
  <c r="BG16" i="54"/>
  <c r="BG14" i="54"/>
  <c r="BN14" i="54"/>
  <c r="M7" i="60"/>
  <c r="AV15" i="54"/>
  <c r="BF15" i="54"/>
  <c r="AV16" i="54"/>
  <c r="BF16" i="54"/>
  <c r="BF14" i="54"/>
  <c r="BM14" i="54"/>
  <c r="L7" i="60"/>
  <c r="AY6" i="54"/>
  <c r="BI6" i="54"/>
  <c r="AY7" i="54"/>
  <c r="BI7" i="54"/>
  <c r="AY8" i="54"/>
  <c r="BI8" i="54"/>
  <c r="BI9" i="54"/>
  <c r="BI5" i="54"/>
  <c r="BP5" i="54"/>
  <c r="AY11" i="54"/>
  <c r="BI11" i="54"/>
  <c r="AY12" i="54"/>
  <c r="BI12" i="54"/>
  <c r="AY13" i="54"/>
  <c r="BI13" i="54"/>
  <c r="BI10" i="54"/>
  <c r="BP10" i="54"/>
  <c r="O6" i="60"/>
  <c r="AX6" i="54"/>
  <c r="BH6" i="54"/>
  <c r="AX7" i="54"/>
  <c r="BH7" i="54"/>
  <c r="AX8" i="54"/>
  <c r="BH8" i="54"/>
  <c r="BH9" i="54"/>
  <c r="BH5" i="54"/>
  <c r="BO5" i="54"/>
  <c r="AX11" i="54"/>
  <c r="BH11" i="54"/>
  <c r="AX12" i="54"/>
  <c r="BH12" i="54"/>
  <c r="AX13" i="54"/>
  <c r="BH13" i="54"/>
  <c r="BH10" i="54"/>
  <c r="BO10" i="54"/>
  <c r="N6" i="60"/>
  <c r="AW6" i="54"/>
  <c r="BG6" i="54"/>
  <c r="AW7" i="54"/>
  <c r="BG7" i="54"/>
  <c r="AW8" i="54"/>
  <c r="BG8" i="54"/>
  <c r="BG9" i="54"/>
  <c r="BG5" i="54"/>
  <c r="BN5" i="54"/>
  <c r="AW11" i="54"/>
  <c r="BG11" i="54"/>
  <c r="AW12" i="54"/>
  <c r="BG12" i="54"/>
  <c r="AW13" i="54"/>
  <c r="BG13" i="54"/>
  <c r="BG10" i="54"/>
  <c r="BN10" i="54"/>
  <c r="M6" i="60"/>
  <c r="AV6" i="54"/>
  <c r="BF6" i="54"/>
  <c r="AV7" i="54"/>
  <c r="BF7" i="54"/>
  <c r="AV8" i="54"/>
  <c r="BF8" i="54"/>
  <c r="BF9" i="54"/>
  <c r="BF5" i="54"/>
  <c r="BM5" i="54"/>
  <c r="AV11" i="54"/>
  <c r="BF11" i="54"/>
  <c r="AV12" i="54"/>
  <c r="BF12" i="54"/>
  <c r="AV13" i="54"/>
  <c r="BF13" i="54"/>
  <c r="BF10" i="54"/>
  <c r="BM10" i="54"/>
  <c r="L6" i="60"/>
  <c r="K10" i="60"/>
  <c r="AU23" i="54"/>
  <c r="BE23" i="54"/>
  <c r="AU24" i="54"/>
  <c r="BE24" i="54"/>
  <c r="AU25" i="54"/>
  <c r="BE25" i="54"/>
  <c r="BE26" i="54"/>
  <c r="BE22" i="54"/>
  <c r="BL22" i="54"/>
  <c r="K9" i="60"/>
  <c r="AU19" i="54"/>
  <c r="BE19" i="54"/>
  <c r="AU20" i="54"/>
  <c r="BE20" i="54"/>
  <c r="AU21" i="54"/>
  <c r="BE21" i="54"/>
  <c r="BE18" i="54"/>
  <c r="BL18" i="54"/>
  <c r="K8" i="60"/>
  <c r="AU15" i="54"/>
  <c r="BE15" i="54"/>
  <c r="AU16" i="54"/>
  <c r="BE16" i="54"/>
  <c r="BE14" i="54"/>
  <c r="BL14" i="54"/>
  <c r="K7" i="60"/>
  <c r="AU6" i="54"/>
  <c r="BE6" i="54"/>
  <c r="AU7" i="54"/>
  <c r="BE7" i="54"/>
  <c r="AU8" i="54"/>
  <c r="BE8" i="54"/>
  <c r="BE9" i="54"/>
  <c r="BE5" i="54"/>
  <c r="BL5" i="54"/>
  <c r="AU11" i="54"/>
  <c r="BE11" i="54"/>
  <c r="AU12" i="54"/>
  <c r="BE12" i="54"/>
  <c r="AU13" i="54"/>
  <c r="BE13" i="54"/>
  <c r="BE10" i="54"/>
  <c r="BL10" i="54"/>
  <c r="K6" i="60"/>
  <c r="J46" i="19"/>
  <c r="J47" i="19"/>
  <c r="J48" i="19"/>
  <c r="I46" i="19"/>
  <c r="I47" i="19"/>
  <c r="I48" i="19"/>
  <c r="E27" i="20"/>
  <c r="E25" i="20"/>
  <c r="AU33" i="52"/>
  <c r="AV33" i="52"/>
  <c r="AW33" i="52"/>
  <c r="AX33" i="52"/>
  <c r="AY33" i="52"/>
  <c r="L10" i="20"/>
  <c r="V42" i="40"/>
  <c r="AT42" i="40"/>
  <c r="AU42" i="40"/>
  <c r="AV42" i="40"/>
  <c r="AW42" i="40"/>
  <c r="AX42" i="40"/>
  <c r="AY42" i="40"/>
  <c r="CB42" i="40"/>
  <c r="CK42" i="40"/>
  <c r="CT42" i="40"/>
  <c r="K17" i="19"/>
  <c r="K26" i="19"/>
  <c r="K32" i="19"/>
  <c r="W42" i="40"/>
  <c r="AZ42" i="40"/>
  <c r="BA42" i="40"/>
  <c r="BB42" i="40"/>
  <c r="BC42" i="40"/>
  <c r="BD42" i="40"/>
  <c r="BE42" i="40"/>
  <c r="CC42" i="40"/>
  <c r="CL42" i="40"/>
  <c r="CU42" i="40"/>
  <c r="L17" i="19"/>
  <c r="L26" i="19"/>
  <c r="L32" i="19"/>
  <c r="X42" i="40"/>
  <c r="BF42" i="40"/>
  <c r="BG42" i="40"/>
  <c r="BH42" i="40"/>
  <c r="BI42" i="40"/>
  <c r="BJ42" i="40"/>
  <c r="BK42" i="40"/>
  <c r="CD42" i="40"/>
  <c r="CM42" i="40"/>
  <c r="CV42" i="40"/>
  <c r="M17" i="19"/>
  <c r="M26" i="19"/>
  <c r="M32" i="19"/>
  <c r="Y42" i="40"/>
  <c r="BL42" i="40"/>
  <c r="BM42" i="40"/>
  <c r="BN42" i="40"/>
  <c r="BO42" i="40"/>
  <c r="BP42" i="40"/>
  <c r="BQ42" i="40"/>
  <c r="CE42" i="40"/>
  <c r="CN42" i="40"/>
  <c r="CW42" i="40"/>
  <c r="N17" i="19"/>
  <c r="N26" i="19"/>
  <c r="N32" i="19"/>
  <c r="Z42" i="40"/>
  <c r="BR42" i="40"/>
  <c r="BS42" i="40"/>
  <c r="BT42" i="40"/>
  <c r="BU42" i="40"/>
  <c r="BV42" i="40"/>
  <c r="BW42" i="40"/>
  <c r="CF42" i="40"/>
  <c r="CO42" i="40"/>
  <c r="CX42" i="40"/>
  <c r="O17" i="19"/>
  <c r="O26" i="19"/>
  <c r="O32" i="19"/>
  <c r="L13" i="20"/>
  <c r="K27" i="19"/>
  <c r="K33" i="19"/>
  <c r="L27" i="19"/>
  <c r="L33" i="19"/>
  <c r="M27" i="19"/>
  <c r="M33" i="19"/>
  <c r="N27" i="19"/>
  <c r="N33" i="19"/>
  <c r="O27" i="19"/>
  <c r="O33" i="19"/>
  <c r="L14" i="20"/>
  <c r="AU32" i="52"/>
  <c r="AV32" i="52"/>
  <c r="AW32" i="52"/>
  <c r="AX32" i="52"/>
  <c r="AY32" i="52"/>
  <c r="L9" i="20"/>
  <c r="AU31" i="52"/>
  <c r="AV31" i="52"/>
  <c r="AW31" i="52"/>
  <c r="AX31" i="52"/>
  <c r="AY31" i="52"/>
  <c r="L11" i="20"/>
  <c r="AU34" i="52"/>
  <c r="AV34" i="52"/>
  <c r="AW34" i="52"/>
  <c r="AX34" i="52"/>
  <c r="AY34" i="52"/>
  <c r="L12" i="20"/>
  <c r="L15" i="20"/>
  <c r="G50" i="61"/>
  <c r="G51" i="61"/>
  <c r="O29" i="23"/>
  <c r="G16" i="20"/>
  <c r="P29" i="23"/>
  <c r="H16" i="20"/>
  <c r="Q29" i="23"/>
  <c r="I16" i="20"/>
  <c r="R29" i="23"/>
  <c r="J16" i="20"/>
  <c r="S29" i="23"/>
  <c r="K16" i="20"/>
  <c r="L16" i="20"/>
  <c r="L18" i="20"/>
  <c r="K15" i="20"/>
  <c r="K18" i="20"/>
  <c r="J15" i="20"/>
  <c r="J18" i="20"/>
  <c r="I15" i="20"/>
  <c r="I18" i="20"/>
  <c r="H15" i="20"/>
  <c r="H18" i="20"/>
  <c r="G15" i="20"/>
  <c r="G18" i="20"/>
  <c r="N67" i="47"/>
  <c r="N61" i="47"/>
  <c r="M61" i="47"/>
  <c r="L61" i="47"/>
  <c r="K61" i="47"/>
  <c r="J61" i="47"/>
  <c r="N60" i="47"/>
  <c r="M60" i="47"/>
  <c r="L60" i="47"/>
  <c r="K60" i="47"/>
  <c r="J60" i="47"/>
  <c r="N59" i="47"/>
  <c r="M59" i="47"/>
  <c r="L59" i="47"/>
  <c r="K59" i="47"/>
  <c r="J59" i="47"/>
  <c r="N58" i="47"/>
  <c r="M58" i="47"/>
  <c r="L58" i="47"/>
  <c r="K58" i="47"/>
  <c r="J58" i="47"/>
  <c r="N57" i="47"/>
  <c r="M57" i="47"/>
  <c r="L57" i="47"/>
  <c r="K57" i="47"/>
  <c r="J57" i="47"/>
  <c r="L56" i="47"/>
  <c r="K56" i="47"/>
  <c r="J56" i="47"/>
  <c r="N55" i="47"/>
  <c r="M55" i="47"/>
  <c r="L55" i="47"/>
  <c r="K55" i="47"/>
  <c r="J55" i="47"/>
  <c r="D61" i="47"/>
  <c r="D60" i="47"/>
  <c r="D59" i="47"/>
  <c r="D58" i="47"/>
  <c r="D57" i="47"/>
  <c r="D56" i="47"/>
  <c r="D55" i="47"/>
  <c r="BF40" i="52"/>
  <c r="BF22" i="52"/>
  <c r="BF21" i="52"/>
  <c r="BE40" i="52"/>
  <c r="BE22" i="52"/>
  <c r="BE21" i="52"/>
  <c r="BF37" i="52"/>
  <c r="BF16" i="52"/>
  <c r="BF38" i="52"/>
  <c r="BF17" i="52"/>
  <c r="BF39" i="52"/>
  <c r="BF18" i="52"/>
  <c r="BF19" i="52"/>
  <c r="BE37" i="52"/>
  <c r="BE16" i="52"/>
  <c r="BE38" i="52"/>
  <c r="BE17" i="52"/>
  <c r="BE39" i="52"/>
  <c r="BE18" i="52"/>
  <c r="BE19" i="52"/>
  <c r="BF11" i="52"/>
  <c r="BF12" i="52"/>
  <c r="BF13" i="52"/>
  <c r="BF14" i="52"/>
  <c r="BE11" i="52"/>
  <c r="BE12" i="52"/>
  <c r="BE13" i="52"/>
  <c r="BE14" i="52"/>
  <c r="BF6" i="52"/>
  <c r="BF7" i="52"/>
  <c r="BF8" i="52"/>
  <c r="BF9" i="52"/>
  <c r="BE6" i="52"/>
  <c r="BE7" i="52"/>
  <c r="BE8" i="52"/>
  <c r="BE9" i="52"/>
  <c r="BP21" i="52"/>
  <c r="AA11" i="23"/>
  <c r="BP22" i="52"/>
  <c r="AA17" i="23"/>
  <c r="BO21" i="52"/>
  <c r="Z11" i="23"/>
  <c r="BO22" i="52"/>
  <c r="Z17" i="23"/>
  <c r="BO24" i="52"/>
  <c r="Z14" i="23"/>
  <c r="BP25" i="52"/>
  <c r="AA13" i="23"/>
  <c r="BO25" i="52"/>
  <c r="Z13" i="23"/>
  <c r="BP16" i="52"/>
  <c r="BP17" i="52"/>
  <c r="BP18" i="52"/>
  <c r="BP19" i="52"/>
  <c r="AA10" i="23"/>
  <c r="BO16" i="52"/>
  <c r="BO17" i="52"/>
  <c r="BO18" i="52"/>
  <c r="BO19" i="52"/>
  <c r="Z10" i="23"/>
  <c r="BP11" i="52"/>
  <c r="BP12" i="52"/>
  <c r="BP13" i="52"/>
  <c r="BP14" i="52"/>
  <c r="AA9" i="23"/>
  <c r="BO11" i="52"/>
  <c r="BO12" i="52"/>
  <c r="BO13" i="52"/>
  <c r="BO14" i="52"/>
  <c r="Z9" i="23"/>
  <c r="BP6" i="52"/>
  <c r="BP7" i="52"/>
  <c r="BP8" i="52"/>
  <c r="BP9" i="52"/>
  <c r="AA8" i="23"/>
  <c r="BO6" i="52"/>
  <c r="BO7" i="52"/>
  <c r="BO8" i="52"/>
  <c r="BO9" i="52"/>
  <c r="Z8" i="23"/>
  <c r="H30" i="60"/>
  <c r="H31" i="60"/>
  <c r="H32" i="60"/>
  <c r="H33" i="60"/>
  <c r="H34" i="60"/>
  <c r="H20" i="60"/>
  <c r="E16" i="20"/>
  <c r="F16" i="20"/>
  <c r="O68" i="47"/>
  <c r="O55" i="47"/>
  <c r="O56" i="47"/>
  <c r="O57" i="47"/>
  <c r="O58" i="47"/>
  <c r="O59" i="47"/>
  <c r="O60" i="47"/>
  <c r="O61" i="47"/>
  <c r="O62" i="47"/>
  <c r="N62" i="47"/>
  <c r="M62" i="47"/>
  <c r="L62" i="47"/>
  <c r="K62" i="47"/>
  <c r="J62" i="47"/>
  <c r="D62" i="47"/>
  <c r="BI40" i="52"/>
  <c r="BI22" i="52"/>
  <c r="BI21" i="52"/>
  <c r="BH40" i="52"/>
  <c r="BH22" i="52"/>
  <c r="BH21" i="52"/>
  <c r="BG40" i="52"/>
  <c r="BG22" i="52"/>
  <c r="BG21" i="52"/>
  <c r="BI37" i="52"/>
  <c r="BI16" i="52"/>
  <c r="BI38" i="52"/>
  <c r="BI17" i="52"/>
  <c r="BI39" i="52"/>
  <c r="BI18" i="52"/>
  <c r="BI19" i="52"/>
  <c r="BH37" i="52"/>
  <c r="BH16" i="52"/>
  <c r="BH38" i="52"/>
  <c r="BH17" i="52"/>
  <c r="BH39" i="52"/>
  <c r="BH18" i="52"/>
  <c r="BH19" i="52"/>
  <c r="BG37" i="52"/>
  <c r="BG16" i="52"/>
  <c r="BG38" i="52"/>
  <c r="BG17" i="52"/>
  <c r="BG39" i="52"/>
  <c r="BG18" i="52"/>
  <c r="BG19" i="52"/>
  <c r="BI11" i="52"/>
  <c r="BI12" i="52"/>
  <c r="BI13" i="52"/>
  <c r="BI14" i="52"/>
  <c r="BH11" i="52"/>
  <c r="BH12" i="52"/>
  <c r="BH13" i="52"/>
  <c r="BH14" i="52"/>
  <c r="BG11" i="52"/>
  <c r="BG12" i="52"/>
  <c r="BG13" i="52"/>
  <c r="BG14" i="52"/>
  <c r="BI6" i="52"/>
  <c r="BI7" i="52"/>
  <c r="BI8" i="52"/>
  <c r="BI9" i="52"/>
  <c r="BH6" i="52"/>
  <c r="BH7" i="52"/>
  <c r="BH8" i="52"/>
  <c r="BH9" i="52"/>
  <c r="BG6" i="52"/>
  <c r="BG7" i="52"/>
  <c r="BG8" i="52"/>
  <c r="BG9" i="52"/>
  <c r="BS21" i="52"/>
  <c r="AD11" i="23"/>
  <c r="BS22" i="52"/>
  <c r="AD17" i="23"/>
  <c r="BR21" i="52"/>
  <c r="AC11" i="23"/>
  <c r="BR22" i="52"/>
  <c r="AC17" i="23"/>
  <c r="BQ21" i="52"/>
  <c r="AB11" i="23"/>
  <c r="BQ22" i="52"/>
  <c r="AB17" i="23"/>
  <c r="BS24" i="52"/>
  <c r="AD15" i="23"/>
  <c r="BS25" i="52"/>
  <c r="AD13" i="23"/>
  <c r="BR25" i="52"/>
  <c r="AC13" i="23"/>
  <c r="BQ25" i="52"/>
  <c r="AB13" i="23"/>
  <c r="BS16" i="52"/>
  <c r="BS17" i="52"/>
  <c r="BS18" i="52"/>
  <c r="BS19" i="52"/>
  <c r="AD10" i="23"/>
  <c r="BR16" i="52"/>
  <c r="BR17" i="52"/>
  <c r="BR18" i="52"/>
  <c r="BR19" i="52"/>
  <c r="AC10" i="23"/>
  <c r="BQ16" i="52"/>
  <c r="BQ17" i="52"/>
  <c r="BQ18" i="52"/>
  <c r="BQ19" i="52"/>
  <c r="AB10" i="23"/>
  <c r="BS11" i="52"/>
  <c r="BS12" i="52"/>
  <c r="BS13" i="52"/>
  <c r="BS14" i="52"/>
  <c r="AD9" i="23"/>
  <c r="BR11" i="52"/>
  <c r="BR12" i="52"/>
  <c r="BR13" i="52"/>
  <c r="BR14" i="52"/>
  <c r="AC9" i="23"/>
  <c r="BQ11" i="52"/>
  <c r="BQ12" i="52"/>
  <c r="BQ13" i="52"/>
  <c r="BQ14" i="52"/>
  <c r="AB9" i="23"/>
  <c r="BS6" i="52"/>
  <c r="BS7" i="52"/>
  <c r="BS8" i="52"/>
  <c r="BS9" i="52"/>
  <c r="AD8" i="23"/>
  <c r="BR6" i="52"/>
  <c r="BR7" i="52"/>
  <c r="BR8" i="52"/>
  <c r="BR9" i="52"/>
  <c r="AC8" i="23"/>
  <c r="BQ6" i="52"/>
  <c r="BQ7" i="52"/>
  <c r="BQ8" i="52"/>
  <c r="BQ9" i="52"/>
  <c r="AB8" i="23"/>
  <c r="J7" i="59"/>
  <c r="K7" i="59"/>
  <c r="L7" i="59"/>
  <c r="M7" i="59"/>
  <c r="N7" i="59"/>
  <c r="O7" i="59"/>
  <c r="J8" i="59"/>
  <c r="K8" i="59"/>
  <c r="L8" i="59"/>
  <c r="M8" i="59"/>
  <c r="N8" i="59"/>
  <c r="O8" i="59"/>
  <c r="J9" i="59"/>
  <c r="K9" i="59"/>
  <c r="L9" i="59"/>
  <c r="M9" i="59"/>
  <c r="N9" i="59"/>
  <c r="O9" i="59"/>
  <c r="J10" i="59"/>
  <c r="K10" i="59"/>
  <c r="L10" i="59"/>
  <c r="M10" i="59"/>
  <c r="N10" i="59"/>
  <c r="O10" i="59"/>
  <c r="BE48" i="47"/>
  <c r="AS48" i="47"/>
  <c r="U12" i="47"/>
  <c r="CA12" i="47"/>
  <c r="CS12" i="47"/>
  <c r="U19" i="47"/>
  <c r="CA19" i="47"/>
  <c r="CS19" i="47"/>
  <c r="U27" i="47"/>
  <c r="CA27" i="47"/>
  <c r="CS27" i="47"/>
  <c r="U35" i="47"/>
  <c r="CA35" i="47"/>
  <c r="CS35" i="47"/>
  <c r="F35" i="53"/>
  <c r="U21" i="47"/>
  <c r="CA21" i="47"/>
  <c r="CS21" i="47"/>
  <c r="U29" i="47"/>
  <c r="CA29" i="47"/>
  <c r="CS29" i="47"/>
  <c r="U37" i="47"/>
  <c r="CA37" i="47"/>
  <c r="CS37" i="47"/>
  <c r="N13" i="59"/>
  <c r="N11" i="59"/>
  <c r="N12" i="59"/>
  <c r="N14" i="59"/>
  <c r="O48" i="60"/>
  <c r="O49" i="60"/>
  <c r="N15" i="59"/>
  <c r="M13" i="59"/>
  <c r="M11" i="59"/>
  <c r="M12" i="59"/>
  <c r="M14" i="59"/>
  <c r="N48" i="60"/>
  <c r="N49" i="60"/>
  <c r="M15" i="59"/>
  <c r="L13" i="59"/>
  <c r="L11" i="59"/>
  <c r="L12" i="59"/>
  <c r="L14" i="59"/>
  <c r="M48" i="60"/>
  <c r="M49" i="60"/>
  <c r="L15" i="59"/>
  <c r="T27" i="4"/>
  <c r="BZ27" i="4"/>
  <c r="CR27" i="4"/>
  <c r="T28" i="4"/>
  <c r="BZ28" i="4"/>
  <c r="CR28" i="4"/>
  <c r="T29" i="4"/>
  <c r="BZ29" i="4"/>
  <c r="CR29" i="4"/>
  <c r="T30" i="4"/>
  <c r="BZ30" i="4"/>
  <c r="CR30" i="4"/>
  <c r="H13" i="59"/>
  <c r="H14" i="59"/>
  <c r="H15" i="59"/>
  <c r="G12" i="59"/>
  <c r="G14" i="59"/>
  <c r="H100" i="60"/>
  <c r="H101" i="60"/>
  <c r="H105" i="60"/>
  <c r="G15" i="59"/>
  <c r="F7" i="59"/>
  <c r="F8" i="59"/>
  <c r="F9" i="59"/>
  <c r="F12" i="59"/>
  <c r="F14" i="59"/>
  <c r="F15" i="59"/>
  <c r="E7" i="59"/>
  <c r="E8" i="59"/>
  <c r="E9" i="59"/>
  <c r="E12" i="59"/>
  <c r="E14" i="59"/>
  <c r="F100" i="60"/>
  <c r="F101" i="60"/>
  <c r="F104" i="60"/>
  <c r="F105" i="60"/>
  <c r="E15" i="59"/>
  <c r="J113" i="60"/>
  <c r="I113" i="60"/>
  <c r="E42" i="20"/>
  <c r="H16" i="19"/>
  <c r="W113" i="60"/>
  <c r="H113" i="60"/>
  <c r="I111" i="60"/>
  <c r="H111" i="60"/>
  <c r="G108" i="60"/>
  <c r="G111" i="60"/>
  <c r="F108" i="60"/>
  <c r="F111" i="60"/>
  <c r="J12" i="28"/>
  <c r="J17" i="28"/>
  <c r="D2" i="60"/>
  <c r="D108" i="60"/>
  <c r="D109" i="60"/>
  <c r="D110" i="60"/>
  <c r="D111" i="60"/>
  <c r="J111" i="60"/>
  <c r="J110" i="60"/>
  <c r="I110" i="60"/>
  <c r="H110" i="60"/>
  <c r="G110" i="60"/>
  <c r="F110" i="60"/>
  <c r="E110" i="60"/>
  <c r="J109" i="60"/>
  <c r="I109" i="60"/>
  <c r="H109" i="60"/>
  <c r="G109" i="60"/>
  <c r="F109" i="60"/>
  <c r="E109" i="60"/>
  <c r="J108" i="60"/>
  <c r="I108" i="60"/>
  <c r="H108" i="60"/>
  <c r="J13" i="59"/>
  <c r="K13" i="59"/>
  <c r="O13" i="59"/>
  <c r="U27" i="4"/>
  <c r="CA27" i="4"/>
  <c r="CS27" i="4"/>
  <c r="U28" i="4"/>
  <c r="CA28" i="4"/>
  <c r="CS28" i="4"/>
  <c r="U29" i="4"/>
  <c r="CA29" i="4"/>
  <c r="CS29" i="4"/>
  <c r="U30" i="4"/>
  <c r="CA30" i="4"/>
  <c r="CS30" i="4"/>
  <c r="I13" i="59"/>
  <c r="P13" i="59"/>
  <c r="P10" i="59"/>
  <c r="D8" i="59"/>
  <c r="P8" i="59"/>
  <c r="D7" i="59"/>
  <c r="P7" i="59"/>
  <c r="O6" i="59"/>
  <c r="J3" i="59"/>
  <c r="D3" i="59"/>
  <c r="E3" i="59"/>
  <c r="F3" i="59"/>
  <c r="G3" i="59"/>
  <c r="H3" i="59"/>
  <c r="I3" i="59"/>
  <c r="D9" i="59"/>
  <c r="E31" i="59"/>
  <c r="F31" i="59"/>
  <c r="G31" i="59"/>
  <c r="H31" i="59"/>
  <c r="I31" i="59"/>
  <c r="L31" i="59"/>
  <c r="M31" i="59"/>
  <c r="N31" i="59"/>
  <c r="E32" i="59"/>
  <c r="F32" i="59"/>
  <c r="G32" i="59"/>
  <c r="H32" i="59"/>
  <c r="I32" i="59"/>
  <c r="L32" i="59"/>
  <c r="M32" i="59"/>
  <c r="N32" i="59"/>
  <c r="D33" i="59"/>
  <c r="E33" i="59"/>
  <c r="F33" i="59"/>
  <c r="G33" i="59"/>
  <c r="H33" i="59"/>
  <c r="I33" i="59"/>
  <c r="J33" i="59"/>
  <c r="K33" i="59"/>
  <c r="O33" i="59"/>
  <c r="D34" i="59"/>
  <c r="E34" i="59"/>
  <c r="F34" i="59"/>
  <c r="G34" i="59"/>
  <c r="H34" i="59"/>
  <c r="I34" i="59"/>
  <c r="D35" i="59"/>
  <c r="E35" i="59"/>
  <c r="F35" i="59"/>
  <c r="G35" i="59"/>
  <c r="H35" i="59"/>
  <c r="I35" i="59"/>
  <c r="L35" i="59"/>
  <c r="M35" i="59"/>
  <c r="N35" i="59"/>
  <c r="F33" i="53"/>
  <c r="F36" i="53"/>
  <c r="P36" i="53"/>
  <c r="U13" i="47"/>
  <c r="CA13" i="47"/>
  <c r="CS13" i="47"/>
  <c r="U20" i="47"/>
  <c r="CA20" i="47"/>
  <c r="CS20" i="47"/>
  <c r="U28" i="47"/>
  <c r="CA28" i="47"/>
  <c r="CS28" i="47"/>
  <c r="U36" i="47"/>
  <c r="CA36" i="47"/>
  <c r="CS36" i="47"/>
  <c r="BD31" i="54"/>
  <c r="F42" i="53"/>
  <c r="K45" i="53"/>
  <c r="J45" i="53"/>
  <c r="I45" i="53"/>
  <c r="I19" i="59"/>
  <c r="J19" i="59"/>
  <c r="K19" i="59"/>
  <c r="L19" i="59"/>
  <c r="M19" i="59"/>
  <c r="N19" i="59"/>
  <c r="I20" i="59"/>
  <c r="J20" i="59"/>
  <c r="K20" i="59"/>
  <c r="L20" i="59"/>
  <c r="M20" i="59"/>
  <c r="N20" i="59"/>
  <c r="I21" i="59"/>
  <c r="J21" i="59"/>
  <c r="K21" i="59"/>
  <c r="L21" i="59"/>
  <c r="M21" i="59"/>
  <c r="N21" i="59"/>
  <c r="I22" i="59"/>
  <c r="J22" i="59"/>
  <c r="K22" i="59"/>
  <c r="L22" i="59"/>
  <c r="M22" i="59"/>
  <c r="N22" i="59"/>
  <c r="K23" i="59"/>
  <c r="L23" i="59"/>
  <c r="M23" i="59"/>
  <c r="M24" i="59"/>
  <c r="L24" i="59"/>
  <c r="K24" i="59"/>
  <c r="H19" i="59"/>
  <c r="H20" i="59"/>
  <c r="H22" i="59"/>
  <c r="G19" i="59"/>
  <c r="G20" i="59"/>
  <c r="G21" i="59"/>
  <c r="G22" i="59"/>
  <c r="G23" i="59"/>
  <c r="G24" i="59"/>
  <c r="F19" i="59"/>
  <c r="F20" i="59"/>
  <c r="F21" i="59"/>
  <c r="F22" i="59"/>
  <c r="F23" i="59"/>
  <c r="F24" i="59"/>
  <c r="E19" i="59"/>
  <c r="E20" i="59"/>
  <c r="E21" i="59"/>
  <c r="E22" i="59"/>
  <c r="E23" i="59"/>
  <c r="E24" i="59"/>
  <c r="D19" i="59"/>
  <c r="D20" i="59"/>
  <c r="D21" i="59"/>
  <c r="D22" i="59"/>
  <c r="D23" i="59"/>
  <c r="D24" i="59"/>
  <c r="F44" i="59"/>
  <c r="F42" i="59"/>
  <c r="F43" i="59"/>
  <c r="F45" i="59"/>
  <c r="F46" i="59"/>
  <c r="F47" i="59"/>
  <c r="F48" i="59"/>
  <c r="E44" i="59"/>
  <c r="E42" i="59"/>
  <c r="E43" i="59"/>
  <c r="E45" i="59"/>
  <c r="E46" i="59"/>
  <c r="E47" i="59"/>
  <c r="E48" i="59"/>
  <c r="D44" i="59"/>
  <c r="D45" i="59"/>
  <c r="D46" i="59"/>
  <c r="F36" i="59"/>
  <c r="E36" i="59"/>
  <c r="F37" i="59"/>
  <c r="E37" i="59"/>
  <c r="D12" i="59"/>
  <c r="D25" i="59"/>
  <c r="D26" i="59"/>
  <c r="F26" i="59"/>
  <c r="E25" i="59"/>
  <c r="E26" i="59"/>
  <c r="J104" i="60"/>
  <c r="I104" i="60"/>
  <c r="I103" i="60"/>
  <c r="G103" i="60"/>
  <c r="Y105" i="60"/>
  <c r="X105" i="60"/>
  <c r="W105" i="60"/>
  <c r="V105" i="60"/>
  <c r="E101" i="60"/>
  <c r="D32" i="59"/>
  <c r="D43" i="59"/>
  <c r="T105" i="60"/>
  <c r="T49" i="60"/>
  <c r="S105" i="60"/>
  <c r="J100" i="60"/>
  <c r="J101" i="60"/>
  <c r="J102" i="60"/>
  <c r="J105" i="60"/>
  <c r="I100" i="60"/>
  <c r="I101" i="60"/>
  <c r="I102" i="60"/>
  <c r="I105" i="60"/>
  <c r="H102" i="60"/>
  <c r="H104" i="60"/>
  <c r="G101" i="60"/>
  <c r="G100" i="60"/>
  <c r="G102" i="60"/>
  <c r="G104" i="60"/>
  <c r="G105" i="60"/>
  <c r="E100" i="60"/>
  <c r="E105" i="60"/>
  <c r="D14" i="59"/>
  <c r="D15" i="59"/>
  <c r="D100" i="60"/>
  <c r="D101" i="60"/>
  <c r="D102" i="60"/>
  <c r="D103" i="60"/>
  <c r="D104" i="60"/>
  <c r="D105" i="60"/>
  <c r="F103" i="60"/>
  <c r="E104" i="60"/>
  <c r="J103" i="60"/>
  <c r="H103" i="60"/>
  <c r="E103" i="60"/>
  <c r="F2" i="60"/>
  <c r="J2" i="60"/>
  <c r="I2" i="60"/>
  <c r="H2" i="60"/>
  <c r="G2" i="60"/>
  <c r="F102" i="60"/>
  <c r="E2" i="60"/>
  <c r="E102" i="60"/>
  <c r="G44" i="59"/>
  <c r="H44" i="59"/>
  <c r="I44" i="59"/>
  <c r="J44" i="59"/>
  <c r="K44" i="59"/>
  <c r="L44" i="59"/>
  <c r="M44" i="59"/>
  <c r="N44" i="59"/>
  <c r="Y34" i="60"/>
  <c r="Y59" i="60"/>
  <c r="X34" i="60"/>
  <c r="X59" i="60"/>
  <c r="J33" i="60"/>
  <c r="I33" i="60"/>
  <c r="J32" i="60"/>
  <c r="I32" i="60"/>
  <c r="J31" i="60"/>
  <c r="I31" i="60"/>
  <c r="J30" i="60"/>
  <c r="I30" i="60"/>
  <c r="V49" i="60"/>
  <c r="V50" i="60"/>
  <c r="V51" i="60"/>
  <c r="V57" i="60"/>
  <c r="V58" i="60"/>
  <c r="U105" i="60"/>
  <c r="U49" i="60"/>
  <c r="U50" i="60"/>
  <c r="U51" i="60"/>
  <c r="U57" i="60"/>
  <c r="U58" i="60"/>
  <c r="E47" i="60"/>
  <c r="E74" i="60"/>
  <c r="T56" i="60"/>
  <c r="T111" i="60"/>
  <c r="W49" i="60"/>
  <c r="W50" i="60"/>
  <c r="S10" i="55"/>
  <c r="AK10" i="55"/>
  <c r="AB10" i="55"/>
  <c r="AT10" i="55"/>
  <c r="BC10" i="55"/>
  <c r="S11" i="55"/>
  <c r="AK11" i="55"/>
  <c r="AB11" i="55"/>
  <c r="AT11" i="55"/>
  <c r="BC11" i="55"/>
  <c r="S12" i="55"/>
  <c r="AK12" i="55"/>
  <c r="AB12" i="55"/>
  <c r="AT12" i="55"/>
  <c r="BC12" i="55"/>
  <c r="S13" i="55"/>
  <c r="AK13" i="55"/>
  <c r="BC13" i="55"/>
  <c r="Q30" i="17"/>
  <c r="W51" i="60"/>
  <c r="W57" i="60"/>
  <c r="W58" i="60"/>
  <c r="T51" i="60"/>
  <c r="S111" i="60"/>
  <c r="V111" i="60"/>
  <c r="U111" i="60"/>
  <c r="Y51" i="60"/>
  <c r="X51" i="60"/>
  <c r="Y50" i="60"/>
  <c r="X50" i="60"/>
  <c r="X49" i="60"/>
  <c r="X80" i="60"/>
  <c r="Y49" i="60"/>
  <c r="F65" i="60"/>
  <c r="F66" i="60"/>
  <c r="F67" i="60"/>
  <c r="F68" i="60"/>
  <c r="F70" i="60"/>
  <c r="F71" i="60"/>
  <c r="F74" i="60"/>
  <c r="F69" i="60"/>
  <c r="F72" i="60"/>
  <c r="F73" i="60"/>
  <c r="F75" i="60"/>
  <c r="F76" i="60"/>
  <c r="F77" i="60"/>
  <c r="F92" i="60"/>
  <c r="F78" i="60"/>
  <c r="E65" i="60"/>
  <c r="E66" i="60"/>
  <c r="E67" i="60"/>
  <c r="E69" i="60"/>
  <c r="E72" i="60"/>
  <c r="E73" i="60"/>
  <c r="E75" i="60"/>
  <c r="E76" i="60"/>
  <c r="E92" i="60"/>
  <c r="G65" i="60"/>
  <c r="G66" i="60"/>
  <c r="G67" i="60"/>
  <c r="G68" i="60"/>
  <c r="G70" i="60"/>
  <c r="G71" i="60"/>
  <c r="G74" i="60"/>
  <c r="G69" i="60"/>
  <c r="G72" i="60"/>
  <c r="G73" i="60"/>
  <c r="G75" i="60"/>
  <c r="G76" i="60"/>
  <c r="G77" i="60"/>
  <c r="G92" i="60"/>
  <c r="G78" i="60"/>
  <c r="I55" i="60"/>
  <c r="I76" i="60"/>
  <c r="I17" i="60"/>
  <c r="H55" i="60"/>
  <c r="H76" i="60"/>
  <c r="H17" i="60"/>
  <c r="G55" i="60"/>
  <c r="G17" i="60"/>
  <c r="F55" i="60"/>
  <c r="F17" i="60"/>
  <c r="E55" i="60"/>
  <c r="E17" i="60"/>
  <c r="I54" i="60"/>
  <c r="I75" i="60"/>
  <c r="I16" i="60"/>
  <c r="H54" i="60"/>
  <c r="H75" i="60"/>
  <c r="H16" i="60"/>
  <c r="G54" i="60"/>
  <c r="G16" i="60"/>
  <c r="F54" i="60"/>
  <c r="F16" i="60"/>
  <c r="E54" i="60"/>
  <c r="E16" i="60"/>
  <c r="I53" i="60"/>
  <c r="I74" i="60"/>
  <c r="I15" i="60"/>
  <c r="H53" i="60"/>
  <c r="H74" i="60"/>
  <c r="H15" i="60"/>
  <c r="G53" i="60"/>
  <c r="G15" i="60"/>
  <c r="F53" i="60"/>
  <c r="F15" i="60"/>
  <c r="E53" i="60"/>
  <c r="T10" i="55"/>
  <c r="AL10" i="55"/>
  <c r="AC10" i="55"/>
  <c r="AU10" i="55"/>
  <c r="BD10" i="55"/>
  <c r="T11" i="55"/>
  <c r="AL11" i="55"/>
  <c r="AC11" i="55"/>
  <c r="AU11" i="55"/>
  <c r="BD11" i="55"/>
  <c r="T12" i="55"/>
  <c r="AL12" i="55"/>
  <c r="AC12" i="55"/>
  <c r="AU12" i="55"/>
  <c r="BD12" i="55"/>
  <c r="T13" i="55"/>
  <c r="AL13" i="55"/>
  <c r="BD13" i="55"/>
  <c r="I52" i="60"/>
  <c r="I73" i="60"/>
  <c r="I14" i="60"/>
  <c r="H52" i="60"/>
  <c r="H73" i="60"/>
  <c r="H14" i="60"/>
  <c r="G52" i="60"/>
  <c r="G14" i="60"/>
  <c r="F52" i="60"/>
  <c r="F14" i="60"/>
  <c r="E52" i="60"/>
  <c r="E14" i="60"/>
  <c r="X110" i="60"/>
  <c r="X111" i="60"/>
  <c r="F42" i="20"/>
  <c r="I16" i="19"/>
  <c r="X113" i="60"/>
  <c r="X114" i="60"/>
  <c r="X82" i="60"/>
  <c r="X72" i="60"/>
  <c r="I72" i="60"/>
  <c r="I51" i="60"/>
  <c r="I13" i="60"/>
  <c r="H51" i="60"/>
  <c r="H72" i="60"/>
  <c r="H13" i="60"/>
  <c r="G51" i="60"/>
  <c r="G13" i="60"/>
  <c r="F51" i="60"/>
  <c r="F13" i="60"/>
  <c r="E51" i="60"/>
  <c r="E13" i="60"/>
  <c r="I50" i="60"/>
  <c r="X71" i="60"/>
  <c r="I71" i="60"/>
  <c r="I12" i="60"/>
  <c r="H50" i="60"/>
  <c r="H71" i="60"/>
  <c r="H12" i="60"/>
  <c r="G50" i="60"/>
  <c r="G12" i="60"/>
  <c r="F50" i="60"/>
  <c r="F12" i="60"/>
  <c r="X70" i="60"/>
  <c r="I70" i="60"/>
  <c r="I49" i="60"/>
  <c r="I11" i="60"/>
  <c r="H49" i="60"/>
  <c r="H70" i="60"/>
  <c r="H11" i="60"/>
  <c r="G49" i="60"/>
  <c r="G11" i="60"/>
  <c r="F49" i="60"/>
  <c r="F11" i="60"/>
  <c r="I48" i="60"/>
  <c r="I69" i="60"/>
  <c r="I10" i="60"/>
  <c r="H48" i="60"/>
  <c r="H69" i="60"/>
  <c r="H10" i="60"/>
  <c r="G48" i="60"/>
  <c r="G10" i="60"/>
  <c r="F48" i="60"/>
  <c r="F10" i="60"/>
  <c r="E48" i="60"/>
  <c r="E10" i="60"/>
  <c r="X47" i="60"/>
  <c r="X68" i="60"/>
  <c r="I68" i="60"/>
  <c r="I47" i="60"/>
  <c r="I9" i="60"/>
  <c r="H47" i="60"/>
  <c r="H68" i="60"/>
  <c r="H9" i="60"/>
  <c r="G47" i="60"/>
  <c r="G9" i="60"/>
  <c r="F47" i="60"/>
  <c r="F9" i="60"/>
  <c r="X67" i="60"/>
  <c r="I67" i="60"/>
  <c r="I46" i="60"/>
  <c r="I8" i="60"/>
  <c r="H46" i="60"/>
  <c r="H67" i="60"/>
  <c r="H8" i="60"/>
  <c r="G46" i="60"/>
  <c r="G8" i="60"/>
  <c r="F46" i="60"/>
  <c r="F8" i="60"/>
  <c r="E46" i="60"/>
  <c r="E8" i="60"/>
  <c r="X45" i="60"/>
  <c r="I45" i="60"/>
  <c r="I66" i="60"/>
  <c r="I7" i="60"/>
  <c r="H45" i="60"/>
  <c r="H66" i="60"/>
  <c r="H7" i="60"/>
  <c r="G45" i="60"/>
  <c r="G7" i="60"/>
  <c r="F45" i="60"/>
  <c r="F7" i="60"/>
  <c r="E45" i="60"/>
  <c r="E7" i="60"/>
  <c r="X65" i="60"/>
  <c r="I65" i="60"/>
  <c r="I44" i="60"/>
  <c r="I6" i="60"/>
  <c r="H44" i="60"/>
  <c r="H65" i="60"/>
  <c r="H6" i="60"/>
  <c r="G44" i="60"/>
  <c r="G6" i="60"/>
  <c r="F44" i="60"/>
  <c r="F6" i="60"/>
  <c r="E44" i="60"/>
  <c r="I18" i="60"/>
  <c r="I56" i="60"/>
  <c r="I57" i="60"/>
  <c r="I19" i="60"/>
  <c r="H18" i="60"/>
  <c r="H56" i="60"/>
  <c r="H57" i="60"/>
  <c r="H19" i="60"/>
  <c r="G18" i="60"/>
  <c r="G56" i="60"/>
  <c r="G57" i="60"/>
  <c r="G19" i="60"/>
  <c r="F18" i="60"/>
  <c r="F56" i="60"/>
  <c r="F57" i="60"/>
  <c r="F19" i="60"/>
  <c r="E56" i="60"/>
  <c r="J44" i="60"/>
  <c r="Y80" i="60"/>
  <c r="Y65" i="60"/>
  <c r="J65" i="60"/>
  <c r="J6" i="60"/>
  <c r="U10" i="55"/>
  <c r="AM10" i="55"/>
  <c r="AD10" i="55"/>
  <c r="AV10" i="55"/>
  <c r="BE10" i="55"/>
  <c r="U11" i="55"/>
  <c r="AM11" i="55"/>
  <c r="AD11" i="55"/>
  <c r="AV11" i="55"/>
  <c r="BE11" i="55"/>
  <c r="U12" i="55"/>
  <c r="AM12" i="55"/>
  <c r="AD12" i="55"/>
  <c r="AV12" i="55"/>
  <c r="BE12" i="55"/>
  <c r="U13" i="55"/>
  <c r="AM13" i="55"/>
  <c r="BE13" i="55"/>
  <c r="J46" i="60"/>
  <c r="Y67" i="60"/>
  <c r="J67" i="60"/>
  <c r="J8" i="60"/>
  <c r="J49" i="60"/>
  <c r="Y110" i="60"/>
  <c r="Y111" i="60"/>
  <c r="Y113" i="60"/>
  <c r="Y114" i="60"/>
  <c r="Y82" i="60"/>
  <c r="Y70" i="60"/>
  <c r="J70" i="60"/>
  <c r="J11" i="60"/>
  <c r="Y71" i="60"/>
  <c r="J71" i="60"/>
  <c r="J50" i="60"/>
  <c r="J12" i="60"/>
  <c r="Y72" i="60"/>
  <c r="J72" i="60"/>
  <c r="J51" i="60"/>
  <c r="J13" i="60"/>
  <c r="J53" i="60"/>
  <c r="J74" i="60"/>
  <c r="J15" i="60"/>
  <c r="Y45" i="60"/>
  <c r="J45" i="60"/>
  <c r="J66" i="60"/>
  <c r="J7" i="60"/>
  <c r="Y47" i="60"/>
  <c r="J47" i="60"/>
  <c r="Y68" i="60"/>
  <c r="J68" i="60"/>
  <c r="J9" i="60"/>
  <c r="J48" i="60"/>
  <c r="J69" i="60"/>
  <c r="J10" i="60"/>
  <c r="J52" i="60"/>
  <c r="Y73" i="60"/>
  <c r="J73" i="60"/>
  <c r="J14" i="60"/>
  <c r="J54" i="60"/>
  <c r="J75" i="60"/>
  <c r="J16" i="60"/>
  <c r="J55" i="60"/>
  <c r="J76" i="60"/>
  <c r="J17" i="60"/>
  <c r="J18" i="60"/>
  <c r="J56" i="60"/>
  <c r="J57" i="60"/>
  <c r="J19" i="60"/>
  <c r="W110" i="60"/>
  <c r="W111" i="60"/>
  <c r="W114" i="60"/>
  <c r="S96" i="60"/>
  <c r="W94" i="60"/>
  <c r="V94" i="60"/>
  <c r="U94" i="60"/>
  <c r="T94" i="60"/>
  <c r="S94" i="60"/>
  <c r="S95" i="60"/>
  <c r="W95" i="60"/>
  <c r="V95" i="60"/>
  <c r="U95" i="60"/>
  <c r="T95" i="60"/>
  <c r="U77" i="60"/>
  <c r="U78" i="60"/>
  <c r="V77" i="60"/>
  <c r="V78" i="60"/>
  <c r="J16" i="19"/>
  <c r="J15" i="19"/>
  <c r="J65" i="19"/>
  <c r="J77" i="60"/>
  <c r="J82" i="60"/>
  <c r="I82" i="60"/>
  <c r="H82" i="60"/>
  <c r="J81" i="60"/>
  <c r="I65" i="19"/>
  <c r="F39" i="20"/>
  <c r="F40" i="20"/>
  <c r="F41" i="20"/>
  <c r="I15" i="19"/>
  <c r="I81" i="60"/>
  <c r="H46" i="19"/>
  <c r="H47" i="19"/>
  <c r="H48" i="19"/>
  <c r="H65" i="19"/>
  <c r="E39" i="20"/>
  <c r="E40" i="20"/>
  <c r="E41" i="20"/>
  <c r="H15" i="19"/>
  <c r="H81" i="60"/>
  <c r="J80" i="60"/>
  <c r="I80" i="60"/>
  <c r="H80" i="60"/>
  <c r="D3" i="53"/>
  <c r="D4" i="53"/>
  <c r="N3" i="53"/>
  <c r="N4" i="53"/>
  <c r="AW5" i="54"/>
  <c r="AW10" i="54"/>
  <c r="M65" i="60"/>
  <c r="AX5" i="54"/>
  <c r="AX10" i="54"/>
  <c r="N65" i="60"/>
  <c r="AY5" i="54"/>
  <c r="AY10" i="54"/>
  <c r="O65" i="60"/>
  <c r="AW14" i="54"/>
  <c r="M66" i="60"/>
  <c r="AX14" i="54"/>
  <c r="N66" i="60"/>
  <c r="AY14" i="54"/>
  <c r="O66" i="60"/>
  <c r="AW18" i="54"/>
  <c r="M80" i="60"/>
  <c r="M73" i="60"/>
  <c r="M67" i="60"/>
  <c r="AX18" i="54"/>
  <c r="N80" i="60"/>
  <c r="N73" i="60"/>
  <c r="N67" i="60"/>
  <c r="AY18" i="54"/>
  <c r="O80" i="60"/>
  <c r="O73" i="60"/>
  <c r="O67" i="60"/>
  <c r="K48" i="60"/>
  <c r="L48" i="60"/>
  <c r="AW22" i="54"/>
  <c r="M69" i="60"/>
  <c r="M68" i="60"/>
  <c r="AX22" i="54"/>
  <c r="N69" i="60"/>
  <c r="N68" i="60"/>
  <c r="AY22" i="54"/>
  <c r="O69" i="60"/>
  <c r="O68" i="60"/>
  <c r="AW27" i="54"/>
  <c r="M70" i="60"/>
  <c r="AX27" i="54"/>
  <c r="N70" i="60"/>
  <c r="AY27" i="54"/>
  <c r="O70" i="60"/>
  <c r="M71" i="60"/>
  <c r="N71" i="60"/>
  <c r="O71" i="60"/>
  <c r="M72" i="60"/>
  <c r="N72" i="60"/>
  <c r="O72" i="60"/>
  <c r="P74" i="60"/>
  <c r="P75" i="60"/>
  <c r="P76" i="60"/>
  <c r="W81" i="60"/>
  <c r="W80" i="60"/>
  <c r="W82" i="60"/>
  <c r="J17" i="19"/>
  <c r="J78" i="60"/>
  <c r="I77" i="60"/>
  <c r="I17" i="19"/>
  <c r="I78" i="60"/>
  <c r="H77" i="60"/>
  <c r="H17" i="19"/>
  <c r="H78" i="60"/>
  <c r="O77" i="60"/>
  <c r="O78" i="60"/>
  <c r="N77" i="60"/>
  <c r="N78" i="60"/>
  <c r="M77" i="60"/>
  <c r="M78" i="60"/>
  <c r="O82" i="60"/>
  <c r="N82" i="60"/>
  <c r="M82" i="60"/>
  <c r="O81" i="60"/>
  <c r="N81" i="60"/>
  <c r="M81" i="60"/>
  <c r="D65" i="60"/>
  <c r="D66" i="60"/>
  <c r="D67" i="60"/>
  <c r="D68" i="60"/>
  <c r="D69" i="60"/>
  <c r="D70" i="60"/>
  <c r="D71" i="60"/>
  <c r="D72" i="60"/>
  <c r="D73" i="60"/>
  <c r="D74" i="60"/>
  <c r="D75" i="60"/>
  <c r="D76" i="60"/>
  <c r="D77" i="60"/>
  <c r="D55" i="60"/>
  <c r="D54" i="60"/>
  <c r="D53" i="60"/>
  <c r="D52" i="60"/>
  <c r="D51" i="60"/>
  <c r="D50" i="60"/>
  <c r="D49" i="60"/>
  <c r="D48" i="60"/>
  <c r="D47" i="60"/>
  <c r="D46" i="60"/>
  <c r="D45" i="60"/>
  <c r="D44" i="60"/>
  <c r="K31" i="60"/>
  <c r="K34" i="60"/>
  <c r="K59" i="60"/>
  <c r="L31" i="60"/>
  <c r="L34" i="60"/>
  <c r="L59" i="60"/>
  <c r="M31" i="60"/>
  <c r="M34" i="60"/>
  <c r="M59" i="60"/>
  <c r="N31" i="60"/>
  <c r="N34" i="60"/>
  <c r="N59" i="60"/>
  <c r="O31" i="60"/>
  <c r="O34" i="60"/>
  <c r="O59" i="60"/>
  <c r="P59" i="60"/>
  <c r="K44" i="60"/>
  <c r="L44" i="60"/>
  <c r="M44" i="60"/>
  <c r="N44" i="60"/>
  <c r="O44" i="60"/>
  <c r="P44" i="60"/>
  <c r="K45" i="60"/>
  <c r="L45" i="60"/>
  <c r="M45" i="60"/>
  <c r="N45" i="60"/>
  <c r="O45" i="60"/>
  <c r="P45" i="60"/>
  <c r="K46" i="60"/>
  <c r="L46" i="60"/>
  <c r="M46" i="60"/>
  <c r="N46" i="60"/>
  <c r="O46" i="60"/>
  <c r="P46" i="60"/>
  <c r="K47" i="60"/>
  <c r="L47" i="60"/>
  <c r="M47" i="60"/>
  <c r="N47" i="60"/>
  <c r="O47" i="60"/>
  <c r="P47" i="60"/>
  <c r="P48" i="60"/>
  <c r="K50" i="60"/>
  <c r="L50" i="60"/>
  <c r="M50" i="60"/>
  <c r="N50" i="60"/>
  <c r="O50" i="60"/>
  <c r="P50" i="60"/>
  <c r="K51" i="60"/>
  <c r="L51" i="60"/>
  <c r="M51" i="60"/>
  <c r="N51" i="60"/>
  <c r="O51" i="60"/>
  <c r="P51" i="60"/>
  <c r="P52" i="60"/>
  <c r="K53" i="60"/>
  <c r="L53" i="60"/>
  <c r="M53" i="60"/>
  <c r="N53" i="60"/>
  <c r="O53" i="60"/>
  <c r="P53" i="60"/>
  <c r="K54" i="60"/>
  <c r="L54" i="60"/>
  <c r="M54" i="60"/>
  <c r="N54" i="60"/>
  <c r="O54" i="60"/>
  <c r="P54" i="60"/>
  <c r="K55" i="60"/>
  <c r="L55" i="60"/>
  <c r="M55" i="60"/>
  <c r="N55" i="60"/>
  <c r="O55" i="60"/>
  <c r="P55" i="60"/>
  <c r="M56" i="60"/>
  <c r="N56" i="60"/>
  <c r="O56" i="60"/>
  <c r="BE17" i="54"/>
  <c r="BL17" i="54"/>
  <c r="BL31" i="54"/>
  <c r="BL9" i="54"/>
  <c r="BL26" i="54"/>
  <c r="BL40" i="54"/>
  <c r="BM31" i="54"/>
  <c r="BF17" i="54"/>
  <c r="BM17" i="54"/>
  <c r="BM9" i="54"/>
  <c r="BM26" i="54"/>
  <c r="BM40" i="54"/>
  <c r="BN6" i="54"/>
  <c r="BN11" i="54"/>
  <c r="BN15" i="54"/>
  <c r="BN19" i="54"/>
  <c r="BN7" i="54"/>
  <c r="BN8" i="54"/>
  <c r="BN12" i="54"/>
  <c r="BN13" i="54"/>
  <c r="BN16" i="54"/>
  <c r="BN20" i="54"/>
  <c r="BN21" i="54"/>
  <c r="BN23" i="54"/>
  <c r="BN24" i="54"/>
  <c r="BN25" i="54"/>
  <c r="BN28" i="54"/>
  <c r="BN29" i="54"/>
  <c r="BN30" i="54"/>
  <c r="BN43" i="54"/>
  <c r="BN44" i="54"/>
  <c r="BG17" i="54"/>
  <c r="BN17" i="54"/>
  <c r="BN45" i="54"/>
  <c r="BN46" i="54"/>
  <c r="BG38" i="54"/>
  <c r="BN38" i="54"/>
  <c r="BN9" i="54"/>
  <c r="BN26" i="54"/>
  <c r="BN31" i="54"/>
  <c r="BN40" i="54"/>
  <c r="BN32" i="54"/>
  <c r="BN49" i="54"/>
  <c r="BN51" i="54"/>
  <c r="BO6" i="54"/>
  <c r="BO11" i="54"/>
  <c r="BO15" i="54"/>
  <c r="BO19" i="54"/>
  <c r="BO7" i="54"/>
  <c r="BO8" i="54"/>
  <c r="BO12" i="54"/>
  <c r="BO13" i="54"/>
  <c r="BO16" i="54"/>
  <c r="BO20" i="54"/>
  <c r="BO21" i="54"/>
  <c r="BO23" i="54"/>
  <c r="BO24" i="54"/>
  <c r="BO25" i="54"/>
  <c r="BO28" i="54"/>
  <c r="BO29" i="54"/>
  <c r="BO30" i="54"/>
  <c r="BO43" i="54"/>
  <c r="BO44" i="54"/>
  <c r="BH17" i="54"/>
  <c r="BO17" i="54"/>
  <c r="BO45" i="54"/>
  <c r="BO46" i="54"/>
  <c r="BH38" i="54"/>
  <c r="BO38" i="54"/>
  <c r="BO9" i="54"/>
  <c r="BO26" i="54"/>
  <c r="BO31" i="54"/>
  <c r="BO40" i="54"/>
  <c r="BO32" i="54"/>
  <c r="BO49" i="54"/>
  <c r="BO51" i="54"/>
  <c r="BP6" i="54"/>
  <c r="BP11" i="54"/>
  <c r="BP15" i="54"/>
  <c r="BP19" i="54"/>
  <c r="BP7" i="54"/>
  <c r="BP8" i="54"/>
  <c r="BP12" i="54"/>
  <c r="BP13" i="54"/>
  <c r="BP16" i="54"/>
  <c r="BP20" i="54"/>
  <c r="BP21" i="54"/>
  <c r="BP23" i="54"/>
  <c r="BP24" i="54"/>
  <c r="BP25" i="54"/>
  <c r="BP28" i="54"/>
  <c r="BP29" i="54"/>
  <c r="BP30" i="54"/>
  <c r="BP43" i="54"/>
  <c r="BP44" i="54"/>
  <c r="BI17" i="54"/>
  <c r="BP17" i="54"/>
  <c r="BP45" i="54"/>
  <c r="BP46" i="54"/>
  <c r="BI38" i="54"/>
  <c r="BP38" i="54"/>
  <c r="BP9" i="54"/>
  <c r="BP26" i="54"/>
  <c r="BP31" i="54"/>
  <c r="BP40" i="54"/>
  <c r="BP32" i="54"/>
  <c r="BP49" i="54"/>
  <c r="BP51" i="54"/>
  <c r="O57" i="60"/>
  <c r="O58" i="60"/>
  <c r="N57" i="60"/>
  <c r="N58" i="60"/>
  <c r="M57" i="60"/>
  <c r="M58" i="60"/>
  <c r="N29" i="23"/>
  <c r="N17" i="23"/>
  <c r="E37" i="17"/>
  <c r="U14" i="55"/>
  <c r="AD14" i="55"/>
  <c r="AM14" i="55"/>
  <c r="AV14" i="55"/>
  <c r="BE14" i="55"/>
  <c r="U17" i="55"/>
  <c r="AM17" i="55"/>
  <c r="AD17" i="55"/>
  <c r="AV17" i="55"/>
  <c r="BE17" i="55"/>
  <c r="U18" i="55"/>
  <c r="AM18" i="55"/>
  <c r="BE18" i="55"/>
  <c r="T14" i="55"/>
  <c r="AC14" i="55"/>
  <c r="AL14" i="55"/>
  <c r="AU14" i="55"/>
  <c r="BD14" i="55"/>
  <c r="T17" i="55"/>
  <c r="AL17" i="55"/>
  <c r="BD17" i="55"/>
  <c r="T18" i="55"/>
  <c r="AL18" i="55"/>
  <c r="BD18" i="55"/>
  <c r="S14" i="55"/>
  <c r="AB14" i="55"/>
  <c r="AK14" i="55"/>
  <c r="AT14" i="55"/>
  <c r="BC14" i="55"/>
  <c r="S17" i="55"/>
  <c r="AK17" i="55"/>
  <c r="BC17" i="55"/>
  <c r="S18" i="55"/>
  <c r="AK18" i="55"/>
  <c r="BC18" i="55"/>
  <c r="Q37" i="17"/>
  <c r="Z23" i="23"/>
  <c r="Z24" i="23"/>
  <c r="AA23" i="23"/>
  <c r="AA24" i="23"/>
  <c r="AB23" i="23"/>
  <c r="AB24" i="23"/>
  <c r="AC23" i="23"/>
  <c r="AC24" i="23"/>
  <c r="AD23" i="23"/>
  <c r="AD24" i="23"/>
  <c r="D94" i="60"/>
  <c r="D95" i="60"/>
  <c r="D96" i="60"/>
  <c r="D56" i="60"/>
  <c r="P15" i="60"/>
  <c r="P16" i="60"/>
  <c r="P17" i="60"/>
  <c r="BQ23" i="52"/>
  <c r="BR23" i="52"/>
  <c r="BS23" i="52"/>
  <c r="BQ24" i="52"/>
  <c r="BR24" i="52"/>
  <c r="W56" i="60"/>
  <c r="H87" i="60"/>
  <c r="H88" i="60"/>
  <c r="H89" i="60"/>
  <c r="H90" i="60"/>
  <c r="H91" i="60"/>
  <c r="H92" i="60"/>
  <c r="H93" i="60"/>
  <c r="H94" i="60"/>
  <c r="H95" i="60"/>
  <c r="H58" i="60"/>
  <c r="V56" i="60"/>
  <c r="G87" i="60"/>
  <c r="G88" i="60"/>
  <c r="G89" i="60"/>
  <c r="G90" i="60"/>
  <c r="G91" i="60"/>
  <c r="G93" i="60"/>
  <c r="G94" i="60"/>
  <c r="G95" i="60"/>
  <c r="G58" i="60"/>
  <c r="U56" i="60"/>
  <c r="F87" i="60"/>
  <c r="F88" i="60"/>
  <c r="F89" i="60"/>
  <c r="F90" i="60"/>
  <c r="F91" i="60"/>
  <c r="F93" i="60"/>
  <c r="F94" i="60"/>
  <c r="F95" i="60"/>
  <c r="F58" i="60"/>
  <c r="E87" i="60"/>
  <c r="E88" i="60"/>
  <c r="E89" i="60"/>
  <c r="E90" i="60"/>
  <c r="E91" i="60"/>
  <c r="E93" i="60"/>
  <c r="E94" i="60"/>
  <c r="E95" i="60"/>
  <c r="W96" i="60"/>
  <c r="H96" i="60"/>
  <c r="V96" i="60"/>
  <c r="G96" i="60"/>
  <c r="U96" i="60"/>
  <c r="F96" i="60"/>
  <c r="T96" i="60"/>
  <c r="E96" i="60"/>
  <c r="Y57" i="60"/>
  <c r="X57" i="60"/>
  <c r="O61" i="60"/>
  <c r="N61" i="60"/>
  <c r="M61" i="60"/>
  <c r="J59" i="60"/>
  <c r="J61" i="60"/>
  <c r="I59" i="60"/>
  <c r="I61" i="60"/>
  <c r="W34" i="60"/>
  <c r="W59" i="60"/>
  <c r="H59" i="60"/>
  <c r="H61" i="60"/>
  <c r="V34" i="60"/>
  <c r="V59" i="60"/>
  <c r="G59" i="60"/>
  <c r="G61" i="60"/>
  <c r="U34" i="60"/>
  <c r="U59" i="60"/>
  <c r="F59" i="60"/>
  <c r="F61" i="60"/>
  <c r="T34" i="60"/>
  <c r="T59" i="60"/>
  <c r="E59" i="60"/>
  <c r="S34" i="60"/>
  <c r="S59" i="60"/>
  <c r="D59" i="60"/>
  <c r="D61" i="60"/>
  <c r="E36" i="20"/>
  <c r="E37" i="20"/>
  <c r="G29" i="20"/>
  <c r="F36" i="20"/>
  <c r="F29" i="20"/>
  <c r="G33" i="60"/>
  <c r="F33" i="60"/>
  <c r="E33" i="60"/>
  <c r="D33" i="60"/>
  <c r="G32" i="60"/>
  <c r="F32" i="60"/>
  <c r="E32" i="60"/>
  <c r="D32" i="60"/>
  <c r="G31" i="60"/>
  <c r="F31" i="60"/>
  <c r="E31" i="60"/>
  <c r="D31" i="60"/>
  <c r="G30" i="60"/>
  <c r="F30" i="60"/>
  <c r="E30" i="60"/>
  <c r="D30" i="60"/>
  <c r="E26" i="20"/>
  <c r="E28" i="20"/>
  <c r="E29" i="20"/>
  <c r="E30" i="20"/>
  <c r="AN44" i="47"/>
  <c r="AO44" i="47"/>
  <c r="AP44" i="47"/>
  <c r="AQ44" i="47"/>
  <c r="AR44" i="47"/>
  <c r="AS44" i="47"/>
  <c r="CJ44" i="47"/>
  <c r="W77" i="60"/>
  <c r="Y77" i="60"/>
  <c r="Y78" i="60"/>
  <c r="X77" i="60"/>
  <c r="X78" i="60"/>
  <c r="AB57" i="60"/>
  <c r="AA57" i="60"/>
  <c r="Y81" i="60"/>
  <c r="X81" i="60"/>
  <c r="S77" i="60"/>
  <c r="Y58" i="60"/>
  <c r="X58" i="60"/>
  <c r="Y61" i="60"/>
  <c r="X61" i="60"/>
  <c r="W61" i="60"/>
  <c r="V61" i="60"/>
  <c r="U61" i="60"/>
  <c r="S61" i="60"/>
  <c r="P14" i="15"/>
  <c r="N37" i="47"/>
  <c r="M37" i="47"/>
  <c r="H12" i="59"/>
  <c r="CO45" i="47"/>
  <c r="CN45" i="47"/>
  <c r="CM45" i="47"/>
  <c r="CI45" i="47"/>
  <c r="CH45" i="47"/>
  <c r="BZ45" i="47"/>
  <c r="BY45" i="47"/>
  <c r="BV45" i="47"/>
  <c r="BU45" i="47"/>
  <c r="BT45" i="47"/>
  <c r="BS45" i="47"/>
  <c r="BR45" i="47"/>
  <c r="BW45" i="47"/>
  <c r="BP45" i="47"/>
  <c r="BO45" i="47"/>
  <c r="BN45" i="47"/>
  <c r="BM45" i="47"/>
  <c r="BL45" i="47"/>
  <c r="BQ45" i="47"/>
  <c r="BJ45" i="47"/>
  <c r="BI45" i="47"/>
  <c r="BH45" i="47"/>
  <c r="BG45" i="47"/>
  <c r="BF45" i="47"/>
  <c r="BK45" i="47"/>
  <c r="AL45" i="47"/>
  <c r="AK45" i="47"/>
  <c r="AJ45" i="47"/>
  <c r="AI45" i="47"/>
  <c r="AH45" i="47"/>
  <c r="AM45" i="47"/>
  <c r="AF45" i="47"/>
  <c r="AE45" i="47"/>
  <c r="AD45" i="47"/>
  <c r="AC45" i="47"/>
  <c r="AB45" i="47"/>
  <c r="AG45" i="47"/>
  <c r="CO44" i="47"/>
  <c r="CN44" i="47"/>
  <c r="CM44" i="47"/>
  <c r="CL44" i="47"/>
  <c r="CK44" i="47"/>
  <c r="CI44" i="47"/>
  <c r="CH44" i="47"/>
  <c r="BZ44" i="47"/>
  <c r="BY44" i="47"/>
  <c r="BV44" i="47"/>
  <c r="BU44" i="47"/>
  <c r="BT44" i="47"/>
  <c r="BS44" i="47"/>
  <c r="BR44" i="47"/>
  <c r="BW44" i="47"/>
  <c r="BP44" i="47"/>
  <c r="BO44" i="47"/>
  <c r="BN44" i="47"/>
  <c r="BM44" i="47"/>
  <c r="BL44" i="47"/>
  <c r="BQ44" i="47"/>
  <c r="BJ44" i="47"/>
  <c r="BI44" i="47"/>
  <c r="BH44" i="47"/>
  <c r="BG44" i="47"/>
  <c r="BF44" i="47"/>
  <c r="BK44" i="47"/>
  <c r="BD44" i="47"/>
  <c r="BC44" i="47"/>
  <c r="BB44" i="47"/>
  <c r="BA44" i="47"/>
  <c r="AZ44" i="47"/>
  <c r="BE44" i="47"/>
  <c r="AX44" i="47"/>
  <c r="AW44" i="47"/>
  <c r="AV44" i="47"/>
  <c r="AU44" i="47"/>
  <c r="AT44" i="47"/>
  <c r="AL44" i="47"/>
  <c r="AK44" i="47"/>
  <c r="AJ44" i="47"/>
  <c r="AI44" i="47"/>
  <c r="AH44" i="47"/>
  <c r="AM44" i="47"/>
  <c r="AF44" i="47"/>
  <c r="AE44" i="47"/>
  <c r="AD44" i="47"/>
  <c r="AC44" i="47"/>
  <c r="AB44" i="47"/>
  <c r="AG44" i="47"/>
  <c r="CO43" i="47"/>
  <c r="CN43" i="47"/>
  <c r="CM43" i="47"/>
  <c r="CI43" i="47"/>
  <c r="CH43" i="47"/>
  <c r="BZ43" i="47"/>
  <c r="BY43" i="47"/>
  <c r="BV43" i="47"/>
  <c r="BU43" i="47"/>
  <c r="BT43" i="47"/>
  <c r="BS43" i="47"/>
  <c r="BR43" i="47"/>
  <c r="BW43" i="47"/>
  <c r="BP43" i="47"/>
  <c r="BO43" i="47"/>
  <c r="BN43" i="47"/>
  <c r="BM43" i="47"/>
  <c r="BL43" i="47"/>
  <c r="BQ43" i="47"/>
  <c r="BJ43" i="47"/>
  <c r="BI43" i="47"/>
  <c r="BH43" i="47"/>
  <c r="BG43" i="47"/>
  <c r="BF43" i="47"/>
  <c r="BK43" i="47"/>
  <c r="AL43" i="47"/>
  <c r="AK43" i="47"/>
  <c r="AJ43" i="47"/>
  <c r="AI43" i="47"/>
  <c r="AH43" i="47"/>
  <c r="AM43" i="47"/>
  <c r="AF43" i="47"/>
  <c r="AE43" i="47"/>
  <c r="AD43" i="47"/>
  <c r="AC43" i="47"/>
  <c r="AB43" i="47"/>
  <c r="AG43" i="47"/>
  <c r="CO42" i="47"/>
  <c r="CN42" i="47"/>
  <c r="CM42" i="47"/>
  <c r="CI42" i="47"/>
  <c r="CH42" i="47"/>
  <c r="BZ42" i="47"/>
  <c r="BY42" i="47"/>
  <c r="BV42" i="47"/>
  <c r="BU42" i="47"/>
  <c r="BT42" i="47"/>
  <c r="BS42" i="47"/>
  <c r="BR42" i="47"/>
  <c r="BW42" i="47"/>
  <c r="BP42" i="47"/>
  <c r="BO42" i="47"/>
  <c r="BN42" i="47"/>
  <c r="BM42" i="47"/>
  <c r="BL42" i="47"/>
  <c r="BQ42" i="47"/>
  <c r="BJ42" i="47"/>
  <c r="BI42" i="47"/>
  <c r="BH42" i="47"/>
  <c r="BG42" i="47"/>
  <c r="BF42" i="47"/>
  <c r="BK42" i="47"/>
  <c r="AL42" i="47"/>
  <c r="AK42" i="47"/>
  <c r="AJ42" i="47"/>
  <c r="AI42" i="47"/>
  <c r="AH42" i="47"/>
  <c r="AM42" i="47"/>
  <c r="AF42" i="47"/>
  <c r="AE42" i="47"/>
  <c r="AD42" i="47"/>
  <c r="AC42" i="47"/>
  <c r="AB42" i="47"/>
  <c r="AG42" i="47"/>
  <c r="CO41" i="47"/>
  <c r="CN41" i="47"/>
  <c r="CM41" i="47"/>
  <c r="CI41" i="47"/>
  <c r="CH41" i="47"/>
  <c r="BZ41" i="47"/>
  <c r="BY41" i="47"/>
  <c r="BV41" i="47"/>
  <c r="BU41" i="47"/>
  <c r="BT41" i="47"/>
  <c r="BS41" i="47"/>
  <c r="BR41" i="47"/>
  <c r="BW41" i="47"/>
  <c r="BP41" i="47"/>
  <c r="BO41" i="47"/>
  <c r="BN41" i="47"/>
  <c r="BM41" i="47"/>
  <c r="BL41" i="47"/>
  <c r="BQ41" i="47"/>
  <c r="BJ41" i="47"/>
  <c r="BI41" i="47"/>
  <c r="BH41" i="47"/>
  <c r="BG41" i="47"/>
  <c r="BF41" i="47"/>
  <c r="BK41" i="47"/>
  <c r="AL41" i="47"/>
  <c r="AK41" i="47"/>
  <c r="AJ41" i="47"/>
  <c r="AI41" i="47"/>
  <c r="AH41" i="47"/>
  <c r="AM41" i="47"/>
  <c r="AF41" i="47"/>
  <c r="AE41" i="47"/>
  <c r="AD41" i="47"/>
  <c r="AC41" i="47"/>
  <c r="AB41" i="47"/>
  <c r="AG41" i="47"/>
  <c r="CO40" i="47"/>
  <c r="CN40" i="47"/>
  <c r="CM40" i="47"/>
  <c r="CI40" i="47"/>
  <c r="CH40" i="47"/>
  <c r="BZ40" i="47"/>
  <c r="BY40" i="47"/>
  <c r="BV40" i="47"/>
  <c r="BU40" i="47"/>
  <c r="BT40" i="47"/>
  <c r="BS40" i="47"/>
  <c r="BR40" i="47"/>
  <c r="BW40" i="47"/>
  <c r="BP40" i="47"/>
  <c r="BO40" i="47"/>
  <c r="BN40" i="47"/>
  <c r="BM40" i="47"/>
  <c r="BL40" i="47"/>
  <c r="BQ40" i="47"/>
  <c r="BJ40" i="47"/>
  <c r="BI40" i="47"/>
  <c r="BH40" i="47"/>
  <c r="BG40" i="47"/>
  <c r="BF40" i="47"/>
  <c r="BK40" i="47"/>
  <c r="AL40" i="47"/>
  <c r="AK40" i="47"/>
  <c r="AJ40" i="47"/>
  <c r="AI40" i="47"/>
  <c r="AH40" i="47"/>
  <c r="AM40" i="47"/>
  <c r="AF40" i="47"/>
  <c r="AE40" i="47"/>
  <c r="AD40" i="47"/>
  <c r="AC40" i="47"/>
  <c r="AB40" i="47"/>
  <c r="AG40" i="47"/>
  <c r="CO39" i="47"/>
  <c r="CN39" i="47"/>
  <c r="CM39" i="47"/>
  <c r="CI39" i="47"/>
  <c r="CH39" i="47"/>
  <c r="BZ39" i="47"/>
  <c r="BY39" i="47"/>
  <c r="BV39" i="47"/>
  <c r="BU39" i="47"/>
  <c r="BT39" i="47"/>
  <c r="BS39" i="47"/>
  <c r="BR39" i="47"/>
  <c r="BW39" i="47"/>
  <c r="BP39" i="47"/>
  <c r="BO39" i="47"/>
  <c r="BN39" i="47"/>
  <c r="BM39" i="47"/>
  <c r="BL39" i="47"/>
  <c r="BQ39" i="47"/>
  <c r="BJ39" i="47"/>
  <c r="BI39" i="47"/>
  <c r="BH39" i="47"/>
  <c r="BG39" i="47"/>
  <c r="BF39" i="47"/>
  <c r="BK39" i="47"/>
  <c r="AL39" i="47"/>
  <c r="AK39" i="47"/>
  <c r="AJ39" i="47"/>
  <c r="AI39" i="47"/>
  <c r="AH39" i="47"/>
  <c r="AM39" i="47"/>
  <c r="AF39" i="47"/>
  <c r="AE39" i="47"/>
  <c r="AD39" i="47"/>
  <c r="AC39" i="47"/>
  <c r="AB39" i="47"/>
  <c r="AG39" i="47"/>
  <c r="AY44" i="47"/>
  <c r="N51" i="47"/>
  <c r="M51" i="47"/>
  <c r="O66" i="47"/>
  <c r="AB28" i="4"/>
  <c r="AC28" i="4"/>
  <c r="AD28" i="4"/>
  <c r="AG28" i="4"/>
  <c r="AE28" i="4"/>
  <c r="AF28" i="4"/>
  <c r="AH28" i="4"/>
  <c r="AI28" i="4"/>
  <c r="AJ28" i="4"/>
  <c r="AK28" i="4"/>
  <c r="AL28" i="4"/>
  <c r="AM28" i="4"/>
  <c r="AN28" i="4"/>
  <c r="AS28" i="4"/>
  <c r="AO28" i="4"/>
  <c r="AP28" i="4"/>
  <c r="AQ28" i="4"/>
  <c r="AR28" i="4"/>
  <c r="CH28" i="4"/>
  <c r="CI28" i="4"/>
  <c r="CJ28" i="4"/>
  <c r="CO37" i="47"/>
  <c r="CN37" i="47"/>
  <c r="CM37" i="47"/>
  <c r="CJ37" i="47"/>
  <c r="CI37" i="47"/>
  <c r="CH37" i="47"/>
  <c r="BV37" i="47"/>
  <c r="BU37" i="47"/>
  <c r="BT37" i="47"/>
  <c r="BS37" i="47"/>
  <c r="BR37" i="47"/>
  <c r="BP37" i="47"/>
  <c r="BO37" i="47"/>
  <c r="BN37" i="47"/>
  <c r="BM37" i="47"/>
  <c r="BL37" i="47"/>
  <c r="BJ37" i="47"/>
  <c r="BI37" i="47"/>
  <c r="BH37" i="47"/>
  <c r="BG37" i="47"/>
  <c r="BF37" i="47"/>
  <c r="AR37" i="47"/>
  <c r="AQ37" i="47"/>
  <c r="AP37" i="47"/>
  <c r="AO37" i="47"/>
  <c r="AN37" i="47"/>
  <c r="AL37" i="47"/>
  <c r="AK37" i="47"/>
  <c r="AJ37" i="47"/>
  <c r="AI37" i="47"/>
  <c r="AH37" i="47"/>
  <c r="AF37" i="47"/>
  <c r="AE37" i="47"/>
  <c r="AD37" i="47"/>
  <c r="AC37" i="47"/>
  <c r="AB37" i="47"/>
  <c r="CO36" i="47"/>
  <c r="CN36" i="47"/>
  <c r="CM36" i="47"/>
  <c r="CJ36" i="47"/>
  <c r="CI36" i="47"/>
  <c r="CH36" i="47"/>
  <c r="BV36" i="47"/>
  <c r="BU36" i="47"/>
  <c r="BT36" i="47"/>
  <c r="BS36" i="47"/>
  <c r="BR36" i="47"/>
  <c r="BP36" i="47"/>
  <c r="BO36" i="47"/>
  <c r="BN36" i="47"/>
  <c r="BM36" i="47"/>
  <c r="BL36" i="47"/>
  <c r="BJ36" i="47"/>
  <c r="BI36" i="47"/>
  <c r="BH36" i="47"/>
  <c r="BG36" i="47"/>
  <c r="BF36" i="47"/>
  <c r="AR36" i="47"/>
  <c r="AQ36" i="47"/>
  <c r="AP36" i="47"/>
  <c r="AO36" i="47"/>
  <c r="AN36" i="47"/>
  <c r="AL36" i="47"/>
  <c r="AK36" i="47"/>
  <c r="AJ36" i="47"/>
  <c r="AI36" i="47"/>
  <c r="AH36" i="47"/>
  <c r="AF36" i="47"/>
  <c r="AE36" i="47"/>
  <c r="AD36" i="47"/>
  <c r="AC36" i="47"/>
  <c r="AB36" i="47"/>
  <c r="AG36" i="47"/>
  <c r="CO35" i="47"/>
  <c r="CN35" i="47"/>
  <c r="CM35" i="47"/>
  <c r="CJ35" i="47"/>
  <c r="CI35" i="47"/>
  <c r="CH35" i="47"/>
  <c r="BV35" i="47"/>
  <c r="BU35" i="47"/>
  <c r="BT35" i="47"/>
  <c r="BS35" i="47"/>
  <c r="BR35" i="47"/>
  <c r="BP35" i="47"/>
  <c r="BO35" i="47"/>
  <c r="BN35" i="47"/>
  <c r="BM35" i="47"/>
  <c r="BL35" i="47"/>
  <c r="BJ35" i="47"/>
  <c r="BI35" i="47"/>
  <c r="BH35" i="47"/>
  <c r="BG35" i="47"/>
  <c r="BF35" i="47"/>
  <c r="AR35" i="47"/>
  <c r="AQ35" i="47"/>
  <c r="AP35" i="47"/>
  <c r="AO35" i="47"/>
  <c r="AN35" i="47"/>
  <c r="AL35" i="47"/>
  <c r="AK35" i="47"/>
  <c r="AJ35" i="47"/>
  <c r="AI35" i="47"/>
  <c r="AH35" i="47"/>
  <c r="AF35" i="47"/>
  <c r="AE35" i="47"/>
  <c r="AD35" i="47"/>
  <c r="AC35" i="47"/>
  <c r="AB35" i="47"/>
  <c r="CO34" i="47"/>
  <c r="CN34" i="47"/>
  <c r="CM34" i="47"/>
  <c r="CJ34" i="47"/>
  <c r="CI34" i="47"/>
  <c r="CH34" i="47"/>
  <c r="BV34" i="47"/>
  <c r="BU34" i="47"/>
  <c r="BT34" i="47"/>
  <c r="BS34" i="47"/>
  <c r="BR34" i="47"/>
  <c r="BP34" i="47"/>
  <c r="BO34" i="47"/>
  <c r="BN34" i="47"/>
  <c r="BM34" i="47"/>
  <c r="BL34" i="47"/>
  <c r="BJ34" i="47"/>
  <c r="BI34" i="47"/>
  <c r="BH34" i="47"/>
  <c r="BG34" i="47"/>
  <c r="BF34" i="47"/>
  <c r="AR34" i="47"/>
  <c r="AQ34" i="47"/>
  <c r="AP34" i="47"/>
  <c r="AO34" i="47"/>
  <c r="AN34" i="47"/>
  <c r="AL34" i="47"/>
  <c r="AK34" i="47"/>
  <c r="AJ34" i="47"/>
  <c r="AI34" i="47"/>
  <c r="AH34" i="47"/>
  <c r="AF34" i="47"/>
  <c r="AE34" i="47"/>
  <c r="AD34" i="47"/>
  <c r="AC34" i="47"/>
  <c r="AB34" i="47"/>
  <c r="CO33" i="47"/>
  <c r="CN33" i="47"/>
  <c r="CM33" i="47"/>
  <c r="CJ33" i="47"/>
  <c r="CI33" i="47"/>
  <c r="CH33" i="47"/>
  <c r="BV33" i="47"/>
  <c r="BU33" i="47"/>
  <c r="BT33" i="47"/>
  <c r="BS33" i="47"/>
  <c r="BR33" i="47"/>
  <c r="BP33" i="47"/>
  <c r="BO33" i="47"/>
  <c r="BN33" i="47"/>
  <c r="BM33" i="47"/>
  <c r="BL33" i="47"/>
  <c r="BJ33" i="47"/>
  <c r="BI33" i="47"/>
  <c r="BH33" i="47"/>
  <c r="BG33" i="47"/>
  <c r="BF33" i="47"/>
  <c r="AR33" i="47"/>
  <c r="AQ33" i="47"/>
  <c r="AP33" i="47"/>
  <c r="AO33" i="47"/>
  <c r="AN33" i="47"/>
  <c r="AL33" i="47"/>
  <c r="AK33" i="47"/>
  <c r="AJ33" i="47"/>
  <c r="AI33" i="47"/>
  <c r="AH33" i="47"/>
  <c r="AF33" i="47"/>
  <c r="AE33" i="47"/>
  <c r="AD33" i="47"/>
  <c r="AC33" i="47"/>
  <c r="AB33" i="47"/>
  <c r="CO32" i="47"/>
  <c r="CN32" i="47"/>
  <c r="CM32" i="47"/>
  <c r="CJ32" i="47"/>
  <c r="CI32" i="47"/>
  <c r="CH32" i="47"/>
  <c r="BV32" i="47"/>
  <c r="BU32" i="47"/>
  <c r="BT32" i="47"/>
  <c r="BS32" i="47"/>
  <c r="BR32" i="47"/>
  <c r="BP32" i="47"/>
  <c r="BO32" i="47"/>
  <c r="BN32" i="47"/>
  <c r="BM32" i="47"/>
  <c r="BL32" i="47"/>
  <c r="BJ32" i="47"/>
  <c r="BI32" i="47"/>
  <c r="BH32" i="47"/>
  <c r="BG32" i="47"/>
  <c r="BF32" i="47"/>
  <c r="AR32" i="47"/>
  <c r="AQ32" i="47"/>
  <c r="AP32" i="47"/>
  <c r="AO32" i="47"/>
  <c r="AN32" i="47"/>
  <c r="AL32" i="47"/>
  <c r="AK32" i="47"/>
  <c r="AJ32" i="47"/>
  <c r="AI32" i="47"/>
  <c r="AH32" i="47"/>
  <c r="AF32" i="47"/>
  <c r="AE32" i="47"/>
  <c r="AD32" i="47"/>
  <c r="AC32" i="47"/>
  <c r="AB32" i="47"/>
  <c r="CO31" i="47"/>
  <c r="CN31" i="47"/>
  <c r="CM31" i="47"/>
  <c r="CJ31" i="47"/>
  <c r="CI31" i="47"/>
  <c r="CH31" i="47"/>
  <c r="BV31" i="47"/>
  <c r="BU31" i="47"/>
  <c r="BT31" i="47"/>
  <c r="BS31" i="47"/>
  <c r="BR31" i="47"/>
  <c r="BP31" i="47"/>
  <c r="BO31" i="47"/>
  <c r="BN31" i="47"/>
  <c r="BM31" i="47"/>
  <c r="BL31" i="47"/>
  <c r="BJ31" i="47"/>
  <c r="BI31" i="47"/>
  <c r="BH31" i="47"/>
  <c r="BG31" i="47"/>
  <c r="BF31" i="47"/>
  <c r="AR31" i="47"/>
  <c r="AQ31" i="47"/>
  <c r="AP31" i="47"/>
  <c r="AO31" i="47"/>
  <c r="AN31" i="47"/>
  <c r="AL31" i="47"/>
  <c r="AK31" i="47"/>
  <c r="AJ31" i="47"/>
  <c r="AI31" i="47"/>
  <c r="AH31" i="47"/>
  <c r="AF31" i="47"/>
  <c r="AE31" i="47"/>
  <c r="AD31" i="47"/>
  <c r="AC31" i="47"/>
  <c r="AB31" i="47"/>
  <c r="O50" i="47"/>
  <c r="N50" i="47"/>
  <c r="M50" i="47"/>
  <c r="BW37" i="47"/>
  <c r="AS35" i="47"/>
  <c r="AS37" i="47"/>
  <c r="BK36" i="47"/>
  <c r="AM33" i="47"/>
  <c r="AG34" i="47"/>
  <c r="BW34" i="47"/>
  <c r="BW35" i="47"/>
  <c r="AS32" i="47"/>
  <c r="AG35" i="47"/>
  <c r="BK35" i="47"/>
  <c r="AS36" i="47"/>
  <c r="BW36" i="47"/>
  <c r="BK37" i="47"/>
  <c r="BQ31" i="47"/>
  <c r="BK32" i="47"/>
  <c r="AM37" i="47"/>
  <c r="AM31" i="47"/>
  <c r="AS31" i="47"/>
  <c r="BK31" i="47"/>
  <c r="AM32" i="47"/>
  <c r="AG33" i="47"/>
  <c r="BW33" i="47"/>
  <c r="BQ34" i="47"/>
  <c r="AG37" i="47"/>
  <c r="AG31" i="47"/>
  <c r="BW31" i="47"/>
  <c r="BQ32" i="47"/>
  <c r="AS33" i="47"/>
  <c r="BK33" i="47"/>
  <c r="AM34" i="47"/>
  <c r="AM35" i="47"/>
  <c r="BQ35" i="47"/>
  <c r="AM36" i="47"/>
  <c r="BQ36" i="47"/>
  <c r="BQ37" i="47"/>
  <c r="AG32" i="47"/>
  <c r="BW32" i="47"/>
  <c r="BQ33" i="47"/>
  <c r="AS34" i="47"/>
  <c r="BK34" i="47"/>
  <c r="CO12" i="40"/>
  <c r="CN12" i="40"/>
  <c r="CM12" i="40"/>
  <c r="CL12" i="40"/>
  <c r="CK12" i="40"/>
  <c r="CJ12" i="40"/>
  <c r="CI12" i="40"/>
  <c r="CH12" i="40"/>
  <c r="CA12" i="40"/>
  <c r="BZ12" i="40"/>
  <c r="BY12" i="40"/>
  <c r="BV12" i="40"/>
  <c r="BU12" i="40"/>
  <c r="BT12" i="40"/>
  <c r="BS12" i="40"/>
  <c r="BR12" i="40"/>
  <c r="BW12" i="40"/>
  <c r="BP12" i="40"/>
  <c r="BO12" i="40"/>
  <c r="BN12" i="40"/>
  <c r="BM12" i="40"/>
  <c r="BL12" i="40"/>
  <c r="BQ12" i="40"/>
  <c r="BJ12" i="40"/>
  <c r="BI12" i="40"/>
  <c r="BH12" i="40"/>
  <c r="BG12" i="40"/>
  <c r="BF12" i="40"/>
  <c r="BK12" i="40"/>
  <c r="BD12" i="40"/>
  <c r="BC12" i="40"/>
  <c r="BB12" i="40"/>
  <c r="BA12" i="40"/>
  <c r="AZ12" i="40"/>
  <c r="BE12" i="40"/>
  <c r="AX12" i="40"/>
  <c r="AW12" i="40"/>
  <c r="AV12" i="40"/>
  <c r="AU12" i="40"/>
  <c r="AT12" i="40"/>
  <c r="AY12" i="40"/>
  <c r="AR12" i="40"/>
  <c r="AQ12" i="40"/>
  <c r="AP12" i="40"/>
  <c r="AO12" i="40"/>
  <c r="AN12" i="40"/>
  <c r="AS12" i="40"/>
  <c r="AL12" i="40"/>
  <c r="AK12" i="40"/>
  <c r="AJ12" i="40"/>
  <c r="AI12" i="40"/>
  <c r="AH12" i="40"/>
  <c r="AM12" i="40"/>
  <c r="AF12" i="40"/>
  <c r="AE12" i="40"/>
  <c r="AD12" i="40"/>
  <c r="AC12" i="40"/>
  <c r="AB12" i="40"/>
  <c r="AG12" i="40"/>
  <c r="CO11" i="40"/>
  <c r="CN11" i="40"/>
  <c r="CM11" i="40"/>
  <c r="CL11" i="40"/>
  <c r="CK11" i="40"/>
  <c r="CJ11" i="40"/>
  <c r="CI11" i="40"/>
  <c r="CH11" i="40"/>
  <c r="CA11" i="40"/>
  <c r="BZ11" i="40"/>
  <c r="BY11" i="40"/>
  <c r="BV11" i="40"/>
  <c r="BU11" i="40"/>
  <c r="BT11" i="40"/>
  <c r="BS11" i="40"/>
  <c r="BR11" i="40"/>
  <c r="BW11" i="40"/>
  <c r="BP11" i="40"/>
  <c r="BO11" i="40"/>
  <c r="BN11" i="40"/>
  <c r="BM11" i="40"/>
  <c r="BL11" i="40"/>
  <c r="BQ11" i="40"/>
  <c r="BJ11" i="40"/>
  <c r="BI11" i="40"/>
  <c r="BH11" i="40"/>
  <c r="BG11" i="40"/>
  <c r="BF11" i="40"/>
  <c r="BK11" i="40"/>
  <c r="BD11" i="40"/>
  <c r="BC11" i="40"/>
  <c r="BB11" i="40"/>
  <c r="BA11" i="40"/>
  <c r="AZ11" i="40"/>
  <c r="BE11" i="40"/>
  <c r="AX11" i="40"/>
  <c r="AW11" i="40"/>
  <c r="AV11" i="40"/>
  <c r="AU11" i="40"/>
  <c r="AT11" i="40"/>
  <c r="AY11" i="40"/>
  <c r="AR11" i="40"/>
  <c r="AQ11" i="40"/>
  <c r="AP11" i="40"/>
  <c r="AO11" i="40"/>
  <c r="AN11" i="40"/>
  <c r="AS11" i="40"/>
  <c r="AL11" i="40"/>
  <c r="AK11" i="40"/>
  <c r="AJ11" i="40"/>
  <c r="AI11" i="40"/>
  <c r="AH11" i="40"/>
  <c r="AM11" i="40"/>
  <c r="AF11" i="40"/>
  <c r="AE11" i="40"/>
  <c r="AD11" i="40"/>
  <c r="AC11" i="40"/>
  <c r="AB11" i="40"/>
  <c r="AG11" i="40"/>
  <c r="AZ14" i="15"/>
  <c r="BI14" i="15"/>
  <c r="R14" i="28"/>
  <c r="Q14" i="28"/>
  <c r="P14" i="28"/>
  <c r="O14" i="28"/>
  <c r="N14" i="28"/>
  <c r="K17" i="28"/>
  <c r="L17" i="28"/>
  <c r="M17" i="28"/>
  <c r="N17" i="28"/>
  <c r="O17" i="28"/>
  <c r="O138" i="19"/>
  <c r="N138" i="19"/>
  <c r="M138" i="19"/>
  <c r="L138" i="19"/>
  <c r="K138" i="19"/>
  <c r="O131" i="19"/>
  <c r="N131" i="19"/>
  <c r="M131" i="19"/>
  <c r="L131" i="19"/>
  <c r="K131" i="19"/>
  <c r="Q11" i="17"/>
  <c r="N39" i="13"/>
  <c r="M39" i="13"/>
  <c r="P12" i="28"/>
  <c r="P11" i="28"/>
  <c r="P15" i="28"/>
  <c r="N30" i="28"/>
  <c r="L101" i="19"/>
  <c r="L118" i="19"/>
  <c r="L88" i="19"/>
  <c r="L111" i="19"/>
  <c r="M101" i="19"/>
  <c r="M118" i="19"/>
  <c r="M88" i="19"/>
  <c r="M111" i="19"/>
  <c r="N101" i="19"/>
  <c r="N118" i="19"/>
  <c r="N88" i="19"/>
  <c r="N111" i="19"/>
  <c r="K101" i="19"/>
  <c r="K118" i="19"/>
  <c r="K88" i="19"/>
  <c r="K111" i="19"/>
  <c r="AA26" i="23"/>
  <c r="AA28" i="23"/>
  <c r="AA29" i="23"/>
  <c r="AA30" i="23"/>
  <c r="AA31" i="23"/>
  <c r="AA32" i="23"/>
  <c r="AB25" i="23"/>
  <c r="AB26" i="23"/>
  <c r="AB27" i="23"/>
  <c r="AC25" i="23"/>
  <c r="AC26" i="23"/>
  <c r="AC27" i="23"/>
  <c r="AC28" i="23"/>
  <c r="AC29" i="23"/>
  <c r="AC30" i="23"/>
  <c r="AC31" i="23"/>
  <c r="AC32" i="23"/>
  <c r="AD25" i="23"/>
  <c r="AD26" i="23"/>
  <c r="AD28" i="23"/>
  <c r="AD29" i="23"/>
  <c r="AD30" i="23"/>
  <c r="AD31" i="23"/>
  <c r="AD32" i="23"/>
  <c r="Z25" i="23"/>
  <c r="Z27" i="23"/>
  <c r="Z28" i="23"/>
  <c r="Z29" i="23"/>
  <c r="Z30" i="23"/>
  <c r="Z31" i="23"/>
  <c r="AE58" i="23"/>
  <c r="AE57" i="23"/>
  <c r="AE56" i="23"/>
  <c r="AE55" i="23"/>
  <c r="AE54" i="23"/>
  <c r="AE53" i="23"/>
  <c r="AE52" i="23"/>
  <c r="AE51" i="23"/>
  <c r="AE50" i="23"/>
  <c r="AE49" i="23"/>
  <c r="AD59" i="23"/>
  <c r="K19" i="20"/>
  <c r="AC59" i="23"/>
  <c r="J19" i="20"/>
  <c r="AB59" i="23"/>
  <c r="I19" i="20"/>
  <c r="AA59" i="23"/>
  <c r="H19" i="20"/>
  <c r="Z59" i="23"/>
  <c r="G19" i="20"/>
  <c r="AE35" i="23"/>
  <c r="B108" i="19"/>
  <c r="B77" i="19"/>
  <c r="B97" i="19"/>
  <c r="B96" i="19"/>
  <c r="B95" i="19"/>
  <c r="B94" i="19"/>
  <c r="B92" i="19"/>
  <c r="B114" i="19"/>
  <c r="I80" i="19"/>
  <c r="B84" i="19"/>
  <c r="B107" i="19"/>
  <c r="X33" i="23"/>
  <c r="AH6" i="15"/>
  <c r="AZ6" i="15"/>
  <c r="AG6" i="15"/>
  <c r="AY6" i="15"/>
  <c r="AF6" i="15"/>
  <c r="AX6" i="15"/>
  <c r="AE6" i="15"/>
  <c r="AW6" i="15"/>
  <c r="AD6" i="15"/>
  <c r="AV6" i="15"/>
  <c r="X32" i="23"/>
  <c r="X45" i="23"/>
  <c r="X31" i="23"/>
  <c r="X44" i="23"/>
  <c r="X30" i="23"/>
  <c r="X43" i="23"/>
  <c r="X29" i="23"/>
  <c r="X42" i="23"/>
  <c r="X28" i="23"/>
  <c r="X41" i="23"/>
  <c r="X27" i="23"/>
  <c r="X40" i="23"/>
  <c r="X26" i="23"/>
  <c r="X39" i="23"/>
  <c r="X25" i="23"/>
  <c r="X38" i="23"/>
  <c r="X24" i="23"/>
  <c r="X37" i="23"/>
  <c r="X23" i="23"/>
  <c r="X36" i="23"/>
  <c r="X9" i="60"/>
  <c r="W9" i="60"/>
  <c r="V9" i="60"/>
  <c r="U9" i="60"/>
  <c r="T9" i="60"/>
  <c r="AD27" i="23"/>
  <c r="B49" i="61"/>
  <c r="B58" i="61"/>
  <c r="B57" i="61"/>
  <c r="B56" i="61"/>
  <c r="B55" i="61"/>
  <c r="B54" i="61"/>
  <c r="B53" i="61"/>
  <c r="B52" i="61"/>
  <c r="B51" i="61"/>
  <c r="B50" i="61"/>
  <c r="B18" i="62"/>
  <c r="B19" i="62"/>
  <c r="B17" i="62"/>
  <c r="B8" i="62"/>
  <c r="J14" i="62"/>
  <c r="I14" i="62"/>
  <c r="H14" i="62"/>
  <c r="G14" i="62"/>
  <c r="F14" i="62"/>
  <c r="E14" i="62"/>
  <c r="D14" i="62"/>
  <c r="C14" i="62"/>
  <c r="B14" i="62"/>
  <c r="J13" i="62"/>
  <c r="I13" i="62"/>
  <c r="H13" i="62"/>
  <c r="G13" i="62"/>
  <c r="F13" i="62"/>
  <c r="E13" i="62"/>
  <c r="D13" i="62"/>
  <c r="C13" i="62"/>
  <c r="B13" i="62"/>
  <c r="J9" i="62"/>
  <c r="J8" i="62"/>
  <c r="B12" i="62"/>
  <c r="B9" i="62"/>
  <c r="I9" i="62"/>
  <c r="H9" i="62"/>
  <c r="G9" i="62"/>
  <c r="F9" i="62"/>
  <c r="I8" i="62"/>
  <c r="H8" i="62"/>
  <c r="G8" i="62"/>
  <c r="F8" i="62"/>
  <c r="E8" i="62"/>
  <c r="M13" i="61"/>
  <c r="M12" i="61"/>
  <c r="G13" i="61"/>
  <c r="G12" i="61"/>
  <c r="B14" i="61"/>
  <c r="Z48" i="19"/>
  <c r="Y48" i="19"/>
  <c r="X48" i="19"/>
  <c r="W48" i="19"/>
  <c r="V48" i="19"/>
  <c r="U48" i="19"/>
  <c r="T48" i="19"/>
  <c r="S48" i="19"/>
  <c r="B23" i="61"/>
  <c r="D29" i="61"/>
  <c r="B33" i="61"/>
  <c r="B16" i="61"/>
  <c r="B32" i="61"/>
  <c r="B15" i="61"/>
  <c r="B31" i="61"/>
  <c r="B30" i="61"/>
  <c r="B39" i="61"/>
  <c r="B38" i="61"/>
  <c r="B37" i="61"/>
  <c r="B36" i="61"/>
  <c r="B42" i="61"/>
  <c r="B6" i="61"/>
  <c r="M22" i="61"/>
  <c r="M21" i="61"/>
  <c r="B25" i="61"/>
  <c r="B8" i="61"/>
  <c r="B43" i="61"/>
  <c r="B24" i="61"/>
  <c r="B7" i="61"/>
  <c r="G22" i="61"/>
  <c r="G21" i="61"/>
  <c r="N3" i="42"/>
  <c r="M3" i="42"/>
  <c r="L3" i="42"/>
  <c r="N15" i="42"/>
  <c r="M15" i="42"/>
  <c r="L15" i="42"/>
  <c r="N54" i="59"/>
  <c r="N55" i="59"/>
  <c r="H57" i="59"/>
  <c r="G57" i="59"/>
  <c r="N52" i="59"/>
  <c r="CO21" i="47"/>
  <c r="CO29" i="47"/>
  <c r="CN21" i="47"/>
  <c r="CN29" i="47"/>
  <c r="CM21" i="47"/>
  <c r="CM29" i="47"/>
  <c r="CL21" i="47"/>
  <c r="CL29" i="47"/>
  <c r="CK21" i="47"/>
  <c r="CK29" i="47"/>
  <c r="CK13" i="47"/>
  <c r="CK20" i="47"/>
  <c r="CK28" i="47"/>
  <c r="CL13" i="47"/>
  <c r="CL20" i="47"/>
  <c r="CL28" i="47"/>
  <c r="CK8" i="47"/>
  <c r="CK15" i="47"/>
  <c r="CK23" i="47"/>
  <c r="CK26" i="47"/>
  <c r="CL26" i="47"/>
  <c r="CM26" i="47"/>
  <c r="CN26" i="47"/>
  <c r="CO26" i="47"/>
  <c r="CK27" i="47"/>
  <c r="CL27" i="47"/>
  <c r="CM27" i="47"/>
  <c r="CN27" i="47"/>
  <c r="CO27" i="47"/>
  <c r="CK10" i="47"/>
  <c r="CK17" i="47"/>
  <c r="CK25" i="47"/>
  <c r="CK12" i="47"/>
  <c r="CK19" i="47"/>
  <c r="CO8" i="47"/>
  <c r="CO15" i="47"/>
  <c r="CO23" i="47"/>
  <c r="CO11" i="47"/>
  <c r="CO12" i="47"/>
  <c r="CO18" i="47"/>
  <c r="CO19" i="47"/>
  <c r="CN8" i="47"/>
  <c r="CN15" i="47"/>
  <c r="CN23" i="47"/>
  <c r="CN11" i="47"/>
  <c r="CN12" i="47"/>
  <c r="CN18" i="47"/>
  <c r="CN19" i="47"/>
  <c r="CM8" i="47"/>
  <c r="CM15" i="47"/>
  <c r="CM23" i="47"/>
  <c r="CM11" i="47"/>
  <c r="CM12" i="47"/>
  <c r="CM18" i="47"/>
  <c r="CM19" i="47"/>
  <c r="CK11" i="47"/>
  <c r="CL12" i="47"/>
  <c r="CK18" i="47"/>
  <c r="N41" i="59"/>
  <c r="N18" i="59"/>
  <c r="K13" i="56"/>
  <c r="K5" i="56"/>
  <c r="M45" i="59"/>
  <c r="L45" i="59"/>
  <c r="K45" i="59"/>
  <c r="G43" i="59"/>
  <c r="H43" i="59"/>
  <c r="G42" i="59"/>
  <c r="H42" i="59"/>
  <c r="F34" i="60"/>
  <c r="F20" i="60"/>
  <c r="P33" i="60"/>
  <c r="P32" i="60"/>
  <c r="P30" i="60"/>
  <c r="H22" i="60"/>
  <c r="J39" i="60"/>
  <c r="I39" i="60"/>
  <c r="H39" i="60"/>
  <c r="G39" i="60"/>
  <c r="F39" i="60"/>
  <c r="E39" i="60"/>
  <c r="J38" i="60"/>
  <c r="I38" i="60"/>
  <c r="H38" i="60"/>
  <c r="G38" i="60"/>
  <c r="F38" i="60"/>
  <c r="J37" i="60"/>
  <c r="I37" i="60"/>
  <c r="H37" i="60"/>
  <c r="G37" i="60"/>
  <c r="F37" i="60"/>
  <c r="D38" i="60"/>
  <c r="D39" i="60"/>
  <c r="J34" i="60"/>
  <c r="J20" i="60"/>
  <c r="I34" i="60"/>
  <c r="I20" i="60"/>
  <c r="I22" i="60"/>
  <c r="G34" i="60"/>
  <c r="G20" i="60"/>
  <c r="E34" i="60"/>
  <c r="E20" i="60"/>
  <c r="D34" i="60"/>
  <c r="D20" i="60"/>
  <c r="CJ29" i="47"/>
  <c r="CI29" i="47"/>
  <c r="CH29" i="47"/>
  <c r="CO28" i="47"/>
  <c r="CN28" i="47"/>
  <c r="CM28" i="47"/>
  <c r="CJ28" i="47"/>
  <c r="CI28" i="47"/>
  <c r="CH28" i="47"/>
  <c r="CJ27" i="47"/>
  <c r="CI27" i="47"/>
  <c r="CH27" i="47"/>
  <c r="CJ26" i="47"/>
  <c r="CI26" i="47"/>
  <c r="CH26" i="47"/>
  <c r="CO25" i="47"/>
  <c r="CN25" i="47"/>
  <c r="CM25" i="47"/>
  <c r="CL25" i="47"/>
  <c r="CJ25" i="47"/>
  <c r="CI25" i="47"/>
  <c r="CH25" i="47"/>
  <c r="CO24" i="47"/>
  <c r="CN24" i="47"/>
  <c r="CM24" i="47"/>
  <c r="CL24" i="47"/>
  <c r="CK24" i="47"/>
  <c r="CJ24" i="47"/>
  <c r="CI24" i="47"/>
  <c r="CH24" i="47"/>
  <c r="CL23" i="47"/>
  <c r="J60" i="19"/>
  <c r="F42" i="61"/>
  <c r="I60" i="19"/>
  <c r="E42" i="61"/>
  <c r="H60" i="19"/>
  <c r="D42" i="61"/>
  <c r="C10" i="42"/>
  <c r="D10" i="42"/>
  <c r="E10" i="42"/>
  <c r="L48" i="53"/>
  <c r="F48" i="53"/>
  <c r="E48" i="53"/>
  <c r="D48" i="53"/>
  <c r="I55" i="29"/>
  <c r="AX8" i="13"/>
  <c r="AX6" i="13"/>
  <c r="AF9" i="13"/>
  <c r="AZ8" i="13"/>
  <c r="AH9" i="13"/>
  <c r="AI8" i="13"/>
  <c r="BA8" i="13"/>
  <c r="BA9" i="13"/>
  <c r="AE9" i="13"/>
  <c r="AE7" i="13"/>
  <c r="AE8" i="13"/>
  <c r="AE6" i="13"/>
  <c r="AW6" i="13"/>
  <c r="AW8" i="13"/>
  <c r="AW9" i="13"/>
  <c r="AY8" i="13"/>
  <c r="AG9" i="13"/>
  <c r="N37" i="23"/>
  <c r="N38" i="23"/>
  <c r="N16" i="28"/>
  <c r="AD6" i="13"/>
  <c r="K40" i="23"/>
  <c r="I39" i="23"/>
  <c r="L36" i="23"/>
  <c r="K36" i="23"/>
  <c r="H36" i="23"/>
  <c r="J35" i="23"/>
  <c r="J34" i="23"/>
  <c r="I29" i="23"/>
  <c r="J40" i="23"/>
  <c r="I40" i="23"/>
  <c r="H40" i="23"/>
  <c r="J39" i="23"/>
  <c r="I38" i="23"/>
  <c r="H38" i="23"/>
  <c r="I35" i="23"/>
  <c r="I34" i="23"/>
  <c r="H34" i="23"/>
  <c r="K17" i="23"/>
  <c r="H17" i="23"/>
  <c r="F9" i="20"/>
  <c r="L6" i="28"/>
  <c r="M6" i="28"/>
  <c r="N6" i="28"/>
  <c r="O6" i="28"/>
  <c r="P6" i="28"/>
  <c r="Q11" i="28"/>
  <c r="Q15" i="28"/>
  <c r="K13" i="28"/>
  <c r="L13" i="28"/>
  <c r="M13" i="28"/>
  <c r="N13" i="28"/>
  <c r="O13" i="28"/>
  <c r="P13" i="28"/>
  <c r="AS11" i="15"/>
  <c r="AT11" i="15"/>
  <c r="AU11" i="15"/>
  <c r="AV11" i="15"/>
  <c r="AW11" i="15"/>
  <c r="AX11" i="15"/>
  <c r="AY11" i="15"/>
  <c r="AZ11" i="15"/>
  <c r="AC11" i="15"/>
  <c r="AA11" i="15"/>
  <c r="AB11" i="15"/>
  <c r="AD11" i="15"/>
  <c r="AE11" i="15"/>
  <c r="AF11" i="15"/>
  <c r="AH11" i="15"/>
  <c r="L10" i="19"/>
  <c r="U8" i="19"/>
  <c r="F11" i="20"/>
  <c r="G13" i="48"/>
  <c r="D18" i="20"/>
  <c r="M36" i="26"/>
  <c r="J21" i="28"/>
  <c r="AY14" i="15"/>
  <c r="BH14" i="15"/>
  <c r="P44" i="52"/>
  <c r="BY5" i="47"/>
  <c r="N25" i="28"/>
  <c r="C12" i="62"/>
  <c r="M25" i="28"/>
  <c r="L25" i="28"/>
  <c r="K25" i="28"/>
  <c r="X18" i="53"/>
  <c r="N2" i="44"/>
  <c r="E17" i="62"/>
  <c r="Y12" i="53"/>
  <c r="Y13" i="53"/>
  <c r="X12" i="53"/>
  <c r="Y18" i="53"/>
  <c r="AA49" i="54"/>
  <c r="AB49" i="54"/>
  <c r="AC49" i="54"/>
  <c r="AD49" i="54"/>
  <c r="AE49" i="54"/>
  <c r="AF49" i="54"/>
  <c r="Z49" i="54"/>
  <c r="Y49" i="54"/>
  <c r="X49" i="54"/>
  <c r="AF42" i="54"/>
  <c r="AA42" i="54"/>
  <c r="Z42" i="54"/>
  <c r="Y42" i="54"/>
  <c r="X42" i="54"/>
  <c r="AF4" i="54"/>
  <c r="AA4" i="54"/>
  <c r="Z4" i="54"/>
  <c r="Y4" i="54"/>
  <c r="X4" i="54"/>
  <c r="X18" i="52"/>
  <c r="AP4" i="52"/>
  <c r="AK4" i="52"/>
  <c r="AJ4" i="52"/>
  <c r="AI4" i="52"/>
  <c r="AH4" i="52"/>
  <c r="AF44" i="44"/>
  <c r="AF30" i="44"/>
  <c r="AF17" i="44"/>
  <c r="W44" i="44"/>
  <c r="W30" i="44"/>
  <c r="W17" i="44"/>
  <c r="E44" i="44"/>
  <c r="N44" i="44"/>
  <c r="N30" i="44"/>
  <c r="E30" i="44"/>
  <c r="E17" i="44"/>
  <c r="N17" i="44"/>
  <c r="E9" i="44"/>
  <c r="N9" i="44"/>
  <c r="AF9" i="44"/>
  <c r="W9" i="44"/>
  <c r="F6" i="61"/>
  <c r="AV9" i="13"/>
  <c r="AJ5" i="47"/>
  <c r="N43" i="28"/>
  <c r="M43" i="28"/>
  <c r="L43" i="28"/>
  <c r="K43" i="28"/>
  <c r="O43" i="28"/>
  <c r="N46" i="28"/>
  <c r="O46" i="28"/>
  <c r="P46" i="28"/>
  <c r="CI16" i="47"/>
  <c r="AH5" i="47"/>
  <c r="N44" i="28"/>
  <c r="O44" i="28"/>
  <c r="P44" i="28"/>
  <c r="AI5" i="47"/>
  <c r="N45" i="28"/>
  <c r="O45" i="28"/>
  <c r="P45" i="28"/>
  <c r="Q45" i="28"/>
  <c r="R45" i="28"/>
  <c r="S45" i="28"/>
  <c r="T45" i="28"/>
  <c r="U45" i="28"/>
  <c r="AK5" i="47"/>
  <c r="N47" i="28"/>
  <c r="O47" i="28"/>
  <c r="P47" i="28"/>
  <c r="Q47" i="28"/>
  <c r="R47" i="28"/>
  <c r="S47" i="28"/>
  <c r="T47" i="28"/>
  <c r="U47" i="28"/>
  <c r="U9" i="7"/>
  <c r="U10" i="7"/>
  <c r="U11" i="7"/>
  <c r="U12" i="7"/>
  <c r="U7" i="7"/>
  <c r="U8" i="7"/>
  <c r="U13" i="7"/>
  <c r="U14" i="7"/>
  <c r="U15" i="7"/>
  <c r="U16" i="7"/>
  <c r="U17" i="7"/>
  <c r="U18" i="7"/>
  <c r="U19" i="7"/>
  <c r="U20" i="7"/>
  <c r="U21" i="7"/>
  <c r="U22" i="7"/>
  <c r="U23" i="7"/>
  <c r="U24" i="7"/>
  <c r="U25" i="7"/>
  <c r="U26" i="7"/>
  <c r="U27" i="7"/>
  <c r="U28" i="7"/>
  <c r="U29" i="7"/>
  <c r="U30" i="7"/>
  <c r="U31" i="7"/>
  <c r="U32" i="7"/>
  <c r="U33" i="7"/>
  <c r="U34" i="7"/>
  <c r="U35" i="7"/>
  <c r="U36" i="7"/>
  <c r="U37" i="7"/>
  <c r="U29" i="11"/>
  <c r="U30" i="11"/>
  <c r="U31" i="11"/>
  <c r="U32" i="11"/>
  <c r="U33" i="11"/>
  <c r="U34" i="11"/>
  <c r="U35" i="11"/>
  <c r="U36" i="11"/>
  <c r="U37" i="11"/>
  <c r="F5" i="56"/>
  <c r="E5" i="56"/>
  <c r="AT9" i="13"/>
  <c r="AU9" i="13"/>
  <c r="AC6" i="15"/>
  <c r="AL5" i="15"/>
  <c r="O25" i="28"/>
  <c r="D12" i="62"/>
  <c r="P25" i="28"/>
  <c r="E12" i="62"/>
  <c r="Q25" i="28"/>
  <c r="F12" i="62"/>
  <c r="K28" i="28"/>
  <c r="L28" i="28"/>
  <c r="M28" i="28"/>
  <c r="N28" i="28"/>
  <c r="O28" i="28"/>
  <c r="P28" i="28"/>
  <c r="Q28" i="28"/>
  <c r="R28" i="28"/>
  <c r="S28" i="28"/>
  <c r="T28" i="28"/>
  <c r="U28" i="28"/>
  <c r="AU6" i="15"/>
  <c r="AC7" i="15"/>
  <c r="AU7" i="15"/>
  <c r="AC9" i="15"/>
  <c r="AU9" i="15"/>
  <c r="AR5" i="47"/>
  <c r="P43" i="28"/>
  <c r="N48" i="28"/>
  <c r="O48" i="28"/>
  <c r="P48" i="28"/>
  <c r="AD7" i="15"/>
  <c r="AV7" i="15"/>
  <c r="AV9" i="15"/>
  <c r="AD12" i="15"/>
  <c r="AU5" i="47"/>
  <c r="Q43" i="28"/>
  <c r="AE7" i="15"/>
  <c r="AW7" i="15"/>
  <c r="AE9" i="15"/>
  <c r="AW9" i="15"/>
  <c r="AE12" i="15"/>
  <c r="AW12" i="15"/>
  <c r="AF7" i="15"/>
  <c r="AX7" i="15"/>
  <c r="AF9" i="15"/>
  <c r="AX9" i="15"/>
  <c r="AF12" i="15"/>
  <c r="AX12" i="15"/>
  <c r="AG7" i="15"/>
  <c r="AY7" i="15"/>
  <c r="AG9" i="15"/>
  <c r="AY9" i="15"/>
  <c r="AH7" i="15"/>
  <c r="AZ7" i="15"/>
  <c r="AH9" i="15"/>
  <c r="AZ9" i="15"/>
  <c r="AH12" i="15"/>
  <c r="AZ12" i="15"/>
  <c r="AN5" i="47"/>
  <c r="AP5" i="47"/>
  <c r="CA5" i="47"/>
  <c r="AO5" i="47"/>
  <c r="BC6" i="6"/>
  <c r="BD6" i="6"/>
  <c r="BE6" i="6"/>
  <c r="BF6" i="6"/>
  <c r="BG6" i="6"/>
  <c r="V26" i="6"/>
  <c r="V27" i="6"/>
  <c r="V28" i="6"/>
  <c r="V29" i="6"/>
  <c r="V30" i="6"/>
  <c r="V31" i="6"/>
  <c r="V32" i="6"/>
  <c r="V33" i="6"/>
  <c r="V34" i="6"/>
  <c r="V35" i="6"/>
  <c r="V36" i="6"/>
  <c r="V37" i="6"/>
  <c r="V38" i="6"/>
  <c r="K34" i="23"/>
  <c r="E39" i="17"/>
  <c r="D2" i="57"/>
  <c r="E18" i="57"/>
  <c r="CJ7" i="9"/>
  <c r="P15" i="5"/>
  <c r="Z26" i="6"/>
  <c r="Z27" i="6"/>
  <c r="Z28" i="6"/>
  <c r="Z29" i="6"/>
  <c r="Z30" i="6"/>
  <c r="Z31" i="6"/>
  <c r="Z32" i="6"/>
  <c r="Z33" i="6"/>
  <c r="Z34" i="6"/>
  <c r="Z35" i="6"/>
  <c r="Z36" i="6"/>
  <c r="Z37" i="6"/>
  <c r="Z38" i="6"/>
  <c r="Z29" i="11"/>
  <c r="Z30" i="11"/>
  <c r="Z31" i="11"/>
  <c r="Z32" i="11"/>
  <c r="Z33" i="11"/>
  <c r="Z34" i="11"/>
  <c r="Z35" i="11"/>
  <c r="Z36" i="11"/>
  <c r="Z37" i="11"/>
  <c r="L40" i="55"/>
  <c r="L37" i="55"/>
  <c r="BQ4" i="54"/>
  <c r="Q40" i="55"/>
  <c r="P40" i="55"/>
  <c r="O40" i="55"/>
  <c r="N40" i="55"/>
  <c r="M40" i="55"/>
  <c r="Q15" i="5"/>
  <c r="O15" i="5"/>
  <c r="N15" i="5"/>
  <c r="M15" i="5"/>
  <c r="Q32" i="4"/>
  <c r="P32" i="4"/>
  <c r="O32" i="4"/>
  <c r="N32" i="4"/>
  <c r="M32" i="4"/>
  <c r="E3" i="42"/>
  <c r="D3" i="42"/>
  <c r="C3" i="42"/>
  <c r="E40" i="42"/>
  <c r="D40" i="42"/>
  <c r="E39" i="42"/>
  <c r="D39" i="42"/>
  <c r="E38" i="42"/>
  <c r="D38" i="42"/>
  <c r="E37" i="42"/>
  <c r="D37" i="42"/>
  <c r="E36" i="42"/>
  <c r="D36" i="42"/>
  <c r="E35" i="42"/>
  <c r="D35" i="42"/>
  <c r="E34" i="42"/>
  <c r="D34" i="42"/>
  <c r="E33" i="42"/>
  <c r="D33" i="42"/>
  <c r="E32" i="42"/>
  <c r="D32" i="42"/>
  <c r="E31" i="42"/>
  <c r="D31" i="42"/>
  <c r="E30" i="42"/>
  <c r="D30" i="42"/>
  <c r="E29" i="42"/>
  <c r="D29" i="42"/>
  <c r="E28" i="42"/>
  <c r="D28" i="42"/>
  <c r="E27" i="42"/>
  <c r="D27" i="42"/>
  <c r="E26" i="42"/>
  <c r="D26" i="42"/>
  <c r="E25" i="42"/>
  <c r="D25" i="42"/>
  <c r="E24" i="42"/>
  <c r="D24" i="42"/>
  <c r="E23" i="42"/>
  <c r="D23" i="42"/>
  <c r="E22" i="42"/>
  <c r="D22" i="42"/>
  <c r="E21" i="42"/>
  <c r="D21" i="42"/>
  <c r="E20" i="42"/>
  <c r="D20" i="42"/>
  <c r="E19" i="42"/>
  <c r="D19" i="42"/>
  <c r="E18" i="42"/>
  <c r="D18" i="42"/>
  <c r="E17" i="42"/>
  <c r="D17" i="42"/>
  <c r="E16" i="42"/>
  <c r="D16" i="42"/>
  <c r="E15" i="42"/>
  <c r="D15" i="42"/>
  <c r="E14" i="42"/>
  <c r="D14" i="42"/>
  <c r="E13" i="42"/>
  <c r="D13" i="42"/>
  <c r="E12" i="42"/>
  <c r="D12" i="42"/>
  <c r="E11" i="42"/>
  <c r="D11" i="42"/>
  <c r="E9" i="42"/>
  <c r="D9" i="42"/>
  <c r="E8" i="42"/>
  <c r="D8" i="42"/>
  <c r="E7" i="42"/>
  <c r="D7" i="42"/>
  <c r="E6" i="42"/>
  <c r="D6" i="42"/>
  <c r="E5" i="42"/>
  <c r="D5" i="42"/>
  <c r="E4" i="42"/>
  <c r="D4" i="42"/>
  <c r="D7" i="48"/>
  <c r="AZ26" i="54"/>
  <c r="AV11" i="13"/>
  <c r="AV10" i="13"/>
  <c r="BJ24" i="52"/>
  <c r="N37" i="15"/>
  <c r="P39" i="17"/>
  <c r="AX14" i="15"/>
  <c r="BG14" i="15"/>
  <c r="AX5" i="47"/>
  <c r="Q48" i="28"/>
  <c r="R48" i="28"/>
  <c r="S48" i="28"/>
  <c r="T48" i="28"/>
  <c r="U48" i="28"/>
  <c r="AD5" i="47"/>
  <c r="AC5" i="47"/>
  <c r="CH16" i="47"/>
  <c r="AV5" i="47"/>
  <c r="J25" i="19"/>
  <c r="CW31" i="4"/>
  <c r="CV31" i="4"/>
  <c r="CU31" i="4"/>
  <c r="CT31" i="4"/>
  <c r="CR31" i="4"/>
  <c r="CQ31" i="4"/>
  <c r="CX31" i="4"/>
  <c r="CS31" i="4"/>
  <c r="X8" i="19"/>
  <c r="J14" i="19"/>
  <c r="J54" i="19"/>
  <c r="J40" i="19"/>
  <c r="I54" i="19"/>
  <c r="H54" i="19"/>
  <c r="Z32" i="53"/>
  <c r="Y32" i="53"/>
  <c r="X32" i="53"/>
  <c r="Z6" i="53"/>
  <c r="P32" i="53"/>
  <c r="F32" i="53"/>
  <c r="P6" i="53"/>
  <c r="F41" i="53"/>
  <c r="F6" i="53"/>
  <c r="BD4" i="54"/>
  <c r="BD42" i="54"/>
  <c r="AT42" i="54"/>
  <c r="AT4" i="54"/>
  <c r="AJ4" i="54"/>
  <c r="AJ42" i="54"/>
  <c r="P42" i="54"/>
  <c r="P4" i="54"/>
  <c r="F42" i="54"/>
  <c r="F4" i="54"/>
  <c r="BD36" i="52"/>
  <c r="BN4" i="52"/>
  <c r="BD4" i="52"/>
  <c r="AT4" i="52"/>
  <c r="Z4" i="52"/>
  <c r="P4" i="52"/>
  <c r="F4" i="52"/>
  <c r="P9" i="17"/>
  <c r="E9" i="17"/>
  <c r="S5" i="17"/>
  <c r="L45" i="40"/>
  <c r="CJ10" i="40"/>
  <c r="CJ9" i="40"/>
  <c r="CJ8" i="40"/>
  <c r="CJ7" i="40"/>
  <c r="CJ6" i="40"/>
  <c r="CS36" i="40"/>
  <c r="CS35" i="40"/>
  <c r="CS34" i="40"/>
  <c r="CS33" i="40"/>
  <c r="CS32" i="40"/>
  <c r="CS31" i="40"/>
  <c r="CS30" i="40"/>
  <c r="CS29" i="40"/>
  <c r="CS28" i="40"/>
  <c r="CS27" i="40"/>
  <c r="CS26" i="40"/>
  <c r="CS25" i="40"/>
  <c r="CS24" i="40"/>
  <c r="CS23" i="40"/>
  <c r="CS22" i="40"/>
  <c r="CS21" i="40"/>
  <c r="CS20" i="40"/>
  <c r="CS19" i="40"/>
  <c r="CS18" i="40"/>
  <c r="CS17" i="40"/>
  <c r="CS16" i="40"/>
  <c r="CS15" i="40"/>
  <c r="CS14" i="40"/>
  <c r="CS13" i="40"/>
  <c r="CS44" i="40"/>
  <c r="CS43" i="40"/>
  <c r="AR5" i="40"/>
  <c r="AN5" i="40"/>
  <c r="AN41" i="40"/>
  <c r="AM5" i="40"/>
  <c r="AM41" i="40"/>
  <c r="AL5" i="40"/>
  <c r="AL41" i="40"/>
  <c r="AK5" i="40"/>
  <c r="AK41" i="40"/>
  <c r="AJ5" i="40"/>
  <c r="AJ41" i="40"/>
  <c r="AI5" i="40"/>
  <c r="AI41" i="40"/>
  <c r="AH5" i="40"/>
  <c r="AH41" i="40"/>
  <c r="AG5" i="40"/>
  <c r="AG41" i="40"/>
  <c r="AF5" i="40"/>
  <c r="AF41" i="40"/>
  <c r="AE5" i="40"/>
  <c r="AE41" i="40"/>
  <c r="AD5" i="40"/>
  <c r="AD41" i="40"/>
  <c r="AC5" i="40"/>
  <c r="AC41" i="40"/>
  <c r="AB5" i="40"/>
  <c r="AB41" i="40"/>
  <c r="AS5" i="40"/>
  <c r="AS41" i="40"/>
  <c r="AQ5" i="40"/>
  <c r="AQ41" i="40"/>
  <c r="AP5" i="40"/>
  <c r="AO5" i="40"/>
  <c r="AO41" i="40"/>
  <c r="CA45" i="40"/>
  <c r="CJ45" i="40"/>
  <c r="CS41" i="40"/>
  <c r="CR41" i="40"/>
  <c r="CQ41" i="40"/>
  <c r="CJ41" i="40"/>
  <c r="CA41" i="40"/>
  <c r="CJ5" i="40"/>
  <c r="CA5" i="40"/>
  <c r="CS5" i="40"/>
  <c r="U5" i="40"/>
  <c r="U45" i="40"/>
  <c r="U41" i="40"/>
  <c r="L41" i="40"/>
  <c r="L37" i="40"/>
  <c r="L5" i="40"/>
  <c r="G5" i="17"/>
  <c r="J5" i="9"/>
  <c r="K5" i="9"/>
  <c r="L5" i="9"/>
  <c r="J37" i="9"/>
  <c r="K37" i="9"/>
  <c r="L37" i="9"/>
  <c r="M37" i="9"/>
  <c r="N37" i="9"/>
  <c r="O37" i="9"/>
  <c r="P37" i="9"/>
  <c r="Q37" i="9"/>
  <c r="BD5" i="15"/>
  <c r="AU12" i="15"/>
  <c r="AU10" i="15"/>
  <c r="AU8" i="15"/>
  <c r="AU5" i="15"/>
  <c r="AC12" i="15"/>
  <c r="AC10" i="15"/>
  <c r="AC8" i="15"/>
  <c r="AC5" i="15"/>
  <c r="T5" i="15"/>
  <c r="K5" i="15"/>
  <c r="BE24" i="55"/>
  <c r="BE25" i="55"/>
  <c r="BE26" i="55"/>
  <c r="BE27" i="55"/>
  <c r="BE28" i="55"/>
  <c r="BE29" i="55"/>
  <c r="BE30" i="55"/>
  <c r="BE31" i="55"/>
  <c r="BE32" i="55"/>
  <c r="BE33" i="55"/>
  <c r="BE34" i="55"/>
  <c r="BE35" i="55"/>
  <c r="BE36" i="55"/>
  <c r="AV13" i="55"/>
  <c r="AD13" i="55"/>
  <c r="BE23" i="55"/>
  <c r="BE21" i="55"/>
  <c r="BE20" i="55"/>
  <c r="BE19" i="55"/>
  <c r="BE9" i="55"/>
  <c r="BE8" i="55"/>
  <c r="BE7" i="55"/>
  <c r="BE6" i="55"/>
  <c r="BE23" i="13"/>
  <c r="BE22" i="13"/>
  <c r="BE21" i="13"/>
  <c r="BE20" i="13"/>
  <c r="BE19" i="13"/>
  <c r="BE18" i="13"/>
  <c r="BE17" i="13"/>
  <c r="BE16" i="13"/>
  <c r="BE15" i="13"/>
  <c r="BE14" i="13"/>
  <c r="BE13" i="13"/>
  <c r="BE12" i="13"/>
  <c r="BE5" i="55"/>
  <c r="BE5" i="13"/>
  <c r="AV5" i="55"/>
  <c r="AV5" i="13"/>
  <c r="AM5" i="55"/>
  <c r="AM5" i="13"/>
  <c r="AD5" i="55"/>
  <c r="AD5" i="13"/>
  <c r="U5" i="55"/>
  <c r="U5" i="13"/>
  <c r="L5" i="55"/>
  <c r="L5" i="13"/>
  <c r="CS22" i="47"/>
  <c r="CS14" i="47"/>
  <c r="AS5" i="47"/>
  <c r="AQ5" i="47"/>
  <c r="U5" i="47"/>
  <c r="L5" i="47"/>
  <c r="CJ5" i="47"/>
  <c r="CS5" i="47"/>
  <c r="CY37" i="11"/>
  <c r="CY36" i="11"/>
  <c r="CY35" i="11"/>
  <c r="CY34" i="11"/>
  <c r="CY33" i="11"/>
  <c r="CY32" i="11"/>
  <c r="CY31" i="11"/>
  <c r="CY30" i="11"/>
  <c r="CY29" i="11"/>
  <c r="CP37" i="11"/>
  <c r="CP36" i="11"/>
  <c r="CP35" i="11"/>
  <c r="CP34" i="11"/>
  <c r="CP33" i="11"/>
  <c r="CP32" i="11"/>
  <c r="CP31" i="11"/>
  <c r="CP30" i="11"/>
  <c r="CP29" i="11"/>
  <c r="BG37" i="11"/>
  <c r="BF37" i="11"/>
  <c r="BE37" i="11"/>
  <c r="BD37" i="11"/>
  <c r="BC37" i="11"/>
  <c r="BG36" i="11"/>
  <c r="BF36" i="11"/>
  <c r="BE36" i="11"/>
  <c r="BD36" i="11"/>
  <c r="BC36" i="11"/>
  <c r="BG35" i="11"/>
  <c r="BF35" i="11"/>
  <c r="BE35" i="11"/>
  <c r="BD35" i="11"/>
  <c r="BC35" i="11"/>
  <c r="BG34" i="11"/>
  <c r="BF34" i="11"/>
  <c r="BE34" i="11"/>
  <c r="BD34" i="11"/>
  <c r="BC34" i="11"/>
  <c r="BG33" i="11"/>
  <c r="BF33" i="11"/>
  <c r="BE33" i="11"/>
  <c r="BD33" i="11"/>
  <c r="BC33" i="11"/>
  <c r="BG32" i="11"/>
  <c r="BF32" i="11"/>
  <c r="BE32" i="11"/>
  <c r="BD32" i="11"/>
  <c r="BC32" i="11"/>
  <c r="BG31" i="11"/>
  <c r="BF31" i="11"/>
  <c r="BE31" i="11"/>
  <c r="BD31" i="11"/>
  <c r="BC31" i="11"/>
  <c r="BG30" i="11"/>
  <c r="BF30" i="11"/>
  <c r="BE30" i="11"/>
  <c r="BD30" i="11"/>
  <c r="BC30" i="11"/>
  <c r="BG29" i="11"/>
  <c r="BF29" i="11"/>
  <c r="BE29" i="11"/>
  <c r="BD29" i="11"/>
  <c r="BC29" i="11"/>
  <c r="AJ37" i="11"/>
  <c r="AJ36" i="11"/>
  <c r="AJ35" i="11"/>
  <c r="AJ34" i="11"/>
  <c r="AJ33" i="11"/>
  <c r="AJ32" i="11"/>
  <c r="AJ31" i="11"/>
  <c r="AJ30" i="11"/>
  <c r="AJ29" i="11"/>
  <c r="AJ6" i="11"/>
  <c r="V37" i="11"/>
  <c r="V36" i="11"/>
  <c r="V35" i="11"/>
  <c r="V34" i="11"/>
  <c r="V33" i="11"/>
  <c r="V32" i="11"/>
  <c r="V31" i="11"/>
  <c r="V30" i="11"/>
  <c r="V29" i="11"/>
  <c r="V6" i="11"/>
  <c r="L6" i="11"/>
  <c r="BH6" i="11"/>
  <c r="BG6" i="11"/>
  <c r="BF6" i="11"/>
  <c r="BE6" i="11"/>
  <c r="BD6" i="11"/>
  <c r="BC6" i="11"/>
  <c r="CP6" i="11"/>
  <c r="CY6" i="11"/>
  <c r="DH6" i="11"/>
  <c r="CS37" i="4"/>
  <c r="CS36" i="4"/>
  <c r="CS35" i="4"/>
  <c r="CS34" i="4"/>
  <c r="CS33" i="4"/>
  <c r="CS16" i="4"/>
  <c r="CS12" i="4"/>
  <c r="CS36" i="5"/>
  <c r="CS35" i="5"/>
  <c r="CS34" i="5"/>
  <c r="CS33" i="5"/>
  <c r="CS32" i="5"/>
  <c r="CS31" i="5"/>
  <c r="CS30" i="5"/>
  <c r="CS29" i="5"/>
  <c r="CS28" i="5"/>
  <c r="CS27" i="5"/>
  <c r="CS26" i="5"/>
  <c r="CS25" i="5"/>
  <c r="CS24" i="5"/>
  <c r="CS23" i="5"/>
  <c r="CS22" i="5"/>
  <c r="CS18" i="5"/>
  <c r="CS36" i="8"/>
  <c r="CS35" i="8"/>
  <c r="CS34" i="8"/>
  <c r="CS33" i="8"/>
  <c r="CS32" i="8"/>
  <c r="CS31" i="8"/>
  <c r="CS30" i="8"/>
  <c r="CS29" i="8"/>
  <c r="CS28" i="8"/>
  <c r="CS27" i="8"/>
  <c r="CS26" i="8"/>
  <c r="CS36" i="9"/>
  <c r="CS35" i="9"/>
  <c r="CS34" i="9"/>
  <c r="CS33" i="9"/>
  <c r="CS32" i="9"/>
  <c r="CS31" i="9"/>
  <c r="CS30" i="9"/>
  <c r="CS29" i="9"/>
  <c r="CS28" i="9"/>
  <c r="CS27" i="9"/>
  <c r="CS26" i="9"/>
  <c r="CS25" i="9"/>
  <c r="CS24" i="9"/>
  <c r="CS23" i="9"/>
  <c r="CS22" i="9"/>
  <c r="CS21" i="9"/>
  <c r="CS20" i="9"/>
  <c r="CS19" i="9"/>
  <c r="CS18" i="9"/>
  <c r="CS17" i="9"/>
  <c r="CS16" i="9"/>
  <c r="CS15" i="9"/>
  <c r="CS14" i="9"/>
  <c r="CS13" i="9"/>
  <c r="CS12" i="9"/>
  <c r="CS11" i="9"/>
  <c r="CS10" i="9"/>
  <c r="AS5" i="9"/>
  <c r="AR5" i="9"/>
  <c r="AQ5" i="9"/>
  <c r="AP5" i="9"/>
  <c r="AO5" i="9"/>
  <c r="AN5" i="9"/>
  <c r="CS5" i="9"/>
  <c r="CJ6" i="9"/>
  <c r="CJ5" i="9"/>
  <c r="CA5" i="9"/>
  <c r="U5" i="9"/>
  <c r="AS5" i="8"/>
  <c r="AR5" i="8"/>
  <c r="AQ5" i="8"/>
  <c r="AQ13" i="8"/>
  <c r="AP5" i="8"/>
  <c r="AP7" i="8"/>
  <c r="AO5" i="8"/>
  <c r="AN5" i="8"/>
  <c r="CJ15" i="8"/>
  <c r="CJ14" i="8"/>
  <c r="CJ13" i="8"/>
  <c r="CJ12" i="8"/>
  <c r="CJ11" i="8"/>
  <c r="CJ9" i="8"/>
  <c r="CJ8" i="8"/>
  <c r="CJ7" i="8"/>
  <c r="CJ6" i="8"/>
  <c r="CJ5" i="8"/>
  <c r="CA5" i="8"/>
  <c r="U5" i="8"/>
  <c r="L37" i="8"/>
  <c r="L5" i="8"/>
  <c r="BH6" i="7"/>
  <c r="BG6" i="7"/>
  <c r="BF6" i="7"/>
  <c r="BE6" i="7"/>
  <c r="BD6" i="7"/>
  <c r="BC6" i="7"/>
  <c r="DH6" i="7"/>
  <c r="CY6" i="7"/>
  <c r="CP6" i="7"/>
  <c r="AJ6" i="7"/>
  <c r="V6" i="7"/>
  <c r="L6" i="7"/>
  <c r="BG38" i="6"/>
  <c r="BF38" i="6"/>
  <c r="BE38" i="6"/>
  <c r="BD38" i="6"/>
  <c r="BC38" i="6"/>
  <c r="BG37" i="6"/>
  <c r="BF37" i="6"/>
  <c r="BE37" i="6"/>
  <c r="BD37" i="6"/>
  <c r="BC37" i="6"/>
  <c r="BG36" i="6"/>
  <c r="BF36" i="6"/>
  <c r="BE36" i="6"/>
  <c r="BD36" i="6"/>
  <c r="BC36" i="6"/>
  <c r="BG35" i="6"/>
  <c r="BF35" i="6"/>
  <c r="BE35" i="6"/>
  <c r="BD35" i="6"/>
  <c r="BC35" i="6"/>
  <c r="BG34" i="6"/>
  <c r="BF34" i="6"/>
  <c r="BE34" i="6"/>
  <c r="BD34" i="6"/>
  <c r="BC34" i="6"/>
  <c r="BG33" i="6"/>
  <c r="BF33" i="6"/>
  <c r="BE33" i="6"/>
  <c r="BD33" i="6"/>
  <c r="BC33" i="6"/>
  <c r="BG32" i="6"/>
  <c r="BF32" i="6"/>
  <c r="BE32" i="6"/>
  <c r="BD32" i="6"/>
  <c r="BC32" i="6"/>
  <c r="BG31" i="6"/>
  <c r="BF31" i="6"/>
  <c r="BE31" i="6"/>
  <c r="BD31" i="6"/>
  <c r="BH31" i="6"/>
  <c r="BC31" i="6"/>
  <c r="BG30" i="6"/>
  <c r="BF30" i="6"/>
  <c r="BE30" i="6"/>
  <c r="BD30" i="6"/>
  <c r="BC30" i="6"/>
  <c r="BG29" i="6"/>
  <c r="BF29" i="6"/>
  <c r="BH29" i="6"/>
  <c r="BE29" i="6"/>
  <c r="BD29" i="6"/>
  <c r="BC29" i="6"/>
  <c r="BG28" i="6"/>
  <c r="BF28" i="6"/>
  <c r="BE28" i="6"/>
  <c r="BD28" i="6"/>
  <c r="BC28" i="6"/>
  <c r="BH28" i="6"/>
  <c r="BG27" i="6"/>
  <c r="BF27" i="6"/>
  <c r="BE27" i="6"/>
  <c r="BD27" i="6"/>
  <c r="BC27" i="6"/>
  <c r="BG26" i="6"/>
  <c r="BF26" i="6"/>
  <c r="BE26" i="6"/>
  <c r="BH26" i="6"/>
  <c r="BD26" i="6"/>
  <c r="BC26" i="6"/>
  <c r="BH6" i="6"/>
  <c r="DH6" i="6"/>
  <c r="CY38" i="6"/>
  <c r="CY37" i="6"/>
  <c r="CY36" i="6"/>
  <c r="CY35" i="6"/>
  <c r="CY34" i="6"/>
  <c r="CY33" i="6"/>
  <c r="CY32" i="6"/>
  <c r="CY31" i="6"/>
  <c r="CY30" i="6"/>
  <c r="CY29" i="6"/>
  <c r="CY28" i="6"/>
  <c r="CY27" i="6"/>
  <c r="CY26" i="6"/>
  <c r="CY6" i="6"/>
  <c r="CP38" i="6"/>
  <c r="AJ38" i="6"/>
  <c r="CP37" i="6"/>
  <c r="CP36" i="6"/>
  <c r="CP35" i="6"/>
  <c r="AJ35" i="6"/>
  <c r="CP34" i="6"/>
  <c r="AJ34" i="6"/>
  <c r="CP33" i="6"/>
  <c r="CP32" i="6"/>
  <c r="CP31" i="6"/>
  <c r="AJ31" i="6"/>
  <c r="CP30" i="6"/>
  <c r="AJ30" i="6"/>
  <c r="CP29" i="6"/>
  <c r="CP28" i="6"/>
  <c r="CP27" i="6"/>
  <c r="AJ27" i="6"/>
  <c r="CP26" i="6"/>
  <c r="AJ26" i="6"/>
  <c r="CP6" i="6"/>
  <c r="AJ37" i="6"/>
  <c r="AJ36" i="6"/>
  <c r="AJ33" i="6"/>
  <c r="AJ32" i="6"/>
  <c r="AJ29" i="6"/>
  <c r="AJ28" i="6"/>
  <c r="AJ6" i="6"/>
  <c r="V6" i="6"/>
  <c r="L6" i="6"/>
  <c r="CJ5" i="5"/>
  <c r="AS5" i="5"/>
  <c r="AR5" i="5"/>
  <c r="AQ5" i="5"/>
  <c r="AP5" i="5"/>
  <c r="AO5" i="5"/>
  <c r="AN5" i="5"/>
  <c r="CS5" i="5"/>
  <c r="CA5" i="5"/>
  <c r="U5" i="5"/>
  <c r="L37" i="5"/>
  <c r="L5" i="5"/>
  <c r="AS5" i="4"/>
  <c r="AR5" i="4"/>
  <c r="AQ5" i="4"/>
  <c r="AP5" i="4"/>
  <c r="AO5" i="4"/>
  <c r="AO9" i="4"/>
  <c r="AN5" i="4"/>
  <c r="AN29" i="4"/>
  <c r="CS5" i="4"/>
  <c r="CJ32" i="4"/>
  <c r="CJ30" i="4"/>
  <c r="CJ29" i="4"/>
  <c r="CJ27" i="4"/>
  <c r="CJ26" i="4"/>
  <c r="CJ25" i="4"/>
  <c r="CJ24" i="4"/>
  <c r="CJ23" i="4"/>
  <c r="CJ22" i="4"/>
  <c r="CJ21" i="4"/>
  <c r="CJ20" i="4"/>
  <c r="CJ19" i="4"/>
  <c r="CJ18" i="4"/>
  <c r="CJ17" i="4"/>
  <c r="CJ15" i="4"/>
  <c r="CJ14" i="4"/>
  <c r="CJ13" i="4"/>
  <c r="CJ11" i="4"/>
  <c r="CJ10" i="4"/>
  <c r="CJ9" i="4"/>
  <c r="CJ8" i="4"/>
  <c r="CJ7" i="4"/>
  <c r="CJ6" i="4"/>
  <c r="CJ5" i="4"/>
  <c r="CA5" i="4"/>
  <c r="U5" i="4"/>
  <c r="L38" i="4"/>
  <c r="L5" i="4"/>
  <c r="N31" i="23"/>
  <c r="N19" i="23"/>
  <c r="N7" i="23"/>
  <c r="Q35" i="28"/>
  <c r="P35" i="28"/>
  <c r="O35" i="28"/>
  <c r="N35" i="28"/>
  <c r="M35" i="28"/>
  <c r="L35" i="28"/>
  <c r="K35" i="28"/>
  <c r="I36" i="23"/>
  <c r="G41" i="29"/>
  <c r="D41" i="29"/>
  <c r="E41" i="29"/>
  <c r="AO10" i="4"/>
  <c r="F41" i="29"/>
  <c r="H41" i="29"/>
  <c r="AA32" i="53"/>
  <c r="K54" i="19"/>
  <c r="CT41" i="40"/>
  <c r="AR22" i="4"/>
  <c r="AO8" i="9"/>
  <c r="T6" i="7"/>
  <c r="U6" i="7"/>
  <c r="T6" i="6"/>
  <c r="U6" i="6"/>
  <c r="J5" i="8"/>
  <c r="K5" i="8"/>
  <c r="J5" i="5"/>
  <c r="K5" i="5"/>
  <c r="CH13" i="47"/>
  <c r="AE5" i="47"/>
  <c r="AE28" i="47"/>
  <c r="AF5" i="47"/>
  <c r="AF12" i="47"/>
  <c r="AZ32" i="54"/>
  <c r="CO32" i="4"/>
  <c r="CN32" i="4"/>
  <c r="CL32" i="4"/>
  <c r="CK32" i="4"/>
  <c r="CI32" i="4"/>
  <c r="CH32" i="4"/>
  <c r="CH29" i="4"/>
  <c r="CI29" i="4"/>
  <c r="CO20" i="47"/>
  <c r="CN20" i="47"/>
  <c r="CO17" i="47"/>
  <c r="CN17" i="47"/>
  <c r="CO16" i="47"/>
  <c r="CN16" i="47"/>
  <c r="AB13" i="55"/>
  <c r="AC13" i="55"/>
  <c r="AT13" i="55"/>
  <c r="AU13" i="55"/>
  <c r="I37" i="29"/>
  <c r="CO13" i="47"/>
  <c r="CN13" i="47"/>
  <c r="CO10" i="47"/>
  <c r="CN10" i="47"/>
  <c r="CO9" i="47"/>
  <c r="CN9" i="47"/>
  <c r="AT10" i="13"/>
  <c r="AG15" i="4"/>
  <c r="DB5" i="5"/>
  <c r="H26" i="29"/>
  <c r="AX8" i="15"/>
  <c r="CK11" i="4"/>
  <c r="CK6" i="4"/>
  <c r="CK7" i="4"/>
  <c r="CK8" i="4"/>
  <c r="CK23" i="4"/>
  <c r="CK24" i="4"/>
  <c r="CK25" i="4"/>
  <c r="CK26" i="4"/>
  <c r="CL15" i="4"/>
  <c r="F20" i="29"/>
  <c r="BI29" i="11"/>
  <c r="BJ29" i="11"/>
  <c r="BK29" i="11"/>
  <c r="BL29" i="11"/>
  <c r="BM29" i="11"/>
  <c r="CZ29" i="11"/>
  <c r="BI30" i="11"/>
  <c r="BJ30" i="11"/>
  <c r="BK30" i="11"/>
  <c r="BL30" i="11"/>
  <c r="BM30" i="11"/>
  <c r="CZ30" i="11"/>
  <c r="BI31" i="11"/>
  <c r="BJ31" i="11"/>
  <c r="BK31" i="11"/>
  <c r="BL31" i="11"/>
  <c r="BM31" i="11"/>
  <c r="CZ31" i="11"/>
  <c r="BI32" i="11"/>
  <c r="BJ32" i="11"/>
  <c r="BK32" i="11"/>
  <c r="BL32" i="11"/>
  <c r="BM32" i="11"/>
  <c r="CZ32" i="11"/>
  <c r="BI33" i="11"/>
  <c r="BJ33" i="11"/>
  <c r="BK33" i="11"/>
  <c r="BL33" i="11"/>
  <c r="BM33" i="11"/>
  <c r="CZ33" i="11"/>
  <c r="BI34" i="11"/>
  <c r="BJ34" i="11"/>
  <c r="BK34" i="11"/>
  <c r="BL34" i="11"/>
  <c r="BM34" i="11"/>
  <c r="CZ34" i="11"/>
  <c r="BI35" i="11"/>
  <c r="BJ35" i="11"/>
  <c r="BK35" i="11"/>
  <c r="BL35" i="11"/>
  <c r="BM35" i="11"/>
  <c r="CZ35" i="11"/>
  <c r="BI36" i="11"/>
  <c r="BJ36" i="11"/>
  <c r="BK36" i="11"/>
  <c r="BL36" i="11"/>
  <c r="BM36" i="11"/>
  <c r="CZ36" i="11"/>
  <c r="BI37" i="11"/>
  <c r="BJ37" i="11"/>
  <c r="BK37" i="11"/>
  <c r="BL37" i="11"/>
  <c r="BM37" i="11"/>
  <c r="CZ37" i="11"/>
  <c r="G20" i="29"/>
  <c r="CL14" i="5"/>
  <c r="BI26" i="6"/>
  <c r="BJ26" i="6"/>
  <c r="BK26" i="6"/>
  <c r="BL26" i="6"/>
  <c r="BM26" i="6"/>
  <c r="CZ26" i="6"/>
  <c r="BI27" i="6"/>
  <c r="BJ27" i="6"/>
  <c r="BK27" i="6"/>
  <c r="BL27" i="6"/>
  <c r="BM27" i="6"/>
  <c r="CZ27" i="6"/>
  <c r="BI28" i="6"/>
  <c r="BJ28" i="6"/>
  <c r="BK28" i="6"/>
  <c r="BL28" i="6"/>
  <c r="BM28" i="6"/>
  <c r="CZ28" i="6"/>
  <c r="BI29" i="6"/>
  <c r="BJ29" i="6"/>
  <c r="BK29" i="6"/>
  <c r="BL29" i="6"/>
  <c r="BM29" i="6"/>
  <c r="CZ29" i="6"/>
  <c r="BI30" i="6"/>
  <c r="BJ30" i="6"/>
  <c r="BK30" i="6"/>
  <c r="BL30" i="6"/>
  <c r="BM30" i="6"/>
  <c r="CZ30" i="6"/>
  <c r="BI31" i="6"/>
  <c r="BJ31" i="6"/>
  <c r="BK31" i="6"/>
  <c r="BL31" i="6"/>
  <c r="BM31" i="6"/>
  <c r="CZ31" i="6"/>
  <c r="BI32" i="6"/>
  <c r="BJ32" i="6"/>
  <c r="BK32" i="6"/>
  <c r="BL32" i="6"/>
  <c r="BM32" i="6"/>
  <c r="CZ32" i="6"/>
  <c r="BI33" i="6"/>
  <c r="BJ33" i="6"/>
  <c r="BK33" i="6"/>
  <c r="BL33" i="6"/>
  <c r="BM33" i="6"/>
  <c r="CZ33" i="6"/>
  <c r="BI34" i="6"/>
  <c r="BJ34" i="6"/>
  <c r="BK34" i="6"/>
  <c r="BL34" i="6"/>
  <c r="BM34" i="6"/>
  <c r="CZ34" i="6"/>
  <c r="BI35" i="6"/>
  <c r="BJ35" i="6"/>
  <c r="BK35" i="6"/>
  <c r="BL35" i="6"/>
  <c r="BM35" i="6"/>
  <c r="CZ35" i="6"/>
  <c r="BI36" i="6"/>
  <c r="BJ36" i="6"/>
  <c r="BK36" i="6"/>
  <c r="BL36" i="6"/>
  <c r="BM36" i="6"/>
  <c r="BN36" i="6"/>
  <c r="CZ36" i="6"/>
  <c r="BI37" i="6"/>
  <c r="BJ37" i="6"/>
  <c r="BK37" i="6"/>
  <c r="BL37" i="6"/>
  <c r="BM37" i="6"/>
  <c r="CZ37" i="6"/>
  <c r="BI38" i="6"/>
  <c r="BJ38" i="6"/>
  <c r="BK38" i="6"/>
  <c r="BL38" i="6"/>
  <c r="BM38" i="6"/>
  <c r="CZ38" i="6"/>
  <c r="CN6" i="4"/>
  <c r="CN7" i="4"/>
  <c r="CN8" i="4"/>
  <c r="CN11" i="4"/>
  <c r="CN23" i="4"/>
  <c r="CN24" i="4"/>
  <c r="CN25" i="4"/>
  <c r="CN26" i="4"/>
  <c r="CA29" i="11"/>
  <c r="CB29" i="11"/>
  <c r="CC29" i="11"/>
  <c r="CF29" i="11"/>
  <c r="CD29" i="11"/>
  <c r="CE29" i="11"/>
  <c r="DC29" i="11"/>
  <c r="CA30" i="11"/>
  <c r="CB30" i="11"/>
  <c r="CC30" i="11"/>
  <c r="CD30" i="11"/>
  <c r="CE30" i="11"/>
  <c r="CF30" i="11"/>
  <c r="DC30" i="11"/>
  <c r="CA31" i="11"/>
  <c r="CB31" i="11"/>
  <c r="CC31" i="11"/>
  <c r="CD31" i="11"/>
  <c r="CE31" i="11"/>
  <c r="DC31" i="11"/>
  <c r="CA32" i="11"/>
  <c r="CB32" i="11"/>
  <c r="CC32" i="11"/>
  <c r="CD32" i="11"/>
  <c r="CE32" i="11"/>
  <c r="DC32" i="11"/>
  <c r="CA33" i="11"/>
  <c r="CB33" i="11"/>
  <c r="CC33" i="11"/>
  <c r="CF33" i="11"/>
  <c r="CD33" i="11"/>
  <c r="CE33" i="11"/>
  <c r="DC33" i="11"/>
  <c r="CA34" i="11"/>
  <c r="CB34" i="11"/>
  <c r="CC34" i="11"/>
  <c r="CD34" i="11"/>
  <c r="CE34" i="11"/>
  <c r="DC34" i="11"/>
  <c r="CA35" i="11"/>
  <c r="CB35" i="11"/>
  <c r="CC35" i="11"/>
  <c r="CD35" i="11"/>
  <c r="CE35" i="11"/>
  <c r="DC35" i="11"/>
  <c r="CA36" i="11"/>
  <c r="CB36" i="11"/>
  <c r="CC36" i="11"/>
  <c r="CD36" i="11"/>
  <c r="CE36" i="11"/>
  <c r="DC36" i="11"/>
  <c r="CA37" i="11"/>
  <c r="CB37" i="11"/>
  <c r="CC37" i="11"/>
  <c r="CF37" i="11"/>
  <c r="CD37" i="11"/>
  <c r="CE37" i="11"/>
  <c r="DC37" i="11"/>
  <c r="CA26" i="6"/>
  <c r="CB26" i="6"/>
  <c r="CC26" i="6"/>
  <c r="CD26" i="6"/>
  <c r="CE26" i="6"/>
  <c r="DC26" i="6"/>
  <c r="CA27" i="6"/>
  <c r="CB27" i="6"/>
  <c r="CC27" i="6"/>
  <c r="CD27" i="6"/>
  <c r="CE27" i="6"/>
  <c r="DC27" i="6"/>
  <c r="CA28" i="6"/>
  <c r="CB28" i="6"/>
  <c r="CC28" i="6"/>
  <c r="CD28" i="6"/>
  <c r="CE28" i="6"/>
  <c r="DC28" i="6"/>
  <c r="CA29" i="6"/>
  <c r="CB29" i="6"/>
  <c r="CC29" i="6"/>
  <c r="CD29" i="6"/>
  <c r="CE29" i="6"/>
  <c r="DC29" i="6"/>
  <c r="CA30" i="6"/>
  <c r="CB30" i="6"/>
  <c r="CC30" i="6"/>
  <c r="CD30" i="6"/>
  <c r="CE30" i="6"/>
  <c r="DC30" i="6"/>
  <c r="CA31" i="6"/>
  <c r="CB31" i="6"/>
  <c r="CC31" i="6"/>
  <c r="CD31" i="6"/>
  <c r="CE31" i="6"/>
  <c r="DC31" i="6"/>
  <c r="CA32" i="6"/>
  <c r="CB32" i="6"/>
  <c r="CC32" i="6"/>
  <c r="CD32" i="6"/>
  <c r="CE32" i="6"/>
  <c r="DC32" i="6"/>
  <c r="CA33" i="6"/>
  <c r="CB33" i="6"/>
  <c r="CC33" i="6"/>
  <c r="CD33" i="6"/>
  <c r="CE33" i="6"/>
  <c r="DC33" i="6"/>
  <c r="CA34" i="6"/>
  <c r="CB34" i="6"/>
  <c r="CC34" i="6"/>
  <c r="CD34" i="6"/>
  <c r="CE34" i="6"/>
  <c r="DC34" i="6"/>
  <c r="CA35" i="6"/>
  <c r="CB35" i="6"/>
  <c r="CC35" i="6"/>
  <c r="CD35" i="6"/>
  <c r="CE35" i="6"/>
  <c r="DC35" i="6"/>
  <c r="CA36" i="6"/>
  <c r="CB36" i="6"/>
  <c r="CC36" i="6"/>
  <c r="CD36" i="6"/>
  <c r="CE36" i="6"/>
  <c r="DC36" i="6"/>
  <c r="CA37" i="6"/>
  <c r="CB37" i="6"/>
  <c r="CC37" i="6"/>
  <c r="CD37" i="6"/>
  <c r="CE37" i="6"/>
  <c r="DC37" i="6"/>
  <c r="CA38" i="6"/>
  <c r="CB38" i="6"/>
  <c r="CC38" i="6"/>
  <c r="CD38" i="6"/>
  <c r="CE38" i="6"/>
  <c r="DC38" i="6"/>
  <c r="CN9" i="8"/>
  <c r="CE45" i="40"/>
  <c r="CN8" i="9"/>
  <c r="CN9" i="9"/>
  <c r="CO9" i="4"/>
  <c r="CO10" i="4"/>
  <c r="CO6" i="4"/>
  <c r="CO7" i="4"/>
  <c r="CO8" i="4"/>
  <c r="CO11" i="4"/>
  <c r="CO17" i="4"/>
  <c r="CO18" i="4"/>
  <c r="CO23" i="4"/>
  <c r="CO24" i="4"/>
  <c r="CO25" i="4"/>
  <c r="CO26" i="4"/>
  <c r="CG29" i="11"/>
  <c r="CH29" i="11"/>
  <c r="CI29" i="11"/>
  <c r="CJ29" i="11"/>
  <c r="CK29" i="11"/>
  <c r="DD29" i="11"/>
  <c r="CG30" i="11"/>
  <c r="CH30" i="11"/>
  <c r="CI30" i="11"/>
  <c r="CJ30" i="11"/>
  <c r="CK30" i="11"/>
  <c r="DD30" i="11"/>
  <c r="CG31" i="11"/>
  <c r="CH31" i="11"/>
  <c r="CI31" i="11"/>
  <c r="CJ31" i="11"/>
  <c r="CK31" i="11"/>
  <c r="DD31" i="11"/>
  <c r="CG32" i="11"/>
  <c r="CH32" i="11"/>
  <c r="CI32" i="11"/>
  <c r="CJ32" i="11"/>
  <c r="CK32" i="11"/>
  <c r="DD32" i="11"/>
  <c r="CG33" i="11"/>
  <c r="CH33" i="11"/>
  <c r="CI33" i="11"/>
  <c r="CJ33" i="11"/>
  <c r="CK33" i="11"/>
  <c r="DD33" i="11"/>
  <c r="CG34" i="11"/>
  <c r="CH34" i="11"/>
  <c r="CI34" i="11"/>
  <c r="CJ34" i="11"/>
  <c r="CK34" i="11"/>
  <c r="DD34" i="11"/>
  <c r="CG35" i="11"/>
  <c r="CH35" i="11"/>
  <c r="CI35" i="11"/>
  <c r="CJ35" i="11"/>
  <c r="CK35" i="11"/>
  <c r="DD35" i="11"/>
  <c r="CG36" i="11"/>
  <c r="CH36" i="11"/>
  <c r="CI36" i="11"/>
  <c r="CJ36" i="11"/>
  <c r="CK36" i="11"/>
  <c r="DD36" i="11"/>
  <c r="CG37" i="11"/>
  <c r="CH37" i="11"/>
  <c r="CI37" i="11"/>
  <c r="CJ37" i="11"/>
  <c r="CK37" i="11"/>
  <c r="DD37" i="11"/>
  <c r="CG26" i="6"/>
  <c r="CH26" i="6"/>
  <c r="CI26" i="6"/>
  <c r="CJ26" i="6"/>
  <c r="CK26" i="6"/>
  <c r="DD26" i="6"/>
  <c r="CG27" i="6"/>
  <c r="CH27" i="6"/>
  <c r="CI27" i="6"/>
  <c r="CJ27" i="6"/>
  <c r="CK27" i="6"/>
  <c r="DD27" i="6"/>
  <c r="CG28" i="6"/>
  <c r="CH28" i="6"/>
  <c r="CI28" i="6"/>
  <c r="CJ28" i="6"/>
  <c r="CK28" i="6"/>
  <c r="DD28" i="6"/>
  <c r="CG29" i="6"/>
  <c r="CH29" i="6"/>
  <c r="CI29" i="6"/>
  <c r="CJ29" i="6"/>
  <c r="CK29" i="6"/>
  <c r="DD29" i="6"/>
  <c r="CG30" i="6"/>
  <c r="CH30" i="6"/>
  <c r="CI30" i="6"/>
  <c r="CJ30" i="6"/>
  <c r="CK30" i="6"/>
  <c r="DD30" i="6"/>
  <c r="CG31" i="6"/>
  <c r="CH31" i="6"/>
  <c r="CI31" i="6"/>
  <c r="CJ31" i="6"/>
  <c r="CK31" i="6"/>
  <c r="DD31" i="6"/>
  <c r="CG32" i="6"/>
  <c r="CH32" i="6"/>
  <c r="CI32" i="6"/>
  <c r="CJ32" i="6"/>
  <c r="CK32" i="6"/>
  <c r="DD32" i="6"/>
  <c r="CG33" i="6"/>
  <c r="CH33" i="6"/>
  <c r="CI33" i="6"/>
  <c r="CJ33" i="6"/>
  <c r="CK33" i="6"/>
  <c r="DD33" i="6"/>
  <c r="CG34" i="6"/>
  <c r="CH34" i="6"/>
  <c r="CI34" i="6"/>
  <c r="CJ34" i="6"/>
  <c r="CK34" i="6"/>
  <c r="DD34" i="6"/>
  <c r="CG35" i="6"/>
  <c r="CH35" i="6"/>
  <c r="CI35" i="6"/>
  <c r="CJ35" i="6"/>
  <c r="CK35" i="6"/>
  <c r="DD35" i="6"/>
  <c r="CG36" i="6"/>
  <c r="CH36" i="6"/>
  <c r="CI36" i="6"/>
  <c r="CJ36" i="6"/>
  <c r="CK36" i="6"/>
  <c r="DD36" i="6"/>
  <c r="CG37" i="6"/>
  <c r="CH37" i="6"/>
  <c r="CI37" i="6"/>
  <c r="CJ37" i="6"/>
  <c r="CK37" i="6"/>
  <c r="DD37" i="6"/>
  <c r="CG38" i="6"/>
  <c r="CH38" i="6"/>
  <c r="CI38" i="6"/>
  <c r="CJ38" i="6"/>
  <c r="CK38" i="6"/>
  <c r="DD38" i="6"/>
  <c r="CO6" i="8"/>
  <c r="CO7" i="8"/>
  <c r="CO8" i="8"/>
  <c r="CO9" i="8"/>
  <c r="CO11" i="8"/>
  <c r="CO12" i="8"/>
  <c r="CO13" i="8"/>
  <c r="CO14" i="8"/>
  <c r="CO15" i="8"/>
  <c r="CF45" i="40"/>
  <c r="CM11" i="4"/>
  <c r="CM6" i="4"/>
  <c r="CM7" i="4"/>
  <c r="CM8" i="4"/>
  <c r="CM13" i="4"/>
  <c r="CM22" i="4"/>
  <c r="CM23" i="4"/>
  <c r="CM24" i="4"/>
  <c r="CM25" i="4"/>
  <c r="CM26" i="4"/>
  <c r="BU29" i="11"/>
  <c r="BV29" i="11"/>
  <c r="BW29" i="11"/>
  <c r="BX29" i="11"/>
  <c r="BY29" i="11"/>
  <c r="DB29" i="11"/>
  <c r="BU30" i="11"/>
  <c r="BV30" i="11"/>
  <c r="BW30" i="11"/>
  <c r="BX30" i="11"/>
  <c r="BY30" i="11"/>
  <c r="DB30" i="11"/>
  <c r="BU31" i="11"/>
  <c r="BV31" i="11"/>
  <c r="BW31" i="11"/>
  <c r="BX31" i="11"/>
  <c r="BY31" i="11"/>
  <c r="DB31" i="11"/>
  <c r="BU32" i="11"/>
  <c r="BV32" i="11"/>
  <c r="BW32" i="11"/>
  <c r="BX32" i="11"/>
  <c r="BY32" i="11"/>
  <c r="DB32" i="11"/>
  <c r="BU33" i="11"/>
  <c r="BV33" i="11"/>
  <c r="BW33" i="11"/>
  <c r="BX33" i="11"/>
  <c r="BY33" i="11"/>
  <c r="DB33" i="11"/>
  <c r="BU34" i="11"/>
  <c r="BV34" i="11"/>
  <c r="BW34" i="11"/>
  <c r="BX34" i="11"/>
  <c r="BY34" i="11"/>
  <c r="DB34" i="11"/>
  <c r="BU35" i="11"/>
  <c r="BV35" i="11"/>
  <c r="BW35" i="11"/>
  <c r="BX35" i="11"/>
  <c r="BY35" i="11"/>
  <c r="DB35" i="11"/>
  <c r="BU36" i="11"/>
  <c r="BV36" i="11"/>
  <c r="BW36" i="11"/>
  <c r="BX36" i="11"/>
  <c r="BY36" i="11"/>
  <c r="DB36" i="11"/>
  <c r="BU37" i="11"/>
  <c r="BV37" i="11"/>
  <c r="BW37" i="11"/>
  <c r="BX37" i="11"/>
  <c r="BY37" i="11"/>
  <c r="DB37" i="11"/>
  <c r="BU26" i="6"/>
  <c r="BV26" i="6"/>
  <c r="BW26" i="6"/>
  <c r="BX26" i="6"/>
  <c r="BY26" i="6"/>
  <c r="DB26" i="6"/>
  <c r="BU27" i="6"/>
  <c r="BV27" i="6"/>
  <c r="BW27" i="6"/>
  <c r="BX27" i="6"/>
  <c r="BY27" i="6"/>
  <c r="DB27" i="6"/>
  <c r="BU28" i="6"/>
  <c r="BV28" i="6"/>
  <c r="BW28" i="6"/>
  <c r="BX28" i="6"/>
  <c r="BY28" i="6"/>
  <c r="DB28" i="6"/>
  <c r="BU29" i="6"/>
  <c r="BV29" i="6"/>
  <c r="BW29" i="6"/>
  <c r="BX29" i="6"/>
  <c r="BY29" i="6"/>
  <c r="DB29" i="6"/>
  <c r="BU30" i="6"/>
  <c r="BV30" i="6"/>
  <c r="BW30" i="6"/>
  <c r="BX30" i="6"/>
  <c r="BY30" i="6"/>
  <c r="DB30" i="6"/>
  <c r="BU31" i="6"/>
  <c r="BV31" i="6"/>
  <c r="BW31" i="6"/>
  <c r="BX31" i="6"/>
  <c r="BY31" i="6"/>
  <c r="DB31" i="6"/>
  <c r="BU32" i="6"/>
  <c r="BV32" i="6"/>
  <c r="BW32" i="6"/>
  <c r="BX32" i="6"/>
  <c r="BY32" i="6"/>
  <c r="DB32" i="6"/>
  <c r="BU33" i="6"/>
  <c r="BV33" i="6"/>
  <c r="BW33" i="6"/>
  <c r="BX33" i="6"/>
  <c r="BY33" i="6"/>
  <c r="DB33" i="6"/>
  <c r="BU34" i="6"/>
  <c r="BV34" i="6"/>
  <c r="BW34" i="6"/>
  <c r="BX34" i="6"/>
  <c r="BY34" i="6"/>
  <c r="DB34" i="6"/>
  <c r="BU35" i="6"/>
  <c r="BV35" i="6"/>
  <c r="BW35" i="6"/>
  <c r="BX35" i="6"/>
  <c r="BY35" i="6"/>
  <c r="DB35" i="6"/>
  <c r="BU36" i="6"/>
  <c r="BV36" i="6"/>
  <c r="BW36" i="6"/>
  <c r="BX36" i="6"/>
  <c r="BY36" i="6"/>
  <c r="DB36" i="6"/>
  <c r="BU37" i="6"/>
  <c r="BV37" i="6"/>
  <c r="BW37" i="6"/>
  <c r="BX37" i="6"/>
  <c r="BY37" i="6"/>
  <c r="DB37" i="6"/>
  <c r="BU38" i="6"/>
  <c r="BV38" i="6"/>
  <c r="BW38" i="6"/>
  <c r="BX38" i="6"/>
  <c r="BY38" i="6"/>
  <c r="DB38" i="6"/>
  <c r="CM8" i="8"/>
  <c r="CM9" i="8"/>
  <c r="CD45" i="40"/>
  <c r="CM45" i="40"/>
  <c r="CL11" i="4"/>
  <c r="CL6" i="4"/>
  <c r="CL7" i="4"/>
  <c r="CL8" i="4"/>
  <c r="CL9" i="4"/>
  <c r="CL10" i="4"/>
  <c r="CL13" i="4"/>
  <c r="CL14" i="4"/>
  <c r="CL17" i="4"/>
  <c r="CL18" i="4"/>
  <c r="CL19" i="4"/>
  <c r="CL20" i="4"/>
  <c r="CL21" i="4"/>
  <c r="CL22" i="4"/>
  <c r="CL23" i="4"/>
  <c r="CL24" i="4"/>
  <c r="CL25" i="4"/>
  <c r="CL26" i="4"/>
  <c r="BO29" i="11"/>
  <c r="BP29" i="11"/>
  <c r="BQ29" i="11"/>
  <c r="BR29" i="11"/>
  <c r="BS29" i="11"/>
  <c r="DA29" i="11"/>
  <c r="BO30" i="11"/>
  <c r="BP30" i="11"/>
  <c r="BQ30" i="11"/>
  <c r="BR30" i="11"/>
  <c r="BS30" i="11"/>
  <c r="DA30" i="11"/>
  <c r="BO31" i="11"/>
  <c r="BP31" i="11"/>
  <c r="BQ31" i="11"/>
  <c r="BR31" i="11"/>
  <c r="BS31" i="11"/>
  <c r="DA31" i="11"/>
  <c r="BO32" i="11"/>
  <c r="BP32" i="11"/>
  <c r="BQ32" i="11"/>
  <c r="BR32" i="11"/>
  <c r="BS32" i="11"/>
  <c r="DA32" i="11"/>
  <c r="BO33" i="11"/>
  <c r="BP33" i="11"/>
  <c r="BQ33" i="11"/>
  <c r="BR33" i="11"/>
  <c r="BS33" i="11"/>
  <c r="DA33" i="11"/>
  <c r="BO34" i="11"/>
  <c r="BP34" i="11"/>
  <c r="BQ34" i="11"/>
  <c r="BR34" i="11"/>
  <c r="BS34" i="11"/>
  <c r="DA34" i="11"/>
  <c r="BO35" i="11"/>
  <c r="BP35" i="11"/>
  <c r="BQ35" i="11"/>
  <c r="BR35" i="11"/>
  <c r="BS35" i="11"/>
  <c r="DA35" i="11"/>
  <c r="BO36" i="11"/>
  <c r="BP36" i="11"/>
  <c r="BQ36" i="11"/>
  <c r="BR36" i="11"/>
  <c r="BS36" i="11"/>
  <c r="DA36" i="11"/>
  <c r="BO37" i="11"/>
  <c r="BP37" i="11"/>
  <c r="BQ37" i="11"/>
  <c r="BR37" i="11"/>
  <c r="BS37" i="11"/>
  <c r="DA37" i="11"/>
  <c r="BO26" i="6"/>
  <c r="BP26" i="6"/>
  <c r="BQ26" i="6"/>
  <c r="BR26" i="6"/>
  <c r="BS26" i="6"/>
  <c r="DA26" i="6"/>
  <c r="BO27" i="6"/>
  <c r="BP27" i="6"/>
  <c r="BQ27" i="6"/>
  <c r="BR27" i="6"/>
  <c r="BS27" i="6"/>
  <c r="DA27" i="6"/>
  <c r="BO28" i="6"/>
  <c r="BP28" i="6"/>
  <c r="BQ28" i="6"/>
  <c r="BR28" i="6"/>
  <c r="BS28" i="6"/>
  <c r="DA28" i="6"/>
  <c r="BO29" i="6"/>
  <c r="BP29" i="6"/>
  <c r="BQ29" i="6"/>
  <c r="BR29" i="6"/>
  <c r="BS29" i="6"/>
  <c r="DA29" i="6"/>
  <c r="BO30" i="6"/>
  <c r="BP30" i="6"/>
  <c r="BQ30" i="6"/>
  <c r="BR30" i="6"/>
  <c r="BS30" i="6"/>
  <c r="DA30" i="6"/>
  <c r="BO31" i="6"/>
  <c r="BP31" i="6"/>
  <c r="BQ31" i="6"/>
  <c r="BR31" i="6"/>
  <c r="BS31" i="6"/>
  <c r="DA31" i="6"/>
  <c r="BO32" i="6"/>
  <c r="BP32" i="6"/>
  <c r="BQ32" i="6"/>
  <c r="BR32" i="6"/>
  <c r="BS32" i="6"/>
  <c r="DA32" i="6"/>
  <c r="BO33" i="6"/>
  <c r="BP33" i="6"/>
  <c r="BQ33" i="6"/>
  <c r="BR33" i="6"/>
  <c r="BS33" i="6"/>
  <c r="DA33" i="6"/>
  <c r="BO34" i="6"/>
  <c r="BP34" i="6"/>
  <c r="BQ34" i="6"/>
  <c r="BR34" i="6"/>
  <c r="BS34" i="6"/>
  <c r="DA34" i="6"/>
  <c r="BO35" i="6"/>
  <c r="BP35" i="6"/>
  <c r="BQ35" i="6"/>
  <c r="BR35" i="6"/>
  <c r="BS35" i="6"/>
  <c r="DA35" i="6"/>
  <c r="BO36" i="6"/>
  <c r="BP36" i="6"/>
  <c r="BQ36" i="6"/>
  <c r="BR36" i="6"/>
  <c r="BS36" i="6"/>
  <c r="DA36" i="6"/>
  <c r="BO37" i="6"/>
  <c r="BP37" i="6"/>
  <c r="BQ37" i="6"/>
  <c r="BR37" i="6"/>
  <c r="BS37" i="6"/>
  <c r="DA37" i="6"/>
  <c r="BO38" i="6"/>
  <c r="BP38" i="6"/>
  <c r="BQ38" i="6"/>
  <c r="BR38" i="6"/>
  <c r="BS38" i="6"/>
  <c r="DA38" i="6"/>
  <c r="CL7" i="8"/>
  <c r="CL8" i="8"/>
  <c r="CL11" i="8"/>
  <c r="CL12" i="8"/>
  <c r="CL15" i="8"/>
  <c r="CC45" i="40"/>
  <c r="CL45" i="40"/>
  <c r="S5" i="55"/>
  <c r="AK5" i="55"/>
  <c r="N22" i="52"/>
  <c r="H23" i="29"/>
  <c r="CZ8" i="5"/>
  <c r="CZ9" i="5"/>
  <c r="CZ10" i="5"/>
  <c r="CZ11" i="5"/>
  <c r="CZ12" i="5"/>
  <c r="CZ13" i="5"/>
  <c r="CZ14" i="5"/>
  <c r="CZ15" i="5"/>
  <c r="CZ16" i="5"/>
  <c r="CZ17" i="5"/>
  <c r="CZ21" i="5"/>
  <c r="CZ20" i="5"/>
  <c r="CZ19" i="5"/>
  <c r="CZ18" i="5"/>
  <c r="CZ7" i="5"/>
  <c r="CZ6" i="5"/>
  <c r="DD5" i="5"/>
  <c r="DC5" i="5"/>
  <c r="DA5" i="5"/>
  <c r="CZ5" i="5"/>
  <c r="AH26" i="6"/>
  <c r="AQ26" i="6"/>
  <c r="AR26" i="6"/>
  <c r="AS26" i="6"/>
  <c r="AT26" i="6"/>
  <c r="AU26" i="6"/>
  <c r="CN26" i="6"/>
  <c r="CW26" i="6"/>
  <c r="AH27" i="6"/>
  <c r="AQ27" i="6"/>
  <c r="AR27" i="6"/>
  <c r="AS27" i="6"/>
  <c r="AT27" i="6"/>
  <c r="AU27" i="6"/>
  <c r="CN27" i="6"/>
  <c r="CW27" i="6"/>
  <c r="AH28" i="6"/>
  <c r="AQ28" i="6"/>
  <c r="AR28" i="6"/>
  <c r="AS28" i="6"/>
  <c r="AT28" i="6"/>
  <c r="AU28" i="6"/>
  <c r="CN28" i="6"/>
  <c r="CW28" i="6"/>
  <c r="AH29" i="6"/>
  <c r="AQ29" i="6"/>
  <c r="AR29" i="6"/>
  <c r="AS29" i="6"/>
  <c r="AT29" i="6"/>
  <c r="AU29" i="6"/>
  <c r="CN29" i="6"/>
  <c r="CW29" i="6"/>
  <c r="AH30" i="6"/>
  <c r="AQ30" i="6"/>
  <c r="AR30" i="6"/>
  <c r="AS30" i="6"/>
  <c r="AT30" i="6"/>
  <c r="AU30" i="6"/>
  <c r="CN30" i="6"/>
  <c r="CW30" i="6"/>
  <c r="AH31" i="6"/>
  <c r="AQ31" i="6"/>
  <c r="AR31" i="6"/>
  <c r="AS31" i="6"/>
  <c r="AT31" i="6"/>
  <c r="AU31" i="6"/>
  <c r="CN31" i="6"/>
  <c r="CW31" i="6"/>
  <c r="AH32" i="6"/>
  <c r="AQ32" i="6"/>
  <c r="AR32" i="6"/>
  <c r="AS32" i="6"/>
  <c r="AT32" i="6"/>
  <c r="AU32" i="6"/>
  <c r="CN32" i="6"/>
  <c r="CW32" i="6"/>
  <c r="AH33" i="6"/>
  <c r="AQ33" i="6"/>
  <c r="AR33" i="6"/>
  <c r="AS33" i="6"/>
  <c r="AT33" i="6"/>
  <c r="AU33" i="6"/>
  <c r="CN33" i="6"/>
  <c r="CW33" i="6"/>
  <c r="AH34" i="6"/>
  <c r="AQ34" i="6"/>
  <c r="AR34" i="6"/>
  <c r="AS34" i="6"/>
  <c r="AT34" i="6"/>
  <c r="AU34" i="6"/>
  <c r="CN34" i="6"/>
  <c r="CW34" i="6"/>
  <c r="AH35" i="6"/>
  <c r="AQ35" i="6"/>
  <c r="AR35" i="6"/>
  <c r="AS35" i="6"/>
  <c r="AT35" i="6"/>
  <c r="AU35" i="6"/>
  <c r="CN35" i="6"/>
  <c r="CW35" i="6"/>
  <c r="AH36" i="6"/>
  <c r="AQ36" i="6"/>
  <c r="AR36" i="6"/>
  <c r="AS36" i="6"/>
  <c r="AT36" i="6"/>
  <c r="AU36" i="6"/>
  <c r="CN36" i="6"/>
  <c r="CW36" i="6"/>
  <c r="AH37" i="6"/>
  <c r="AQ37" i="6"/>
  <c r="AR37" i="6"/>
  <c r="AS37" i="6"/>
  <c r="AT37" i="6"/>
  <c r="AU37" i="6"/>
  <c r="CN37" i="6"/>
  <c r="CW37" i="6"/>
  <c r="AH38" i="6"/>
  <c r="AQ38" i="6"/>
  <c r="AR38" i="6"/>
  <c r="AS38" i="6"/>
  <c r="AT38" i="6"/>
  <c r="AU38" i="6"/>
  <c r="CN38" i="6"/>
  <c r="CW38" i="6"/>
  <c r="AI26" i="6"/>
  <c r="AW26" i="6"/>
  <c r="AX26" i="6"/>
  <c r="AY26" i="6"/>
  <c r="AZ26" i="6"/>
  <c r="BA26" i="6"/>
  <c r="CO26" i="6"/>
  <c r="CX26" i="6"/>
  <c r="AI27" i="6"/>
  <c r="AW27" i="6"/>
  <c r="AX27" i="6"/>
  <c r="AY27" i="6"/>
  <c r="AZ27" i="6"/>
  <c r="BA27" i="6"/>
  <c r="CO27" i="6"/>
  <c r="CX27" i="6"/>
  <c r="AI28" i="6"/>
  <c r="AW28" i="6"/>
  <c r="AX28" i="6"/>
  <c r="AY28" i="6"/>
  <c r="AZ28" i="6"/>
  <c r="BA28" i="6"/>
  <c r="CO28" i="6"/>
  <c r="CX28" i="6"/>
  <c r="AI29" i="6"/>
  <c r="AW29" i="6"/>
  <c r="AX29" i="6"/>
  <c r="AY29" i="6"/>
  <c r="AZ29" i="6"/>
  <c r="BA29" i="6"/>
  <c r="CO29" i="6"/>
  <c r="CX29" i="6"/>
  <c r="AI30" i="6"/>
  <c r="AW30" i="6"/>
  <c r="AX30" i="6"/>
  <c r="AY30" i="6"/>
  <c r="AZ30" i="6"/>
  <c r="BA30" i="6"/>
  <c r="CO30" i="6"/>
  <c r="CX30" i="6"/>
  <c r="AI31" i="6"/>
  <c r="AW31" i="6"/>
  <c r="AX31" i="6"/>
  <c r="AY31" i="6"/>
  <c r="AZ31" i="6"/>
  <c r="BA31" i="6"/>
  <c r="CO31" i="6"/>
  <c r="CX31" i="6"/>
  <c r="AI32" i="6"/>
  <c r="AW32" i="6"/>
  <c r="AX32" i="6"/>
  <c r="AY32" i="6"/>
  <c r="AZ32" i="6"/>
  <c r="BA32" i="6"/>
  <c r="CO32" i="6"/>
  <c r="CX32" i="6"/>
  <c r="AI33" i="6"/>
  <c r="AW33" i="6"/>
  <c r="AX33" i="6"/>
  <c r="AY33" i="6"/>
  <c r="AZ33" i="6"/>
  <c r="BA33" i="6"/>
  <c r="CO33" i="6"/>
  <c r="CX33" i="6"/>
  <c r="AI34" i="6"/>
  <c r="AW34" i="6"/>
  <c r="AX34" i="6"/>
  <c r="AY34" i="6"/>
  <c r="AZ34" i="6"/>
  <c r="BA34" i="6"/>
  <c r="CO34" i="6"/>
  <c r="CX34" i="6"/>
  <c r="AI35" i="6"/>
  <c r="AW35" i="6"/>
  <c r="AX35" i="6"/>
  <c r="AY35" i="6"/>
  <c r="AZ35" i="6"/>
  <c r="BA35" i="6"/>
  <c r="CO35" i="6"/>
  <c r="CX35" i="6"/>
  <c r="AI36" i="6"/>
  <c r="AW36" i="6"/>
  <c r="AX36" i="6"/>
  <c r="AY36" i="6"/>
  <c r="AZ36" i="6"/>
  <c r="BA36" i="6"/>
  <c r="CO36" i="6"/>
  <c r="CX36" i="6"/>
  <c r="AI37" i="6"/>
  <c r="AW37" i="6"/>
  <c r="AX37" i="6"/>
  <c r="AY37" i="6"/>
  <c r="AZ37" i="6"/>
  <c r="BA37" i="6"/>
  <c r="CO37" i="6"/>
  <c r="CX37" i="6"/>
  <c r="AI38" i="6"/>
  <c r="AW38" i="6"/>
  <c r="AX38" i="6"/>
  <c r="AY38" i="6"/>
  <c r="AZ38" i="6"/>
  <c r="BA38" i="6"/>
  <c r="CO38" i="6"/>
  <c r="CX38" i="6"/>
  <c r="T29" i="7"/>
  <c r="J18" i="28"/>
  <c r="K18" i="28"/>
  <c r="L18" i="28"/>
  <c r="M18" i="28"/>
  <c r="N18" i="28"/>
  <c r="O18" i="28"/>
  <c r="CO37" i="11"/>
  <c r="CN37" i="11"/>
  <c r="CO36" i="11"/>
  <c r="CN36" i="11"/>
  <c r="AH36" i="11"/>
  <c r="AQ36" i="11"/>
  <c r="AR36" i="11"/>
  <c r="AS36" i="11"/>
  <c r="AT36" i="11"/>
  <c r="AU36" i="11"/>
  <c r="CW36" i="11"/>
  <c r="CO35" i="11"/>
  <c r="CN35" i="11"/>
  <c r="CO34" i="11"/>
  <c r="CN34" i="11"/>
  <c r="CO33" i="11"/>
  <c r="CN33" i="11"/>
  <c r="CO32" i="11"/>
  <c r="AI32" i="11"/>
  <c r="AW32" i="11"/>
  <c r="AX32" i="11"/>
  <c r="AY32" i="11"/>
  <c r="AZ32" i="11"/>
  <c r="BA32" i="11"/>
  <c r="CX32" i="11"/>
  <c r="CN32" i="11"/>
  <c r="CO31" i="11"/>
  <c r="CN31" i="11"/>
  <c r="CO30" i="11"/>
  <c r="CN30" i="11"/>
  <c r="CO29" i="11"/>
  <c r="CN29" i="11"/>
  <c r="K31" i="28"/>
  <c r="L31" i="28"/>
  <c r="M31" i="28"/>
  <c r="D37" i="1"/>
  <c r="D27" i="1"/>
  <c r="H24" i="29"/>
  <c r="E30" i="17"/>
  <c r="BJ36" i="55"/>
  <c r="BI36" i="55"/>
  <c r="BH36" i="55"/>
  <c r="BG36" i="55"/>
  <c r="BF36" i="55"/>
  <c r="BD36" i="55"/>
  <c r="BC36" i="55"/>
  <c r="BJ35" i="55"/>
  <c r="BI35" i="55"/>
  <c r="BH35" i="55"/>
  <c r="BG35" i="55"/>
  <c r="BF35" i="55"/>
  <c r="BD35" i="55"/>
  <c r="BC35" i="55"/>
  <c r="BJ34" i="55"/>
  <c r="BI34" i="55"/>
  <c r="BH34" i="55"/>
  <c r="BG34" i="55"/>
  <c r="BF34" i="55"/>
  <c r="BD34" i="55"/>
  <c r="BC34" i="55"/>
  <c r="BJ33" i="55"/>
  <c r="BI33" i="55"/>
  <c r="BH33" i="55"/>
  <c r="BG33" i="55"/>
  <c r="BF33" i="55"/>
  <c r="BD33" i="55"/>
  <c r="BC33" i="55"/>
  <c r="BJ32" i="55"/>
  <c r="BI32" i="55"/>
  <c r="BH32" i="55"/>
  <c r="BG32" i="55"/>
  <c r="BF32" i="55"/>
  <c r="BD32" i="55"/>
  <c r="BC32" i="55"/>
  <c r="BJ31" i="55"/>
  <c r="BI31" i="55"/>
  <c r="BH31" i="55"/>
  <c r="BG31" i="55"/>
  <c r="BF31" i="55"/>
  <c r="BD31" i="55"/>
  <c r="BC31" i="55"/>
  <c r="BJ30" i="55"/>
  <c r="BI30" i="55"/>
  <c r="BH30" i="55"/>
  <c r="BG30" i="55"/>
  <c r="BF30" i="55"/>
  <c r="BD30" i="55"/>
  <c r="BC30" i="55"/>
  <c r="BJ29" i="55"/>
  <c r="BI29" i="55"/>
  <c r="BH29" i="55"/>
  <c r="BG29" i="55"/>
  <c r="BF29" i="55"/>
  <c r="BD29" i="55"/>
  <c r="BC29" i="55"/>
  <c r="BJ28" i="55"/>
  <c r="BI28" i="55"/>
  <c r="BH28" i="55"/>
  <c r="BG28" i="55"/>
  <c r="BF28" i="55"/>
  <c r="BD28" i="55"/>
  <c r="BC28" i="55"/>
  <c r="BJ27" i="55"/>
  <c r="BI27" i="55"/>
  <c r="BH27" i="55"/>
  <c r="BG27" i="55"/>
  <c r="BF27" i="55"/>
  <c r="BD27" i="55"/>
  <c r="BC27" i="55"/>
  <c r="BJ26" i="55"/>
  <c r="BI26" i="55"/>
  <c r="BH26" i="55"/>
  <c r="BG26" i="55"/>
  <c r="BF26" i="55"/>
  <c r="BD26" i="55"/>
  <c r="BC26" i="55"/>
  <c r="BJ25" i="55"/>
  <c r="BI25" i="55"/>
  <c r="BH25" i="55"/>
  <c r="BG25" i="55"/>
  <c r="BF25" i="55"/>
  <c r="BD25" i="55"/>
  <c r="BC25" i="55"/>
  <c r="BJ24" i="55"/>
  <c r="BI24" i="55"/>
  <c r="BH24" i="55"/>
  <c r="BG24" i="55"/>
  <c r="BF24" i="55"/>
  <c r="BD24" i="55"/>
  <c r="BC24" i="55"/>
  <c r="BJ23" i="55"/>
  <c r="BI23" i="55"/>
  <c r="BH23" i="55"/>
  <c r="BG23" i="55"/>
  <c r="BF23" i="55"/>
  <c r="BD23" i="55"/>
  <c r="BC23" i="55"/>
  <c r="BJ21" i="55"/>
  <c r="BI21" i="55"/>
  <c r="BH21" i="55"/>
  <c r="BG21" i="55"/>
  <c r="BF21" i="55"/>
  <c r="BD21" i="55"/>
  <c r="BC21" i="55"/>
  <c r="BJ20" i="55"/>
  <c r="BI20" i="55"/>
  <c r="BH20" i="55"/>
  <c r="BG20" i="55"/>
  <c r="BF20" i="55"/>
  <c r="BD20" i="55"/>
  <c r="BC20" i="55"/>
  <c r="BJ19" i="55"/>
  <c r="BI19" i="55"/>
  <c r="BH19" i="55"/>
  <c r="BG19" i="55"/>
  <c r="BF19" i="55"/>
  <c r="BD19" i="55"/>
  <c r="BC19" i="55"/>
  <c r="BJ9" i="55"/>
  <c r="BI9" i="55"/>
  <c r="BH9" i="55"/>
  <c r="BG9" i="55"/>
  <c r="BF9" i="55"/>
  <c r="BD9" i="55"/>
  <c r="BC9" i="55"/>
  <c r="BD8" i="55"/>
  <c r="BC7" i="55"/>
  <c r="J37" i="55"/>
  <c r="BC8" i="55"/>
  <c r="BC6" i="55"/>
  <c r="BD7" i="55"/>
  <c r="N37" i="55"/>
  <c r="BD6" i="55"/>
  <c r="M37" i="55"/>
  <c r="BG6" i="55"/>
  <c r="BG8" i="55"/>
  <c r="BJ6" i="55"/>
  <c r="BH8" i="55"/>
  <c r="BG7" i="55"/>
  <c r="BF8" i="55"/>
  <c r="BF6" i="55"/>
  <c r="BI6" i="55"/>
  <c r="BI8" i="55"/>
  <c r="BH7" i="55"/>
  <c r="BH6" i="55"/>
  <c r="BJ7" i="55"/>
  <c r="BJ8" i="55"/>
  <c r="BI7" i="55"/>
  <c r="BF7" i="55"/>
  <c r="P37" i="17"/>
  <c r="H12" i="1"/>
  <c r="L41" i="53"/>
  <c r="H8" i="1"/>
  <c r="V18" i="53"/>
  <c r="V17" i="53"/>
  <c r="V16" i="53"/>
  <c r="L18" i="53"/>
  <c r="L17" i="53"/>
  <c r="L16" i="53"/>
  <c r="BT4" i="52"/>
  <c r="BJ25" i="52"/>
  <c r="BJ23" i="52"/>
  <c r="BJ4" i="52"/>
  <c r="AY39" i="54"/>
  <c r="AX39" i="54"/>
  <c r="AW39" i="54"/>
  <c r="AV39" i="54"/>
  <c r="AU39" i="54"/>
  <c r="AS39" i="54"/>
  <c r="AR39" i="54"/>
  <c r="AZ40" i="54"/>
  <c r="AZ17" i="54"/>
  <c r="V14" i="53"/>
  <c r="V13" i="53"/>
  <c r="V12" i="53"/>
  <c r="L14" i="53"/>
  <c r="L13" i="53"/>
  <c r="L12" i="53"/>
  <c r="AA8" i="15"/>
  <c r="V4" i="52"/>
  <c r="AZ38" i="54"/>
  <c r="AZ36" i="54"/>
  <c r="AP42" i="54"/>
  <c r="AP4" i="54"/>
  <c r="V42" i="54"/>
  <c r="V4" i="54"/>
  <c r="BQ42" i="54"/>
  <c r="BJ42" i="54"/>
  <c r="AZ42" i="54"/>
  <c r="L42" i="54"/>
  <c r="BJ4" i="54"/>
  <c r="AZ4" i="54"/>
  <c r="L4" i="54"/>
  <c r="CI11" i="4"/>
  <c r="V32" i="53"/>
  <c r="L32" i="53"/>
  <c r="AF32" i="53"/>
  <c r="V6" i="53"/>
  <c r="L6" i="53"/>
  <c r="AF6" i="53"/>
  <c r="D10" i="53"/>
  <c r="D36" i="53"/>
  <c r="AZ4" i="52"/>
  <c r="AF4" i="52"/>
  <c r="AI29" i="11"/>
  <c r="AW29" i="11"/>
  <c r="AX29" i="11"/>
  <c r="AY29" i="11"/>
  <c r="AZ29" i="11"/>
  <c r="BA29" i="11"/>
  <c r="CX29" i="11"/>
  <c r="AI30" i="11"/>
  <c r="AW30" i="11"/>
  <c r="AX30" i="11"/>
  <c r="AY30" i="11"/>
  <c r="AZ30" i="11"/>
  <c r="BA30" i="11"/>
  <c r="CX30" i="11"/>
  <c r="AI31" i="11"/>
  <c r="AW31" i="11"/>
  <c r="AX31" i="11"/>
  <c r="AY31" i="11"/>
  <c r="AZ31" i="11"/>
  <c r="BA31" i="11"/>
  <c r="CX31" i="11"/>
  <c r="AI33" i="11"/>
  <c r="AW33" i="11"/>
  <c r="AX33" i="11"/>
  <c r="AY33" i="11"/>
  <c r="AZ33" i="11"/>
  <c r="BA33" i="11"/>
  <c r="CX33" i="11"/>
  <c r="AI34" i="11"/>
  <c r="AW34" i="11"/>
  <c r="AX34" i="11"/>
  <c r="AY34" i="11"/>
  <c r="BB34" i="11"/>
  <c r="AZ34" i="11"/>
  <c r="BA34" i="11"/>
  <c r="CX34" i="11"/>
  <c r="AI35" i="11"/>
  <c r="AW35" i="11"/>
  <c r="AX35" i="11"/>
  <c r="AY35" i="11"/>
  <c r="AZ35" i="11"/>
  <c r="BB35" i="11"/>
  <c r="BA35" i="11"/>
  <c r="CX35" i="11"/>
  <c r="AI36" i="11"/>
  <c r="AW36" i="11"/>
  <c r="AX36" i="11"/>
  <c r="AY36" i="11"/>
  <c r="AZ36" i="11"/>
  <c r="BA36" i="11"/>
  <c r="BB36" i="11"/>
  <c r="CX36" i="11"/>
  <c r="AI37" i="11"/>
  <c r="AW37" i="11"/>
  <c r="AX37" i="11"/>
  <c r="AY37" i="11"/>
  <c r="AZ37" i="11"/>
  <c r="BA37" i="11"/>
  <c r="CX37" i="11"/>
  <c r="AH29" i="11"/>
  <c r="AQ29" i="11"/>
  <c r="AR29" i="11"/>
  <c r="AS29" i="11"/>
  <c r="AT29" i="11"/>
  <c r="AU29" i="11"/>
  <c r="CW29" i="11"/>
  <c r="AH30" i="11"/>
  <c r="AQ30" i="11"/>
  <c r="AR30" i="11"/>
  <c r="AS30" i="11"/>
  <c r="AT30" i="11"/>
  <c r="AU30" i="11"/>
  <c r="CW30" i="11"/>
  <c r="AH31" i="11"/>
  <c r="AQ31" i="11"/>
  <c r="AR31" i="11"/>
  <c r="AS31" i="11"/>
  <c r="AT31" i="11"/>
  <c r="AU31" i="11"/>
  <c r="CW31" i="11"/>
  <c r="AH32" i="11"/>
  <c r="AQ32" i="11"/>
  <c r="AR32" i="11"/>
  <c r="AS32" i="11"/>
  <c r="AV32" i="11"/>
  <c r="AT32" i="11"/>
  <c r="AU32" i="11"/>
  <c r="CW32" i="11"/>
  <c r="AH33" i="11"/>
  <c r="AQ33" i="11"/>
  <c r="AR33" i="11"/>
  <c r="AS33" i="11"/>
  <c r="AT33" i="11"/>
  <c r="AU33" i="11"/>
  <c r="CW33" i="11"/>
  <c r="AH34" i="11"/>
  <c r="AQ34" i="11"/>
  <c r="AR34" i="11"/>
  <c r="AS34" i="11"/>
  <c r="AT34" i="11"/>
  <c r="AU34" i="11"/>
  <c r="AV34" i="11"/>
  <c r="CW34" i="11"/>
  <c r="AH35" i="11"/>
  <c r="AQ35" i="11"/>
  <c r="AR35" i="11"/>
  <c r="AS35" i="11"/>
  <c r="AT35" i="11"/>
  <c r="AU35" i="11"/>
  <c r="CW35" i="11"/>
  <c r="AH37" i="11"/>
  <c r="AQ37" i="11"/>
  <c r="AR37" i="11"/>
  <c r="AS37" i="11"/>
  <c r="AT37" i="11"/>
  <c r="AU37" i="11"/>
  <c r="CW37" i="11"/>
  <c r="L4" i="52"/>
  <c r="DE47" i="47"/>
  <c r="DE38" i="47"/>
  <c r="DE22" i="47"/>
  <c r="DE7" i="47"/>
  <c r="DE6" i="47"/>
  <c r="I68" i="29"/>
  <c r="AT6" i="15"/>
  <c r="E40" i="17"/>
  <c r="P40" i="17"/>
  <c r="T7" i="7"/>
  <c r="T8" i="7"/>
  <c r="T9" i="7"/>
  <c r="T10" i="7"/>
  <c r="T11" i="7"/>
  <c r="T12" i="7"/>
  <c r="T13" i="7"/>
  <c r="CX22" i="47"/>
  <c r="CW22" i="47"/>
  <c r="CV22" i="47"/>
  <c r="CU22" i="47"/>
  <c r="CT22" i="47"/>
  <c r="CR22" i="47"/>
  <c r="CQ22" i="47"/>
  <c r="CX14" i="47"/>
  <c r="CW14" i="47"/>
  <c r="CV14" i="47"/>
  <c r="CU14" i="47"/>
  <c r="CT14" i="47"/>
  <c r="CR14" i="47"/>
  <c r="CQ14" i="47"/>
  <c r="L8" i="20"/>
  <c r="P38" i="17"/>
  <c r="P36" i="17"/>
  <c r="P30" i="17"/>
  <c r="P29" i="17"/>
  <c r="P26" i="17"/>
  <c r="P25" i="17"/>
  <c r="P24" i="17"/>
  <c r="P23" i="17"/>
  <c r="P20" i="17"/>
  <c r="P19" i="17"/>
  <c r="P18" i="17"/>
  <c r="P17" i="17"/>
  <c r="P16" i="17"/>
  <c r="P13" i="17"/>
  <c r="P12" i="17"/>
  <c r="P8" i="17"/>
  <c r="G40" i="23"/>
  <c r="F40" i="23"/>
  <c r="E40" i="23"/>
  <c r="D40" i="23"/>
  <c r="T31" i="23"/>
  <c r="T19" i="23"/>
  <c r="AE22" i="23"/>
  <c r="T7" i="23"/>
  <c r="AE7" i="23"/>
  <c r="BJ23" i="13"/>
  <c r="BI23" i="13"/>
  <c r="BH23" i="13"/>
  <c r="BG23" i="13"/>
  <c r="BF23" i="13"/>
  <c r="BD23" i="13"/>
  <c r="BC23" i="13"/>
  <c r="BJ22" i="13"/>
  <c r="BI22" i="13"/>
  <c r="BH22" i="13"/>
  <c r="BG22" i="13"/>
  <c r="BF22" i="13"/>
  <c r="BD22" i="13"/>
  <c r="BC22" i="13"/>
  <c r="BJ21" i="13"/>
  <c r="BI21" i="13"/>
  <c r="BH21" i="13"/>
  <c r="BG21" i="13"/>
  <c r="BF21" i="13"/>
  <c r="BD21" i="13"/>
  <c r="BC21" i="13"/>
  <c r="BJ20" i="13"/>
  <c r="BI20" i="13"/>
  <c r="BH20" i="13"/>
  <c r="BG20" i="13"/>
  <c r="BF20" i="13"/>
  <c r="BD20" i="13"/>
  <c r="BC20" i="13"/>
  <c r="BJ12" i="13"/>
  <c r="BI12" i="13"/>
  <c r="BH12" i="13"/>
  <c r="BG12" i="13"/>
  <c r="BF12" i="13"/>
  <c r="BD12" i="13"/>
  <c r="BC12" i="13"/>
  <c r="K38" i="4"/>
  <c r="F5" i="17"/>
  <c r="J5" i="4"/>
  <c r="K5" i="4"/>
  <c r="CT51" i="12"/>
  <c r="K37" i="5"/>
  <c r="K37" i="8"/>
  <c r="CR44" i="40"/>
  <c r="CR43" i="40"/>
  <c r="CR36" i="40"/>
  <c r="CR35" i="40"/>
  <c r="CR34" i="40"/>
  <c r="CR33" i="40"/>
  <c r="CR32" i="40"/>
  <c r="CR31" i="40"/>
  <c r="CR30" i="40"/>
  <c r="CR29" i="40"/>
  <c r="CR28" i="40"/>
  <c r="CR27" i="40"/>
  <c r="CR26" i="40"/>
  <c r="CR25" i="40"/>
  <c r="CR24" i="40"/>
  <c r="CR23" i="40"/>
  <c r="CR22" i="40"/>
  <c r="CR21" i="40"/>
  <c r="CR20" i="40"/>
  <c r="K45" i="40"/>
  <c r="K37" i="40"/>
  <c r="CR36" i="9"/>
  <c r="CR35" i="9"/>
  <c r="CR34" i="9"/>
  <c r="CR33" i="9"/>
  <c r="CR32" i="9"/>
  <c r="CR31" i="9"/>
  <c r="CR30" i="9"/>
  <c r="CR29" i="9"/>
  <c r="CR28" i="9"/>
  <c r="CR27" i="9"/>
  <c r="CR26" i="9"/>
  <c r="CR25" i="9"/>
  <c r="CR24" i="9"/>
  <c r="CR23" i="9"/>
  <c r="CR22" i="9"/>
  <c r="CR21" i="9"/>
  <c r="CR20" i="9"/>
  <c r="CR19" i="9"/>
  <c r="CR18" i="9"/>
  <c r="CR36" i="8"/>
  <c r="CR35" i="8"/>
  <c r="CR34" i="8"/>
  <c r="CR33" i="8"/>
  <c r="CR32" i="8"/>
  <c r="CR31" i="8"/>
  <c r="CR30" i="8"/>
  <c r="CR26" i="8"/>
  <c r="CR37" i="4"/>
  <c r="CR36" i="4"/>
  <c r="CR35" i="4"/>
  <c r="CR34" i="4"/>
  <c r="CR33" i="4"/>
  <c r="CR16" i="4"/>
  <c r="CR36" i="5"/>
  <c r="CR35" i="5"/>
  <c r="CR34" i="5"/>
  <c r="CR33" i="5"/>
  <c r="CR32" i="5"/>
  <c r="CR31" i="5"/>
  <c r="CR30" i="5"/>
  <c r="CR29" i="5"/>
  <c r="CR28" i="5"/>
  <c r="CR27" i="5"/>
  <c r="CR26" i="5"/>
  <c r="CR25" i="5"/>
  <c r="CR24" i="5"/>
  <c r="CR23" i="5"/>
  <c r="CR22" i="5"/>
  <c r="U38" i="6"/>
  <c r="U37" i="6"/>
  <c r="U36" i="6"/>
  <c r="U35" i="6"/>
  <c r="U34" i="6"/>
  <c r="U33" i="6"/>
  <c r="U32" i="6"/>
  <c r="U31" i="6"/>
  <c r="U30" i="6"/>
  <c r="U29" i="6"/>
  <c r="U28" i="6"/>
  <c r="U27" i="6"/>
  <c r="U26" i="6"/>
  <c r="CT37" i="12"/>
  <c r="CT36" i="12"/>
  <c r="CT35" i="12"/>
  <c r="CT34" i="12"/>
  <c r="CT33" i="12"/>
  <c r="CT32" i="12"/>
  <c r="CT31" i="12"/>
  <c r="CT30" i="12"/>
  <c r="CT29" i="12"/>
  <c r="CT28" i="12"/>
  <c r="CT27" i="12"/>
  <c r="CT26" i="12"/>
  <c r="CT25" i="12"/>
  <c r="CT24" i="12"/>
  <c r="CT23" i="12"/>
  <c r="CT22" i="12"/>
  <c r="CT21" i="12"/>
  <c r="CT20" i="12"/>
  <c r="CT19" i="12"/>
  <c r="CT18" i="12"/>
  <c r="CT17" i="12"/>
  <c r="CT16" i="12"/>
  <c r="CT15" i="12"/>
  <c r="CT14" i="12"/>
  <c r="CT13" i="12"/>
  <c r="CT12" i="12"/>
  <c r="CT11" i="12"/>
  <c r="CT10" i="12"/>
  <c r="CT9" i="12"/>
  <c r="CT8" i="12"/>
  <c r="CT7" i="12"/>
  <c r="CL38" i="12"/>
  <c r="CD38" i="12"/>
  <c r="AE38" i="12"/>
  <c r="R38" i="12"/>
  <c r="AW38" i="12"/>
  <c r="AV38" i="12"/>
  <c r="AU38" i="12"/>
  <c r="AT38" i="12"/>
  <c r="AS38" i="12"/>
  <c r="AR38" i="12"/>
  <c r="F12" i="28"/>
  <c r="G12" i="28"/>
  <c r="H12" i="28"/>
  <c r="I12" i="28"/>
  <c r="E12" i="28"/>
  <c r="D25" i="41"/>
  <c r="Q48" i="47"/>
  <c r="P48" i="47"/>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B38" i="12"/>
  <c r="BA38" i="12"/>
  <c r="AZ38" i="12"/>
  <c r="AY38" i="12"/>
  <c r="AX38" i="12"/>
  <c r="AP38" i="12"/>
  <c r="AO38" i="12"/>
  <c r="AN38" i="12"/>
  <c r="AM38" i="12"/>
  <c r="AL38" i="12"/>
  <c r="I67" i="29"/>
  <c r="I66"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48" i="29"/>
  <c r="AF37" i="11"/>
  <c r="AE37" i="11"/>
  <c r="AD37" i="11"/>
  <c r="AC37" i="11"/>
  <c r="AF36" i="11"/>
  <c r="AE36" i="11"/>
  <c r="AD36" i="11"/>
  <c r="AC36" i="11"/>
  <c r="AF35" i="11"/>
  <c r="AE35" i="11"/>
  <c r="AD35" i="11"/>
  <c r="AC35" i="11"/>
  <c r="AF34" i="11"/>
  <c r="AE34" i="11"/>
  <c r="AD34" i="11"/>
  <c r="AC34" i="11"/>
  <c r="AF33" i="11"/>
  <c r="AE33" i="11"/>
  <c r="AD33" i="11"/>
  <c r="AC33" i="11"/>
  <c r="AF32" i="11"/>
  <c r="AE32" i="11"/>
  <c r="AD32" i="11"/>
  <c r="AC32" i="11"/>
  <c r="AF31" i="11"/>
  <c r="AE31" i="11"/>
  <c r="AD31" i="11"/>
  <c r="AC31" i="11"/>
  <c r="AF30" i="11"/>
  <c r="AE30" i="11"/>
  <c r="AD30" i="11"/>
  <c r="AC30" i="11"/>
  <c r="AF29" i="11"/>
  <c r="AE29" i="11"/>
  <c r="AD29" i="11"/>
  <c r="AC29" i="11"/>
  <c r="AF38" i="6"/>
  <c r="AE38" i="6"/>
  <c r="AD38" i="6"/>
  <c r="AC38" i="6"/>
  <c r="AF37" i="6"/>
  <c r="AE37" i="6"/>
  <c r="AD37" i="6"/>
  <c r="AC37" i="6"/>
  <c r="AF36" i="6"/>
  <c r="AE36" i="6"/>
  <c r="AD36" i="6"/>
  <c r="AC36" i="6"/>
  <c r="AF35" i="6"/>
  <c r="AE35" i="6"/>
  <c r="AD35" i="6"/>
  <c r="AC35" i="6"/>
  <c r="AF34" i="6"/>
  <c r="AE34" i="6"/>
  <c r="AD34" i="6"/>
  <c r="AC34" i="6"/>
  <c r="AF33" i="6"/>
  <c r="AE33" i="6"/>
  <c r="AD33" i="6"/>
  <c r="AC33" i="6"/>
  <c r="AF32" i="6"/>
  <c r="AE32" i="6"/>
  <c r="AD32" i="6"/>
  <c r="AC32" i="6"/>
  <c r="AF31" i="6"/>
  <c r="AE31" i="6"/>
  <c r="AD31" i="6"/>
  <c r="AC31" i="6"/>
  <c r="AF30" i="6"/>
  <c r="AE30" i="6"/>
  <c r="AD30" i="6"/>
  <c r="AC30" i="6"/>
  <c r="AF29" i="6"/>
  <c r="AE29" i="6"/>
  <c r="AD29" i="6"/>
  <c r="AC29" i="6"/>
  <c r="AF28" i="6"/>
  <c r="AE28" i="6"/>
  <c r="AD28" i="6"/>
  <c r="AC28" i="6"/>
  <c r="AF27" i="6"/>
  <c r="AE27" i="6"/>
  <c r="AD27" i="6"/>
  <c r="AC27" i="6"/>
  <c r="AF26" i="6"/>
  <c r="AE26" i="6"/>
  <c r="AD26" i="6"/>
  <c r="AC26" i="6"/>
  <c r="CX22" i="5"/>
  <c r="CX23" i="5"/>
  <c r="CX24" i="5"/>
  <c r="CX25" i="5"/>
  <c r="CX26" i="5"/>
  <c r="CX27" i="5"/>
  <c r="CX28" i="5"/>
  <c r="CX29" i="5"/>
  <c r="CX30" i="5"/>
  <c r="CX31" i="5"/>
  <c r="CX32" i="5"/>
  <c r="CX33" i="5"/>
  <c r="CX34" i="5"/>
  <c r="CX35" i="5"/>
  <c r="CX36" i="5"/>
  <c r="CX26" i="8"/>
  <c r="CX30" i="8"/>
  <c r="CX31" i="8"/>
  <c r="CX32" i="8"/>
  <c r="CX33" i="8"/>
  <c r="CX34" i="8"/>
  <c r="CX35" i="8"/>
  <c r="CX36" i="8"/>
  <c r="CX18" i="9"/>
  <c r="CX19" i="9"/>
  <c r="CX20" i="9"/>
  <c r="CX21" i="9"/>
  <c r="CX22" i="9"/>
  <c r="CX23" i="9"/>
  <c r="CX24" i="9"/>
  <c r="CX25" i="9"/>
  <c r="CX26" i="9"/>
  <c r="CX27" i="9"/>
  <c r="CX28" i="9"/>
  <c r="CX29" i="9"/>
  <c r="CX30" i="9"/>
  <c r="CX31" i="9"/>
  <c r="CX32" i="9"/>
  <c r="CX33" i="9"/>
  <c r="CX34" i="9"/>
  <c r="CX35" i="9"/>
  <c r="CX36" i="9"/>
  <c r="CW22" i="5"/>
  <c r="CW23" i="5"/>
  <c r="CW24" i="5"/>
  <c r="CW25" i="5"/>
  <c r="CW26" i="5"/>
  <c r="CW27" i="5"/>
  <c r="CW28" i="5"/>
  <c r="CW29" i="5"/>
  <c r="CW30" i="5"/>
  <c r="CW31" i="5"/>
  <c r="CW32" i="5"/>
  <c r="CW33" i="5"/>
  <c r="CW34" i="5"/>
  <c r="CW35" i="5"/>
  <c r="CW36" i="5"/>
  <c r="CW26" i="8"/>
  <c r="CW30" i="8"/>
  <c r="CW31" i="8"/>
  <c r="CW32" i="8"/>
  <c r="CW33" i="8"/>
  <c r="CW34" i="8"/>
  <c r="CW35" i="8"/>
  <c r="CW36" i="8"/>
  <c r="CW18" i="9"/>
  <c r="CW19" i="9"/>
  <c r="CW20" i="9"/>
  <c r="CW21" i="9"/>
  <c r="CW22" i="9"/>
  <c r="CW23" i="9"/>
  <c r="CW24" i="9"/>
  <c r="CW25" i="9"/>
  <c r="CW26" i="9"/>
  <c r="CW27" i="9"/>
  <c r="CW28" i="9"/>
  <c r="CW29" i="9"/>
  <c r="CW30" i="9"/>
  <c r="CW31" i="9"/>
  <c r="CW32" i="9"/>
  <c r="CW33" i="9"/>
  <c r="CW34" i="9"/>
  <c r="CW35" i="9"/>
  <c r="CW36" i="9"/>
  <c r="CV22" i="5"/>
  <c r="CV23" i="5"/>
  <c r="CV24" i="5"/>
  <c r="CV25" i="5"/>
  <c r="CV26" i="5"/>
  <c r="CV27" i="5"/>
  <c r="CV28" i="5"/>
  <c r="CV29" i="5"/>
  <c r="CV30" i="5"/>
  <c r="CV31" i="5"/>
  <c r="CV32" i="5"/>
  <c r="CV33" i="5"/>
  <c r="CV34" i="5"/>
  <c r="CV35" i="5"/>
  <c r="CV36" i="5"/>
  <c r="CV26" i="8"/>
  <c r="CV30" i="8"/>
  <c r="CV31" i="8"/>
  <c r="CV32" i="8"/>
  <c r="CV33" i="8"/>
  <c r="CV34" i="8"/>
  <c r="CV35" i="8"/>
  <c r="CV36" i="8"/>
  <c r="CV18" i="9"/>
  <c r="CV19" i="9"/>
  <c r="CV20" i="9"/>
  <c r="CV21" i="9"/>
  <c r="CV22" i="9"/>
  <c r="CV23" i="9"/>
  <c r="CV24" i="9"/>
  <c r="CV25" i="9"/>
  <c r="CV26" i="9"/>
  <c r="CV27" i="9"/>
  <c r="CV28" i="9"/>
  <c r="CV29" i="9"/>
  <c r="CV30" i="9"/>
  <c r="CV31" i="9"/>
  <c r="CV32" i="9"/>
  <c r="CV33" i="9"/>
  <c r="CV34" i="9"/>
  <c r="CV35" i="9"/>
  <c r="CV36" i="9"/>
  <c r="CU22" i="5"/>
  <c r="CU23" i="5"/>
  <c r="CU24" i="5"/>
  <c r="CU25" i="5"/>
  <c r="CU26" i="5"/>
  <c r="CU27" i="5"/>
  <c r="CU28" i="5"/>
  <c r="CU29" i="5"/>
  <c r="CU30" i="5"/>
  <c r="CU31" i="5"/>
  <c r="CU32" i="5"/>
  <c r="CU33" i="5"/>
  <c r="CU34" i="5"/>
  <c r="CU35" i="5"/>
  <c r="CU36" i="5"/>
  <c r="CU26" i="8"/>
  <c r="CU30" i="8"/>
  <c r="CU31" i="8"/>
  <c r="CU32" i="8"/>
  <c r="CU33" i="8"/>
  <c r="CU34" i="8"/>
  <c r="CU35" i="8"/>
  <c r="CU36" i="8"/>
  <c r="CU18" i="9"/>
  <c r="CU19" i="9"/>
  <c r="CU20" i="9"/>
  <c r="CU21" i="9"/>
  <c r="CU22" i="9"/>
  <c r="CU23" i="9"/>
  <c r="CU24" i="9"/>
  <c r="CU25" i="9"/>
  <c r="CU26" i="9"/>
  <c r="CU27" i="9"/>
  <c r="CU28" i="9"/>
  <c r="CU29" i="9"/>
  <c r="CU30" i="9"/>
  <c r="CU31" i="9"/>
  <c r="CU32" i="9"/>
  <c r="CU33" i="9"/>
  <c r="CU34" i="9"/>
  <c r="CU35" i="9"/>
  <c r="CU36" i="9"/>
  <c r="CT22" i="5"/>
  <c r="CT23" i="5"/>
  <c r="CT24" i="5"/>
  <c r="CT25" i="5"/>
  <c r="CT26" i="5"/>
  <c r="CT27" i="5"/>
  <c r="CT28" i="5"/>
  <c r="CT29" i="5"/>
  <c r="CT30" i="5"/>
  <c r="CT31" i="5"/>
  <c r="CT32" i="5"/>
  <c r="CT33" i="5"/>
  <c r="CT34" i="5"/>
  <c r="CT35" i="5"/>
  <c r="CT36" i="5"/>
  <c r="CT26" i="8"/>
  <c r="CT30" i="8"/>
  <c r="CT31" i="8"/>
  <c r="CT32" i="8"/>
  <c r="CT33" i="8"/>
  <c r="CT34" i="8"/>
  <c r="CT35" i="8"/>
  <c r="CT36" i="8"/>
  <c r="CT18" i="9"/>
  <c r="CT19" i="9"/>
  <c r="CT20" i="9"/>
  <c r="CT21" i="9"/>
  <c r="CT22" i="9"/>
  <c r="CT23" i="9"/>
  <c r="CT24" i="9"/>
  <c r="CT25" i="9"/>
  <c r="CT26" i="9"/>
  <c r="CT27" i="9"/>
  <c r="CT28" i="9"/>
  <c r="CT29" i="9"/>
  <c r="CT30" i="9"/>
  <c r="CT31" i="9"/>
  <c r="CT32" i="9"/>
  <c r="CT33" i="9"/>
  <c r="CT34" i="9"/>
  <c r="CT35" i="9"/>
  <c r="CT36" i="9"/>
  <c r="CQ22" i="5"/>
  <c r="CQ23" i="5"/>
  <c r="CQ24" i="5"/>
  <c r="CQ25" i="5"/>
  <c r="CQ26" i="5"/>
  <c r="CQ27" i="5"/>
  <c r="CQ28" i="5"/>
  <c r="CQ29" i="5"/>
  <c r="CQ30" i="5"/>
  <c r="CQ31" i="5"/>
  <c r="CQ32" i="5"/>
  <c r="CQ33" i="5"/>
  <c r="CQ34" i="5"/>
  <c r="CQ35" i="5"/>
  <c r="CQ36" i="5"/>
  <c r="CQ18" i="9"/>
  <c r="CQ19" i="9"/>
  <c r="CQ20" i="9"/>
  <c r="CQ21" i="9"/>
  <c r="CQ22" i="9"/>
  <c r="CQ23" i="9"/>
  <c r="CQ24" i="9"/>
  <c r="CQ25" i="9"/>
  <c r="CQ26" i="9"/>
  <c r="CQ27" i="9"/>
  <c r="CQ28" i="9"/>
  <c r="CQ29" i="9"/>
  <c r="CQ30" i="9"/>
  <c r="CQ31" i="9"/>
  <c r="CQ32" i="9"/>
  <c r="CQ33" i="9"/>
  <c r="CQ34" i="9"/>
  <c r="CQ35" i="9"/>
  <c r="CQ36" i="9"/>
  <c r="CQ26" i="8"/>
  <c r="CQ30" i="8"/>
  <c r="CQ31" i="8"/>
  <c r="CQ32" i="8"/>
  <c r="CQ33" i="8"/>
  <c r="CQ34" i="8"/>
  <c r="CQ35" i="8"/>
  <c r="CQ36" i="8"/>
  <c r="D12" i="28"/>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9" i="42"/>
  <c r="C8" i="42"/>
  <c r="C7" i="42"/>
  <c r="C6" i="42"/>
  <c r="C5" i="42"/>
  <c r="C4" i="42"/>
  <c r="Q45" i="40"/>
  <c r="P45" i="40"/>
  <c r="O45" i="40"/>
  <c r="N45" i="40"/>
  <c r="J45" i="40"/>
  <c r="E25" i="17"/>
  <c r="CQ43" i="40"/>
  <c r="CX44" i="40"/>
  <c r="CV43" i="40"/>
  <c r="CQ44" i="40"/>
  <c r="CW43" i="40"/>
  <c r="CV44" i="40"/>
  <c r="CW44" i="40"/>
  <c r="CT43" i="40"/>
  <c r="CU43" i="40"/>
  <c r="CU44" i="40"/>
  <c r="CX43" i="40"/>
  <c r="CT44" i="40"/>
  <c r="T51" i="12"/>
  <c r="E6" i="28"/>
  <c r="F6" i="28"/>
  <c r="G6" i="28"/>
  <c r="H6" i="28"/>
  <c r="I6" i="28"/>
  <c r="J6" i="28"/>
  <c r="CX36" i="40"/>
  <c r="CW36" i="40"/>
  <c r="CV36" i="40"/>
  <c r="CU36" i="40"/>
  <c r="CT36" i="40"/>
  <c r="CQ36" i="40"/>
  <c r="CX35" i="40"/>
  <c r="CW35" i="40"/>
  <c r="CV35" i="40"/>
  <c r="CU35" i="40"/>
  <c r="CT35" i="40"/>
  <c r="CQ35" i="40"/>
  <c r="CX34" i="40"/>
  <c r="CW34" i="40"/>
  <c r="CV34" i="40"/>
  <c r="CU34" i="40"/>
  <c r="CT34" i="40"/>
  <c r="CQ34" i="40"/>
  <c r="CX33" i="40"/>
  <c r="CW33" i="40"/>
  <c r="CV33" i="40"/>
  <c r="CU33" i="40"/>
  <c r="CT33" i="40"/>
  <c r="CQ33" i="40"/>
  <c r="CX32" i="40"/>
  <c r="CW32" i="40"/>
  <c r="CV32" i="40"/>
  <c r="CU32" i="40"/>
  <c r="CT32" i="40"/>
  <c r="CQ32" i="40"/>
  <c r="CX31" i="40"/>
  <c r="CW31" i="40"/>
  <c r="CV31" i="40"/>
  <c r="CU31" i="40"/>
  <c r="CT31" i="40"/>
  <c r="CQ31" i="40"/>
  <c r="CX30" i="40"/>
  <c r="CW30" i="40"/>
  <c r="CV30" i="40"/>
  <c r="CU30" i="40"/>
  <c r="CT30" i="40"/>
  <c r="CQ30" i="40"/>
  <c r="CX29" i="40"/>
  <c r="CW29" i="40"/>
  <c r="CV29" i="40"/>
  <c r="CU29" i="40"/>
  <c r="CT29" i="40"/>
  <c r="CQ29" i="40"/>
  <c r="CX28" i="40"/>
  <c r="CW28" i="40"/>
  <c r="CV28" i="40"/>
  <c r="CU28" i="40"/>
  <c r="CT28" i="40"/>
  <c r="CQ28" i="40"/>
  <c r="CX26" i="40"/>
  <c r="CW26" i="40"/>
  <c r="CV26" i="40"/>
  <c r="CU26" i="40"/>
  <c r="CT26" i="40"/>
  <c r="CQ26" i="40"/>
  <c r="CX25" i="40"/>
  <c r="CW25" i="40"/>
  <c r="CV25" i="40"/>
  <c r="CU25" i="40"/>
  <c r="CT25" i="40"/>
  <c r="CQ25" i="40"/>
  <c r="T14" i="7"/>
  <c r="T15" i="7"/>
  <c r="T16" i="7"/>
  <c r="T17" i="7"/>
  <c r="T18" i="7"/>
  <c r="T19" i="7"/>
  <c r="T20" i="7"/>
  <c r="T21" i="7"/>
  <c r="T22" i="7"/>
  <c r="T23" i="7"/>
  <c r="T24" i="7"/>
  <c r="T25" i="7"/>
  <c r="T26" i="7"/>
  <c r="T27" i="7"/>
  <c r="T28" i="7"/>
  <c r="T30" i="7"/>
  <c r="T31" i="7"/>
  <c r="T32" i="7"/>
  <c r="T33" i="7"/>
  <c r="T34" i="7"/>
  <c r="T35" i="7"/>
  <c r="T36" i="7"/>
  <c r="T37" i="7"/>
  <c r="CY37" i="12"/>
  <c r="CX37" i="12"/>
  <c r="CW37" i="12"/>
  <c r="CV37" i="12"/>
  <c r="CU37" i="12"/>
  <c r="CS37" i="12"/>
  <c r="CY36" i="12"/>
  <c r="CX36" i="12"/>
  <c r="CW36" i="12"/>
  <c r="CV36" i="12"/>
  <c r="CU36" i="12"/>
  <c r="CS36" i="12"/>
  <c r="CY35" i="12"/>
  <c r="CX35" i="12"/>
  <c r="CW35" i="12"/>
  <c r="CV35" i="12"/>
  <c r="CU35" i="12"/>
  <c r="CS35" i="12"/>
  <c r="CY34" i="12"/>
  <c r="CX34" i="12"/>
  <c r="CW34" i="12"/>
  <c r="CV34" i="12"/>
  <c r="CU34" i="12"/>
  <c r="CS34" i="12"/>
  <c r="CY33" i="12"/>
  <c r="CX33" i="12"/>
  <c r="CW33" i="12"/>
  <c r="CV33" i="12"/>
  <c r="CU33" i="12"/>
  <c r="CS33" i="12"/>
  <c r="CY32" i="12"/>
  <c r="CX32" i="12"/>
  <c r="CW32" i="12"/>
  <c r="CV32" i="12"/>
  <c r="CU32" i="12"/>
  <c r="CS32" i="12"/>
  <c r="CY31" i="12"/>
  <c r="CX31" i="12"/>
  <c r="CW31" i="12"/>
  <c r="CV31" i="12"/>
  <c r="CU31" i="12"/>
  <c r="CS31" i="12"/>
  <c r="CY30" i="12"/>
  <c r="CX30" i="12"/>
  <c r="CW30" i="12"/>
  <c r="CV30" i="12"/>
  <c r="CU30" i="12"/>
  <c r="CS30" i="12"/>
  <c r="CY29" i="12"/>
  <c r="CX29" i="12"/>
  <c r="CW29" i="12"/>
  <c r="CV29" i="12"/>
  <c r="CU29" i="12"/>
  <c r="CS29" i="12"/>
  <c r="CY28" i="12"/>
  <c r="CX28" i="12"/>
  <c r="CW28" i="12"/>
  <c r="CV28" i="12"/>
  <c r="CU28" i="12"/>
  <c r="CS28" i="12"/>
  <c r="CY27" i="12"/>
  <c r="CX27" i="12"/>
  <c r="CW27" i="12"/>
  <c r="CV27" i="12"/>
  <c r="CU27" i="12"/>
  <c r="CS27" i="12"/>
  <c r="CY26" i="12"/>
  <c r="CX26" i="12"/>
  <c r="CW26" i="12"/>
  <c r="CV26" i="12"/>
  <c r="CU26" i="12"/>
  <c r="CS26" i="12"/>
  <c r="CY25" i="12"/>
  <c r="CX25" i="12"/>
  <c r="CW25" i="12"/>
  <c r="CV25" i="12"/>
  <c r="CU25" i="12"/>
  <c r="CS25" i="12"/>
  <c r="CY24" i="12"/>
  <c r="CX24" i="12"/>
  <c r="CW24" i="12"/>
  <c r="CV24" i="12"/>
  <c r="CU24" i="12"/>
  <c r="CS24" i="12"/>
  <c r="CY23" i="12"/>
  <c r="CX23" i="12"/>
  <c r="CW23" i="12"/>
  <c r="CV23" i="12"/>
  <c r="CU23" i="12"/>
  <c r="CS23" i="12"/>
  <c r="CY22" i="12"/>
  <c r="CX22" i="12"/>
  <c r="CW22" i="12"/>
  <c r="CV22" i="12"/>
  <c r="CU22" i="12"/>
  <c r="CS22" i="12"/>
  <c r="CY21" i="12"/>
  <c r="CX21" i="12"/>
  <c r="CW21" i="12"/>
  <c r="CV21" i="12"/>
  <c r="CU21" i="12"/>
  <c r="CS21" i="12"/>
  <c r="CY20" i="12"/>
  <c r="CX20" i="12"/>
  <c r="CW20" i="12"/>
  <c r="CV20" i="12"/>
  <c r="CU20" i="12"/>
  <c r="CS20" i="12"/>
  <c r="CY19" i="12"/>
  <c r="CX19" i="12"/>
  <c r="CW19" i="12"/>
  <c r="CV19" i="12"/>
  <c r="CU19" i="12"/>
  <c r="CS19" i="12"/>
  <c r="CY18" i="12"/>
  <c r="CX18" i="12"/>
  <c r="CW18" i="12"/>
  <c r="CV18" i="12"/>
  <c r="CU18" i="12"/>
  <c r="CS18" i="12"/>
  <c r="CY17" i="12"/>
  <c r="CX17" i="12"/>
  <c r="CW17" i="12"/>
  <c r="CV17" i="12"/>
  <c r="CU17" i="12"/>
  <c r="CS17" i="12"/>
  <c r="CY16" i="12"/>
  <c r="CX16" i="12"/>
  <c r="CW16" i="12"/>
  <c r="CV16" i="12"/>
  <c r="CU16" i="12"/>
  <c r="CS16" i="12"/>
  <c r="CY15" i="12"/>
  <c r="CX15" i="12"/>
  <c r="CW15" i="12"/>
  <c r="CV15" i="12"/>
  <c r="CU15" i="12"/>
  <c r="CS15" i="12"/>
  <c r="CY14" i="12"/>
  <c r="CX14" i="12"/>
  <c r="CW14" i="12"/>
  <c r="CV14" i="12"/>
  <c r="CU14" i="12"/>
  <c r="CS14" i="12"/>
  <c r="CY13" i="12"/>
  <c r="CX13" i="12"/>
  <c r="CW13" i="12"/>
  <c r="CV13" i="12"/>
  <c r="CU13" i="12"/>
  <c r="CS13" i="12"/>
  <c r="CY12" i="12"/>
  <c r="CX12" i="12"/>
  <c r="CW12" i="12"/>
  <c r="CV12" i="12"/>
  <c r="CU12" i="12"/>
  <c r="CS12" i="12"/>
  <c r="CX37" i="4"/>
  <c r="CW37" i="4"/>
  <c r="CV37" i="4"/>
  <c r="CU37" i="4"/>
  <c r="CT37" i="4"/>
  <c r="CQ37" i="4"/>
  <c r="CX36" i="4"/>
  <c r="CW36" i="4"/>
  <c r="CV36" i="4"/>
  <c r="CU36" i="4"/>
  <c r="CT36" i="4"/>
  <c r="CQ36" i="4"/>
  <c r="CX35" i="4"/>
  <c r="CW35" i="4"/>
  <c r="CV35" i="4"/>
  <c r="CU35" i="4"/>
  <c r="CT35" i="4"/>
  <c r="CQ35" i="4"/>
  <c r="CX34" i="4"/>
  <c r="CW34" i="4"/>
  <c r="CV34" i="4"/>
  <c r="CU34" i="4"/>
  <c r="CT34" i="4"/>
  <c r="CQ34" i="4"/>
  <c r="CX33" i="4"/>
  <c r="CW33" i="4"/>
  <c r="CV33" i="4"/>
  <c r="CU33" i="4"/>
  <c r="CT33" i="4"/>
  <c r="CQ33" i="4"/>
  <c r="CX16" i="4"/>
  <c r="CW16" i="4"/>
  <c r="CV16" i="4"/>
  <c r="CU16" i="4"/>
  <c r="CT16" i="4"/>
  <c r="CQ16" i="4"/>
  <c r="H11" i="29"/>
  <c r="I61" i="29"/>
  <c r="I60" i="29"/>
  <c r="I59" i="29"/>
  <c r="I58" i="29"/>
  <c r="I57" i="29"/>
  <c r="I56" i="29"/>
  <c r="I54" i="29"/>
  <c r="I53" i="29"/>
  <c r="I52" i="29"/>
  <c r="I51" i="29"/>
  <c r="I50" i="29"/>
  <c r="D15" i="1"/>
  <c r="Q37" i="5"/>
  <c r="AA26" i="6"/>
  <c r="AA27" i="6"/>
  <c r="AA28" i="6"/>
  <c r="AA29" i="6"/>
  <c r="AA30" i="6"/>
  <c r="AA31" i="6"/>
  <c r="AA32" i="6"/>
  <c r="AA33" i="6"/>
  <c r="AA34" i="6"/>
  <c r="AA35" i="6"/>
  <c r="AA36" i="6"/>
  <c r="AA37" i="6"/>
  <c r="AA38" i="6"/>
  <c r="AA29" i="11"/>
  <c r="AA30" i="11"/>
  <c r="AA31" i="11"/>
  <c r="AA32" i="11"/>
  <c r="AA33" i="11"/>
  <c r="AA34" i="11"/>
  <c r="AA35" i="11"/>
  <c r="AA36" i="11"/>
  <c r="AA37" i="11"/>
  <c r="Q37" i="40"/>
  <c r="Q38" i="4"/>
  <c r="P37" i="5"/>
  <c r="P37" i="40"/>
  <c r="P38" i="4"/>
  <c r="O37" i="5"/>
  <c r="Y26" i="6"/>
  <c r="Y27" i="6"/>
  <c r="Y28" i="6"/>
  <c r="Y29" i="6"/>
  <c r="Y30" i="6"/>
  <c r="Y31" i="6"/>
  <c r="Y32" i="6"/>
  <c r="Y33" i="6"/>
  <c r="Y34" i="6"/>
  <c r="Y35" i="6"/>
  <c r="Y36" i="6"/>
  <c r="Y37" i="6"/>
  <c r="Y38" i="6"/>
  <c r="Y29" i="11"/>
  <c r="Y30" i="11"/>
  <c r="Y31" i="11"/>
  <c r="Y32" i="11"/>
  <c r="Y33" i="11"/>
  <c r="Y34" i="11"/>
  <c r="Y35" i="11"/>
  <c r="Y36" i="11"/>
  <c r="Y37" i="11"/>
  <c r="O37" i="40"/>
  <c r="N37" i="5"/>
  <c r="X26" i="6"/>
  <c r="X27" i="6"/>
  <c r="X28" i="6"/>
  <c r="X29" i="6"/>
  <c r="X30" i="6"/>
  <c r="X31" i="6"/>
  <c r="X32" i="6"/>
  <c r="X33" i="6"/>
  <c r="X34" i="6"/>
  <c r="X35" i="6"/>
  <c r="X36" i="6"/>
  <c r="X37" i="6"/>
  <c r="X38" i="6"/>
  <c r="X29" i="11"/>
  <c r="X30" i="11"/>
  <c r="X31" i="11"/>
  <c r="X32" i="11"/>
  <c r="X33" i="11"/>
  <c r="X34" i="11"/>
  <c r="X35" i="11"/>
  <c r="X36" i="11"/>
  <c r="X37" i="11"/>
  <c r="N37" i="40"/>
  <c r="N38" i="4"/>
  <c r="M37" i="5"/>
  <c r="W26" i="6"/>
  <c r="W27" i="6"/>
  <c r="W28" i="6"/>
  <c r="W29" i="6"/>
  <c r="W30" i="6"/>
  <c r="W31" i="6"/>
  <c r="W32" i="6"/>
  <c r="W33" i="6"/>
  <c r="W34" i="6"/>
  <c r="W35" i="6"/>
  <c r="W36" i="6"/>
  <c r="W37" i="6"/>
  <c r="W38" i="6"/>
  <c r="W29" i="11"/>
  <c r="W30" i="11"/>
  <c r="W31" i="11"/>
  <c r="W32" i="11"/>
  <c r="W33" i="11"/>
  <c r="W34" i="11"/>
  <c r="W35" i="11"/>
  <c r="W36" i="11"/>
  <c r="W37" i="11"/>
  <c r="M37" i="40"/>
  <c r="M38" i="4"/>
  <c r="J37" i="5"/>
  <c r="T26" i="6"/>
  <c r="T27" i="6"/>
  <c r="T28" i="6"/>
  <c r="T29" i="6"/>
  <c r="T30" i="6"/>
  <c r="T31" i="6"/>
  <c r="T32" i="6"/>
  <c r="T33" i="6"/>
  <c r="T34" i="6"/>
  <c r="T35" i="6"/>
  <c r="T36" i="6"/>
  <c r="T37" i="6"/>
  <c r="T38" i="6"/>
  <c r="J37" i="8"/>
  <c r="T29" i="11"/>
  <c r="T30" i="11"/>
  <c r="T31" i="11"/>
  <c r="T32" i="11"/>
  <c r="T33" i="11"/>
  <c r="T34" i="11"/>
  <c r="T35" i="11"/>
  <c r="T36" i="11"/>
  <c r="T37" i="11"/>
  <c r="J37" i="40"/>
  <c r="J38" i="4"/>
  <c r="D31" i="1"/>
  <c r="I62" i="29"/>
  <c r="I63" i="29"/>
  <c r="I64" i="29"/>
  <c r="I65" i="29"/>
  <c r="C49" i="28"/>
  <c r="I39" i="29"/>
  <c r="I40" i="29"/>
  <c r="I42" i="29"/>
  <c r="I43" i="29"/>
  <c r="I49" i="29"/>
  <c r="I38" i="29"/>
  <c r="I36" i="29"/>
  <c r="I35" i="29"/>
  <c r="I34" i="29"/>
  <c r="I33" i="29"/>
  <c r="D9" i="1"/>
  <c r="D8" i="1"/>
  <c r="D38" i="1"/>
  <c r="D36" i="1"/>
  <c r="D30" i="1"/>
  <c r="D25" i="1"/>
  <c r="D24" i="1"/>
  <c r="D23" i="1"/>
  <c r="D22" i="1"/>
  <c r="D26" i="1"/>
  <c r="H7" i="1"/>
  <c r="H17" i="1"/>
  <c r="T38" i="12"/>
  <c r="Q51" i="12"/>
  <c r="U51" i="12"/>
  <c r="V51" i="12"/>
  <c r="Q38" i="12"/>
  <c r="S51" i="12"/>
  <c r="V38" i="12"/>
  <c r="W51" i="12"/>
  <c r="S38" i="12"/>
  <c r="W38" i="12"/>
  <c r="U38" i="12"/>
  <c r="CT27" i="40"/>
  <c r="CQ27" i="40"/>
  <c r="CU27" i="40"/>
  <c r="CV27" i="40"/>
  <c r="CW27" i="40"/>
  <c r="CX27" i="40"/>
  <c r="AJ5" i="15"/>
  <c r="CI38" i="12"/>
  <c r="CK38" i="12"/>
  <c r="CV9" i="12"/>
  <c r="CN38" i="12"/>
  <c r="CF38" i="12"/>
  <c r="CH38" i="12"/>
  <c r="CO38" i="12"/>
  <c r="CP38" i="12"/>
  <c r="AD38" i="12"/>
  <c r="CG38" i="12"/>
  <c r="CM38" i="12"/>
  <c r="CW11" i="12"/>
  <c r="CQ38" i="12"/>
  <c r="CV10" i="12"/>
  <c r="AH38" i="12"/>
  <c r="CX9" i="12"/>
  <c r="CU9" i="12"/>
  <c r="CU11" i="12"/>
  <c r="CV11" i="12"/>
  <c r="CQ23" i="40"/>
  <c r="CW23" i="40"/>
  <c r="CQ22" i="40"/>
  <c r="CS9" i="12"/>
  <c r="AI38" i="12"/>
  <c r="CW10" i="12"/>
  <c r="CT21" i="40"/>
  <c r="CT24" i="40"/>
  <c r="CU22" i="40"/>
  <c r="CV23" i="40"/>
  <c r="CV20" i="40"/>
  <c r="CY8" i="12"/>
  <c r="CY10" i="12"/>
  <c r="CY11" i="12"/>
  <c r="M45" i="40"/>
  <c r="CX10" i="12"/>
  <c r="CY9" i="12"/>
  <c r="CX11" i="12"/>
  <c r="CC38" i="12"/>
  <c r="CS7" i="12"/>
  <c r="CS38" i="12"/>
  <c r="CS39" i="12"/>
  <c r="CE38" i="12"/>
  <c r="CU8" i="12"/>
  <c r="CU10" i="12"/>
  <c r="CX7" i="12"/>
  <c r="CV8" i="12"/>
  <c r="CW9" i="12"/>
  <c r="AF38" i="12"/>
  <c r="CX8" i="12"/>
  <c r="CX38" i="12"/>
  <c r="CX39" i="12"/>
  <c r="AG38" i="12"/>
  <c r="CS10" i="12"/>
  <c r="AJ38" i="12"/>
  <c r="CU7" i="12"/>
  <c r="CU38" i="12"/>
  <c r="CU39" i="12"/>
  <c r="CS11" i="12"/>
  <c r="CS8" i="12"/>
  <c r="CW8" i="12"/>
  <c r="CV7" i="12"/>
  <c r="CV38" i="12"/>
  <c r="CV39" i="12"/>
  <c r="CX21" i="40"/>
  <c r="CX22" i="40"/>
  <c r="CU21" i="40"/>
  <c r="CU20" i="40"/>
  <c r="CT22" i="40"/>
  <c r="CT23" i="40"/>
  <c r="CU23" i="40"/>
  <c r="CV21" i="40"/>
  <c r="CT20" i="40"/>
  <c r="CV22" i="40"/>
  <c r="CU24" i="40"/>
  <c r="CX23" i="40"/>
  <c r="CX20" i="40"/>
  <c r="CW21" i="40"/>
  <c r="CV24" i="40"/>
  <c r="CW20" i="40"/>
  <c r="CQ24" i="40"/>
  <c r="CX24" i="40"/>
  <c r="CW22" i="40"/>
  <c r="CQ21" i="40"/>
  <c r="CQ20" i="40"/>
  <c r="CW24" i="40"/>
  <c r="AQ38" i="12"/>
  <c r="CY7" i="12"/>
  <c r="CY38" i="12"/>
  <c r="CY39" i="12"/>
  <c r="R5" i="15"/>
  <c r="CW7" i="12"/>
  <c r="BC38" i="12"/>
  <c r="CS51" i="12"/>
  <c r="CU51" i="12"/>
  <c r="CW51" i="12"/>
  <c r="CX51" i="12"/>
  <c r="CY51" i="12"/>
  <c r="CV51" i="12"/>
  <c r="CQ12" i="4"/>
  <c r="CQ17" i="40"/>
  <c r="CQ13" i="40"/>
  <c r="CQ16" i="40"/>
  <c r="CQ15" i="9"/>
  <c r="CQ17" i="9"/>
  <c r="CQ16" i="9"/>
  <c r="CQ19" i="40"/>
  <c r="CQ18" i="40"/>
  <c r="CQ14" i="9"/>
  <c r="CQ15" i="40"/>
  <c r="CQ14" i="40"/>
  <c r="CR12" i="4"/>
  <c r="CR19" i="40"/>
  <c r="CR14" i="9"/>
  <c r="CR14" i="40"/>
  <c r="CR15" i="40"/>
  <c r="CR18" i="40"/>
  <c r="CR17" i="40"/>
  <c r="CR16" i="9"/>
  <c r="CR17" i="9"/>
  <c r="CR13" i="40"/>
  <c r="CR15" i="9"/>
  <c r="CR16" i="40"/>
  <c r="CQ18" i="5"/>
  <c r="CR18" i="5"/>
  <c r="CT18" i="5"/>
  <c r="CT15" i="9"/>
  <c r="CT16" i="9"/>
  <c r="CT17" i="9"/>
  <c r="CT15" i="40"/>
  <c r="CT18" i="40"/>
  <c r="CT14" i="40"/>
  <c r="CT13" i="40"/>
  <c r="CT19" i="40"/>
  <c r="CT17" i="40"/>
  <c r="CT16" i="40"/>
  <c r="CT14" i="9"/>
  <c r="CT12" i="4"/>
  <c r="CU19" i="40"/>
  <c r="CU18" i="5"/>
  <c r="CU14" i="40"/>
  <c r="CU16" i="9"/>
  <c r="CU14" i="9"/>
  <c r="CU12" i="4"/>
  <c r="CU18" i="40"/>
  <c r="CU16" i="40"/>
  <c r="CU17" i="9"/>
  <c r="CU15" i="9"/>
  <c r="CU17" i="40"/>
  <c r="CU13" i="40"/>
  <c r="CU15" i="40"/>
  <c r="CV15" i="9"/>
  <c r="CV17" i="40"/>
  <c r="CV16" i="9"/>
  <c r="CV12" i="4"/>
  <c r="CV18" i="40"/>
  <c r="CV16" i="40"/>
  <c r="CV18" i="5"/>
  <c r="CV14" i="40"/>
  <c r="CV19" i="40"/>
  <c r="CV14" i="9"/>
  <c r="CV15" i="40"/>
  <c r="CV13" i="40"/>
  <c r="CV17" i="9"/>
  <c r="CW16" i="9"/>
  <c r="CW12" i="4"/>
  <c r="CW14" i="40"/>
  <c r="CW15" i="9"/>
  <c r="CW18" i="5"/>
  <c r="CW19" i="40"/>
  <c r="CW13" i="40"/>
  <c r="CW17" i="40"/>
  <c r="CW14" i="9"/>
  <c r="CW18" i="40"/>
  <c r="CW15" i="40"/>
  <c r="CW17" i="9"/>
  <c r="CW16" i="40"/>
  <c r="CX13" i="40"/>
  <c r="CX17" i="40"/>
  <c r="CX18" i="40"/>
  <c r="CX14" i="9"/>
  <c r="CX16" i="9"/>
  <c r="CX14" i="40"/>
  <c r="CX12" i="4"/>
  <c r="CX17" i="9"/>
  <c r="CX16" i="40"/>
  <c r="CX19" i="40"/>
  <c r="CX15" i="9"/>
  <c r="CX18" i="5"/>
  <c r="CX15" i="40"/>
  <c r="CH9" i="4"/>
  <c r="CI9" i="4"/>
  <c r="H9" i="29"/>
  <c r="BG19" i="13"/>
  <c r="H15" i="29"/>
  <c r="H18" i="29"/>
  <c r="H19" i="29"/>
  <c r="H6" i="29"/>
  <c r="H16" i="29"/>
  <c r="H22" i="29"/>
  <c r="H13" i="29"/>
  <c r="H14" i="29"/>
  <c r="H10" i="29"/>
  <c r="H7" i="29"/>
  <c r="H17" i="29"/>
  <c r="CH11" i="4"/>
  <c r="CH6" i="9"/>
  <c r="AA10" i="15"/>
  <c r="AA6" i="15"/>
  <c r="AB12" i="15"/>
  <c r="AB10" i="15"/>
  <c r="AB7" i="15"/>
  <c r="BY42" i="40"/>
  <c r="BY45" i="40"/>
  <c r="BZ42" i="40"/>
  <c r="BZ45" i="40"/>
  <c r="AA7" i="15"/>
  <c r="CH9" i="9"/>
  <c r="CH8" i="40"/>
  <c r="CI6" i="40"/>
  <c r="CI7" i="40"/>
  <c r="CH6" i="40"/>
  <c r="CH7" i="40"/>
  <c r="CI42" i="40"/>
  <c r="CI45" i="40"/>
  <c r="CH42" i="40"/>
  <c r="CH45" i="40"/>
  <c r="CI6" i="4"/>
  <c r="CI7" i="4"/>
  <c r="CH6" i="4"/>
  <c r="CH7" i="4"/>
  <c r="CH8" i="4"/>
  <c r="CI8" i="4"/>
  <c r="CI10" i="4"/>
  <c r="CI19" i="4"/>
  <c r="CI27" i="4"/>
  <c r="CH14" i="4"/>
  <c r="CH21" i="4"/>
  <c r="CI13" i="4"/>
  <c r="CI20" i="4"/>
  <c r="CH17" i="4"/>
  <c r="CH18" i="4"/>
  <c r="CH22" i="4"/>
  <c r="CI14" i="4"/>
  <c r="CI21" i="4"/>
  <c r="CH10" i="4"/>
  <c r="CH19" i="4"/>
  <c r="CH27" i="4"/>
  <c r="CI17" i="4"/>
  <c r="CI18" i="4"/>
  <c r="CI22" i="4"/>
  <c r="CH13" i="4"/>
  <c r="CH20" i="4"/>
  <c r="CI30" i="4"/>
  <c r="CH30" i="4"/>
  <c r="CI23" i="4"/>
  <c r="CH25" i="4"/>
  <c r="CI24" i="4"/>
  <c r="CH26" i="4"/>
  <c r="CI25" i="4"/>
  <c r="CH23" i="4"/>
  <c r="CI26" i="4"/>
  <c r="CH24" i="4"/>
  <c r="AS12" i="15"/>
  <c r="CH8" i="9"/>
  <c r="AA12" i="15"/>
  <c r="AS10" i="15"/>
  <c r="CH7" i="9"/>
  <c r="AT12" i="15"/>
  <c r="AT10" i="15"/>
  <c r="AB6" i="15"/>
  <c r="BG16" i="13"/>
  <c r="BD18" i="13"/>
  <c r="BG15" i="13"/>
  <c r="BJ15" i="13"/>
  <c r="BJ19" i="13"/>
  <c r="BG18" i="13"/>
  <c r="BD17" i="13"/>
  <c r="BF15" i="13"/>
  <c r="BF19" i="13"/>
  <c r="BH13" i="13"/>
  <c r="BH17" i="13"/>
  <c r="BD14" i="13"/>
  <c r="BI16" i="13"/>
  <c r="BD15" i="13"/>
  <c r="BI19" i="13"/>
  <c r="BI13" i="13"/>
  <c r="BD19" i="13"/>
  <c r="BF16" i="13"/>
  <c r="BF13" i="13"/>
  <c r="BJ16" i="13"/>
  <c r="BH14" i="13"/>
  <c r="BH18" i="13"/>
  <c r="BG17" i="13"/>
  <c r="BI17" i="13"/>
  <c r="BC19" i="13"/>
  <c r="BI18" i="13"/>
  <c r="BC16" i="13"/>
  <c r="BD13" i="13"/>
  <c r="BG13" i="13"/>
  <c r="BF17" i="13"/>
  <c r="BF14" i="13"/>
  <c r="BJ13" i="13"/>
  <c r="BJ17" i="13"/>
  <c r="BH15" i="13"/>
  <c r="BH19" i="13"/>
  <c r="BC13" i="13"/>
  <c r="BC17" i="13"/>
  <c r="BC15" i="13"/>
  <c r="BD16" i="13"/>
  <c r="BG14" i="13"/>
  <c r="BI14" i="13"/>
  <c r="BI15" i="13"/>
  <c r="BF18" i="13"/>
  <c r="BJ14" i="13"/>
  <c r="BJ18" i="13"/>
  <c r="BH16" i="13"/>
  <c r="BC14" i="13"/>
  <c r="BC18" i="13"/>
  <c r="CR27" i="8"/>
  <c r="CR28" i="8"/>
  <c r="CQ29" i="8"/>
  <c r="CQ28" i="8"/>
  <c r="CR29" i="8"/>
  <c r="CX28" i="8"/>
  <c r="CX29" i="8"/>
  <c r="CQ27" i="8"/>
  <c r="CU27" i="8"/>
  <c r="CX27" i="8"/>
  <c r="CW28" i="8"/>
  <c r="CT29" i="8"/>
  <c r="CU29" i="8"/>
  <c r="CW29" i="8"/>
  <c r="AD20" i="17"/>
  <c r="CT28" i="8"/>
  <c r="CU28" i="8"/>
  <c r="CV27" i="8"/>
  <c r="CT27" i="8"/>
  <c r="CV29" i="8"/>
  <c r="CW27" i="8"/>
  <c r="CV28" i="8"/>
  <c r="AB20" i="17"/>
  <c r="AA20" i="17"/>
  <c r="Z20" i="17"/>
  <c r="AC20" i="17"/>
  <c r="AZ31" i="54"/>
  <c r="K37" i="55"/>
  <c r="CJ9" i="5"/>
  <c r="CJ12" i="5"/>
  <c r="AV18" i="55"/>
  <c r="AK5" i="15"/>
  <c r="CQ6" i="6"/>
  <c r="CL6" i="5"/>
  <c r="F25" i="41"/>
  <c r="D33" i="23"/>
  <c r="F33" i="23"/>
  <c r="D38" i="23"/>
  <c r="D34" i="23"/>
  <c r="D35" i="23"/>
  <c r="D36" i="23"/>
  <c r="AT8" i="15"/>
  <c r="D17" i="23"/>
  <c r="E35" i="23"/>
  <c r="G10" i="19"/>
  <c r="F35" i="23"/>
  <c r="G38" i="23"/>
  <c r="E17" i="23"/>
  <c r="F36" i="23"/>
  <c r="D28" i="53"/>
  <c r="L3" i="23"/>
  <c r="E33" i="23"/>
  <c r="F38" i="23"/>
  <c r="G35" i="23"/>
  <c r="D26" i="53"/>
  <c r="N26" i="53"/>
  <c r="C10" i="19"/>
  <c r="D22" i="53"/>
  <c r="N22" i="53"/>
  <c r="P37" i="55"/>
  <c r="AB8" i="15"/>
  <c r="D9" i="48"/>
  <c r="BC36" i="52"/>
  <c r="E36" i="23"/>
  <c r="F17" i="23"/>
  <c r="G36" i="23"/>
  <c r="AS8" i="15"/>
  <c r="D10" i="48"/>
  <c r="AR42" i="54"/>
  <c r="CT38" i="12"/>
  <c r="CT39" i="12"/>
  <c r="E38" i="23"/>
  <c r="F10" i="19"/>
  <c r="AS9" i="15"/>
  <c r="AA9" i="15"/>
  <c r="H18" i="28"/>
  <c r="E29" i="23"/>
  <c r="E34" i="23"/>
  <c r="F29" i="23"/>
  <c r="G17" i="23"/>
  <c r="G33" i="23"/>
  <c r="G34" i="23"/>
  <c r="G41" i="23"/>
  <c r="G29" i="23"/>
  <c r="CW38" i="12"/>
  <c r="CW39" i="12"/>
  <c r="O22" i="53"/>
  <c r="N21" i="53"/>
  <c r="O21" i="53"/>
  <c r="N20" i="53"/>
  <c r="O20" i="53"/>
  <c r="AZ18" i="52"/>
  <c r="E26" i="53"/>
  <c r="D24" i="53"/>
  <c r="E28" i="53"/>
  <c r="E24" i="53"/>
  <c r="E10" i="19"/>
  <c r="F34" i="23"/>
  <c r="O26" i="53"/>
  <c r="CZ37" i="5"/>
  <c r="I41" i="29"/>
  <c r="CL8" i="5"/>
  <c r="CI8" i="5"/>
  <c r="CH17" i="5"/>
  <c r="CI6" i="5"/>
  <c r="CH11" i="5"/>
  <c r="AS7" i="15"/>
  <c r="AY8" i="15"/>
  <c r="AT7" i="15"/>
  <c r="AU17" i="55"/>
  <c r="N31" i="28"/>
  <c r="O31" i="28"/>
  <c r="P31" i="28"/>
  <c r="Q31" i="28"/>
  <c r="R31" i="28"/>
  <c r="S31" i="28"/>
  <c r="T31" i="28"/>
  <c r="U31" i="28"/>
  <c r="AI6" i="7"/>
  <c r="CI16" i="5"/>
  <c r="CH9" i="5"/>
  <c r="CL16" i="5"/>
  <c r="CM9" i="5"/>
  <c r="CI14" i="5"/>
  <c r="CK6" i="8"/>
  <c r="CK8" i="8"/>
  <c r="CK13" i="8"/>
  <c r="CK15" i="8"/>
  <c r="CK6" i="40"/>
  <c r="CK7" i="40"/>
  <c r="CK8" i="40"/>
  <c r="CK9" i="40"/>
  <c r="CK37" i="40"/>
  <c r="CK10" i="40"/>
  <c r="CK14" i="8"/>
  <c r="CN8" i="8"/>
  <c r="CN12" i="8"/>
  <c r="CN7" i="40"/>
  <c r="CN9" i="40"/>
  <c r="CN10" i="40"/>
  <c r="CO6" i="40"/>
  <c r="CO37" i="40"/>
  <c r="CO7" i="40"/>
  <c r="CO8" i="40"/>
  <c r="CO9" i="40"/>
  <c r="CK12" i="8"/>
  <c r="CN7" i="8"/>
  <c r="CN11" i="8"/>
  <c r="CN15" i="8"/>
  <c r="CO10" i="40"/>
  <c r="CN8" i="40"/>
  <c r="CM7" i="8"/>
  <c r="CM11" i="8"/>
  <c r="CM15" i="8"/>
  <c r="CM7" i="40"/>
  <c r="CL6" i="40"/>
  <c r="CL7" i="40"/>
  <c r="CL37" i="40"/>
  <c r="CL8" i="40"/>
  <c r="CL9" i="40"/>
  <c r="CH6" i="8"/>
  <c r="CH7" i="8"/>
  <c r="CK11" i="8"/>
  <c r="CN6" i="8"/>
  <c r="CN14" i="8"/>
  <c r="CN6" i="40"/>
  <c r="CM6" i="8"/>
  <c r="CM14" i="8"/>
  <c r="CM6" i="40"/>
  <c r="CM10" i="40"/>
  <c r="CM37" i="40"/>
  <c r="CL10" i="40"/>
  <c r="CH8" i="8"/>
  <c r="CH9" i="8"/>
  <c r="CH11" i="8"/>
  <c r="CH12" i="8"/>
  <c r="CH13" i="8"/>
  <c r="CH14" i="8"/>
  <c r="CH15" i="8"/>
  <c r="CK6" i="9"/>
  <c r="CK7" i="9"/>
  <c r="CK8" i="9"/>
  <c r="CK9" i="9"/>
  <c r="CO6" i="9"/>
  <c r="CO7" i="9"/>
  <c r="CO8" i="9"/>
  <c r="CO9" i="9"/>
  <c r="CN7" i="9"/>
  <c r="CM6" i="9"/>
  <c r="CM7" i="9"/>
  <c r="CM8" i="9"/>
  <c r="CM9" i="9"/>
  <c r="CL6" i="9"/>
  <c r="CL7" i="9"/>
  <c r="CN6" i="9"/>
  <c r="CL8" i="9"/>
  <c r="CL9" i="9"/>
  <c r="AS6" i="15"/>
  <c r="CI8" i="40"/>
  <c r="CH9" i="40"/>
  <c r="CH37" i="40"/>
  <c r="CI9" i="40"/>
  <c r="H28" i="29"/>
  <c r="H8" i="29"/>
  <c r="H21" i="29"/>
  <c r="CL13" i="8"/>
  <c r="CL9" i="8"/>
  <c r="CM8" i="40"/>
  <c r="CM12" i="8"/>
  <c r="CN13" i="8"/>
  <c r="CH10" i="40"/>
  <c r="CI10" i="40"/>
  <c r="H27" i="29"/>
  <c r="CI9" i="9"/>
  <c r="CI8" i="9"/>
  <c r="CI7" i="9"/>
  <c r="CI6" i="9"/>
  <c r="CI15" i="8"/>
  <c r="CI14" i="8"/>
  <c r="CI13" i="8"/>
  <c r="CI12" i="8"/>
  <c r="CI11" i="8"/>
  <c r="CI9" i="8"/>
  <c r="CI8" i="8"/>
  <c r="CI7" i="8"/>
  <c r="CI6" i="8"/>
  <c r="CL14" i="8"/>
  <c r="CL6" i="8"/>
  <c r="CM9" i="40"/>
  <c r="CM13" i="8"/>
  <c r="CN16" i="5"/>
  <c r="CM13" i="5"/>
  <c r="CO7" i="5"/>
  <c r="CM6" i="5"/>
  <c r="CM17" i="5"/>
  <c r="CO11" i="5"/>
  <c r="CL10" i="5"/>
  <c r="CH13" i="5"/>
  <c r="CI10" i="5"/>
  <c r="CO15" i="5"/>
  <c r="CL12" i="5"/>
  <c r="CH7" i="5"/>
  <c r="CH15" i="5"/>
  <c r="CI12" i="5"/>
  <c r="CK45" i="40"/>
  <c r="CO45" i="40"/>
  <c r="CN17" i="4"/>
  <c r="CN10" i="4"/>
  <c r="CN13" i="4"/>
  <c r="CN14" i="4"/>
  <c r="CN20" i="4"/>
  <c r="CN21" i="4"/>
  <c r="CN22" i="4"/>
  <c r="CM18" i="4"/>
  <c r="AG8" i="15"/>
  <c r="AD8" i="15"/>
  <c r="AE8" i="15"/>
  <c r="AD10" i="15"/>
  <c r="AH10" i="15"/>
  <c r="AV10" i="15"/>
  <c r="AW8" i="15"/>
  <c r="AY10" i="15"/>
  <c r="AW10" i="15"/>
  <c r="AT17" i="55"/>
  <c r="AY11" i="13"/>
  <c r="AX11" i="13"/>
  <c r="AZ11" i="13"/>
  <c r="AW11" i="13"/>
  <c r="BA11" i="13"/>
  <c r="AT18" i="55"/>
  <c r="AU7" i="13"/>
  <c r="E25" i="41"/>
  <c r="D10" i="19"/>
  <c r="H10" i="19"/>
  <c r="D29" i="23"/>
  <c r="AV31" i="6"/>
  <c r="CK14" i="5"/>
  <c r="CK11" i="5"/>
  <c r="CN11" i="5"/>
  <c r="CN17" i="5"/>
  <c r="CO8" i="5"/>
  <c r="CO12" i="5"/>
  <c r="CO16" i="5"/>
  <c r="CM8" i="5"/>
  <c r="CM12" i="5"/>
  <c r="CM16" i="5"/>
  <c r="CK9" i="5"/>
  <c r="CN7" i="5"/>
  <c r="CN14" i="5"/>
  <c r="CO6" i="5"/>
  <c r="CO10" i="5"/>
  <c r="CO14" i="5"/>
  <c r="CM7" i="5"/>
  <c r="CM10" i="5"/>
  <c r="CM14" i="5"/>
  <c r="CN13" i="5"/>
  <c r="CO9" i="5"/>
  <c r="CO17" i="5"/>
  <c r="CM15" i="5"/>
  <c r="CL7" i="5"/>
  <c r="CL11" i="5"/>
  <c r="CL15" i="5"/>
  <c r="CH8" i="5"/>
  <c r="CH12" i="5"/>
  <c r="CH16" i="5"/>
  <c r="CI9" i="5"/>
  <c r="CI13" i="5"/>
  <c r="CI17" i="5"/>
  <c r="CK15" i="5"/>
  <c r="CN6" i="5"/>
  <c r="CO13" i="5"/>
  <c r="CM11" i="5"/>
  <c r="CL9" i="5"/>
  <c r="CL13" i="5"/>
  <c r="CL17" i="5"/>
  <c r="CH6" i="5"/>
  <c r="CH10" i="5"/>
  <c r="CH14" i="5"/>
  <c r="CI7" i="5"/>
  <c r="CI11" i="5"/>
  <c r="CI15" i="5"/>
  <c r="CN10" i="5"/>
  <c r="AT8" i="13"/>
  <c r="AT7" i="13"/>
  <c r="CN45" i="40"/>
  <c r="BA10" i="13"/>
  <c r="AW10" i="13"/>
  <c r="AU10" i="13"/>
  <c r="AZ10" i="13"/>
  <c r="AY10" i="13"/>
  <c r="AX10" i="13"/>
  <c r="AW14" i="55"/>
  <c r="AU8" i="13"/>
  <c r="AU18" i="55"/>
  <c r="CM17" i="4"/>
  <c r="CM14" i="4"/>
  <c r="CO22" i="4"/>
  <c r="CO21" i="4"/>
  <c r="CO20" i="4"/>
  <c r="CO19" i="4"/>
  <c r="CN19" i="4"/>
  <c r="CN18" i="4"/>
  <c r="AZ10" i="15"/>
  <c r="AX10" i="15"/>
  <c r="CM21" i="4"/>
  <c r="CM20" i="4"/>
  <c r="CM19" i="4"/>
  <c r="CM10" i="4"/>
  <c r="CM9" i="4"/>
  <c r="CL35" i="6"/>
  <c r="CO14" i="4"/>
  <c r="CO13" i="4"/>
  <c r="CN9" i="4"/>
  <c r="CK7" i="8"/>
  <c r="CK9" i="8"/>
  <c r="AH8" i="15"/>
  <c r="H12" i="29"/>
  <c r="T42" i="40"/>
  <c r="T45" i="40"/>
  <c r="Z45" i="40"/>
  <c r="S42" i="40"/>
  <c r="S45" i="40"/>
  <c r="BZ33" i="6"/>
  <c r="BZ28" i="6"/>
  <c r="BN30" i="6"/>
  <c r="D20" i="29"/>
  <c r="CK16" i="5"/>
  <c r="CK9" i="4"/>
  <c r="CK10" i="4"/>
  <c r="CK13" i="4"/>
  <c r="CK14" i="4"/>
  <c r="CK17" i="4"/>
  <c r="CK18" i="4"/>
  <c r="CK19" i="4"/>
  <c r="CK20" i="4"/>
  <c r="CK21" i="4"/>
  <c r="CK22" i="4"/>
  <c r="CK10" i="5"/>
  <c r="CK13" i="5"/>
  <c r="CK6" i="5"/>
  <c r="CK8" i="5"/>
  <c r="CK17" i="5"/>
  <c r="CK7" i="5"/>
  <c r="CK12" i="5"/>
  <c r="CN8" i="5"/>
  <c r="CN9" i="5"/>
  <c r="CN12" i="5"/>
  <c r="CN15" i="5"/>
  <c r="CB45" i="40"/>
  <c r="E20" i="29"/>
  <c r="AQ17" i="5"/>
  <c r="CK15" i="4"/>
  <c r="CO15" i="4"/>
  <c r="CH15" i="4"/>
  <c r="CM15" i="4"/>
  <c r="CI15" i="4"/>
  <c r="CN15" i="4"/>
  <c r="AG10" i="15"/>
  <c r="AE10" i="15"/>
  <c r="AE37" i="15"/>
  <c r="AF10" i="15"/>
  <c r="AZ8" i="15"/>
  <c r="AV8" i="15"/>
  <c r="AF8" i="15"/>
  <c r="AQ10" i="5"/>
  <c r="AP17" i="5"/>
  <c r="AQ15" i="5"/>
  <c r="AO9" i="5"/>
  <c r="AT14" i="15"/>
  <c r="BC14" i="15"/>
  <c r="BM4" i="52"/>
  <c r="AE5" i="9"/>
  <c r="AE9" i="9"/>
  <c r="M17" i="44"/>
  <c r="AZ6" i="11"/>
  <c r="AC5" i="8"/>
  <c r="AC11" i="8"/>
  <c r="U30" i="44"/>
  <c r="K6" i="6"/>
  <c r="AY6" i="12"/>
  <c r="CQ5" i="47"/>
  <c r="AD17" i="44"/>
  <c r="X4" i="52"/>
  <c r="AH42" i="54"/>
  <c r="AV6" i="12"/>
  <c r="AL5" i="13"/>
  <c r="CI5" i="47"/>
  <c r="Q42" i="54"/>
  <c r="AR6" i="6"/>
  <c r="AT5" i="13"/>
  <c r="AU5" i="55"/>
  <c r="CI5" i="40"/>
  <c r="AX6" i="11"/>
  <c r="AV5" i="40"/>
  <c r="BL42" i="54"/>
  <c r="G18" i="28"/>
  <c r="F18" i="28"/>
  <c r="E18" i="28"/>
  <c r="D18" i="28"/>
  <c r="L31" i="23"/>
  <c r="CS6" i="12"/>
  <c r="CQ5" i="4"/>
  <c r="AU6" i="11"/>
  <c r="BY5" i="8"/>
  <c r="J5" i="55"/>
  <c r="R5" i="17"/>
  <c r="AW6" i="6"/>
  <c r="AI5" i="5"/>
  <c r="E42" i="54"/>
  <c r="BB4" i="54"/>
  <c r="D4" i="54"/>
  <c r="AD6" i="40"/>
  <c r="AG5" i="9"/>
  <c r="K6" i="7"/>
  <c r="BD5" i="55"/>
  <c r="AU5" i="13"/>
  <c r="AI6" i="11"/>
  <c r="AW6" i="11"/>
  <c r="AY6" i="11"/>
  <c r="BA6" i="11"/>
  <c r="CO6" i="11"/>
  <c r="C9" i="44"/>
  <c r="AB5" i="4"/>
  <c r="S41" i="40"/>
  <c r="AD6" i="12"/>
  <c r="AD5" i="8"/>
  <c r="AD7" i="8"/>
  <c r="AG7" i="8"/>
  <c r="L44" i="44"/>
  <c r="AT6" i="12"/>
  <c r="AH5" i="5"/>
  <c r="AH14" i="5"/>
  <c r="AE44" i="44"/>
  <c r="AI6" i="6"/>
  <c r="BZ5" i="47"/>
  <c r="T5" i="4"/>
  <c r="T5" i="40"/>
  <c r="Y6" i="53"/>
  <c r="AK5" i="5"/>
  <c r="AK14" i="5"/>
  <c r="AL5" i="47"/>
  <c r="CI5" i="9"/>
  <c r="AD30" i="44"/>
  <c r="J6" i="6"/>
  <c r="S5" i="4"/>
  <c r="U9" i="44"/>
  <c r="D6" i="61"/>
  <c r="AF5" i="4"/>
  <c r="AF32" i="4"/>
  <c r="BL4" i="52"/>
  <c r="CQ5" i="5"/>
  <c r="AT5" i="15"/>
  <c r="M19" i="23"/>
  <c r="AL5" i="55"/>
  <c r="AX6" i="7"/>
  <c r="CD6" i="12"/>
  <c r="AL5" i="8"/>
  <c r="CR5" i="4"/>
  <c r="I6" i="12"/>
  <c r="CH5" i="4"/>
  <c r="C44" i="44"/>
  <c r="DF6" i="11"/>
  <c r="S5" i="13"/>
  <c r="AB5" i="13"/>
  <c r="AS6" i="11"/>
  <c r="AR4" i="54"/>
  <c r="S5" i="9"/>
  <c r="CN6" i="7"/>
  <c r="AH6" i="7"/>
  <c r="AQ6" i="7"/>
  <c r="AR6" i="7"/>
  <c r="AS6" i="7"/>
  <c r="AT6" i="7"/>
  <c r="AU6" i="7"/>
  <c r="CH5" i="9"/>
  <c r="AU6" i="6"/>
  <c r="AV6" i="7"/>
  <c r="AB5" i="8"/>
  <c r="AB8" i="8"/>
  <c r="N4" i="52"/>
  <c r="BB42" i="54"/>
  <c r="CR5" i="5"/>
  <c r="AH5" i="9"/>
  <c r="BZ5" i="8"/>
  <c r="T5" i="8"/>
  <c r="AL5" i="4"/>
  <c r="AL32" i="4"/>
  <c r="AJ5" i="9"/>
  <c r="BZ5" i="40"/>
  <c r="O4" i="52"/>
  <c r="T5" i="5"/>
  <c r="M31" i="23"/>
  <c r="AI4" i="54"/>
  <c r="AR6" i="12"/>
  <c r="D44" i="44"/>
  <c r="BD5" i="13"/>
  <c r="AC5" i="55"/>
  <c r="O6" i="53"/>
  <c r="BA6" i="7"/>
  <c r="AF8" i="40"/>
  <c r="CH5" i="40"/>
  <c r="Q6" i="12"/>
  <c r="BC5" i="13"/>
  <c r="AG5" i="47"/>
  <c r="BY41" i="40"/>
  <c r="AT6" i="6"/>
  <c r="AH6" i="6"/>
  <c r="AS5" i="15"/>
  <c r="L9" i="44"/>
  <c r="BB36" i="52"/>
  <c r="AM6" i="12"/>
  <c r="AD44" i="44"/>
  <c r="CN6" i="6"/>
  <c r="AD9" i="44"/>
  <c r="D32" i="53"/>
  <c r="AM5" i="9"/>
  <c r="AI5" i="8"/>
  <c r="AI13" i="8"/>
  <c r="CR5" i="9"/>
  <c r="BZ5" i="9"/>
  <c r="K5" i="13"/>
  <c r="AM5" i="4"/>
  <c r="CO6" i="6"/>
  <c r="AJ9" i="40"/>
  <c r="BC42" i="54"/>
  <c r="R45" i="12"/>
  <c r="AY6" i="7"/>
  <c r="CR5" i="47"/>
  <c r="CT45" i="12"/>
  <c r="AI6" i="40"/>
  <c r="CZ6" i="7"/>
  <c r="AN5" i="55"/>
  <c r="BM6" i="11"/>
  <c r="CK41" i="40"/>
  <c r="AZ6" i="12"/>
  <c r="AA6" i="53"/>
  <c r="AX5" i="40"/>
  <c r="K40" i="19"/>
  <c r="AA4" i="52"/>
  <c r="AD5" i="15"/>
  <c r="AE5" i="55"/>
  <c r="AU4" i="54"/>
  <c r="G32" i="53"/>
  <c r="CT5" i="9"/>
  <c r="CE6" i="12"/>
  <c r="AX5" i="5"/>
  <c r="AU5" i="8"/>
  <c r="X9" i="44"/>
  <c r="G6" i="61"/>
  <c r="O17" i="44"/>
  <c r="BJ6" i="11"/>
  <c r="V5" i="40"/>
  <c r="AK4" i="54"/>
  <c r="Q4" i="54"/>
  <c r="BK6" i="6"/>
  <c r="AV5" i="15"/>
  <c r="H8" i="26"/>
  <c r="M5" i="55"/>
  <c r="BE4" i="52"/>
  <c r="G4" i="52"/>
  <c r="M23" i="61"/>
  <c r="AW5" i="5"/>
  <c r="AW5" i="13"/>
  <c r="BE36" i="52"/>
  <c r="G4" i="54"/>
  <c r="M5" i="8"/>
  <c r="BK6" i="7"/>
  <c r="AY5" i="4"/>
  <c r="BM6" i="6"/>
  <c r="O30" i="44"/>
  <c r="AG17" i="44"/>
  <c r="U5" i="15"/>
  <c r="CB5" i="4"/>
  <c r="AK42" i="54"/>
  <c r="V5" i="55"/>
  <c r="AY5" i="8"/>
  <c r="BO4" i="52"/>
  <c r="CT5" i="5"/>
  <c r="M6" i="6"/>
  <c r="W6" i="6"/>
  <c r="CT5" i="4"/>
  <c r="AY5" i="9"/>
  <c r="V5" i="8"/>
  <c r="AG9" i="44"/>
  <c r="BK6" i="11"/>
  <c r="AU5" i="40"/>
  <c r="AU41" i="40"/>
  <c r="AM5" i="15"/>
  <c r="AU5" i="4"/>
  <c r="CK5" i="9"/>
  <c r="AW5" i="40"/>
  <c r="AW7" i="40"/>
  <c r="V5" i="5"/>
  <c r="G41" i="53"/>
  <c r="BF5" i="13"/>
  <c r="BE4" i="54"/>
  <c r="BC5" i="55"/>
  <c r="N42" i="54"/>
  <c r="J5" i="13"/>
  <c r="AQ6" i="6"/>
  <c r="AT5" i="55"/>
  <c r="AR4" i="52"/>
  <c r="N6" i="53"/>
  <c r="AR6" i="11"/>
  <c r="S5" i="5"/>
  <c r="AC5" i="5"/>
  <c r="L17" i="44"/>
  <c r="J41" i="40"/>
  <c r="BY5" i="5"/>
  <c r="N4" i="54"/>
  <c r="AB5" i="47"/>
  <c r="AS6" i="6"/>
  <c r="CN6" i="11"/>
  <c r="C30" i="44"/>
  <c r="AC5" i="4"/>
  <c r="AC32" i="4"/>
  <c r="I5" i="15"/>
  <c r="AC5" i="9"/>
  <c r="E5" i="17"/>
  <c r="J5" i="40"/>
  <c r="AG5" i="8"/>
  <c r="AV6" i="6"/>
  <c r="AH4" i="54"/>
  <c r="S5" i="40"/>
  <c r="AG5" i="4"/>
  <c r="N32" i="53"/>
  <c r="X6" i="53"/>
  <c r="CS45" i="12"/>
  <c r="CW6" i="6"/>
  <c r="AN6" i="12"/>
  <c r="AF5" i="9"/>
  <c r="CW6" i="11"/>
  <c r="AD5" i="5"/>
  <c r="T6" i="11"/>
  <c r="H6" i="12"/>
  <c r="D4" i="52"/>
  <c r="BB5" i="15"/>
  <c r="AG5" i="5"/>
  <c r="CQ5" i="40"/>
  <c r="AB5" i="5"/>
  <c r="BY5" i="9"/>
  <c r="AB5" i="55"/>
  <c r="S5" i="8"/>
  <c r="Q5" i="17"/>
  <c r="L2" i="44"/>
  <c r="C17" i="62"/>
  <c r="CK6" i="12"/>
  <c r="AF5" i="5"/>
  <c r="BY5" i="4"/>
  <c r="Q45" i="12"/>
  <c r="AO6" i="12"/>
  <c r="CQ5" i="9"/>
  <c r="AE5" i="8"/>
  <c r="AE15" i="8"/>
  <c r="BC4" i="54"/>
  <c r="CI5" i="5"/>
  <c r="M2" i="44"/>
  <c r="D17" i="62"/>
  <c r="CR5" i="40"/>
  <c r="U6" i="11"/>
  <c r="AI5" i="9"/>
  <c r="AI6" i="9"/>
  <c r="CX6" i="6"/>
  <c r="CR5" i="8"/>
  <c r="AH5" i="4"/>
  <c r="AK5" i="4"/>
  <c r="AK32" i="4"/>
  <c r="AI42" i="54"/>
  <c r="AS42" i="54"/>
  <c r="E32" i="53"/>
  <c r="V44" i="44"/>
  <c r="S5" i="15"/>
  <c r="AK7" i="40"/>
  <c r="V9" i="44"/>
  <c r="E6" i="61"/>
  <c r="CI5" i="8"/>
  <c r="AK5" i="9"/>
  <c r="V30" i="44"/>
  <c r="O32" i="53"/>
  <c r="AE6" i="12"/>
  <c r="BC5" i="15"/>
  <c r="K6" i="11"/>
  <c r="AE17" i="44"/>
  <c r="AE9" i="44"/>
  <c r="Y4" i="52"/>
  <c r="BC4" i="52"/>
  <c r="AM5" i="8"/>
  <c r="T5" i="47"/>
  <c r="D17" i="44"/>
  <c r="AJ5" i="4"/>
  <c r="AJ32" i="4"/>
  <c r="AS6" i="12"/>
  <c r="AL5" i="9"/>
  <c r="BB6" i="6"/>
  <c r="E41" i="53"/>
  <c r="M9" i="44"/>
  <c r="BB6" i="11"/>
  <c r="AK5" i="8"/>
  <c r="AS4" i="54"/>
  <c r="K5" i="47"/>
  <c r="V17" i="44"/>
  <c r="AW6" i="7"/>
  <c r="AI5" i="4"/>
  <c r="AI32" i="4"/>
  <c r="DG6" i="6"/>
  <c r="AZ6" i="6"/>
  <c r="O42" i="54"/>
  <c r="I40" i="19"/>
  <c r="AL5" i="5"/>
  <c r="M44" i="44"/>
  <c r="CI5" i="4"/>
  <c r="AM5" i="5"/>
  <c r="AB5" i="15"/>
  <c r="K41" i="40"/>
  <c r="D9" i="44"/>
  <c r="CO6" i="7"/>
  <c r="AW6" i="12"/>
  <c r="O4" i="54"/>
  <c r="AS4" i="52"/>
  <c r="T41" i="40"/>
  <c r="AH5" i="8"/>
  <c r="DG6" i="11"/>
  <c r="AY6" i="6"/>
  <c r="E4" i="52"/>
  <c r="AC5" i="13"/>
  <c r="AX6" i="6"/>
  <c r="AH10" i="40"/>
  <c r="CI41" i="40"/>
  <c r="BZ5" i="4"/>
  <c r="K5" i="40"/>
  <c r="AQ6" i="11"/>
  <c r="AE5" i="5"/>
  <c r="AV6" i="11"/>
  <c r="CC6" i="12"/>
  <c r="AD5" i="9"/>
  <c r="L7" i="23"/>
  <c r="S5" i="47"/>
  <c r="CW6" i="7"/>
  <c r="H40" i="19"/>
  <c r="AK5" i="13"/>
  <c r="J6" i="11"/>
  <c r="AH6" i="11"/>
  <c r="AT6" i="11"/>
  <c r="AF5" i="8"/>
  <c r="DF6" i="7"/>
  <c r="U17" i="44"/>
  <c r="AA5" i="15"/>
  <c r="CQ5" i="8"/>
  <c r="D6" i="53"/>
  <c r="D41" i="53"/>
  <c r="D42" i="54"/>
  <c r="CX6" i="7"/>
  <c r="BB6" i="7"/>
  <c r="CL6" i="12"/>
  <c r="BZ41" i="40"/>
  <c r="BA6" i="6"/>
  <c r="AJ5" i="5"/>
  <c r="AM5" i="47"/>
  <c r="AZ6" i="7"/>
  <c r="E6" i="53"/>
  <c r="R6" i="12"/>
  <c r="AJ5" i="8"/>
  <c r="AJ12" i="8"/>
  <c r="T5" i="13"/>
  <c r="K5" i="55"/>
  <c r="T5" i="55"/>
  <c r="D30" i="44"/>
  <c r="AU6" i="12"/>
  <c r="DG6" i="7"/>
  <c r="AE30" i="44"/>
  <c r="J5" i="15"/>
  <c r="T5" i="9"/>
  <c r="E4" i="54"/>
  <c r="AE5" i="4"/>
  <c r="BB4" i="52"/>
  <c r="J5" i="47"/>
  <c r="AL6" i="12"/>
  <c r="CH5" i="47"/>
  <c r="AQ6" i="12"/>
  <c r="AB5" i="9"/>
  <c r="DF6" i="6"/>
  <c r="U44" i="44"/>
  <c r="AD5" i="4"/>
  <c r="CH5" i="8"/>
  <c r="L30" i="44"/>
  <c r="CH41" i="40"/>
  <c r="C17" i="44"/>
  <c r="AP6" i="12"/>
  <c r="J6" i="7"/>
  <c r="L19" i="23"/>
  <c r="CH5" i="5"/>
  <c r="BY5" i="40"/>
  <c r="M30" i="44"/>
  <c r="CX6" i="11"/>
  <c r="M7" i="23"/>
  <c r="CT6" i="12"/>
  <c r="BZ5" i="5"/>
  <c r="BF5" i="55"/>
  <c r="AU42" i="54"/>
  <c r="BL4" i="54"/>
  <c r="G8" i="20"/>
  <c r="CB5" i="8"/>
  <c r="BN6" i="6"/>
  <c r="AV5" i="5"/>
  <c r="O31" i="23"/>
  <c r="AE5" i="13"/>
  <c r="M41" i="40"/>
  <c r="CT5" i="47"/>
  <c r="V41" i="40"/>
  <c r="M5" i="47"/>
  <c r="CU45" i="12"/>
  <c r="W6" i="11"/>
  <c r="X30" i="44"/>
  <c r="O9" i="44"/>
  <c r="CZ6" i="11"/>
  <c r="AV5" i="8"/>
  <c r="CT5" i="8"/>
  <c r="BL6" i="6"/>
  <c r="M5" i="9"/>
  <c r="DI6" i="6"/>
  <c r="BC6" i="12"/>
  <c r="M5" i="4"/>
  <c r="M6" i="7"/>
  <c r="F30" i="44"/>
  <c r="Q4" i="52"/>
  <c r="G23" i="61"/>
  <c r="Q32" i="53"/>
  <c r="G6" i="53"/>
  <c r="AU4" i="52"/>
  <c r="AY5" i="5"/>
  <c r="AK6" i="6"/>
  <c r="CM6" i="12"/>
  <c r="O7" i="23"/>
  <c r="Z7" i="23"/>
  <c r="M5" i="13"/>
  <c r="AT5" i="40"/>
  <c r="AT41" i="40"/>
  <c r="V5" i="47"/>
  <c r="AY5" i="40"/>
  <c r="AY41" i="40"/>
  <c r="AT5" i="47"/>
  <c r="M6" i="11"/>
  <c r="AY5" i="47"/>
  <c r="X44" i="44"/>
  <c r="F17" i="44"/>
  <c r="CB5" i="47"/>
  <c r="BL6" i="11"/>
  <c r="V5" i="9"/>
  <c r="AX5" i="9"/>
  <c r="BI6" i="7"/>
  <c r="T5" i="17"/>
  <c r="BI6" i="6"/>
  <c r="CB5" i="5"/>
  <c r="AW5" i="4"/>
  <c r="V5" i="4"/>
  <c r="J6" i="12"/>
  <c r="BJ6" i="6"/>
  <c r="AX5" i="8"/>
  <c r="AW5" i="55"/>
  <c r="AX6" i="12"/>
  <c r="BE5" i="15"/>
  <c r="AW5" i="47"/>
  <c r="M5" i="40"/>
  <c r="CK5" i="40"/>
  <c r="F44" i="44"/>
  <c r="CB5" i="9"/>
  <c r="AW5" i="9"/>
  <c r="BN6" i="7"/>
  <c r="BJ6" i="7"/>
  <c r="S6" i="12"/>
  <c r="AT5" i="9"/>
  <c r="CK5" i="4"/>
  <c r="CZ6" i="6"/>
  <c r="G42" i="54"/>
  <c r="L5" i="15"/>
  <c r="AK6" i="11"/>
  <c r="CB5" i="40"/>
  <c r="CB41" i="40"/>
  <c r="CK5" i="8"/>
  <c r="S45" i="12"/>
  <c r="DI6" i="7"/>
  <c r="AU5" i="5"/>
  <c r="CQ6" i="11"/>
  <c r="AF6" i="12"/>
  <c r="CK5" i="47"/>
  <c r="BE42" i="54"/>
  <c r="O19" i="23"/>
  <c r="AN5" i="13"/>
  <c r="CT5" i="40"/>
  <c r="H5" i="17"/>
  <c r="O44" i="44"/>
  <c r="AT5" i="5"/>
  <c r="AT5" i="4"/>
  <c r="CQ6" i="7"/>
  <c r="CK5" i="5"/>
  <c r="BB6" i="12"/>
  <c r="M5" i="5"/>
  <c r="Q6" i="53"/>
  <c r="O2" i="44"/>
  <c r="F17" i="62"/>
  <c r="BN6" i="11"/>
  <c r="AG44" i="44"/>
  <c r="AV5" i="9"/>
  <c r="BL6" i="7"/>
  <c r="CU6" i="12"/>
  <c r="W6" i="7"/>
  <c r="F9" i="44"/>
  <c r="BI6" i="11"/>
  <c r="AK6" i="7"/>
  <c r="AU5" i="9"/>
  <c r="AX5" i="4"/>
  <c r="DI6" i="11"/>
  <c r="AV5" i="4"/>
  <c r="X17" i="44"/>
  <c r="BM6" i="7"/>
  <c r="AT5" i="8"/>
  <c r="AW5" i="8"/>
  <c r="V5" i="13"/>
  <c r="AG30" i="44"/>
  <c r="BA6" i="12"/>
  <c r="CN37" i="40"/>
  <c r="X45" i="40"/>
  <c r="V45" i="40"/>
  <c r="Y45" i="40"/>
  <c r="AW8" i="40"/>
  <c r="AX45" i="40"/>
  <c r="AX41" i="40"/>
  <c r="AX32" i="4"/>
  <c r="AI29" i="4"/>
  <c r="AJ26" i="4"/>
  <c r="AK10" i="4"/>
  <c r="AK29" i="4"/>
  <c r="AF13" i="4"/>
  <c r="AF29" i="4"/>
  <c r="AU9" i="4"/>
  <c r="AL9" i="4"/>
  <c r="AC11" i="4"/>
  <c r="AC29" i="4"/>
  <c r="AK12" i="5"/>
  <c r="AK17" i="5"/>
  <c r="AK11" i="5"/>
  <c r="AD8" i="40"/>
  <c r="AD7" i="40"/>
  <c r="AD9" i="40"/>
  <c r="AD10" i="40"/>
  <c r="AD42" i="40"/>
  <c r="AD45" i="40"/>
  <c r="AH8" i="40"/>
  <c r="AU13" i="8"/>
  <c r="AX8" i="40"/>
  <c r="AU15" i="8"/>
  <c r="AF15" i="5"/>
  <c r="AU9" i="8"/>
  <c r="AC13" i="8"/>
  <c r="AC6" i="8"/>
  <c r="AC6" i="4"/>
  <c r="AF14" i="5"/>
  <c r="AC25" i="4"/>
  <c r="AL14" i="4"/>
  <c r="AE6" i="9"/>
  <c r="CR19" i="5"/>
  <c r="AH11" i="5"/>
  <c r="AI7" i="9"/>
  <c r="AC14" i="8"/>
  <c r="AC12" i="8"/>
  <c r="AC8" i="8"/>
  <c r="AU17" i="4"/>
  <c r="AH9" i="5"/>
  <c r="AH19" i="4"/>
  <c r="AC7" i="8"/>
  <c r="AC9" i="8"/>
  <c r="CQ19" i="8"/>
  <c r="AJ42" i="40"/>
  <c r="AE8" i="9"/>
  <c r="AE7" i="9"/>
  <c r="AC15" i="8"/>
  <c r="AF24" i="4"/>
  <c r="AL24" i="4"/>
  <c r="AB14" i="8"/>
  <c r="AD6" i="9"/>
  <c r="AD37" i="9"/>
  <c r="AF42" i="40"/>
  <c r="AF45" i="40"/>
  <c r="AL23" i="4"/>
  <c r="AB13" i="8"/>
  <c r="AK9" i="40"/>
  <c r="AD8" i="9"/>
  <c r="AF7" i="40"/>
  <c r="AL27" i="4"/>
  <c r="AF12" i="5"/>
  <c r="AH7" i="5"/>
  <c r="AF10" i="5"/>
  <c r="AI6" i="5"/>
  <c r="AF16" i="5"/>
  <c r="AF9" i="5"/>
  <c r="AD7" i="9"/>
  <c r="AF10" i="40"/>
  <c r="AL8" i="4"/>
  <c r="AL25" i="4"/>
  <c r="AL11" i="4"/>
  <c r="AH15" i="8"/>
  <c r="AI15" i="8"/>
  <c r="AJ15" i="8"/>
  <c r="AK15" i="8"/>
  <c r="AL15" i="8"/>
  <c r="AM15" i="8"/>
  <c r="AB11" i="8"/>
  <c r="E19" i="17"/>
  <c r="AE15" i="5"/>
  <c r="AI12" i="5"/>
  <c r="AI8" i="5"/>
  <c r="AF19" i="5"/>
  <c r="AD9" i="9"/>
  <c r="AL17" i="4"/>
  <c r="AH12" i="8"/>
  <c r="AH7" i="8"/>
  <c r="AH8" i="8"/>
  <c r="AH9" i="8"/>
  <c r="AL11" i="5"/>
  <c r="AC16" i="5"/>
  <c r="AC15" i="5"/>
  <c r="AL8" i="5"/>
  <c r="AC23" i="4"/>
  <c r="AH6" i="8"/>
  <c r="AW6" i="5"/>
  <c r="AL16" i="5"/>
  <c r="AC7" i="5"/>
  <c r="AB6" i="5"/>
  <c r="AL17" i="5"/>
  <c r="AC27" i="4"/>
  <c r="AC30" i="4"/>
  <c r="AF8" i="4"/>
  <c r="AH14" i="8"/>
  <c r="AF9" i="40"/>
  <c r="AF6" i="40"/>
  <c r="AL15" i="4"/>
  <c r="AL22" i="4"/>
  <c r="AL19" i="4"/>
  <c r="AL7" i="4"/>
  <c r="AL6" i="4"/>
  <c r="AL10" i="4"/>
  <c r="AL13" i="4"/>
  <c r="AL18" i="4"/>
  <c r="AL20" i="4"/>
  <c r="AL21" i="4"/>
  <c r="AL26" i="4"/>
  <c r="AL30" i="4"/>
  <c r="AB6" i="8"/>
  <c r="AB15" i="8"/>
  <c r="AB12" i="8"/>
  <c r="AB7" i="8"/>
  <c r="AU10" i="5"/>
  <c r="AU9" i="5"/>
  <c r="AB9" i="5"/>
  <c r="AB14" i="5"/>
  <c r="AB12" i="5"/>
  <c r="AC13" i="4"/>
  <c r="AC24" i="4"/>
  <c r="AC26" i="4"/>
  <c r="AC14" i="4"/>
  <c r="AC8" i="4"/>
  <c r="AC17" i="5"/>
  <c r="AL9" i="5"/>
  <c r="AL15" i="5"/>
  <c r="AB10" i="5"/>
  <c r="AC6" i="5"/>
  <c r="AC20" i="4"/>
  <c r="AC7" i="4"/>
  <c r="AL12" i="5"/>
  <c r="AC12" i="5"/>
  <c r="AB7" i="5"/>
  <c r="AL13" i="5"/>
  <c r="AB13" i="5"/>
  <c r="AX14" i="5"/>
  <c r="AX15" i="5"/>
  <c r="AC22" i="4"/>
  <c r="AH11" i="8"/>
  <c r="AJ12" i="5"/>
  <c r="AJ17" i="5"/>
  <c r="AJ16" i="5"/>
  <c r="AK11" i="8"/>
  <c r="AJ21" i="4"/>
  <c r="AJ24" i="4"/>
  <c r="AJ18" i="4"/>
  <c r="AJ14" i="4"/>
  <c r="AK21" i="4"/>
  <c r="AK9" i="4"/>
  <c r="AK22" i="4"/>
  <c r="AK23" i="4"/>
  <c r="AK26" i="4"/>
  <c r="AK18" i="4"/>
  <c r="AU14" i="4"/>
  <c r="AU13" i="4"/>
  <c r="AU8" i="4"/>
  <c r="AU6" i="4"/>
  <c r="AU11" i="4"/>
  <c r="AU25" i="4"/>
  <c r="AU15" i="4"/>
  <c r="AU19" i="4"/>
  <c r="AI11" i="8"/>
  <c r="AI9" i="8"/>
  <c r="AH16" i="5"/>
  <c r="AH12" i="5"/>
  <c r="AH13" i="5"/>
  <c r="AH10" i="5"/>
  <c r="AH6" i="5"/>
  <c r="AH17" i="5"/>
  <c r="AH8" i="5"/>
  <c r="AK6" i="4"/>
  <c r="AJ8" i="4"/>
  <c r="AJ7" i="40"/>
  <c r="AJ37" i="40"/>
  <c r="AU20" i="4"/>
  <c r="AU23" i="4"/>
  <c r="AF9" i="9"/>
  <c r="AF6" i="9"/>
  <c r="AF37" i="9"/>
  <c r="AI27" i="4"/>
  <c r="AI20" i="4"/>
  <c r="AI8" i="40"/>
  <c r="AJ8" i="40"/>
  <c r="AK8" i="40"/>
  <c r="AL8" i="40"/>
  <c r="AK24" i="4"/>
  <c r="AJ13" i="4"/>
  <c r="AH8" i="9"/>
  <c r="AL12" i="8"/>
  <c r="AK8" i="4"/>
  <c r="AJ22" i="4"/>
  <c r="AI6" i="8"/>
  <c r="AU10" i="4"/>
  <c r="AU18" i="4"/>
  <c r="AI14" i="8"/>
  <c r="AJ14" i="8"/>
  <c r="AK14" i="8"/>
  <c r="AB6" i="40"/>
  <c r="AB9" i="40"/>
  <c r="AH26" i="4"/>
  <c r="AH24" i="4"/>
  <c r="AH27" i="4"/>
  <c r="AH20" i="4"/>
  <c r="AH7" i="4"/>
  <c r="AH9" i="4"/>
  <c r="AH30" i="4"/>
  <c r="AH11" i="4"/>
  <c r="AI11" i="4"/>
  <c r="AJ11" i="4"/>
  <c r="AK11" i="4"/>
  <c r="CQ21" i="5"/>
  <c r="AD14" i="5"/>
  <c r="AU15" i="5"/>
  <c r="AH6" i="4"/>
  <c r="AK10" i="40"/>
  <c r="AD9" i="5"/>
  <c r="AU17" i="5"/>
  <c r="AH25" i="4"/>
  <c r="AH23" i="4"/>
  <c r="AI13" i="4"/>
  <c r="AI6" i="4"/>
  <c r="AI18" i="4"/>
  <c r="AI14" i="4"/>
  <c r="AK13" i="8"/>
  <c r="AK8" i="8"/>
  <c r="AK9" i="8"/>
  <c r="AK6" i="8"/>
  <c r="AK7" i="8"/>
  <c r="AK12" i="8"/>
  <c r="AJ15" i="4"/>
  <c r="AJ17" i="4"/>
  <c r="AJ25" i="4"/>
  <c r="AJ7" i="4"/>
  <c r="AJ9" i="4"/>
  <c r="AJ30" i="4"/>
  <c r="AJ23" i="4"/>
  <c r="AJ6" i="4"/>
  <c r="AJ19" i="4"/>
  <c r="AJ10" i="4"/>
  <c r="AH10" i="4"/>
  <c r="AI10" i="4"/>
  <c r="AJ20" i="4"/>
  <c r="AJ27" i="4"/>
  <c r="AK15" i="4"/>
  <c r="AK14" i="4"/>
  <c r="AK20" i="4"/>
  <c r="AK17" i="4"/>
  <c r="AK30" i="4"/>
  <c r="AK25" i="4"/>
  <c r="AK13" i="4"/>
  <c r="AK7" i="4"/>
  <c r="AK27" i="4"/>
  <c r="AK19" i="4"/>
  <c r="AC7" i="9"/>
  <c r="AG7" i="9"/>
  <c r="AC9" i="9"/>
  <c r="AC8" i="9"/>
  <c r="AK6" i="40"/>
  <c r="AK42" i="40"/>
  <c r="AK45" i="40"/>
  <c r="AI8" i="9"/>
  <c r="AE12" i="8"/>
  <c r="AE6" i="8"/>
  <c r="AE8" i="8"/>
  <c r="AE7" i="8"/>
  <c r="AE9" i="8"/>
  <c r="AE11" i="8"/>
  <c r="AE13" i="8"/>
  <c r="AD16" i="5"/>
  <c r="AU13" i="5"/>
  <c r="AU6" i="5"/>
  <c r="AU7" i="5"/>
  <c r="AH8" i="4"/>
  <c r="AU6" i="40"/>
  <c r="AU45" i="40"/>
  <c r="AF22" i="4"/>
  <c r="AF17" i="4"/>
  <c r="AF10" i="4"/>
  <c r="AF11" i="4"/>
  <c r="AF23" i="4"/>
  <c r="AF21" i="4"/>
  <c r="AF25" i="4"/>
  <c r="AF19" i="4"/>
  <c r="AF20" i="4"/>
  <c r="AF18" i="4"/>
  <c r="AF30" i="4"/>
  <c r="AF6" i="4"/>
  <c r="AF26" i="4"/>
  <c r="AF14" i="4"/>
  <c r="AF9" i="4"/>
  <c r="AF7" i="4"/>
  <c r="AD12" i="8"/>
  <c r="AD11" i="8"/>
  <c r="AD7" i="4"/>
  <c r="AE7" i="4"/>
  <c r="AE24" i="4"/>
  <c r="AD19" i="5"/>
  <c r="AX10" i="5"/>
  <c r="AW10" i="5"/>
  <c r="AI9" i="9"/>
  <c r="AH18" i="4"/>
  <c r="AH13" i="4"/>
  <c r="AE14" i="8"/>
  <c r="AF27" i="4"/>
  <c r="AE10" i="40"/>
  <c r="AE6" i="40"/>
  <c r="AF11" i="8"/>
  <c r="AG11" i="8"/>
  <c r="AF14" i="8"/>
  <c r="AF12" i="8"/>
  <c r="AI10" i="40"/>
  <c r="AI42" i="40"/>
  <c r="AI45" i="40"/>
  <c r="AB42" i="40"/>
  <c r="AB45" i="40"/>
  <c r="AB10" i="40"/>
  <c r="AB37" i="40"/>
  <c r="AW10" i="40"/>
  <c r="AJ10" i="40"/>
  <c r="AJ6" i="40"/>
  <c r="AI7" i="8"/>
  <c r="AI8" i="8"/>
  <c r="AI12" i="8"/>
  <c r="AH9" i="9"/>
  <c r="AH7" i="9"/>
  <c r="AH6" i="9"/>
  <c r="AJ9" i="9"/>
  <c r="AJ6" i="9"/>
  <c r="AJ8" i="9"/>
  <c r="AB8" i="9"/>
  <c r="AF8" i="9"/>
  <c r="AW17" i="5"/>
  <c r="AL10" i="40"/>
  <c r="AL7" i="40"/>
  <c r="AL9" i="40"/>
  <c r="AL42" i="40"/>
  <c r="AL45" i="40"/>
  <c r="AL6" i="40"/>
  <c r="AW11" i="5"/>
  <c r="AW14" i="5"/>
  <c r="AW15" i="5"/>
  <c r="AW8" i="5"/>
  <c r="AW12" i="5"/>
  <c r="AX7" i="5"/>
  <c r="AX11" i="5"/>
  <c r="AX8" i="5"/>
  <c r="AX9" i="5"/>
  <c r="AW13" i="5"/>
  <c r="AW9" i="5"/>
  <c r="AX13" i="5"/>
  <c r="AW7" i="5"/>
  <c r="AX17" i="5"/>
  <c r="AX12" i="5"/>
  <c r="AJ7" i="9"/>
  <c r="AE7" i="5"/>
  <c r="BY6" i="5"/>
  <c r="AI7" i="40"/>
  <c r="AI9" i="40"/>
  <c r="AH9" i="40"/>
  <c r="AB8" i="40"/>
  <c r="AB7" i="40"/>
  <c r="AI26" i="4"/>
  <c r="AI25" i="4"/>
  <c r="AI30" i="4"/>
  <c r="AI23" i="4"/>
  <c r="AI24" i="4"/>
  <c r="AC6" i="9"/>
  <c r="AW6" i="40"/>
  <c r="AW9" i="40"/>
  <c r="AW45" i="40"/>
  <c r="AE8" i="40"/>
  <c r="AF8" i="8"/>
  <c r="AJ8" i="8"/>
  <c r="AE16" i="5"/>
  <c r="AU14" i="5"/>
  <c r="AU8" i="5"/>
  <c r="AU11" i="5"/>
  <c r="AU16" i="5"/>
  <c r="AU12" i="5"/>
  <c r="AE42" i="40"/>
  <c r="AE45" i="40"/>
  <c r="AE7" i="40"/>
  <c r="AF15" i="8"/>
  <c r="AF6" i="8"/>
  <c r="AX6" i="40"/>
  <c r="AJ7" i="8"/>
  <c r="AI7" i="4"/>
  <c r="AI9" i="4"/>
  <c r="AM9" i="4"/>
  <c r="AI8" i="4"/>
  <c r="AU7" i="40"/>
  <c r="AU10" i="40"/>
  <c r="AU8" i="40"/>
  <c r="AU9" i="40"/>
  <c r="AJ6" i="8"/>
  <c r="AJ9" i="8"/>
  <c r="AJ11" i="8"/>
  <c r="AE9" i="40"/>
  <c r="AF13" i="8"/>
  <c r="AF9" i="8"/>
  <c r="AX10" i="40"/>
  <c r="AE14" i="5"/>
  <c r="AF7" i="8"/>
  <c r="AX7" i="40"/>
  <c r="AX9" i="40"/>
  <c r="AX37" i="40"/>
  <c r="AJ13" i="8"/>
  <c r="BY7" i="4"/>
  <c r="AU21" i="4"/>
  <c r="AU22" i="4"/>
  <c r="AW22" i="4"/>
  <c r="AX22" i="4"/>
  <c r="AU7" i="4"/>
  <c r="AU12" i="8"/>
  <c r="AJ14" i="5"/>
  <c r="AJ11" i="5"/>
  <c r="AH42" i="40"/>
  <c r="AH45" i="40"/>
  <c r="AH6" i="40"/>
  <c r="AH7" i="40"/>
  <c r="AF13" i="5"/>
  <c r="AF6" i="5"/>
  <c r="AF7" i="9"/>
  <c r="E16" i="17"/>
  <c r="E29" i="17"/>
  <c r="AC19" i="4"/>
  <c r="AC21" i="4"/>
  <c r="AE21" i="4"/>
  <c r="AC17" i="4"/>
  <c r="AC18" i="4"/>
  <c r="AC9" i="4"/>
  <c r="AC10" i="4"/>
  <c r="AI17" i="4"/>
  <c r="AI21" i="4"/>
  <c r="AI15" i="4"/>
  <c r="AI19" i="4"/>
  <c r="AI22" i="4"/>
  <c r="CQ20" i="8"/>
  <c r="AH21" i="4"/>
  <c r="AM21" i="4"/>
  <c r="AH22" i="4"/>
  <c r="AH17" i="4"/>
  <c r="AH15" i="4"/>
  <c r="BY16" i="5"/>
  <c r="AX11" i="4"/>
  <c r="AX24" i="4"/>
  <c r="AX23" i="4"/>
  <c r="AX6" i="4"/>
  <c r="AX25" i="4"/>
  <c r="AX14" i="4"/>
  <c r="AX8" i="4"/>
  <c r="AX26" i="4"/>
  <c r="AX10" i="4"/>
  <c r="AX9" i="4"/>
  <c r="AX15" i="4"/>
  <c r="AX21" i="4"/>
  <c r="AX20" i="4"/>
  <c r="AX19" i="4"/>
  <c r="AX17" i="4"/>
  <c r="AX7" i="4"/>
  <c r="AX18" i="4"/>
  <c r="AX13" i="4"/>
  <c r="AC10" i="40"/>
  <c r="AC6" i="40"/>
  <c r="AC9" i="40"/>
  <c r="AC8" i="40"/>
  <c r="AC7" i="40"/>
  <c r="AC37" i="40"/>
  <c r="AC42" i="40"/>
  <c r="AC45" i="40"/>
  <c r="AW8" i="4"/>
  <c r="AW21" i="4"/>
  <c r="AX8" i="9"/>
  <c r="AX6" i="9"/>
  <c r="AX9" i="9"/>
  <c r="AX7" i="9"/>
  <c r="AX37" i="9"/>
  <c r="AW26" i="4"/>
  <c r="AD25" i="4"/>
  <c r="AD18" i="4"/>
  <c r="AD20" i="4"/>
  <c r="AD6" i="4"/>
  <c r="AD8" i="4"/>
  <c r="AD9" i="4"/>
  <c r="AD14" i="4"/>
  <c r="AD23" i="4"/>
  <c r="AD27" i="4"/>
  <c r="AE27" i="4"/>
  <c r="AD11" i="4"/>
  <c r="AD22" i="4"/>
  <c r="AD30" i="4"/>
  <c r="AD19" i="4"/>
  <c r="AD26" i="4"/>
  <c r="AD17" i="4"/>
  <c r="AD13" i="4"/>
  <c r="AD10" i="4"/>
  <c r="AB6" i="9"/>
  <c r="AB7" i="9"/>
  <c r="AB9" i="9"/>
  <c r="AE25" i="4"/>
  <c r="AE13" i="4"/>
  <c r="AE11" i="4"/>
  <c r="AE14" i="4"/>
  <c r="AE18" i="4"/>
  <c r="AE20" i="4"/>
  <c r="AE9" i="4"/>
  <c r="AE17" i="4"/>
  <c r="AE30" i="4"/>
  <c r="AE22" i="4"/>
  <c r="AE8" i="4"/>
  <c r="AE19" i="4"/>
  <c r="AE6" i="4"/>
  <c r="AE10" i="4"/>
  <c r="AE23" i="4"/>
  <c r="AE26" i="4"/>
  <c r="AW6" i="8"/>
  <c r="AW13" i="8"/>
  <c r="AW9" i="8"/>
  <c r="AW15" i="8"/>
  <c r="AW12" i="8"/>
  <c r="AW11" i="8"/>
  <c r="AW14" i="8"/>
  <c r="AW7" i="8"/>
  <c r="AW8" i="8"/>
  <c r="AU6" i="9"/>
  <c r="AU37" i="9"/>
  <c r="AU8" i="9"/>
  <c r="AU7" i="9"/>
  <c r="AU9" i="9"/>
  <c r="AX7" i="8"/>
  <c r="AX8" i="8"/>
  <c r="AX13" i="8"/>
  <c r="AX15" i="8"/>
  <c r="AX6" i="8"/>
  <c r="AX9" i="8"/>
  <c r="AX12" i="8"/>
  <c r="AX14" i="8"/>
  <c r="AX11" i="8"/>
  <c r="AW14" i="4"/>
  <c r="AW17" i="4"/>
  <c r="AW24" i="4"/>
  <c r="AW18" i="4"/>
  <c r="AW23" i="4"/>
  <c r="AW11" i="4"/>
  <c r="AW25" i="4"/>
  <c r="AW10" i="4"/>
  <c r="AW19" i="4"/>
  <c r="AW15" i="4"/>
  <c r="AW7" i="4"/>
  <c r="AW9" i="4"/>
  <c r="AW20" i="4"/>
  <c r="AW6" i="4"/>
  <c r="AW13" i="4"/>
  <c r="CR21" i="5"/>
  <c r="CR20" i="5"/>
  <c r="AE37" i="9"/>
  <c r="CR19" i="8"/>
  <c r="CR24" i="8"/>
  <c r="CR10" i="9"/>
  <c r="CQ19" i="5"/>
  <c r="CQ20" i="5"/>
  <c r="CR12" i="9"/>
  <c r="AC37" i="9"/>
  <c r="CR20" i="8"/>
  <c r="CR11" i="9"/>
  <c r="CR13" i="9"/>
  <c r="CQ23" i="8"/>
  <c r="CQ12" i="9"/>
  <c r="CQ18" i="8"/>
  <c r="CQ11" i="9"/>
  <c r="CQ13" i="9"/>
  <c r="CT10" i="9"/>
  <c r="CQ10" i="9"/>
  <c r="CT11" i="9"/>
  <c r="CT12" i="9"/>
  <c r="CT13" i="9"/>
  <c r="D21" i="53"/>
  <c r="E21" i="53"/>
  <c r="CU10" i="9"/>
  <c r="CU12" i="9"/>
  <c r="CU13" i="9"/>
  <c r="CU11" i="9"/>
  <c r="CW12" i="9"/>
  <c r="CV11" i="9"/>
  <c r="CV10" i="9"/>
  <c r="CW13" i="9"/>
  <c r="CW11" i="9"/>
  <c r="CV13" i="9"/>
  <c r="CV12" i="9"/>
  <c r="CW10" i="9"/>
  <c r="CX10" i="9"/>
  <c r="CX12" i="9"/>
  <c r="CX11" i="9"/>
  <c r="CX13" i="9"/>
  <c r="O37" i="15"/>
  <c r="J38" i="23"/>
  <c r="J36" i="23"/>
  <c r="J33" i="23"/>
  <c r="K38" i="23"/>
  <c r="K35" i="23"/>
  <c r="K33" i="23"/>
  <c r="CH9" i="47"/>
  <c r="CM10" i="47"/>
  <c r="AB10" i="47"/>
  <c r="AC10" i="47"/>
  <c r="AD10" i="47"/>
  <c r="AE10" i="47"/>
  <c r="AF10" i="47"/>
  <c r="CH10" i="47"/>
  <c r="AX9" i="47"/>
  <c r="CL10" i="47"/>
  <c r="I17" i="23"/>
  <c r="K39" i="23"/>
  <c r="I33" i="23"/>
  <c r="J29" i="23"/>
  <c r="H29" i="23"/>
  <c r="I37" i="15"/>
  <c r="E38" i="17"/>
  <c r="AQ10" i="47"/>
  <c r="CL9" i="47"/>
  <c r="AE9" i="47"/>
  <c r="AB12" i="47"/>
  <c r="CL8" i="47"/>
  <c r="CJ12" i="47"/>
  <c r="AN12" i="47"/>
  <c r="AP10" i="47"/>
  <c r="AR13" i="47"/>
  <c r="AD12" i="47"/>
  <c r="CH12" i="47"/>
  <c r="AE12" i="47"/>
  <c r="AC12" i="47"/>
  <c r="AQ9" i="47"/>
  <c r="CJ9" i="47"/>
  <c r="AN9" i="47"/>
  <c r="AO9" i="47"/>
  <c r="AP9" i="47"/>
  <c r="AR9" i="47"/>
  <c r="CJ10" i="47"/>
  <c r="AB13" i="47"/>
  <c r="AN10" i="47"/>
  <c r="AR10" i="47"/>
  <c r="AO10" i="47"/>
  <c r="AZ9" i="54"/>
  <c r="AE11" i="13"/>
  <c r="AE37" i="13"/>
  <c r="Q37" i="55"/>
  <c r="O37" i="55"/>
  <c r="AP21" i="47"/>
  <c r="AB8" i="13"/>
  <c r="AI10" i="13"/>
  <c r="AD11" i="13"/>
  <c r="CQ21" i="8"/>
  <c r="CR16" i="8"/>
  <c r="CS20" i="5"/>
  <c r="CS21" i="5"/>
  <c r="CS25" i="8"/>
  <c r="E11" i="20"/>
  <c r="E9" i="20"/>
  <c r="N8" i="19"/>
  <c r="N9" i="19"/>
  <c r="CI19" i="47"/>
  <c r="AL21" i="47"/>
  <c r="AJ20" i="47"/>
  <c r="CL17" i="47"/>
  <c r="AI20" i="47"/>
  <c r="AL20" i="47"/>
  <c r="AK20" i="47"/>
  <c r="AR19" i="47"/>
  <c r="K10" i="19"/>
  <c r="T8" i="19"/>
  <c r="I10" i="19"/>
  <c r="J10" i="19"/>
  <c r="S8" i="19"/>
  <c r="CI21" i="47"/>
  <c r="AE14" i="55"/>
  <c r="AN17" i="47"/>
  <c r="AE20" i="47"/>
  <c r="AI21" i="47"/>
  <c r="AJ21" i="47"/>
  <c r="AK21" i="47"/>
  <c r="AH21" i="47"/>
  <c r="CL16" i="47"/>
  <c r="CH20" i="47"/>
  <c r="AB20" i="47"/>
  <c r="AB9" i="13"/>
  <c r="AB7" i="13"/>
  <c r="AC8" i="13"/>
  <c r="AE10" i="13"/>
  <c r="AG10" i="13"/>
  <c r="AG11" i="13"/>
  <c r="AI11" i="13"/>
  <c r="AD18" i="55"/>
  <c r="AC10" i="13"/>
  <c r="AC37" i="13"/>
  <c r="AF10" i="13"/>
  <c r="AF11" i="13"/>
  <c r="AB17" i="55"/>
  <c r="AB37" i="55"/>
  <c r="AC7" i="13"/>
  <c r="AD9" i="13"/>
  <c r="AC18" i="55"/>
  <c r="AH10" i="13"/>
  <c r="AB10" i="13"/>
  <c r="AC11" i="13"/>
  <c r="AH11" i="13"/>
  <c r="AH37" i="13"/>
  <c r="AU11" i="13"/>
  <c r="AC17" i="55"/>
  <c r="AB18" i="55"/>
  <c r="AD10" i="13"/>
  <c r="AD37" i="13"/>
  <c r="H25" i="29"/>
  <c r="AN19" i="47"/>
  <c r="CJ19" i="47"/>
  <c r="AO19" i="47"/>
  <c r="AP19" i="47"/>
  <c r="AQ19" i="47"/>
  <c r="AD19" i="47"/>
  <c r="AB19" i="47"/>
  <c r="N17" i="52"/>
  <c r="CM17" i="47"/>
  <c r="AF19" i="47"/>
  <c r="AJ19" i="47"/>
  <c r="AI19" i="47"/>
  <c r="AC9" i="13"/>
  <c r="AP20" i="47"/>
  <c r="CI20" i="47"/>
  <c r="AH20" i="47"/>
  <c r="AH19" i="47"/>
  <c r="AS14" i="15"/>
  <c r="BB14" i="15"/>
  <c r="Q39" i="17"/>
  <c r="BB37" i="54"/>
  <c r="N24" i="52"/>
  <c r="AW14" i="15"/>
  <c r="BF14" i="15"/>
  <c r="M37" i="15"/>
  <c r="AE13" i="47"/>
  <c r="N23" i="52"/>
  <c r="AC6" i="13"/>
  <c r="K37" i="13"/>
  <c r="AD13" i="47"/>
  <c r="AF13" i="47"/>
  <c r="AN13" i="47"/>
  <c r="AC13" i="47"/>
  <c r="AO13" i="47"/>
  <c r="AQ13" i="47"/>
  <c r="AU6" i="13"/>
  <c r="CJ13" i="47"/>
  <c r="AP13" i="47"/>
  <c r="E41" i="23"/>
  <c r="F41" i="23"/>
  <c r="AK12" i="47"/>
  <c r="AJ12" i="47"/>
  <c r="CI12" i="47"/>
  <c r="AH12" i="47"/>
  <c r="AL12" i="47"/>
  <c r="AI12" i="47"/>
  <c r="AH13" i="47"/>
  <c r="CK9" i="47"/>
  <c r="AU9" i="47"/>
  <c r="AW9" i="47"/>
  <c r="AO12" i="47"/>
  <c r="AQ12" i="47"/>
  <c r="AP12" i="47"/>
  <c r="AR12" i="47"/>
  <c r="AF9" i="47"/>
  <c r="AC9" i="47"/>
  <c r="AB9" i="47"/>
  <c r="AD9" i="47"/>
  <c r="CL11" i="47"/>
  <c r="N21" i="52"/>
  <c r="AB6" i="13"/>
  <c r="J37" i="13"/>
  <c r="E36" i="17"/>
  <c r="AT6" i="13"/>
  <c r="AJ9" i="47"/>
  <c r="AK9" i="47"/>
  <c r="AL10" i="47"/>
  <c r="AG12" i="15"/>
  <c r="AY12" i="15"/>
  <c r="AV12" i="15"/>
  <c r="AV8" i="13"/>
  <c r="AV37" i="13"/>
  <c r="AD8" i="13"/>
  <c r="CL18" i="47"/>
  <c r="AN16" i="47"/>
  <c r="AQ16" i="47"/>
  <c r="AP16" i="47"/>
  <c r="CJ16" i="47"/>
  <c r="AR16" i="47"/>
  <c r="CM20" i="47"/>
  <c r="O48" i="47"/>
  <c r="AJ16" i="47"/>
  <c r="AI16" i="47"/>
  <c r="AL16" i="47"/>
  <c r="AH16" i="47"/>
  <c r="AK16" i="47"/>
  <c r="AE16" i="47"/>
  <c r="AD16" i="47"/>
  <c r="AF16" i="47"/>
  <c r="AB16" i="47"/>
  <c r="N11" i="52"/>
  <c r="AC16" i="47"/>
  <c r="AC21" i="47"/>
  <c r="AX16" i="47"/>
  <c r="AW16" i="47"/>
  <c r="CK16" i="47"/>
  <c r="CM16" i="47"/>
  <c r="AE19" i="47"/>
  <c r="CH19" i="47"/>
  <c r="CL15" i="47"/>
  <c r="AQ21" i="47"/>
  <c r="AO21" i="47"/>
  <c r="CJ21" i="47"/>
  <c r="AN21" i="47"/>
  <c r="AR17" i="47"/>
  <c r="CT20" i="8"/>
  <c r="CT20" i="5"/>
  <c r="CT18" i="8"/>
  <c r="CT25" i="8"/>
  <c r="CT21" i="5"/>
  <c r="CT21" i="8"/>
  <c r="CT19" i="5"/>
  <c r="CT23" i="8"/>
  <c r="CT19" i="8"/>
  <c r="CT22" i="8"/>
  <c r="CT17" i="8"/>
  <c r="CT24" i="8"/>
  <c r="CU16" i="8"/>
  <c r="CU18" i="8"/>
  <c r="CU21" i="8"/>
  <c r="CU20" i="8"/>
  <c r="CU19" i="5"/>
  <c r="CU20" i="5"/>
  <c r="CU22" i="8"/>
  <c r="CU23" i="8"/>
  <c r="CU17" i="8"/>
  <c r="CU24" i="8"/>
  <c r="CU21" i="5"/>
  <c r="CU25" i="8"/>
  <c r="CU19" i="8"/>
  <c r="CV18" i="8"/>
  <c r="CV16" i="8"/>
  <c r="CV21" i="8"/>
  <c r="CV19" i="5"/>
  <c r="CV23" i="8"/>
  <c r="CV22" i="8"/>
  <c r="CV25" i="8"/>
  <c r="CV19" i="8"/>
  <c r="CV24" i="8"/>
  <c r="CV20" i="8"/>
  <c r="CV17" i="8"/>
  <c r="CV21" i="5"/>
  <c r="CV20" i="5"/>
  <c r="CW19" i="8"/>
  <c r="CW21" i="8"/>
  <c r="CW17" i="8"/>
  <c r="CW22" i="8"/>
  <c r="CW20" i="5"/>
  <c r="CW18" i="8"/>
  <c r="CW23" i="8"/>
  <c r="CW20" i="8"/>
  <c r="CW21" i="5"/>
  <c r="CW19" i="5"/>
  <c r="CW24" i="8"/>
  <c r="CW16" i="8"/>
  <c r="CW25" i="8"/>
  <c r="M37" i="23"/>
  <c r="L37" i="23"/>
  <c r="CX21" i="5"/>
  <c r="DA21" i="5"/>
  <c r="DB21" i="5"/>
  <c r="CX21" i="8"/>
  <c r="CX20" i="5"/>
  <c r="CX19" i="5"/>
  <c r="CX17" i="8"/>
  <c r="CX18" i="8"/>
  <c r="CX19" i="8"/>
  <c r="CX25" i="8"/>
  <c r="CX23" i="8"/>
  <c r="CX24" i="8"/>
  <c r="CX22" i="8"/>
  <c r="CX20" i="8"/>
  <c r="CX16" i="8"/>
  <c r="N40" i="23"/>
  <c r="L37" i="15"/>
  <c r="AV6" i="13"/>
  <c r="AU14" i="15"/>
  <c r="K37" i="15"/>
  <c r="P37" i="15"/>
  <c r="N36" i="23"/>
  <c r="N39" i="23"/>
  <c r="F12" i="20"/>
  <c r="G40" i="26"/>
  <c r="E12" i="20"/>
  <c r="F40" i="26"/>
  <c r="M39" i="23"/>
  <c r="L39" i="23"/>
  <c r="M40" i="23"/>
  <c r="L40" i="23"/>
  <c r="M38" i="23"/>
  <c r="L38" i="23"/>
  <c r="M36" i="23"/>
  <c r="M35" i="23"/>
  <c r="L35" i="23"/>
  <c r="L17" i="23"/>
  <c r="M29" i="23"/>
  <c r="M34" i="23"/>
  <c r="N33" i="52"/>
  <c r="N38" i="52"/>
  <c r="D38" i="52"/>
  <c r="Y17" i="53"/>
  <c r="BC15" i="54"/>
  <c r="E11" i="17"/>
  <c r="N35" i="23"/>
  <c r="N34" i="23"/>
  <c r="N33" i="23"/>
  <c r="N41" i="23"/>
  <c r="BC17" i="54"/>
  <c r="BB17" i="54"/>
  <c r="BD17" i="54"/>
  <c r="CL19" i="47"/>
  <c r="D20" i="53"/>
  <c r="D9" i="53"/>
  <c r="G36" i="53"/>
  <c r="H36" i="53"/>
  <c r="I36" i="53"/>
  <c r="J36" i="53"/>
  <c r="K36" i="53"/>
  <c r="L36" i="53"/>
  <c r="D7" i="53"/>
  <c r="E8" i="53"/>
  <c r="E7" i="53"/>
  <c r="E20" i="53"/>
  <c r="D8" i="53"/>
  <c r="E22" i="53"/>
  <c r="AI6" i="13"/>
  <c r="AZ6" i="13"/>
  <c r="AZ37" i="13"/>
  <c r="AG8" i="13"/>
  <c r="BD16" i="55"/>
  <c r="CT16" i="8"/>
  <c r="CQ16" i="8"/>
  <c r="CQ17" i="8"/>
  <c r="CR23" i="8"/>
  <c r="CQ25" i="8"/>
  <c r="CQ24" i="8"/>
  <c r="CR17" i="8"/>
  <c r="CR25" i="8"/>
  <c r="CR21" i="8"/>
  <c r="CR22" i="8"/>
  <c r="AG6" i="40"/>
  <c r="CS16" i="8"/>
  <c r="CQ22" i="8"/>
  <c r="CR18" i="8"/>
  <c r="CJ8" i="9"/>
  <c r="AD9" i="15"/>
  <c r="AD37" i="15"/>
  <c r="AG11" i="15"/>
  <c r="CJ8" i="5"/>
  <c r="CS19" i="5"/>
  <c r="CJ15" i="5"/>
  <c r="CJ13" i="5"/>
  <c r="CS18" i="8"/>
  <c r="CS20" i="8"/>
  <c r="CS24" i="8"/>
  <c r="CS22" i="8"/>
  <c r="CS17" i="8"/>
  <c r="CS23" i="8"/>
  <c r="CS21" i="8"/>
  <c r="CJ9" i="9"/>
  <c r="CI37" i="40"/>
  <c r="CJ10" i="5"/>
  <c r="CJ7" i="5"/>
  <c r="CJ16" i="5"/>
  <c r="CS19" i="8"/>
  <c r="BE16" i="55"/>
  <c r="BI16" i="55"/>
  <c r="BE15" i="55"/>
  <c r="BC16" i="55"/>
  <c r="BG16" i="55"/>
  <c r="BD15" i="55"/>
  <c r="BH15" i="55"/>
  <c r="AT37" i="55"/>
  <c r="BH16" i="55"/>
  <c r="BG15" i="55"/>
  <c r="AI7" i="13"/>
  <c r="Q37" i="13"/>
  <c r="BJ16" i="55"/>
  <c r="BI15" i="55"/>
  <c r="BC15" i="55"/>
  <c r="BF16" i="55"/>
  <c r="AF8" i="13"/>
  <c r="M37" i="13"/>
  <c r="AU37" i="13"/>
  <c r="AY6" i="13"/>
  <c r="AI9" i="13"/>
  <c r="AH8" i="13"/>
  <c r="BA6" i="13"/>
  <c r="BJ15" i="55"/>
  <c r="AU37" i="55"/>
  <c r="AC37" i="15"/>
  <c r="BF15" i="55"/>
  <c r="AF37" i="40"/>
  <c r="E10" i="53"/>
  <c r="E36" i="53"/>
  <c r="X8" i="52"/>
  <c r="L33" i="23"/>
  <c r="M33" i="23"/>
  <c r="L29" i="23"/>
  <c r="L34" i="23"/>
  <c r="AD17" i="47"/>
  <c r="AE17" i="47"/>
  <c r="AF17" i="47"/>
  <c r="CH17" i="47"/>
  <c r="AB17" i="47"/>
  <c r="AC17" i="47"/>
  <c r="AD21" i="47"/>
  <c r="CH21" i="47"/>
  <c r="N25" i="52"/>
  <c r="AF21" i="47"/>
  <c r="AE21" i="47"/>
  <c r="AB21" i="47"/>
  <c r="AJ17" i="47"/>
  <c r="AH17" i="47"/>
  <c r="AI17" i="47"/>
  <c r="CI17" i="47"/>
  <c r="AL17" i="47"/>
  <c r="AK17" i="47"/>
  <c r="CI9" i="47"/>
  <c r="AH9" i="47"/>
  <c r="AI9" i="47"/>
  <c r="AL9" i="47"/>
  <c r="CM9" i="47"/>
  <c r="AJ13" i="47"/>
  <c r="AL13" i="47"/>
  <c r="AI13" i="47"/>
  <c r="CI13" i="47"/>
  <c r="AK13" i="47"/>
  <c r="CM13" i="47"/>
  <c r="AT11" i="13"/>
  <c r="AT37" i="13"/>
  <c r="AB11" i="13"/>
  <c r="AC20" i="47"/>
  <c r="AD20" i="47"/>
  <c r="AF20" i="47"/>
  <c r="AK19" i="47"/>
  <c r="AL19" i="47"/>
  <c r="AQ17" i="47"/>
  <c r="AO17" i="47"/>
  <c r="AP17" i="47"/>
  <c r="CJ17" i="47"/>
  <c r="CJ20" i="47"/>
  <c r="AO20" i="47"/>
  <c r="AQ20" i="47"/>
  <c r="AN20" i="47"/>
  <c r="AR20" i="47"/>
  <c r="AB9" i="15"/>
  <c r="AT9" i="15"/>
  <c r="J37" i="15"/>
  <c r="CI10" i="47"/>
  <c r="Y16" i="53"/>
  <c r="X16" i="53"/>
  <c r="M17" i="23"/>
  <c r="L37" i="13"/>
  <c r="K29" i="23"/>
  <c r="H33" i="23"/>
  <c r="D33" i="52"/>
  <c r="J17" i="23"/>
  <c r="H35" i="23"/>
  <c r="O37" i="13"/>
  <c r="AY7" i="13"/>
  <c r="AG7" i="13"/>
  <c r="P37" i="13"/>
  <c r="AZ7" i="13"/>
  <c r="AH7" i="13"/>
  <c r="N37" i="13"/>
  <c r="AX7" i="13"/>
  <c r="AX37" i="13"/>
  <c r="AF7" i="13"/>
  <c r="AZ37" i="15"/>
  <c r="AY9" i="13"/>
  <c r="AW7" i="13"/>
  <c r="AW37" i="13"/>
  <c r="BA7" i="13"/>
  <c r="AZ9" i="13"/>
  <c r="AX9" i="13"/>
  <c r="AV14" i="15"/>
  <c r="BE14" i="15"/>
  <c r="AG6" i="13"/>
  <c r="AH6" i="13"/>
  <c r="AF6" i="13"/>
  <c r="H46" i="59"/>
  <c r="G32" i="26"/>
  <c r="G46" i="59"/>
  <c r="G36" i="59"/>
  <c r="I36" i="59"/>
  <c r="H36" i="59"/>
  <c r="H45" i="59"/>
  <c r="G45" i="59"/>
  <c r="AV7" i="13"/>
  <c r="AD7" i="13"/>
  <c r="AB37" i="13"/>
  <c r="AB37" i="15"/>
  <c r="BN13" i="52"/>
  <c r="BD15" i="54"/>
  <c r="X13" i="52"/>
  <c r="BB16" i="54"/>
  <c r="BA37" i="13"/>
  <c r="AF37" i="13"/>
  <c r="G37" i="59"/>
  <c r="F34" i="26"/>
  <c r="G10" i="41"/>
  <c r="F43" i="26"/>
  <c r="G43" i="26"/>
  <c r="X17" i="53"/>
  <c r="BL13" i="52"/>
  <c r="BC40" i="52"/>
  <c r="H37" i="59"/>
  <c r="BM13" i="52"/>
  <c r="BB40" i="52"/>
  <c r="BD40" i="52"/>
  <c r="AS14" i="54"/>
  <c r="AR14" i="54"/>
  <c r="AT14" i="54"/>
  <c r="G36" i="20"/>
  <c r="CJ23" i="47"/>
  <c r="AR23" i="47"/>
  <c r="AN23" i="47"/>
  <c r="AQ23" i="47"/>
  <c r="AP23" i="47"/>
  <c r="AO23" i="47"/>
  <c r="AD23" i="47"/>
  <c r="AB23" i="47"/>
  <c r="AC23" i="47"/>
  <c r="CH23" i="47"/>
  <c r="AF23" i="47"/>
  <c r="AE23" i="47"/>
  <c r="AI23" i="47"/>
  <c r="AK23" i="47"/>
  <c r="CI23" i="47"/>
  <c r="AL23" i="47"/>
  <c r="AH23" i="47"/>
  <c r="AJ23" i="47"/>
  <c r="AJ11" i="47"/>
  <c r="AK11" i="47"/>
  <c r="AL11" i="47"/>
  <c r="CI11" i="47"/>
  <c r="AH11" i="47"/>
  <c r="AI11" i="47"/>
  <c r="AO18" i="47"/>
  <c r="AQ18" i="47"/>
  <c r="AN18" i="47"/>
  <c r="AP18" i="47"/>
  <c r="AR18" i="47"/>
  <c r="CJ18" i="47"/>
  <c r="AQ11" i="47"/>
  <c r="AR11" i="47"/>
  <c r="AO11" i="47"/>
  <c r="AN11" i="47"/>
  <c r="CJ11" i="47"/>
  <c r="AP11" i="47"/>
  <c r="AC18" i="47"/>
  <c r="AD18" i="47"/>
  <c r="AF18" i="47"/>
  <c r="AE18" i="47"/>
  <c r="AB18" i="47"/>
  <c r="CH18" i="47"/>
  <c r="AC11" i="47"/>
  <c r="AD11" i="47"/>
  <c r="AE11" i="47"/>
  <c r="CH11" i="47"/>
  <c r="S11" i="47"/>
  <c r="AB11" i="47"/>
  <c r="N16" i="52"/>
  <c r="AF11" i="47"/>
  <c r="AH18" i="47"/>
  <c r="AJ18" i="47"/>
  <c r="AL18" i="47"/>
  <c r="CI18" i="47"/>
  <c r="AK18" i="47"/>
  <c r="AI18" i="47"/>
  <c r="AF15" i="47"/>
  <c r="AD15" i="47"/>
  <c r="AB15" i="47"/>
  <c r="CH15" i="47"/>
  <c r="AC15" i="47"/>
  <c r="AE15" i="47"/>
  <c r="AI15" i="47"/>
  <c r="AH15" i="47"/>
  <c r="AL15" i="47"/>
  <c r="AJ15" i="47"/>
  <c r="AK15" i="47"/>
  <c r="CI15" i="47"/>
  <c r="AD8" i="47"/>
  <c r="AE8" i="47"/>
  <c r="AB8" i="47"/>
  <c r="AC8" i="47"/>
  <c r="AF8" i="47"/>
  <c r="N6" i="52"/>
  <c r="CH8" i="47"/>
  <c r="N36" i="52"/>
  <c r="J48" i="47"/>
  <c r="E24" i="17"/>
  <c r="AR8" i="47"/>
  <c r="AQ8" i="47"/>
  <c r="L48" i="47"/>
  <c r="AP8" i="47"/>
  <c r="CJ8" i="47"/>
  <c r="AN8" i="47"/>
  <c r="AO8" i="47"/>
  <c r="CI8" i="47"/>
  <c r="AH8" i="47"/>
  <c r="AJ8" i="47"/>
  <c r="AK8" i="47"/>
  <c r="AI8" i="47"/>
  <c r="AL8" i="47"/>
  <c r="K48" i="47"/>
  <c r="AP15" i="47"/>
  <c r="CJ15" i="47"/>
  <c r="AR15" i="47"/>
  <c r="AN15" i="47"/>
  <c r="AO15" i="47"/>
  <c r="AQ15" i="47"/>
  <c r="N10" i="19"/>
  <c r="O8" i="19"/>
  <c r="V45" i="19"/>
  <c r="G36" i="61"/>
  <c r="T45" i="19"/>
  <c r="E30" i="61"/>
  <c r="E36" i="61"/>
  <c r="U45" i="19"/>
  <c r="F30" i="61"/>
  <c r="F36" i="61"/>
  <c r="S45" i="19"/>
  <c r="D36" i="61"/>
  <c r="D30" i="61"/>
  <c r="D41" i="23"/>
  <c r="AY37" i="15"/>
  <c r="AX37" i="15"/>
  <c r="AV37" i="15"/>
  <c r="AH37" i="15"/>
  <c r="AF37" i="15"/>
  <c r="D24" i="52"/>
  <c r="AA37" i="15"/>
  <c r="BH37" i="11"/>
  <c r="BT34" i="11"/>
  <c r="CL35" i="11"/>
  <c r="CL34" i="11"/>
  <c r="CL30" i="11"/>
  <c r="CF31" i="11"/>
  <c r="BN30" i="11"/>
  <c r="AM7" i="4"/>
  <c r="AM26" i="4"/>
  <c r="E8" i="17"/>
  <c r="E7" i="17"/>
  <c r="AM27" i="4"/>
  <c r="AM24" i="4"/>
  <c r="E23" i="17"/>
  <c r="BH32" i="11"/>
  <c r="BH33" i="11"/>
  <c r="AM22" i="4"/>
  <c r="CH38" i="4"/>
  <c r="CJ38" i="4"/>
  <c r="AK38" i="4"/>
  <c r="AG37" i="15"/>
  <c r="AR15" i="5"/>
  <c r="AN7" i="5"/>
  <c r="AR6" i="5"/>
  <c r="AO14" i="5"/>
  <c r="AR8" i="5"/>
  <c r="AQ8" i="5"/>
  <c r="AP10" i="5"/>
  <c r="AN9" i="5"/>
  <c r="AQ7" i="5"/>
  <c r="AN12" i="5"/>
  <c r="AR9" i="5"/>
  <c r="AP12" i="5"/>
  <c r="AN16" i="5"/>
  <c r="AR13" i="5"/>
  <c r="AN8" i="5"/>
  <c r="AG9" i="40"/>
  <c r="AM25" i="4"/>
  <c r="CH37" i="5"/>
  <c r="CN37" i="5"/>
  <c r="CM37" i="5"/>
  <c r="AN8" i="4"/>
  <c r="AN9" i="4"/>
  <c r="AN32" i="4"/>
  <c r="AN18" i="4"/>
  <c r="AN10" i="4"/>
  <c r="AR10" i="4"/>
  <c r="AR21" i="4"/>
  <c r="AR17" i="4"/>
  <c r="AR32" i="4"/>
  <c r="AR18" i="4"/>
  <c r="AR19" i="4"/>
  <c r="CJ11" i="5"/>
  <c r="BN32" i="6"/>
  <c r="BN31" i="6"/>
  <c r="BN27" i="6"/>
  <c r="AN21" i="4"/>
  <c r="AR8" i="4"/>
  <c r="BH33" i="6"/>
  <c r="BH29" i="11"/>
  <c r="BZ27" i="6"/>
  <c r="CJ14" i="5"/>
  <c r="CJ17" i="5"/>
  <c r="CJ6" i="5"/>
  <c r="CJ37" i="5"/>
  <c r="AR20" i="4"/>
  <c r="AN17" i="4"/>
  <c r="BZ37" i="11"/>
  <c r="BZ36" i="11"/>
  <c r="BH34" i="6"/>
  <c r="BH36" i="6"/>
  <c r="AV35" i="11"/>
  <c r="AV33" i="11"/>
  <c r="BB37" i="11"/>
  <c r="BB33" i="11"/>
  <c r="BB30" i="11"/>
  <c r="BB32" i="6"/>
  <c r="BB29" i="6"/>
  <c r="AV35" i="6"/>
  <c r="AV33" i="6"/>
  <c r="BT38" i="6"/>
  <c r="BT35" i="6"/>
  <c r="BT34" i="6"/>
  <c r="BT32" i="6"/>
  <c r="BT30" i="6"/>
  <c r="BT26" i="6"/>
  <c r="BT37" i="11"/>
  <c r="BT35" i="11"/>
  <c r="BT30" i="11"/>
  <c r="BZ37" i="6"/>
  <c r="BZ36" i="6"/>
  <c r="BZ32" i="6"/>
  <c r="BZ29" i="6"/>
  <c r="BH37" i="6"/>
  <c r="AE37" i="40"/>
  <c r="AV37" i="11"/>
  <c r="BB29" i="11"/>
  <c r="BN37" i="11"/>
  <c r="BN35" i="11"/>
  <c r="BN34" i="11"/>
  <c r="BN33" i="11"/>
  <c r="BN29" i="11"/>
  <c r="BZ32" i="11"/>
  <c r="BZ30" i="11"/>
  <c r="BZ29" i="11"/>
  <c r="CF38" i="6"/>
  <c r="CF36" i="6"/>
  <c r="CF35" i="6"/>
  <c r="CF32" i="6"/>
  <c r="CF31" i="6"/>
  <c r="CF30" i="6"/>
  <c r="CF28" i="6"/>
  <c r="CF27" i="6"/>
  <c r="CF35" i="11"/>
  <c r="CF34" i="11"/>
  <c r="CF32" i="11"/>
  <c r="CL32" i="11"/>
  <c r="BN28" i="6"/>
  <c r="BH30" i="6"/>
  <c r="AV29" i="11"/>
  <c r="BT36" i="6"/>
  <c r="BZ33" i="11"/>
  <c r="CL30" i="6"/>
  <c r="BH30" i="11"/>
  <c r="AV26" i="6"/>
  <c r="BH38" i="6"/>
  <c r="BH35" i="11"/>
  <c r="AJ45" i="40"/>
  <c r="AM42" i="40"/>
  <c r="W45" i="40"/>
  <c r="AZ39" i="54"/>
  <c r="AA25" i="23"/>
  <c r="N8" i="53"/>
  <c r="S41" i="47"/>
  <c r="CQ41" i="47"/>
  <c r="S42" i="47"/>
  <c r="CQ42" i="47"/>
  <c r="S43" i="47"/>
  <c r="CQ43" i="47"/>
  <c r="S39" i="47"/>
  <c r="CQ39" i="47"/>
  <c r="S45" i="47"/>
  <c r="CQ45" i="47"/>
  <c r="S44" i="47"/>
  <c r="CQ44" i="47"/>
  <c r="S40" i="47"/>
  <c r="CQ40" i="47"/>
  <c r="S32" i="4"/>
  <c r="AC37" i="55"/>
  <c r="AV37" i="55"/>
  <c r="AD37" i="55"/>
  <c r="E28" i="17"/>
  <c r="BA37" i="55"/>
  <c r="AG37" i="55"/>
  <c r="E43" i="52"/>
  <c r="BZ34" i="47"/>
  <c r="BZ33" i="47"/>
  <c r="BZ37" i="47"/>
  <c r="BZ36" i="47"/>
  <c r="BZ35" i="47"/>
  <c r="BZ32" i="47"/>
  <c r="BZ31" i="47"/>
  <c r="BY31" i="47"/>
  <c r="BY34" i="47"/>
  <c r="BY33" i="47"/>
  <c r="BY37" i="47"/>
  <c r="BY36" i="47"/>
  <c r="BY35" i="47"/>
  <c r="BY32" i="47"/>
  <c r="AG15" i="47"/>
  <c r="AS9" i="47"/>
  <c r="S32" i="47"/>
  <c r="S31" i="47"/>
  <c r="S37" i="47"/>
  <c r="CQ37" i="47"/>
  <c r="S36" i="47"/>
  <c r="S35" i="47"/>
  <c r="S34" i="47"/>
  <c r="S33" i="47"/>
  <c r="CN48" i="47"/>
  <c r="CA33" i="47"/>
  <c r="CA32" i="47"/>
  <c r="CA31" i="47"/>
  <c r="CA34" i="47"/>
  <c r="BY26" i="47"/>
  <c r="N43" i="52"/>
  <c r="AM11" i="4"/>
  <c r="AM18" i="4"/>
  <c r="S24" i="4"/>
  <c r="CI38" i="4"/>
  <c r="CL38" i="4"/>
  <c r="AG23" i="47"/>
  <c r="CI48" i="47"/>
  <c r="D43" i="52"/>
  <c r="CO48" i="47"/>
  <c r="S12" i="40"/>
  <c r="CQ12" i="40"/>
  <c r="S11" i="40"/>
  <c r="CQ11" i="40"/>
  <c r="G17" i="57"/>
  <c r="I20" i="57"/>
  <c r="J18" i="57"/>
  <c r="I18" i="57"/>
  <c r="G18" i="57"/>
  <c r="H16" i="57"/>
  <c r="F16" i="57"/>
  <c r="J16" i="57"/>
  <c r="E17" i="57"/>
  <c r="G20" i="57"/>
  <c r="D20" i="57"/>
  <c r="D18" i="57"/>
  <c r="D17" i="57"/>
  <c r="F20" i="57"/>
  <c r="G16" i="57"/>
  <c r="I16" i="57"/>
  <c r="I17" i="57"/>
  <c r="F17" i="57"/>
  <c r="H20" i="57"/>
  <c r="H18" i="57"/>
  <c r="H17" i="57"/>
  <c r="J20" i="57"/>
  <c r="E16" i="57"/>
  <c r="F18" i="57"/>
  <c r="J17" i="57"/>
  <c r="D16" i="57"/>
  <c r="E20" i="57"/>
  <c r="X24" i="52"/>
  <c r="BL24" i="52"/>
  <c r="N19" i="52"/>
  <c r="T38" i="7"/>
  <c r="E18" i="17"/>
  <c r="E17" i="17"/>
  <c r="E15" i="17"/>
  <c r="N7" i="52"/>
  <c r="N9" i="52"/>
  <c r="N37" i="52"/>
  <c r="S13" i="47"/>
  <c r="S6" i="40"/>
  <c r="S8" i="9"/>
  <c r="S8" i="47"/>
  <c r="S15" i="47"/>
  <c r="S7" i="5"/>
  <c r="S9" i="47"/>
  <c r="S6" i="4"/>
  <c r="S10" i="47"/>
  <c r="S20" i="4"/>
  <c r="S26" i="4"/>
  <c r="S23" i="47"/>
  <c r="S20" i="47"/>
  <c r="S6" i="13"/>
  <c r="S8" i="13"/>
  <c r="R7" i="15"/>
  <c r="S8" i="40"/>
  <c r="S16" i="5"/>
  <c r="S15" i="5"/>
  <c r="S9" i="4"/>
  <c r="S41" i="52"/>
  <c r="CO38" i="4"/>
  <c r="CN38" i="4"/>
  <c r="CK38" i="4"/>
  <c r="AM12" i="47"/>
  <c r="AS8" i="47"/>
  <c r="AS11" i="47"/>
  <c r="AM20" i="47"/>
  <c r="AS10" i="47"/>
  <c r="E22" i="17"/>
  <c r="AM17" i="47"/>
  <c r="AG21" i="47"/>
  <c r="AG9" i="47"/>
  <c r="T41" i="52"/>
  <c r="Z22" i="23"/>
  <c r="G49" i="61"/>
  <c r="AW8" i="9"/>
  <c r="AW6" i="9"/>
  <c r="AW7" i="9"/>
  <c r="J26" i="19"/>
  <c r="AM8" i="47"/>
  <c r="CJ48" i="47"/>
  <c r="AM45" i="40"/>
  <c r="CR42" i="40"/>
  <c r="CR45" i="40"/>
  <c r="O41" i="52"/>
  <c r="AG7" i="40"/>
  <c r="AS20" i="47"/>
  <c r="O9" i="19"/>
  <c r="J27" i="19"/>
  <c r="AW9" i="9"/>
  <c r="AM20" i="4"/>
  <c r="AM9" i="47"/>
  <c r="AI37" i="13"/>
  <c r="N26" i="52"/>
  <c r="N34" i="52"/>
  <c r="AU37" i="40"/>
  <c r="CH48" i="47"/>
  <c r="AG37" i="13"/>
  <c r="AE9" i="5"/>
  <c r="AE8" i="5"/>
  <c r="AE13" i="5"/>
  <c r="AE12" i="5"/>
  <c r="AE20" i="5"/>
  <c r="AE17" i="5"/>
  <c r="AE19" i="5"/>
  <c r="AE21" i="5"/>
  <c r="AE6" i="5"/>
  <c r="AE37" i="5"/>
  <c r="AE11" i="5"/>
  <c r="AE10" i="5"/>
  <c r="AD10" i="5"/>
  <c r="AD21" i="5"/>
  <c r="AD17" i="5"/>
  <c r="AD15" i="5"/>
  <c r="AD7" i="5"/>
  <c r="AD20" i="5"/>
  <c r="AD12" i="5"/>
  <c r="AG12" i="5"/>
  <c r="AD8" i="5"/>
  <c r="AD13" i="5"/>
  <c r="AL13" i="8"/>
  <c r="AL7" i="8"/>
  <c r="AL8" i="8"/>
  <c r="AM8" i="8"/>
  <c r="AL11" i="8"/>
  <c r="AL9" i="8"/>
  <c r="AM9" i="8"/>
  <c r="AL14" i="8"/>
  <c r="AL6" i="8"/>
  <c r="AP17" i="54"/>
  <c r="AG8" i="47"/>
  <c r="AS18" i="47"/>
  <c r="AS23" i="47"/>
  <c r="AY37" i="13"/>
  <c r="H41" i="23"/>
  <c r="AS17" i="47"/>
  <c r="AG20" i="47"/>
  <c r="L41" i="23"/>
  <c r="AG42" i="40"/>
  <c r="BJ17" i="54"/>
  <c r="DA19" i="5"/>
  <c r="DB19" i="5"/>
  <c r="AM13" i="47"/>
  <c r="AG13" i="47"/>
  <c r="AX38" i="4"/>
  <c r="AM15" i="4"/>
  <c r="AM17" i="4"/>
  <c r="AJ37" i="9"/>
  <c r="AH37" i="9"/>
  <c r="AM7" i="8"/>
  <c r="AD6" i="8"/>
  <c r="AD13" i="8"/>
  <c r="AG13" i="8"/>
  <c r="AM8" i="4"/>
  <c r="AM19" i="4"/>
  <c r="AI38" i="4"/>
  <c r="AM23" i="4"/>
  <c r="AM10" i="40"/>
  <c r="AM30" i="4"/>
  <c r="AK37" i="40"/>
  <c r="AG9" i="9"/>
  <c r="AC38" i="4"/>
  <c r="AU7" i="8"/>
  <c r="AU14" i="8"/>
  <c r="AU6" i="8"/>
  <c r="AU8" i="8"/>
  <c r="AU11" i="8"/>
  <c r="AQ12" i="5"/>
  <c r="AN11" i="5"/>
  <c r="AG16" i="47"/>
  <c r="E35" i="17"/>
  <c r="N39" i="52"/>
  <c r="AG6" i="9"/>
  <c r="AH37" i="40"/>
  <c r="AG6" i="8"/>
  <c r="AM7" i="40"/>
  <c r="AL37" i="40"/>
  <c r="AG12" i="8"/>
  <c r="AM13" i="4"/>
  <c r="AD9" i="8"/>
  <c r="AD8" i="8"/>
  <c r="AF38" i="4"/>
  <c r="AM12" i="8"/>
  <c r="AD37" i="40"/>
  <c r="AC21" i="5"/>
  <c r="AC19" i="5"/>
  <c r="AU32" i="4"/>
  <c r="AU26" i="4"/>
  <c r="AX6" i="5"/>
  <c r="AV41" i="40"/>
  <c r="BC37" i="54"/>
  <c r="BM24" i="52"/>
  <c r="H47" i="59"/>
  <c r="CM48" i="47"/>
  <c r="AG17" i="47"/>
  <c r="AM16" i="47"/>
  <c r="AH37" i="55"/>
  <c r="AG10" i="47"/>
  <c r="AS15" i="47"/>
  <c r="AM11" i="47"/>
  <c r="G34" i="26"/>
  <c r="P43" i="52"/>
  <c r="AS12" i="47"/>
  <c r="AM11" i="8"/>
  <c r="AD14" i="8"/>
  <c r="AG14" i="8"/>
  <c r="AD15" i="8"/>
  <c r="AG15" i="8"/>
  <c r="AM10" i="4"/>
  <c r="AM14" i="8"/>
  <c r="AG8" i="9"/>
  <c r="AH37" i="5"/>
  <c r="AH13" i="8"/>
  <c r="AM13" i="8"/>
  <c r="AL14" i="5"/>
  <c r="AL7" i="5"/>
  <c r="AL6" i="5"/>
  <c r="AI16" i="5"/>
  <c r="AM16" i="5"/>
  <c r="AI17" i="5"/>
  <c r="AM17" i="5"/>
  <c r="AI10" i="5"/>
  <c r="AI14" i="5"/>
  <c r="AM14" i="5"/>
  <c r="AI15" i="5"/>
  <c r="AI7" i="5"/>
  <c r="AI9" i="5"/>
  <c r="AI13" i="5"/>
  <c r="AI11" i="5"/>
  <c r="AM11" i="5"/>
  <c r="AP9" i="5"/>
  <c r="AR11" i="5"/>
  <c r="AN15" i="5"/>
  <c r="AS15" i="5"/>
  <c r="AR10" i="5"/>
  <c r="AP15" i="5"/>
  <c r="AO15" i="5"/>
  <c r="AP6" i="5"/>
  <c r="AQ13" i="5"/>
  <c r="AK9" i="5"/>
  <c r="AK15" i="5"/>
  <c r="AK13" i="5"/>
  <c r="AJ6" i="5"/>
  <c r="AM6" i="5"/>
  <c r="AN17" i="5"/>
  <c r="AP13" i="5"/>
  <c r="AO17" i="5"/>
  <c r="AO7" i="5"/>
  <c r="AN13" i="5"/>
  <c r="AR12" i="5"/>
  <c r="AP11" i="5"/>
  <c r="AK10" i="5"/>
  <c r="AK8" i="5"/>
  <c r="AN6" i="5"/>
  <c r="AO13" i="5"/>
  <c r="AP14" i="5"/>
  <c r="AR14" i="5"/>
  <c r="AO16" i="5"/>
  <c r="AP7" i="5"/>
  <c r="AQ14" i="5"/>
  <c r="AK7" i="5"/>
  <c r="AK6" i="5"/>
  <c r="AK37" i="5"/>
  <c r="AH15" i="5"/>
  <c r="AF8" i="5"/>
  <c r="AX16" i="5"/>
  <c r="H20" i="29"/>
  <c r="AL29" i="4"/>
  <c r="AL38" i="4"/>
  <c r="AJ29" i="4"/>
  <c r="AJ38" i="4"/>
  <c r="G14" i="61"/>
  <c r="M14" i="61"/>
  <c r="AB19" i="5"/>
  <c r="AB9" i="8"/>
  <c r="AG9" i="8"/>
  <c r="AK16" i="5"/>
  <c r="AF7" i="5"/>
  <c r="CK37" i="5"/>
  <c r="CI37" i="9"/>
  <c r="CL37" i="9"/>
  <c r="CM37" i="9"/>
  <c r="CO37" i="9"/>
  <c r="CK37" i="9"/>
  <c r="Q46" i="28"/>
  <c r="AP15" i="4"/>
  <c r="AP13" i="4"/>
  <c r="AP7" i="4"/>
  <c r="AJ10" i="5"/>
  <c r="AW16" i="5"/>
  <c r="AW37" i="5"/>
  <c r="CI37" i="5"/>
  <c r="CL37" i="5"/>
  <c r="Q44" i="28"/>
  <c r="AN7" i="8"/>
  <c r="DA18" i="5"/>
  <c r="DB18" i="5"/>
  <c r="AV31" i="11"/>
  <c r="AV30" i="11"/>
  <c r="BB31" i="11"/>
  <c r="CF36" i="11"/>
  <c r="BN38" i="6"/>
  <c r="BN34" i="6"/>
  <c r="AZ37" i="55"/>
  <c r="AY37" i="55"/>
  <c r="AX37" i="55"/>
  <c r="AF37" i="55"/>
  <c r="AG12" i="47"/>
  <c r="AV10" i="47"/>
  <c r="AW37" i="55"/>
  <c r="U38" i="7"/>
  <c r="AO6" i="9"/>
  <c r="CN37" i="9"/>
  <c r="BB32" i="11"/>
  <c r="AV36" i="11"/>
  <c r="BB38" i="6"/>
  <c r="BB37" i="6"/>
  <c r="BB36" i="6"/>
  <c r="BB34" i="6"/>
  <c r="BB33" i="6"/>
  <c r="BB31" i="6"/>
  <c r="BB30" i="6"/>
  <c r="BB28" i="6"/>
  <c r="BB27" i="6"/>
  <c r="BB26" i="6"/>
  <c r="AV38" i="6"/>
  <c r="AV37" i="6"/>
  <c r="AV36" i="6"/>
  <c r="AV34" i="6"/>
  <c r="AV32" i="6"/>
  <c r="AV30" i="6"/>
  <c r="AV29" i="6"/>
  <c r="AV28" i="6"/>
  <c r="AV27" i="6"/>
  <c r="CL34" i="6"/>
  <c r="CL27" i="6"/>
  <c r="CL37" i="11"/>
  <c r="CL36" i="11"/>
  <c r="CL33" i="11"/>
  <c r="CL31" i="11"/>
  <c r="CL29" i="11"/>
  <c r="CF37" i="6"/>
  <c r="CF34" i="6"/>
  <c r="CF33" i="6"/>
  <c r="AI37" i="55"/>
  <c r="AP6" i="8"/>
  <c r="AE59" i="23"/>
  <c r="N12" i="52"/>
  <c r="BN33" i="6"/>
  <c r="BN29" i="6"/>
  <c r="BN26" i="6"/>
  <c r="BN36" i="11"/>
  <c r="BN32" i="11"/>
  <c r="BN31" i="11"/>
  <c r="AO6" i="4"/>
  <c r="AC25" i="47"/>
  <c r="AP24" i="47"/>
  <c r="J22" i="60"/>
  <c r="BT37" i="6"/>
  <c r="BT33" i="6"/>
  <c r="BT31" i="6"/>
  <c r="BT29" i="6"/>
  <c r="BT28" i="6"/>
  <c r="BT27" i="6"/>
  <c r="BT36" i="11"/>
  <c r="BT33" i="11"/>
  <c r="BT32" i="11"/>
  <c r="BT31" i="11"/>
  <c r="BT29" i="11"/>
  <c r="BZ38" i="6"/>
  <c r="BZ34" i="6"/>
  <c r="BZ31" i="6"/>
  <c r="BZ30" i="6"/>
  <c r="BZ26" i="6"/>
  <c r="BZ35" i="11"/>
  <c r="BZ34" i="11"/>
  <c r="BZ31" i="11"/>
  <c r="CF26" i="6"/>
  <c r="BN35" i="6"/>
  <c r="AO22" i="4"/>
  <c r="BH32" i="6"/>
  <c r="BH35" i="6"/>
  <c r="AP6" i="9"/>
  <c r="BH31" i="11"/>
  <c r="BH34" i="11"/>
  <c r="BH36" i="11"/>
  <c r="CJ37" i="40"/>
  <c r="AD24" i="47"/>
  <c r="BY28" i="47"/>
  <c r="L19" i="20"/>
  <c r="F43" i="52"/>
  <c r="O43" i="52"/>
  <c r="J41" i="23"/>
  <c r="M41" i="23"/>
  <c r="K41" i="23"/>
  <c r="I41" i="23"/>
  <c r="AE37" i="55"/>
  <c r="U41" i="52"/>
  <c r="AM12" i="5"/>
  <c r="AM9" i="40"/>
  <c r="AI37" i="40"/>
  <c r="BB35" i="6"/>
  <c r="BZ35" i="6"/>
  <c r="AG10" i="40"/>
  <c r="AM6" i="4"/>
  <c r="AM8" i="40"/>
  <c r="AI37" i="5"/>
  <c r="AB37" i="9"/>
  <c r="AM6" i="40"/>
  <c r="CL38" i="6"/>
  <c r="CL32" i="6"/>
  <c r="CF29" i="6"/>
  <c r="AM23" i="47"/>
  <c r="AW37" i="40"/>
  <c r="CL37" i="6"/>
  <c r="CL33" i="6"/>
  <c r="AG8" i="8"/>
  <c r="AM15" i="47"/>
  <c r="AM18" i="47"/>
  <c r="AM21" i="47"/>
  <c r="AM19" i="47"/>
  <c r="AS19" i="47"/>
  <c r="AG8" i="40"/>
  <c r="CL36" i="6"/>
  <c r="CL31" i="6"/>
  <c r="AI37" i="9"/>
  <c r="CL26" i="6"/>
  <c r="BN37" i="6"/>
  <c r="AB28" i="23"/>
  <c r="AB29" i="23"/>
  <c r="AB30" i="23"/>
  <c r="AB31" i="23"/>
  <c r="AB32" i="23"/>
  <c r="T26" i="23"/>
  <c r="T23" i="23"/>
  <c r="O98" i="19"/>
  <c r="Z26" i="23"/>
  <c r="AE26" i="23"/>
  <c r="T24" i="23"/>
  <c r="T27" i="23"/>
  <c r="T25" i="23"/>
  <c r="L89" i="19"/>
  <c r="L90" i="19"/>
  <c r="AE25" i="23"/>
  <c r="K89" i="19"/>
  <c r="K90" i="19"/>
  <c r="K98" i="19"/>
  <c r="AA27" i="23"/>
  <c r="AE27" i="23"/>
  <c r="M89" i="19"/>
  <c r="M90" i="19"/>
  <c r="N89" i="19"/>
  <c r="N90" i="19"/>
  <c r="M102" i="19"/>
  <c r="M103" i="19"/>
  <c r="K102" i="19"/>
  <c r="K103" i="19"/>
  <c r="N102" i="19"/>
  <c r="N103" i="19"/>
  <c r="L102" i="19"/>
  <c r="M98" i="19"/>
  <c r="Z32" i="23"/>
  <c r="N31" i="52"/>
  <c r="N41" i="52"/>
  <c r="AT33" i="52"/>
  <c r="BN8" i="52"/>
  <c r="AG37" i="9"/>
  <c r="CJ37" i="9"/>
  <c r="AS13" i="47"/>
  <c r="AG18" i="47"/>
  <c r="BB15" i="54"/>
  <c r="BB14" i="54"/>
  <c r="AG11" i="47"/>
  <c r="AU37" i="15"/>
  <c r="BD14" i="15"/>
  <c r="DA20" i="5"/>
  <c r="DB20" i="5"/>
  <c r="X33" i="52"/>
  <c r="F32" i="26"/>
  <c r="G47" i="59"/>
  <c r="G48" i="59"/>
  <c r="AS33" i="52"/>
  <c r="BM8" i="52"/>
  <c r="R44" i="28"/>
  <c r="S44" i="28"/>
  <c r="T44" i="28"/>
  <c r="U44" i="28"/>
  <c r="AT32" i="4"/>
  <c r="AT10" i="5"/>
  <c r="AT11" i="5"/>
  <c r="AT8" i="5"/>
  <c r="AT17" i="5"/>
  <c r="AT22" i="4"/>
  <c r="AT9" i="5"/>
  <c r="AT15" i="5"/>
  <c r="AT7" i="8"/>
  <c r="AT26" i="4"/>
  <c r="AT18" i="4"/>
  <c r="AT13" i="8"/>
  <c r="AT8" i="4"/>
  <c r="AT25" i="4"/>
  <c r="AT9" i="4"/>
  <c r="AT14" i="5"/>
  <c r="AT7" i="5"/>
  <c r="AT11" i="8"/>
  <c r="AT15" i="8"/>
  <c r="AT6" i="40"/>
  <c r="AT7" i="4"/>
  <c r="AT14" i="4"/>
  <c r="AT7" i="9"/>
  <c r="AT12" i="8"/>
  <c r="AT8" i="8"/>
  <c r="AT21" i="4"/>
  <c r="AT13" i="4"/>
  <c r="AT6" i="9"/>
  <c r="AT6" i="8"/>
  <c r="AT10" i="40"/>
  <c r="AT24" i="4"/>
  <c r="AT20" i="4"/>
  <c r="AT8" i="9"/>
  <c r="AT17" i="4"/>
  <c r="AT6" i="4"/>
  <c r="AT9" i="9"/>
  <c r="AT10" i="4"/>
  <c r="AT11" i="4"/>
  <c r="AT23" i="4"/>
  <c r="AT7" i="40"/>
  <c r="AT9" i="8"/>
  <c r="AT9" i="40"/>
  <c r="AT19" i="4"/>
  <c r="AT8" i="40"/>
  <c r="AT15" i="4"/>
  <c r="AT14" i="8"/>
  <c r="AL27" i="47"/>
  <c r="AL29" i="47"/>
  <c r="AL26" i="47"/>
  <c r="AL28" i="47"/>
  <c r="AL24" i="47"/>
  <c r="AL25" i="47"/>
  <c r="AB26" i="4"/>
  <c r="AG26" i="4"/>
  <c r="AB14" i="4"/>
  <c r="AG14" i="4"/>
  <c r="AB6" i="4"/>
  <c r="AB11" i="4"/>
  <c r="AG11" i="4"/>
  <c r="AB13" i="4"/>
  <c r="AG13" i="4"/>
  <c r="AB29" i="4"/>
  <c r="AB25" i="4"/>
  <c r="AG25" i="4"/>
  <c r="AB32" i="4"/>
  <c r="AB30" i="4"/>
  <c r="AG30" i="4"/>
  <c r="AB24" i="4"/>
  <c r="AB20" i="4"/>
  <c r="AG20" i="4"/>
  <c r="AB8" i="4"/>
  <c r="AG8" i="4"/>
  <c r="AB21" i="4"/>
  <c r="AB27" i="4"/>
  <c r="AG27" i="4"/>
  <c r="AB10" i="4"/>
  <c r="AG10" i="4"/>
  <c r="AB9" i="4"/>
  <c r="AG9" i="4"/>
  <c r="AB22" i="4"/>
  <c r="AG22" i="4"/>
  <c r="AB17" i="4"/>
  <c r="AG17" i="4"/>
  <c r="AB19" i="4"/>
  <c r="AG19" i="4"/>
  <c r="AB7" i="4"/>
  <c r="AG7" i="4"/>
  <c r="AB18" i="4"/>
  <c r="AG18" i="4"/>
  <c r="AB23" i="4"/>
  <c r="AG23" i="4"/>
  <c r="AD24" i="4"/>
  <c r="AD21" i="4"/>
  <c r="AD29" i="4"/>
  <c r="AD32" i="4"/>
  <c r="AL6" i="9"/>
  <c r="AL9" i="9"/>
  <c r="AL7" i="9"/>
  <c r="AL8" i="9"/>
  <c r="AK6" i="9"/>
  <c r="AK9" i="9"/>
  <c r="AM9" i="9"/>
  <c r="AK8" i="9"/>
  <c r="AK7" i="9"/>
  <c r="AM7" i="9"/>
  <c r="AU37" i="5"/>
  <c r="AE29" i="4"/>
  <c r="AE32" i="4"/>
  <c r="AW32" i="4"/>
  <c r="AT12" i="5"/>
  <c r="AT6" i="5"/>
  <c r="AT16" i="5"/>
  <c r="AT13" i="5"/>
  <c r="AW41" i="40"/>
  <c r="AC8" i="5"/>
  <c r="AC14" i="5"/>
  <c r="AG14" i="5"/>
  <c r="AC13" i="5"/>
  <c r="AG13" i="5"/>
  <c r="AC10" i="5"/>
  <c r="AG10" i="5"/>
  <c r="AC9" i="5"/>
  <c r="AG9" i="5"/>
  <c r="AC11" i="5"/>
  <c r="AC20" i="5"/>
  <c r="AJ13" i="5"/>
  <c r="AM13" i="5"/>
  <c r="AD6" i="5"/>
  <c r="AJ8" i="5"/>
  <c r="AM8" i="5"/>
  <c r="AB20" i="5"/>
  <c r="AF20" i="5"/>
  <c r="AD11" i="5"/>
  <c r="AB8" i="5"/>
  <c r="AJ9" i="5"/>
  <c r="AM9" i="5"/>
  <c r="AU24" i="4"/>
  <c r="AJ7" i="5"/>
  <c r="AF17" i="5"/>
  <c r="AB15" i="5"/>
  <c r="AG15" i="5"/>
  <c r="AH32" i="4"/>
  <c r="AM32" i="4"/>
  <c r="AH29" i="4"/>
  <c r="AM29" i="4"/>
  <c r="CO37" i="5"/>
  <c r="AS37" i="15"/>
  <c r="CH37" i="9"/>
  <c r="AJ15" i="5"/>
  <c r="AM15" i="5"/>
  <c r="AB17" i="5"/>
  <c r="AB16" i="5"/>
  <c r="AG16" i="5"/>
  <c r="CQ16" i="5"/>
  <c r="AB21" i="5"/>
  <c r="AB11" i="5"/>
  <c r="AF11" i="5"/>
  <c r="AF21" i="5"/>
  <c r="AH14" i="4"/>
  <c r="AO11" i="5"/>
  <c r="AO8" i="5"/>
  <c r="AQ9" i="5"/>
  <c r="AS9" i="5"/>
  <c r="AQ16" i="5"/>
  <c r="AP16" i="5"/>
  <c r="AO6" i="5"/>
  <c r="AO10" i="5"/>
  <c r="AO12" i="5"/>
  <c r="AS12" i="5"/>
  <c r="AQ6" i="5"/>
  <c r="AR16" i="5"/>
  <c r="AR7" i="5"/>
  <c r="AR17" i="5"/>
  <c r="AS17" i="5"/>
  <c r="AN14" i="5"/>
  <c r="AS14" i="5"/>
  <c r="AQ11" i="5"/>
  <c r="AP8" i="5"/>
  <c r="AN10" i="5"/>
  <c r="AL10" i="5"/>
  <c r="AT37" i="15"/>
  <c r="AW12" i="47"/>
  <c r="AW13" i="47"/>
  <c r="AW8" i="47"/>
  <c r="AW26" i="47"/>
  <c r="AW25" i="47"/>
  <c r="AW11" i="47"/>
  <c r="AW23" i="47"/>
  <c r="AW27" i="47"/>
  <c r="AW29" i="47"/>
  <c r="AW28" i="47"/>
  <c r="AW17" i="47"/>
  <c r="AW15" i="47"/>
  <c r="AW10" i="47"/>
  <c r="AW19" i="47"/>
  <c r="AW18" i="47"/>
  <c r="AW21" i="47"/>
  <c r="AW20" i="47"/>
  <c r="AW24" i="47"/>
  <c r="AO11" i="8"/>
  <c r="AO12" i="8"/>
  <c r="AO8" i="8"/>
  <c r="AO7" i="8"/>
  <c r="AO14" i="8"/>
  <c r="AO9" i="8"/>
  <c r="AO15" i="8"/>
  <c r="AO6" i="8"/>
  <c r="AH10" i="47"/>
  <c r="AT29" i="47"/>
  <c r="AT15" i="47"/>
  <c r="AT27" i="47"/>
  <c r="AT24" i="47"/>
  <c r="AT28" i="47"/>
  <c r="AT23" i="47"/>
  <c r="AT17" i="47"/>
  <c r="AT10" i="47"/>
  <c r="AT19" i="47"/>
  <c r="AT21" i="47"/>
  <c r="AT20" i="47"/>
  <c r="AT8" i="47"/>
  <c r="AT26" i="47"/>
  <c r="AT13" i="47"/>
  <c r="AT25" i="47"/>
  <c r="AT11" i="47"/>
  <c r="AT12" i="47"/>
  <c r="AT18" i="47"/>
  <c r="E9" i="53"/>
  <c r="AN7" i="40"/>
  <c r="AQ7" i="9"/>
  <c r="E7" i="62"/>
  <c r="Q6" i="28"/>
  <c r="AW37" i="15"/>
  <c r="AO13" i="8"/>
  <c r="AP10" i="40"/>
  <c r="AP7" i="40"/>
  <c r="AP41" i="40"/>
  <c r="AP6" i="40"/>
  <c r="AP8" i="40"/>
  <c r="AP9" i="40"/>
  <c r="AP42" i="40"/>
  <c r="AP45" i="40"/>
  <c r="AR10" i="40"/>
  <c r="AR7" i="40"/>
  <c r="AR9" i="40"/>
  <c r="AR6" i="40"/>
  <c r="AR8" i="40"/>
  <c r="AR41" i="40"/>
  <c r="AR42" i="40"/>
  <c r="AR45" i="40"/>
  <c r="AN24" i="47"/>
  <c r="AK26" i="47"/>
  <c r="L8" i="53"/>
  <c r="DG33" i="11"/>
  <c r="AQ19" i="4"/>
  <c r="AQ17" i="4"/>
  <c r="AQ8" i="4"/>
  <c r="AQ26" i="47"/>
  <c r="AQ25" i="47"/>
  <c r="AQ24" i="47"/>
  <c r="AQ29" i="47"/>
  <c r="AQ27" i="47"/>
  <c r="AQ28" i="47"/>
  <c r="O38" i="4"/>
  <c r="CM32" i="4"/>
  <c r="CM38" i="4"/>
  <c r="E9" i="62"/>
  <c r="AB28" i="47"/>
  <c r="AB27" i="47"/>
  <c r="AB25" i="47"/>
  <c r="AB24" i="47"/>
  <c r="AB29" i="47"/>
  <c r="AB26" i="47"/>
  <c r="L22" i="53"/>
  <c r="CL28" i="6"/>
  <c r="AP19" i="4"/>
  <c r="AN7" i="9"/>
  <c r="AN14" i="4"/>
  <c r="AQ25" i="4"/>
  <c r="AP32" i="4"/>
  <c r="AX28" i="47"/>
  <c r="AJ10" i="47"/>
  <c r="AP9" i="8"/>
  <c r="AO14" i="4"/>
  <c r="AN8" i="9"/>
  <c r="AQ27" i="4"/>
  <c r="AP22" i="4"/>
  <c r="AN25" i="4"/>
  <c r="AR9" i="4"/>
  <c r="AR29" i="4"/>
  <c r="AQ12" i="8"/>
  <c r="AO9" i="40"/>
  <c r="AN14" i="8"/>
  <c r="AQ10" i="40"/>
  <c r="AP8" i="4"/>
  <c r="AO29" i="4"/>
  <c r="AP24" i="4"/>
  <c r="AO13" i="4"/>
  <c r="AO26" i="4"/>
  <c r="AQ13" i="4"/>
  <c r="AO7" i="40"/>
  <c r="AN15" i="8"/>
  <c r="AR7" i="8"/>
  <c r="AP14" i="4"/>
  <c r="AN20" i="4"/>
  <c r="AN27" i="4"/>
  <c r="AR25" i="4"/>
  <c r="AR13" i="8"/>
  <c r="AN8" i="40"/>
  <c r="AQ7" i="40"/>
  <c r="AR9" i="8"/>
  <c r="AR6" i="9"/>
  <c r="AN12" i="8"/>
  <c r="AR14" i="8"/>
  <c r="AP18" i="4"/>
  <c r="AO7" i="4"/>
  <c r="AO25" i="4"/>
  <c r="AQ15" i="4"/>
  <c r="AN30" i="4"/>
  <c r="AR13" i="4"/>
  <c r="AQ6" i="9"/>
  <c r="AO42" i="40"/>
  <c r="AO45" i="40"/>
  <c r="AR11" i="8"/>
  <c r="AN6" i="4"/>
  <c r="AO20" i="4"/>
  <c r="AN24" i="4"/>
  <c r="AR15" i="4"/>
  <c r="AP15" i="8"/>
  <c r="AQ15" i="8"/>
  <c r="AQ42" i="40"/>
  <c r="AQ45" i="40"/>
  <c r="AP11" i="8"/>
  <c r="AP8" i="9"/>
  <c r="AR12" i="8"/>
  <c r="AQ9" i="9"/>
  <c r="AO6" i="40"/>
  <c r="AO19" i="4"/>
  <c r="AO15" i="4"/>
  <c r="AP29" i="4"/>
  <c r="AP17" i="4"/>
  <c r="AU16" i="47"/>
  <c r="AO7" i="9"/>
  <c r="AR26" i="4"/>
  <c r="AN11" i="4"/>
  <c r="AP20" i="4"/>
  <c r="AN7" i="4"/>
  <c r="AR11" i="4"/>
  <c r="AO23" i="4"/>
  <c r="AP7" i="9"/>
  <c r="AQ11" i="8"/>
  <c r="AQ23" i="4"/>
  <c r="AN13" i="8"/>
  <c r="AP14" i="8"/>
  <c r="AN6" i="8"/>
  <c r="AQ8" i="9"/>
  <c r="AQ8" i="40"/>
  <c r="AP26" i="4"/>
  <c r="AP6" i="4"/>
  <c r="AO30" i="4"/>
  <c r="AO18" i="4"/>
  <c r="AN22" i="4"/>
  <c r="AO10" i="40"/>
  <c r="AN15" i="4"/>
  <c r="AR27" i="4"/>
  <c r="AR24" i="4"/>
  <c r="AO32" i="4"/>
  <c r="AN6" i="9"/>
  <c r="AQ7" i="8"/>
  <c r="AQ26" i="4"/>
  <c r="AQ14" i="8"/>
  <c r="AQ9" i="40"/>
  <c r="AO9" i="9"/>
  <c r="AR6" i="8"/>
  <c r="AN42" i="40"/>
  <c r="AN10" i="40"/>
  <c r="AO27" i="4"/>
  <c r="AO11" i="4"/>
  <c r="AQ6" i="4"/>
  <c r="AP21" i="4"/>
  <c r="AV15" i="47"/>
  <c r="AV19" i="47"/>
  <c r="AH27" i="47"/>
  <c r="AN25" i="47"/>
  <c r="AQ8" i="8"/>
  <c r="AR30" i="4"/>
  <c r="AN11" i="8"/>
  <c r="AQ14" i="4"/>
  <c r="AP23" i="4"/>
  <c r="AN13" i="4"/>
  <c r="AR14" i="4"/>
  <c r="AN9" i="8"/>
  <c r="AP9" i="9"/>
  <c r="AQ9" i="8"/>
  <c r="AQ29" i="4"/>
  <c r="AN9" i="9"/>
  <c r="AN8" i="8"/>
  <c r="AN9" i="40"/>
  <c r="AS9" i="40"/>
  <c r="AQ6" i="40"/>
  <c r="AP27" i="4"/>
  <c r="AO17" i="4"/>
  <c r="AO8" i="4"/>
  <c r="AS8" i="4"/>
  <c r="AQ24" i="4"/>
  <c r="AI10" i="47"/>
  <c r="AC19" i="47"/>
  <c r="AG19" i="47"/>
  <c r="AQ7" i="4"/>
  <c r="AP13" i="8"/>
  <c r="AP10" i="4"/>
  <c r="AP30" i="4"/>
  <c r="AQ11" i="4"/>
  <c r="AR15" i="8"/>
  <c r="AN23" i="4"/>
  <c r="AN26" i="4"/>
  <c r="AP9" i="4"/>
  <c r="AR7" i="4"/>
  <c r="AN6" i="40"/>
  <c r="AP8" i="8"/>
  <c r="AQ6" i="8"/>
  <c r="AR9" i="9"/>
  <c r="AR8" i="8"/>
  <c r="AP12" i="8"/>
  <c r="AO8" i="40"/>
  <c r="AO24" i="4"/>
  <c r="AO21" i="4"/>
  <c r="AP11" i="4"/>
  <c r="AP25" i="4"/>
  <c r="AQ30" i="4"/>
  <c r="AN19" i="4"/>
  <c r="AQ9" i="4"/>
  <c r="AR7" i="9"/>
  <c r="AJ27" i="47"/>
  <c r="CL29" i="6"/>
  <c r="AR23" i="4"/>
  <c r="BH27" i="6"/>
  <c r="DH27" i="6"/>
  <c r="AO29" i="47"/>
  <c r="AO26" i="47"/>
  <c r="AO25" i="47"/>
  <c r="AO24" i="47"/>
  <c r="AO27" i="47"/>
  <c r="AO28" i="47"/>
  <c r="AO16" i="47"/>
  <c r="AU21" i="47"/>
  <c r="AR29" i="47"/>
  <c r="V26" i="53"/>
  <c r="AF25" i="47"/>
  <c r="AK29" i="47"/>
  <c r="AV18" i="47"/>
  <c r="AE29" i="47"/>
  <c r="AE26" i="47"/>
  <c r="AE25" i="47"/>
  <c r="AE24" i="47"/>
  <c r="AE27" i="47"/>
  <c r="AQ32" i="4"/>
  <c r="AD27" i="47"/>
  <c r="AD29" i="47"/>
  <c r="AD28" i="47"/>
  <c r="Q41" i="55"/>
  <c r="AU13" i="47"/>
  <c r="AU25" i="47"/>
  <c r="AU11" i="47"/>
  <c r="AU27" i="47"/>
  <c r="AU29" i="47"/>
  <c r="AU28" i="47"/>
  <c r="AU23" i="47"/>
  <c r="AU17" i="47"/>
  <c r="AU15" i="47"/>
  <c r="AU10" i="47"/>
  <c r="AU19" i="47"/>
  <c r="AU18" i="47"/>
  <c r="AU12" i="47"/>
  <c r="AU8" i="47"/>
  <c r="AU26" i="47"/>
  <c r="AU24" i="47"/>
  <c r="Z35" i="23"/>
  <c r="H13" i="48"/>
  <c r="F3" i="42"/>
  <c r="K25" i="19"/>
  <c r="K60" i="19"/>
  <c r="G42" i="61"/>
  <c r="K19" i="19"/>
  <c r="O3" i="42"/>
  <c r="G48" i="53"/>
  <c r="K31" i="19"/>
  <c r="AF24" i="47"/>
  <c r="AH28" i="47"/>
  <c r="AQ20" i="4"/>
  <c r="AR6" i="4"/>
  <c r="AV13" i="47"/>
  <c r="AV23" i="47"/>
  <c r="AV8" i="47"/>
  <c r="AV26" i="47"/>
  <c r="AV25" i="47"/>
  <c r="AV11" i="47"/>
  <c r="AV27" i="47"/>
  <c r="AV29" i="47"/>
  <c r="AV28" i="47"/>
  <c r="AV17" i="47"/>
  <c r="AV21" i="47"/>
  <c r="AV20" i="47"/>
  <c r="AV12" i="47"/>
  <c r="AX20" i="47"/>
  <c r="AX26" i="47"/>
  <c r="AX21" i="47"/>
  <c r="AX12" i="47"/>
  <c r="AX13" i="47"/>
  <c r="AX8" i="47"/>
  <c r="AX25" i="47"/>
  <c r="AX23" i="47"/>
  <c r="AX27" i="47"/>
  <c r="AX24" i="47"/>
  <c r="AX15" i="47"/>
  <c r="AX10" i="47"/>
  <c r="AX19" i="47"/>
  <c r="AX18" i="47"/>
  <c r="AK10" i="47"/>
  <c r="AI25" i="47"/>
  <c r="AI24" i="47"/>
  <c r="AI28" i="47"/>
  <c r="AI27" i="47"/>
  <c r="AI26" i="47"/>
  <c r="K14" i="19"/>
  <c r="K123" i="19"/>
  <c r="AP25" i="47"/>
  <c r="AU20" i="47"/>
  <c r="AF26" i="47"/>
  <c r="AF28" i="47"/>
  <c r="AF27" i="47"/>
  <c r="AF29" i="47"/>
  <c r="AR8" i="9"/>
  <c r="AQ18" i="4"/>
  <c r="AQ21" i="4"/>
  <c r="AR25" i="47"/>
  <c r="AR24" i="47"/>
  <c r="AR28" i="47"/>
  <c r="AR27" i="47"/>
  <c r="AR26" i="47"/>
  <c r="Q13" i="28"/>
  <c r="R13" i="28"/>
  <c r="S13" i="28"/>
  <c r="T13" i="28"/>
  <c r="U13" i="28"/>
  <c r="AD26" i="47"/>
  <c r="F22" i="60"/>
  <c r="AQ22" i="4"/>
  <c r="AP26" i="47"/>
  <c r="AP28" i="47"/>
  <c r="AP27" i="47"/>
  <c r="AP29" i="47"/>
  <c r="AV24" i="47"/>
  <c r="G22" i="60"/>
  <c r="AX11" i="47"/>
  <c r="AN27" i="47"/>
  <c r="AN29" i="47"/>
  <c r="AN28" i="47"/>
  <c r="AK28" i="47"/>
  <c r="AK27" i="47"/>
  <c r="AK25" i="47"/>
  <c r="AK24" i="47"/>
  <c r="AH26" i="47"/>
  <c r="AH25" i="47"/>
  <c r="AH24" i="47"/>
  <c r="AH29" i="47"/>
  <c r="J2" i="41"/>
  <c r="AN26" i="47"/>
  <c r="AX29" i="47"/>
  <c r="O88" i="19"/>
  <c r="O111" i="19"/>
  <c r="AQ10" i="4"/>
  <c r="AC27" i="47"/>
  <c r="AC29" i="47"/>
  <c r="AC26" i="47"/>
  <c r="AC28" i="47"/>
  <c r="AR21" i="47"/>
  <c r="AJ25" i="47"/>
  <c r="AJ24" i="47"/>
  <c r="AJ28" i="47"/>
  <c r="AJ29" i="47"/>
  <c r="AJ26" i="47"/>
  <c r="Q17" i="28"/>
  <c r="R11" i="28"/>
  <c r="R15" i="28"/>
  <c r="AC24" i="47"/>
  <c r="AD25" i="47"/>
  <c r="AI29" i="47"/>
  <c r="AX17" i="47"/>
  <c r="T28" i="23"/>
  <c r="N98" i="19"/>
  <c r="L98" i="19"/>
  <c r="O101" i="19"/>
  <c r="O118" i="19"/>
  <c r="L103" i="19"/>
  <c r="M16" i="28"/>
  <c r="J22" i="28"/>
  <c r="M3" i="23"/>
  <c r="E22" i="20"/>
  <c r="DH34" i="6"/>
  <c r="DG30" i="11"/>
  <c r="DF32" i="11"/>
  <c r="DG32" i="6"/>
  <c r="DG29" i="6"/>
  <c r="DG28" i="6"/>
  <c r="DF35" i="6"/>
  <c r="DF33" i="6"/>
  <c r="DF31" i="6"/>
  <c r="DH30" i="6"/>
  <c r="DH32" i="6"/>
  <c r="DF29" i="11"/>
  <c r="DH33" i="6"/>
  <c r="DH32" i="11"/>
  <c r="X13" i="53"/>
  <c r="BY20" i="47"/>
  <c r="BY8" i="40"/>
  <c r="CQ8" i="40"/>
  <c r="BY9" i="9"/>
  <c r="BY8" i="4"/>
  <c r="DG31" i="11"/>
  <c r="AJ8" i="15"/>
  <c r="BY25" i="47"/>
  <c r="BY15" i="47"/>
  <c r="BY17" i="47"/>
  <c r="AK8" i="13"/>
  <c r="BY7" i="40"/>
  <c r="AJ12" i="15"/>
  <c r="BY11" i="5"/>
  <c r="BY19" i="4"/>
  <c r="BY15" i="4"/>
  <c r="BY11" i="4"/>
  <c r="BY7" i="9"/>
  <c r="BY22" i="4"/>
  <c r="BY6" i="4"/>
  <c r="DF36" i="11"/>
  <c r="DH36" i="11"/>
  <c r="AK9" i="13"/>
  <c r="BY17" i="4"/>
  <c r="BY24" i="47"/>
  <c r="BY11" i="47"/>
  <c r="CQ11" i="47"/>
  <c r="BY18" i="47"/>
  <c r="AK6" i="13"/>
  <c r="AK10" i="13"/>
  <c r="BY9" i="47"/>
  <c r="AJ7" i="15"/>
  <c r="BY9" i="5"/>
  <c r="BY21" i="4"/>
  <c r="BY20" i="4"/>
  <c r="CQ20" i="4"/>
  <c r="O30" i="28"/>
  <c r="BY29" i="47"/>
  <c r="BY27" i="47"/>
  <c r="AJ11" i="15"/>
  <c r="BY15" i="5"/>
  <c r="BY32" i="4"/>
  <c r="BY13" i="47"/>
  <c r="BY26" i="4"/>
  <c r="BY17" i="5"/>
  <c r="BY14" i="5"/>
  <c r="BY8" i="9"/>
  <c r="BY25" i="4"/>
  <c r="BY13" i="4"/>
  <c r="BY10" i="4"/>
  <c r="BY23" i="4"/>
  <c r="BY14" i="4"/>
  <c r="BY8" i="5"/>
  <c r="AJ6" i="15"/>
  <c r="BY9" i="40"/>
  <c r="BY10" i="40"/>
  <c r="BY10" i="47"/>
  <c r="BY12" i="47"/>
  <c r="BY16" i="47"/>
  <c r="AK7" i="13"/>
  <c r="BY23" i="47"/>
  <c r="BY8" i="47"/>
  <c r="BY6" i="9"/>
  <c r="BY13" i="5"/>
  <c r="AJ10" i="15"/>
  <c r="BY24" i="4"/>
  <c r="BY7" i="5"/>
  <c r="BY9" i="4"/>
  <c r="BY18" i="4"/>
  <c r="BY12" i="5"/>
  <c r="BY10" i="5"/>
  <c r="AJ9" i="15"/>
  <c r="BY6" i="40"/>
  <c r="AK11" i="13"/>
  <c r="BY21" i="47"/>
  <c r="BY19" i="47"/>
  <c r="DG32" i="11"/>
  <c r="DF37" i="11"/>
  <c r="DH35" i="6"/>
  <c r="DH38" i="6"/>
  <c r="DH29" i="11"/>
  <c r="DH33" i="11"/>
  <c r="DH31" i="11"/>
  <c r="DG29" i="11"/>
  <c r="DF31" i="11"/>
  <c r="DG33" i="6"/>
  <c r="DG26" i="6"/>
  <c r="DF37" i="6"/>
  <c r="DF29" i="6"/>
  <c r="DF28" i="6"/>
  <c r="S10" i="40"/>
  <c r="S6" i="9"/>
  <c r="S17" i="4"/>
  <c r="S18" i="4"/>
  <c r="S7" i="4"/>
  <c r="CQ7" i="4"/>
  <c r="S14" i="4"/>
  <c r="S17" i="5"/>
  <c r="S28" i="47"/>
  <c r="R8" i="15"/>
  <c r="S8" i="5"/>
  <c r="S14" i="5"/>
  <c r="S21" i="4"/>
  <c r="S10" i="4"/>
  <c r="S15" i="4"/>
  <c r="S25" i="4"/>
  <c r="R9" i="15"/>
  <c r="S12" i="5"/>
  <c r="R10" i="15"/>
  <c r="S11" i="5"/>
  <c r="S9" i="9"/>
  <c r="S9" i="40"/>
  <c r="R12" i="15"/>
  <c r="S12" i="47"/>
  <c r="S10" i="13"/>
  <c r="S7" i="13"/>
  <c r="S29" i="47"/>
  <c r="S27" i="47"/>
  <c r="S26" i="47"/>
  <c r="S25" i="47"/>
  <c r="S19" i="4"/>
  <c r="R6" i="15"/>
  <c r="R11" i="15"/>
  <c r="S10" i="5"/>
  <c r="S8" i="4"/>
  <c r="S11" i="4"/>
  <c r="S22" i="4"/>
  <c r="S6" i="5"/>
  <c r="S7" i="9"/>
  <c r="S7" i="40"/>
  <c r="S16" i="47"/>
  <c r="S9" i="13"/>
  <c r="S17" i="47"/>
  <c r="S11" i="13"/>
  <c r="S19" i="47"/>
  <c r="S21" i="47"/>
  <c r="S18" i="47"/>
  <c r="S23" i="4"/>
  <c r="S13" i="4"/>
  <c r="S9" i="5"/>
  <c r="S13" i="5"/>
  <c r="S24" i="47"/>
  <c r="DG35" i="11"/>
  <c r="DF33" i="11"/>
  <c r="Y14" i="53"/>
  <c r="V22" i="53"/>
  <c r="X26" i="53"/>
  <c r="DF35" i="11"/>
  <c r="DG38" i="6"/>
  <c r="DG37" i="6"/>
  <c r="DG36" i="6"/>
  <c r="DG35" i="6"/>
  <c r="DH30" i="11"/>
  <c r="DH34" i="11"/>
  <c r="DG37" i="11"/>
  <c r="DG34" i="11"/>
  <c r="DG34" i="6"/>
  <c r="DG31" i="6"/>
  <c r="DG30" i="6"/>
  <c r="DG27" i="6"/>
  <c r="DF38" i="6"/>
  <c r="DF36" i="6"/>
  <c r="DF34" i="6"/>
  <c r="DF32" i="6"/>
  <c r="DF30" i="6"/>
  <c r="DF27" i="6"/>
  <c r="DF26" i="6"/>
  <c r="DH29" i="6"/>
  <c r="DH37" i="6"/>
  <c r="DH35" i="11"/>
  <c r="DH37" i="11"/>
  <c r="Y26" i="53"/>
  <c r="DG36" i="11"/>
  <c r="DH28" i="6"/>
  <c r="DH36" i="6"/>
  <c r="DH26" i="6"/>
  <c r="DH31" i="6"/>
  <c r="V21" i="53"/>
  <c r="V20" i="53"/>
  <c r="DF34" i="11"/>
  <c r="DF30" i="11"/>
  <c r="X14" i="53"/>
  <c r="L7" i="53"/>
  <c r="L20" i="53"/>
  <c r="L21" i="53"/>
  <c r="BZ28" i="47"/>
  <c r="AK11" i="15"/>
  <c r="BZ23" i="47"/>
  <c r="BZ15" i="4"/>
  <c r="BZ22" i="4"/>
  <c r="BZ12" i="5"/>
  <c r="AL11" i="13"/>
  <c r="BZ17" i="47"/>
  <c r="BZ7" i="40"/>
  <c r="BZ18" i="4"/>
  <c r="BZ20" i="4"/>
  <c r="BZ19" i="4"/>
  <c r="BZ14" i="5"/>
  <c r="BZ20" i="47"/>
  <c r="BZ32" i="4"/>
  <c r="BZ19" i="47"/>
  <c r="AK12" i="15"/>
  <c r="BZ9" i="47"/>
  <c r="E33" i="53"/>
  <c r="D33" i="53"/>
  <c r="L9" i="53"/>
  <c r="AU38" i="4"/>
  <c r="O8" i="53"/>
  <c r="T42" i="47"/>
  <c r="CR42" i="47"/>
  <c r="T41" i="47"/>
  <c r="CR41" i="47"/>
  <c r="T45" i="47"/>
  <c r="CR45" i="47"/>
  <c r="T44" i="47"/>
  <c r="CR44" i="47"/>
  <c r="T40" i="47"/>
  <c r="CR40" i="47"/>
  <c r="T39" i="47"/>
  <c r="CR39" i="47"/>
  <c r="T43" i="47"/>
  <c r="CR43" i="47"/>
  <c r="O44" i="52"/>
  <c r="CQ32" i="47"/>
  <c r="K33" i="53"/>
  <c r="T33" i="47"/>
  <c r="CR33" i="47"/>
  <c r="T37" i="47"/>
  <c r="AE28" i="23"/>
  <c r="CQ34" i="47"/>
  <c r="T34" i="47"/>
  <c r="CR34" i="47"/>
  <c r="CQ35" i="47"/>
  <c r="T31" i="47"/>
  <c r="CR31" i="47"/>
  <c r="T35" i="47"/>
  <c r="CR35" i="47"/>
  <c r="BB7" i="15"/>
  <c r="T32" i="47"/>
  <c r="CR32" i="47"/>
  <c r="T36" i="47"/>
  <c r="CR36" i="47"/>
  <c r="CQ31" i="47"/>
  <c r="CQ36" i="47"/>
  <c r="CQ33" i="47"/>
  <c r="CR37" i="47"/>
  <c r="AE38" i="4"/>
  <c r="T25" i="47"/>
  <c r="T12" i="40"/>
  <c r="CR12" i="40"/>
  <c r="T11" i="40"/>
  <c r="CR11" i="40"/>
  <c r="N10" i="53"/>
  <c r="CQ9" i="5"/>
  <c r="CQ13" i="47"/>
  <c r="CQ9" i="47"/>
  <c r="E32" i="17"/>
  <c r="O42" i="52"/>
  <c r="AE29" i="23"/>
  <c r="L10" i="53"/>
  <c r="CQ23" i="47"/>
  <c r="CQ10" i="47"/>
  <c r="CQ26" i="4"/>
  <c r="CQ15" i="47"/>
  <c r="BC6" i="13"/>
  <c r="H33" i="53"/>
  <c r="CQ8" i="9"/>
  <c r="CQ15" i="5"/>
  <c r="BC8" i="13"/>
  <c r="CQ20" i="47"/>
  <c r="G33" i="53"/>
  <c r="S44" i="52"/>
  <c r="AE30" i="23"/>
  <c r="CQ8" i="47"/>
  <c r="I33" i="53"/>
  <c r="T44" i="52"/>
  <c r="AG24" i="4"/>
  <c r="R46" i="28"/>
  <c r="S46" i="28"/>
  <c r="T46" i="28"/>
  <c r="U46" i="28"/>
  <c r="AV8" i="5"/>
  <c r="AV7" i="5"/>
  <c r="AY7" i="5"/>
  <c r="AV11" i="5"/>
  <c r="AV13" i="4"/>
  <c r="AV9" i="4"/>
  <c r="AY9" i="4"/>
  <c r="AV21" i="4"/>
  <c r="AV18" i="4"/>
  <c r="AY18" i="4"/>
  <c r="AV8" i="9"/>
  <c r="AV8" i="8"/>
  <c r="AV9" i="8"/>
  <c r="AV16" i="47"/>
  <c r="AV14" i="4"/>
  <c r="AV6" i="9"/>
  <c r="AV7" i="8"/>
  <c r="AV13" i="5"/>
  <c r="AV14" i="5"/>
  <c r="AV17" i="4"/>
  <c r="AV23" i="4"/>
  <c r="AY23" i="4"/>
  <c r="AV11" i="8"/>
  <c r="AV45" i="40"/>
  <c r="AV15" i="5"/>
  <c r="AV16" i="5"/>
  <c r="AV9" i="5"/>
  <c r="AY9" i="5"/>
  <c r="AV22" i="4"/>
  <c r="AY22" i="4"/>
  <c r="AV25" i="4"/>
  <c r="AV24" i="4"/>
  <c r="AV10" i="4"/>
  <c r="AY10" i="4"/>
  <c r="AV6" i="4"/>
  <c r="AV20" i="4"/>
  <c r="AY20" i="4"/>
  <c r="AV9" i="9"/>
  <c r="AV13" i="8"/>
  <c r="AY13" i="8"/>
  <c r="AV6" i="8"/>
  <c r="AV8" i="4"/>
  <c r="AY8" i="4"/>
  <c r="AV12" i="8"/>
  <c r="AV7" i="9"/>
  <c r="AY7" i="9"/>
  <c r="AV6" i="5"/>
  <c r="AV15" i="4"/>
  <c r="AV9" i="47"/>
  <c r="AV11" i="4"/>
  <c r="AY11" i="4"/>
  <c r="AV15" i="8"/>
  <c r="AV10" i="5"/>
  <c r="AY10" i="5"/>
  <c r="AV7" i="4"/>
  <c r="AV26" i="4"/>
  <c r="AY26" i="4"/>
  <c r="AV14" i="8"/>
  <c r="AV19" i="4"/>
  <c r="AY19" i="4"/>
  <c r="AV12" i="5"/>
  <c r="AV8" i="40"/>
  <c r="AY8" i="40"/>
  <c r="AG7" i="5"/>
  <c r="N44" i="52"/>
  <c r="AB48" i="47"/>
  <c r="AS16" i="5"/>
  <c r="AY12" i="5"/>
  <c r="AW38" i="4"/>
  <c r="AG21" i="4"/>
  <c r="AY9" i="8"/>
  <c r="AY8" i="9"/>
  <c r="AY13" i="4"/>
  <c r="AY21" i="4"/>
  <c r="AY25" i="4"/>
  <c r="AG37" i="40"/>
  <c r="AV32" i="4"/>
  <c r="AV7" i="40"/>
  <c r="AY7" i="40"/>
  <c r="AG45" i="40"/>
  <c r="CQ42" i="40"/>
  <c r="CQ45" i="40"/>
  <c r="Q25" i="17"/>
  <c r="AY13" i="5"/>
  <c r="AY14" i="8"/>
  <c r="AY17" i="4"/>
  <c r="AY8" i="8"/>
  <c r="AY14" i="4"/>
  <c r="AY15" i="8"/>
  <c r="AY14" i="5"/>
  <c r="AY8" i="5"/>
  <c r="AT16" i="47"/>
  <c r="AY16" i="47"/>
  <c r="AT9" i="47"/>
  <c r="BD16" i="54"/>
  <c r="BD14" i="54"/>
  <c r="AV6" i="40"/>
  <c r="AV9" i="40"/>
  <c r="AY9" i="40"/>
  <c r="AM6" i="8"/>
  <c r="AV17" i="5"/>
  <c r="CQ7" i="5"/>
  <c r="L28" i="53"/>
  <c r="AS9" i="4"/>
  <c r="AY16" i="5"/>
  <c r="AY15" i="4"/>
  <c r="AY9" i="9"/>
  <c r="AY12" i="8"/>
  <c r="AY7" i="4"/>
  <c r="AY11" i="8"/>
  <c r="AY7" i="8"/>
  <c r="AY15" i="5"/>
  <c r="AY17" i="5"/>
  <c r="AY11" i="5"/>
  <c r="N32" i="52"/>
  <c r="N42" i="52"/>
  <c r="N14" i="52"/>
  <c r="N28" i="52"/>
  <c r="F22" i="20"/>
  <c r="AS13" i="5"/>
  <c r="AV10" i="40"/>
  <c r="AY10" i="40"/>
  <c r="AX37" i="5"/>
  <c r="J28" i="19"/>
  <c r="AW37" i="9"/>
  <c r="U44" i="52"/>
  <c r="AL48" i="47"/>
  <c r="CQ23" i="4"/>
  <c r="AQ37" i="5"/>
  <c r="AS11" i="5"/>
  <c r="AM37" i="40"/>
  <c r="AS21" i="4"/>
  <c r="AS24" i="4"/>
  <c r="CQ10" i="5"/>
  <c r="AS7" i="8"/>
  <c r="AP37" i="5"/>
  <c r="CQ9" i="4"/>
  <c r="AS19" i="4"/>
  <c r="AP37" i="40"/>
  <c r="AY28" i="47"/>
  <c r="AF48" i="47"/>
  <c r="AM27" i="47"/>
  <c r="AS10" i="40"/>
  <c r="AS7" i="9"/>
  <c r="AG26" i="47"/>
  <c r="CQ26" i="47"/>
  <c r="AM29" i="47"/>
  <c r="AS28" i="47"/>
  <c r="AP48" i="47"/>
  <c r="AK48" i="47"/>
  <c r="J33" i="53"/>
  <c r="L26" i="53"/>
  <c r="AE48" i="47"/>
  <c r="AE31" i="23"/>
  <c r="O89" i="19"/>
  <c r="O90" i="19"/>
  <c r="BZ6" i="4"/>
  <c r="AL10" i="13"/>
  <c r="AK7" i="15"/>
  <c r="BZ16" i="47"/>
  <c r="AK10" i="15"/>
  <c r="BZ10" i="5"/>
  <c r="AS10" i="4"/>
  <c r="AS22" i="4"/>
  <c r="AP38" i="4"/>
  <c r="AO37" i="9"/>
  <c r="AS8" i="40"/>
  <c r="AS14" i="8"/>
  <c r="AQ48" i="47"/>
  <c r="AY25" i="47"/>
  <c r="AY17" i="47"/>
  <c r="AM10" i="5"/>
  <c r="AL37" i="5"/>
  <c r="AM14" i="4"/>
  <c r="AM38" i="4"/>
  <c r="AH38" i="4"/>
  <c r="AG11" i="5"/>
  <c r="AD38" i="4"/>
  <c r="AT37" i="40"/>
  <c r="AY6" i="40"/>
  <c r="AA35" i="23"/>
  <c r="P3" i="42"/>
  <c r="L60" i="19"/>
  <c r="H42" i="61"/>
  <c r="L25" i="19"/>
  <c r="I13" i="48"/>
  <c r="H48" i="53"/>
  <c r="AB42" i="54"/>
  <c r="AB4" i="54"/>
  <c r="G5" i="56"/>
  <c r="AZ5" i="47"/>
  <c r="L54" i="19"/>
  <c r="L14" i="19"/>
  <c r="L123" i="19"/>
  <c r="R43" i="28"/>
  <c r="G3" i="42"/>
  <c r="AB32" i="53"/>
  <c r="R25" i="28"/>
  <c r="G12" i="62"/>
  <c r="CU41" i="40"/>
  <c r="L31" i="19"/>
  <c r="L19" i="19"/>
  <c r="BA5" i="47"/>
  <c r="BD5" i="47"/>
  <c r="AL4" i="52"/>
  <c r="R35" i="28"/>
  <c r="N41" i="40"/>
  <c r="Y30" i="44"/>
  <c r="R4" i="52"/>
  <c r="H23" i="61"/>
  <c r="DA6" i="11"/>
  <c r="BS6" i="11"/>
  <c r="BG5" i="55"/>
  <c r="P44" i="44"/>
  <c r="AX5" i="55"/>
  <c r="BA5" i="9"/>
  <c r="AH17" i="44"/>
  <c r="H8" i="20"/>
  <c r="CU5" i="5"/>
  <c r="G30" i="44"/>
  <c r="BF42" i="54"/>
  <c r="BO6" i="7"/>
  <c r="BA5" i="4"/>
  <c r="AF5" i="13"/>
  <c r="U5" i="17"/>
  <c r="BE5" i="40"/>
  <c r="BE41" i="40"/>
  <c r="AW5" i="15"/>
  <c r="BC5" i="8"/>
  <c r="H32" i="53"/>
  <c r="AZ5" i="4"/>
  <c r="BA5" i="5"/>
  <c r="M5" i="15"/>
  <c r="CF6" i="12"/>
  <c r="BO6" i="6"/>
  <c r="AB4" i="52"/>
  <c r="BP6" i="11"/>
  <c r="BE5" i="4"/>
  <c r="N5" i="8"/>
  <c r="I5" i="17"/>
  <c r="BF4" i="52"/>
  <c r="BR6" i="7"/>
  <c r="BP6" i="6"/>
  <c r="AN5" i="15"/>
  <c r="BD6" i="12"/>
  <c r="Y17" i="44"/>
  <c r="CC5" i="8"/>
  <c r="CC5" i="9"/>
  <c r="N6" i="6"/>
  <c r="AG6" i="12"/>
  <c r="AV42" i="54"/>
  <c r="H42" i="54"/>
  <c r="P2" i="44"/>
  <c r="G17" i="62"/>
  <c r="BF6" i="12"/>
  <c r="BP4" i="52"/>
  <c r="AH30" i="44"/>
  <c r="P9" i="44"/>
  <c r="BD5" i="4"/>
  <c r="Y44" i="44"/>
  <c r="W5" i="13"/>
  <c r="BH6" i="12"/>
  <c r="CN6" i="12"/>
  <c r="BD5" i="40"/>
  <c r="BF5" i="15"/>
  <c r="R32" i="53"/>
  <c r="AZ5" i="8"/>
  <c r="AE5" i="15"/>
  <c r="G9" i="44"/>
  <c r="W5" i="47"/>
  <c r="AB6" i="53"/>
  <c r="CC5" i="47"/>
  <c r="CU5" i="4"/>
  <c r="H41" i="53"/>
  <c r="BD5" i="5"/>
  <c r="BP6" i="7"/>
  <c r="BE5" i="47"/>
  <c r="AZ5" i="9"/>
  <c r="CU5" i="47"/>
  <c r="L40" i="19"/>
  <c r="CR6" i="11"/>
  <c r="BB5" i="5"/>
  <c r="BM4" i="54"/>
  <c r="AL4" i="54"/>
  <c r="AF5" i="55"/>
  <c r="BR6" i="11"/>
  <c r="CU5" i="9"/>
  <c r="W5" i="55"/>
  <c r="AZ5" i="40"/>
  <c r="CV6" i="12"/>
  <c r="CU5" i="8"/>
  <c r="P30" i="44"/>
  <c r="CL5" i="9"/>
  <c r="G44" i="44"/>
  <c r="BC5" i="5"/>
  <c r="BB5" i="47"/>
  <c r="CR6" i="7"/>
  <c r="AX5" i="13"/>
  <c r="H4" i="52"/>
  <c r="N23" i="61"/>
  <c r="N5" i="47"/>
  <c r="BD5" i="9"/>
  <c r="AL6" i="7"/>
  <c r="P17" i="44"/>
  <c r="BB5" i="4"/>
  <c r="X6" i="7"/>
  <c r="BQ6" i="11"/>
  <c r="BA5" i="8"/>
  <c r="Y9" i="44"/>
  <c r="H6" i="61"/>
  <c r="N5" i="40"/>
  <c r="AH9" i="44"/>
  <c r="W5" i="5"/>
  <c r="AH44" i="44"/>
  <c r="BB5" i="40"/>
  <c r="CL5" i="8"/>
  <c r="BS6" i="7"/>
  <c r="N5" i="9"/>
  <c r="N5" i="4"/>
  <c r="BF4" i="54"/>
  <c r="BO6" i="11"/>
  <c r="AO5" i="55"/>
  <c r="CL5" i="4"/>
  <c r="BI6" i="12"/>
  <c r="W5" i="9"/>
  <c r="W5" i="4"/>
  <c r="BB5" i="8"/>
  <c r="N5" i="5"/>
  <c r="W41" i="40"/>
  <c r="AL6" i="11"/>
  <c r="CL41" i="40"/>
  <c r="DJ6" i="6"/>
  <c r="BE5" i="8"/>
  <c r="BT6" i="6"/>
  <c r="K6" i="12"/>
  <c r="AO5" i="13"/>
  <c r="BS6" i="6"/>
  <c r="AZ5" i="5"/>
  <c r="I8" i="26"/>
  <c r="CC41" i="40"/>
  <c r="P19" i="23"/>
  <c r="BQ6" i="6"/>
  <c r="BF36" i="52"/>
  <c r="CC5" i="5"/>
  <c r="BR6" i="6"/>
  <c r="N5" i="55"/>
  <c r="T45" i="12"/>
  <c r="AV4" i="54"/>
  <c r="P7" i="23"/>
  <c r="AA7" i="23"/>
  <c r="BT6" i="7"/>
  <c r="BC5" i="47"/>
  <c r="BE6" i="12"/>
  <c r="BG5" i="13"/>
  <c r="DJ6" i="11"/>
  <c r="BB5" i="9"/>
  <c r="DA6" i="6"/>
  <c r="R4" i="54"/>
  <c r="BC5" i="4"/>
  <c r="X6" i="6"/>
  <c r="AV4" i="52"/>
  <c r="AL6" i="6"/>
  <c r="BT6" i="11"/>
  <c r="N6" i="11"/>
  <c r="BD5" i="8"/>
  <c r="V5" i="15"/>
  <c r="CC5" i="4"/>
  <c r="CL5" i="5"/>
  <c r="N6" i="7"/>
  <c r="T6" i="12"/>
  <c r="R6" i="53"/>
  <c r="R42" i="54"/>
  <c r="BE5" i="5"/>
  <c r="BA5" i="40"/>
  <c r="N5" i="13"/>
  <c r="AL42" i="54"/>
  <c r="W5" i="8"/>
  <c r="BE5" i="9"/>
  <c r="CU5" i="40"/>
  <c r="BM42" i="54"/>
  <c r="G17" i="44"/>
  <c r="CV45" i="12"/>
  <c r="BQ6" i="7"/>
  <c r="H4" i="54"/>
  <c r="BG6" i="12"/>
  <c r="BC5" i="40"/>
  <c r="BC5" i="9"/>
  <c r="P31" i="23"/>
  <c r="W5" i="40"/>
  <c r="CC5" i="40"/>
  <c r="CL5" i="47"/>
  <c r="X6" i="11"/>
  <c r="CR6" i="6"/>
  <c r="DA6" i="7"/>
  <c r="DJ6" i="7"/>
  <c r="CL5" i="40"/>
  <c r="H6" i="53"/>
  <c r="AY26" i="47"/>
  <c r="AM7" i="5"/>
  <c r="AJ37" i="5"/>
  <c r="CQ24" i="4"/>
  <c r="L24" i="53"/>
  <c r="S11" i="28"/>
  <c r="S15" i="28"/>
  <c r="R17" i="28"/>
  <c r="AS26" i="47"/>
  <c r="BZ11" i="47"/>
  <c r="BZ8" i="9"/>
  <c r="BZ26" i="4"/>
  <c r="BZ12" i="47"/>
  <c r="AK6" i="15"/>
  <c r="AP11" i="54"/>
  <c r="AM28" i="47"/>
  <c r="AS16" i="47"/>
  <c r="AO48" i="47"/>
  <c r="AQ37" i="40"/>
  <c r="AS9" i="8"/>
  <c r="AS25" i="47"/>
  <c r="AP37" i="9"/>
  <c r="AS6" i="4"/>
  <c r="AN38" i="4"/>
  <c r="AO38" i="4"/>
  <c r="AS8" i="9"/>
  <c r="AS14" i="4"/>
  <c r="F7" i="62"/>
  <c r="R6" i="28"/>
  <c r="AY13" i="47"/>
  <c r="AY23" i="47"/>
  <c r="AN37" i="5"/>
  <c r="AS10" i="5"/>
  <c r="AK37" i="9"/>
  <c r="AM6" i="9"/>
  <c r="AB38" i="4"/>
  <c r="AG6" i="4"/>
  <c r="CQ6" i="4"/>
  <c r="BD37" i="54"/>
  <c r="BN24" i="52"/>
  <c r="AY6" i="9"/>
  <c r="AT37" i="9"/>
  <c r="BL8" i="52"/>
  <c r="AR33" i="52"/>
  <c r="BZ7" i="5"/>
  <c r="BZ21" i="47"/>
  <c r="BZ7" i="9"/>
  <c r="CQ22" i="4"/>
  <c r="O102" i="19"/>
  <c r="O103" i="19"/>
  <c r="S42" i="52"/>
  <c r="AM24" i="47"/>
  <c r="AS29" i="47"/>
  <c r="AS26" i="4"/>
  <c r="AS13" i="4"/>
  <c r="AS42" i="40"/>
  <c r="AN45" i="40"/>
  <c r="AS32" i="4"/>
  <c r="AS27" i="4"/>
  <c r="AG29" i="47"/>
  <c r="CQ29" i="47"/>
  <c r="AR37" i="40"/>
  <c r="AY8" i="47"/>
  <c r="AY24" i="47"/>
  <c r="AH48" i="47"/>
  <c r="AM10" i="47"/>
  <c r="AO37" i="5"/>
  <c r="AS6" i="5"/>
  <c r="AG17" i="5"/>
  <c r="AT38" i="4"/>
  <c r="AY6" i="4"/>
  <c r="AC48" i="47"/>
  <c r="AS6" i="9"/>
  <c r="AN37" i="9"/>
  <c r="BZ17" i="5"/>
  <c r="AM25" i="47"/>
  <c r="AS27" i="47"/>
  <c r="K106" i="19"/>
  <c r="K83" i="19"/>
  <c r="AS23" i="4"/>
  <c r="AI48" i="47"/>
  <c r="AS8" i="8"/>
  <c r="AS6" i="8"/>
  <c r="AS7" i="4"/>
  <c r="AQ37" i="9"/>
  <c r="AS12" i="8"/>
  <c r="AS20" i="4"/>
  <c r="AJ48" i="47"/>
  <c r="AG24" i="47"/>
  <c r="AS24" i="47"/>
  <c r="AY20" i="47"/>
  <c r="AY27" i="47"/>
  <c r="AA41" i="6"/>
  <c r="AC37" i="5"/>
  <c r="AG32" i="4"/>
  <c r="CQ32" i="4"/>
  <c r="AY24" i="4"/>
  <c r="AD48" i="47"/>
  <c r="AM26" i="47"/>
  <c r="AS9" i="9"/>
  <c r="AR37" i="9"/>
  <c r="AS29" i="4"/>
  <c r="AG25" i="47"/>
  <c r="P42" i="52"/>
  <c r="AY18" i="47"/>
  <c r="AY21" i="47"/>
  <c r="AY15" i="47"/>
  <c r="AB37" i="5"/>
  <c r="AG8" i="5"/>
  <c r="CQ8" i="5"/>
  <c r="AG6" i="5"/>
  <c r="CQ6" i="5"/>
  <c r="AD37" i="5"/>
  <c r="AL37" i="9"/>
  <c r="AS21" i="47"/>
  <c r="AR48" i="47"/>
  <c r="T42" i="52"/>
  <c r="AR38" i="4"/>
  <c r="U42" i="52"/>
  <c r="AS11" i="8"/>
  <c r="AS15" i="4"/>
  <c r="AS18" i="4"/>
  <c r="AS13" i="8"/>
  <c r="AS11" i="4"/>
  <c r="AO37" i="40"/>
  <c r="AS30" i="4"/>
  <c r="AS25" i="4"/>
  <c r="AG27" i="47"/>
  <c r="CQ27" i="47"/>
  <c r="AS7" i="40"/>
  <c r="AY12" i="47"/>
  <c r="AY19" i="47"/>
  <c r="AY29" i="47"/>
  <c r="AS7" i="5"/>
  <c r="AR37" i="5"/>
  <c r="AY6" i="5"/>
  <c r="AT37" i="5"/>
  <c r="AG29" i="4"/>
  <c r="N9" i="53"/>
  <c r="AN48" i="47"/>
  <c r="BC16" i="54"/>
  <c r="BC14" i="54"/>
  <c r="AE32" i="23"/>
  <c r="AN37" i="40"/>
  <c r="AS6" i="40"/>
  <c r="AS17" i="4"/>
  <c r="AQ38" i="4"/>
  <c r="AS15" i="8"/>
  <c r="AG28" i="47"/>
  <c r="CQ28" i="47"/>
  <c r="AY11" i="47"/>
  <c r="AY10" i="47"/>
  <c r="AS8" i="5"/>
  <c r="AF37" i="5"/>
  <c r="AM8" i="9"/>
  <c r="AY6" i="8"/>
  <c r="AT45" i="40"/>
  <c r="AY32" i="4"/>
  <c r="L16" i="28"/>
  <c r="BL2" i="54"/>
  <c r="G2" i="56"/>
  <c r="G22" i="20"/>
  <c r="F2" i="58"/>
  <c r="N3" i="23"/>
  <c r="O3" i="23"/>
  <c r="I3" i="26"/>
  <c r="CQ17" i="5"/>
  <c r="CQ18" i="4"/>
  <c r="BC7" i="13"/>
  <c r="N24" i="53"/>
  <c r="CQ19" i="47"/>
  <c r="CQ12" i="5"/>
  <c r="CQ25" i="4"/>
  <c r="CQ15" i="4"/>
  <c r="CQ16" i="47"/>
  <c r="CQ25" i="47"/>
  <c r="CQ10" i="40"/>
  <c r="CQ18" i="47"/>
  <c r="CQ17" i="47"/>
  <c r="CQ9" i="40"/>
  <c r="BB9" i="15"/>
  <c r="BC9" i="13"/>
  <c r="CQ7" i="40"/>
  <c r="CQ19" i="4"/>
  <c r="AK37" i="55"/>
  <c r="CQ6" i="9"/>
  <c r="AK37" i="13"/>
  <c r="CQ13" i="4"/>
  <c r="BB6" i="15"/>
  <c r="CQ12" i="47"/>
  <c r="CQ11" i="5"/>
  <c r="CQ10" i="4"/>
  <c r="CQ21" i="4"/>
  <c r="BY48" i="47"/>
  <c r="CQ11" i="4"/>
  <c r="CQ7" i="9"/>
  <c r="BC10" i="13"/>
  <c r="BY38" i="4"/>
  <c r="CQ6" i="40"/>
  <c r="BY37" i="40"/>
  <c r="BY37" i="9"/>
  <c r="BZ23" i="4"/>
  <c r="BZ24" i="47"/>
  <c r="BZ27" i="47"/>
  <c r="BZ10" i="40"/>
  <c r="BZ8" i="4"/>
  <c r="BZ17" i="4"/>
  <c r="BZ13" i="5"/>
  <c r="BZ6" i="9"/>
  <c r="BZ25" i="4"/>
  <c r="AK8" i="15"/>
  <c r="BZ29" i="47"/>
  <c r="BZ26" i="47"/>
  <c r="BZ9" i="9"/>
  <c r="BZ10" i="4"/>
  <c r="BZ9" i="5"/>
  <c r="AL7" i="13"/>
  <c r="BZ8" i="40"/>
  <c r="BZ9" i="40"/>
  <c r="BZ11" i="4"/>
  <c r="BZ7" i="4"/>
  <c r="BZ16" i="5"/>
  <c r="AL8" i="13"/>
  <c r="BZ18" i="47"/>
  <c r="BZ13" i="4"/>
  <c r="BZ9" i="4"/>
  <c r="AL9" i="13"/>
  <c r="AK9" i="15"/>
  <c r="AL6" i="13"/>
  <c r="BZ6" i="5"/>
  <c r="BZ8" i="47"/>
  <c r="P30" i="28"/>
  <c r="BZ25" i="47"/>
  <c r="BZ14" i="4"/>
  <c r="BZ8" i="5"/>
  <c r="BZ10" i="47"/>
  <c r="BZ13" i="47"/>
  <c r="BZ15" i="5"/>
  <c r="BZ15" i="47"/>
  <c r="BZ11" i="5"/>
  <c r="BZ21" i="4"/>
  <c r="BZ24" i="4"/>
  <c r="S37" i="55"/>
  <c r="CQ21" i="47"/>
  <c r="BB10" i="15"/>
  <c r="CQ14" i="5"/>
  <c r="BY37" i="5"/>
  <c r="AJ37" i="15"/>
  <c r="BB12" i="15"/>
  <c r="S37" i="40"/>
  <c r="AP13" i="54"/>
  <c r="CQ13" i="5"/>
  <c r="S37" i="5"/>
  <c r="BC11" i="13"/>
  <c r="CQ8" i="4"/>
  <c r="BB11" i="15"/>
  <c r="BB8" i="15"/>
  <c r="CQ14" i="4"/>
  <c r="CQ17" i="4"/>
  <c r="S37" i="13"/>
  <c r="S37" i="9"/>
  <c r="BZ6" i="40"/>
  <c r="T26" i="47"/>
  <c r="T29" i="47"/>
  <c r="T27" i="47"/>
  <c r="T32" i="4"/>
  <c r="CR32" i="4"/>
  <c r="O9" i="53"/>
  <c r="T15" i="5"/>
  <c r="T17" i="5"/>
  <c r="T20" i="4"/>
  <c r="CR20" i="4"/>
  <c r="S10" i="15"/>
  <c r="T8" i="40"/>
  <c r="T18" i="4"/>
  <c r="CR18" i="4"/>
  <c r="T8" i="4"/>
  <c r="T13" i="4"/>
  <c r="T11" i="5"/>
  <c r="S11" i="15"/>
  <c r="BC11" i="15"/>
  <c r="T6" i="13"/>
  <c r="T11" i="13"/>
  <c r="BD11" i="13"/>
  <c r="T16" i="47"/>
  <c r="T7" i="40"/>
  <c r="CR7" i="40"/>
  <c r="T17" i="4"/>
  <c r="S12" i="15"/>
  <c r="BC12" i="15"/>
  <c r="S9" i="15"/>
  <c r="T6" i="4"/>
  <c r="T8" i="9"/>
  <c r="T6" i="9"/>
  <c r="T9" i="40"/>
  <c r="T9" i="4"/>
  <c r="T26" i="4"/>
  <c r="T14" i="5"/>
  <c r="CR14" i="5"/>
  <c r="T21" i="4"/>
  <c r="T13" i="47"/>
  <c r="T11" i="4"/>
  <c r="T6" i="40"/>
  <c r="T10" i="4"/>
  <c r="T23" i="4"/>
  <c r="T10" i="5"/>
  <c r="T19" i="4"/>
  <c r="CR19" i="4"/>
  <c r="S7" i="15"/>
  <c r="T10" i="40"/>
  <c r="T7" i="4"/>
  <c r="T13" i="5"/>
  <c r="T20" i="47"/>
  <c r="CR20" i="47"/>
  <c r="T21" i="47"/>
  <c r="T18" i="47"/>
  <c r="T14" i="4"/>
  <c r="S8" i="15"/>
  <c r="T25" i="4"/>
  <c r="T16" i="5"/>
  <c r="T9" i="5"/>
  <c r="T9" i="13"/>
  <c r="T28" i="47"/>
  <c r="T22" i="4"/>
  <c r="CR22" i="4"/>
  <c r="T7" i="5"/>
  <c r="T8" i="13"/>
  <c r="T19" i="47"/>
  <c r="CR19" i="47"/>
  <c r="T10" i="13"/>
  <c r="T15" i="47"/>
  <c r="T8" i="47"/>
  <c r="T9" i="9"/>
  <c r="S6" i="15"/>
  <c r="T7" i="9"/>
  <c r="T15" i="4"/>
  <c r="CR15" i="4"/>
  <c r="T6" i="5"/>
  <c r="T10" i="47"/>
  <c r="T7" i="13"/>
  <c r="T12" i="47"/>
  <c r="T17" i="47"/>
  <c r="CR17" i="47"/>
  <c r="T9" i="47"/>
  <c r="CR9" i="47"/>
  <c r="T23" i="47"/>
  <c r="CR23" i="47"/>
  <c r="T11" i="47"/>
  <c r="T24" i="4"/>
  <c r="T8" i="5"/>
  <c r="T12" i="5"/>
  <c r="CR12" i="5"/>
  <c r="T24" i="47"/>
  <c r="R37" i="15"/>
  <c r="S48" i="47"/>
  <c r="S38" i="4"/>
  <c r="CQ9" i="9"/>
  <c r="AP12" i="54"/>
  <c r="CA17" i="5"/>
  <c r="AM8" i="13"/>
  <c r="CA22" i="4"/>
  <c r="CA9" i="40"/>
  <c r="D22" i="52"/>
  <c r="X22" i="52"/>
  <c r="BB22" i="52"/>
  <c r="BL22" i="52"/>
  <c r="U32" i="47"/>
  <c r="CS32" i="47"/>
  <c r="U31" i="47"/>
  <c r="CS31" i="47"/>
  <c r="U34" i="47"/>
  <c r="CS34" i="47"/>
  <c r="U33" i="47"/>
  <c r="CS33" i="47"/>
  <c r="O7" i="53"/>
  <c r="CR25" i="47"/>
  <c r="AR35" i="54"/>
  <c r="BB35" i="54"/>
  <c r="CR21" i="47"/>
  <c r="CR26" i="4"/>
  <c r="U12" i="40"/>
  <c r="CS12" i="40"/>
  <c r="U11" i="40"/>
  <c r="CS11" i="40"/>
  <c r="CR6" i="4"/>
  <c r="CR16" i="47"/>
  <c r="N28" i="53"/>
  <c r="CR12" i="47"/>
  <c r="L33" i="53"/>
  <c r="BC7" i="15"/>
  <c r="BB31" i="54"/>
  <c r="CR8" i="47"/>
  <c r="CR17" i="5"/>
  <c r="CR11" i="47"/>
  <c r="BD10" i="13"/>
  <c r="CR7" i="5"/>
  <c r="AY37" i="40"/>
  <c r="N7" i="53"/>
  <c r="Q9" i="17"/>
  <c r="D7" i="58"/>
  <c r="D18" i="58"/>
  <c r="D8" i="58"/>
  <c r="AV37" i="9"/>
  <c r="CA10" i="40"/>
  <c r="CA11" i="4"/>
  <c r="AS37" i="40"/>
  <c r="AY37" i="5"/>
  <c r="AY37" i="9"/>
  <c r="AV37" i="40"/>
  <c r="AY9" i="47"/>
  <c r="CA8" i="5"/>
  <c r="CA25" i="47"/>
  <c r="Q40" i="17"/>
  <c r="N30" i="53"/>
  <c r="N35" i="53"/>
  <c r="D6" i="52"/>
  <c r="X6" i="52"/>
  <c r="AV38" i="4"/>
  <c r="AV37" i="5"/>
  <c r="N14" i="61"/>
  <c r="CR7" i="9"/>
  <c r="AG48" i="47"/>
  <c r="BC10" i="15"/>
  <c r="CR15" i="47"/>
  <c r="CR13" i="47"/>
  <c r="AS37" i="9"/>
  <c r="CQ24" i="47"/>
  <c r="AM48" i="47"/>
  <c r="CR14" i="4"/>
  <c r="CR9" i="4"/>
  <c r="CR8" i="40"/>
  <c r="BJ37" i="54"/>
  <c r="AP37" i="54"/>
  <c r="BB7" i="9"/>
  <c r="BB9" i="9"/>
  <c r="BB8" i="9"/>
  <c r="BB6" i="9"/>
  <c r="H14" i="61"/>
  <c r="BA12" i="5"/>
  <c r="BA16" i="5"/>
  <c r="BA6" i="5"/>
  <c r="BA17" i="5"/>
  <c r="BA13" i="5"/>
  <c r="BA8" i="5"/>
  <c r="BA11" i="5"/>
  <c r="BA7" i="5"/>
  <c r="BA15" i="5"/>
  <c r="BA10" i="5"/>
  <c r="BA9" i="5"/>
  <c r="BA14" i="5"/>
  <c r="BA32" i="4"/>
  <c r="BA20" i="4"/>
  <c r="BA17" i="4"/>
  <c r="BA18" i="4"/>
  <c r="BA15" i="4"/>
  <c r="BA21" i="4"/>
  <c r="BA8" i="4"/>
  <c r="BA26" i="4"/>
  <c r="BA9" i="4"/>
  <c r="BA25" i="4"/>
  <c r="BA11" i="4"/>
  <c r="BA22" i="4"/>
  <c r="BA13" i="4"/>
  <c r="BA14" i="4"/>
  <c r="BA19" i="4"/>
  <c r="BA24" i="4"/>
  <c r="BA6" i="4"/>
  <c r="BA10" i="4"/>
  <c r="BA7" i="4"/>
  <c r="BA23" i="4"/>
  <c r="X24" i="53"/>
  <c r="AM37" i="9"/>
  <c r="AS38" i="4"/>
  <c r="BC6" i="9"/>
  <c r="BC9" i="9"/>
  <c r="BC7" i="9"/>
  <c r="BC8" i="9"/>
  <c r="AZ11" i="5"/>
  <c r="AZ6" i="5"/>
  <c r="AZ13" i="5"/>
  <c r="AZ8" i="5"/>
  <c r="AZ12" i="5"/>
  <c r="AZ16" i="5"/>
  <c r="AZ14" i="5"/>
  <c r="AZ7" i="5"/>
  <c r="AZ9" i="5"/>
  <c r="AZ17" i="5"/>
  <c r="AZ15" i="5"/>
  <c r="AZ10" i="5"/>
  <c r="BB32" i="4"/>
  <c r="BB19" i="4"/>
  <c r="BB11" i="4"/>
  <c r="BB9" i="4"/>
  <c r="BB25" i="4"/>
  <c r="BB15" i="4"/>
  <c r="BB24" i="4"/>
  <c r="BB13" i="4"/>
  <c r="BB17" i="4"/>
  <c r="BB7" i="4"/>
  <c r="BB8" i="4"/>
  <c r="BB14" i="4"/>
  <c r="BB6" i="4"/>
  <c r="BB18" i="4"/>
  <c r="BB22" i="4"/>
  <c r="BB23" i="4"/>
  <c r="BB21" i="4"/>
  <c r="BB10" i="4"/>
  <c r="BB20" i="4"/>
  <c r="BB26" i="4"/>
  <c r="BB21" i="47"/>
  <c r="BB20" i="47"/>
  <c r="BB13" i="47"/>
  <c r="BB29" i="47"/>
  <c r="BB24" i="47"/>
  <c r="BB28" i="47"/>
  <c r="BB27" i="47"/>
  <c r="BB12" i="47"/>
  <c r="BB26" i="47"/>
  <c r="BB23" i="47"/>
  <c r="BB25" i="47"/>
  <c r="BB10" i="47"/>
  <c r="BB9" i="47"/>
  <c r="BB8" i="47"/>
  <c r="BB11" i="47"/>
  <c r="BB15" i="47"/>
  <c r="BB17" i="47"/>
  <c r="BB16" i="47"/>
  <c r="BB19" i="47"/>
  <c r="BB18" i="47"/>
  <c r="W45" i="19"/>
  <c r="H36" i="61"/>
  <c r="BD41" i="40"/>
  <c r="BD10" i="40"/>
  <c r="BD7" i="40"/>
  <c r="BD6" i="40"/>
  <c r="BD45" i="40"/>
  <c r="BD8" i="40"/>
  <c r="BD9" i="40"/>
  <c r="AZ32" i="4"/>
  <c r="AZ23" i="4"/>
  <c r="AZ24" i="4"/>
  <c r="AZ21" i="4"/>
  <c r="AZ26" i="4"/>
  <c r="AZ15" i="4"/>
  <c r="AZ14" i="4"/>
  <c r="AZ20" i="4"/>
  <c r="AZ9" i="4"/>
  <c r="AZ18" i="4"/>
  <c r="AZ6" i="4"/>
  <c r="AZ10" i="4"/>
  <c r="AZ11" i="4"/>
  <c r="AZ8" i="4"/>
  <c r="AZ19" i="4"/>
  <c r="AZ17" i="4"/>
  <c r="AZ22" i="4"/>
  <c r="AZ7" i="4"/>
  <c r="AZ13" i="4"/>
  <c r="AZ25" i="4"/>
  <c r="AZ41" i="40"/>
  <c r="AZ8" i="40"/>
  <c r="AZ6" i="40"/>
  <c r="AZ7" i="40"/>
  <c r="AZ9" i="40"/>
  <c r="AZ10" i="40"/>
  <c r="BC37" i="55"/>
  <c r="BC38" i="55"/>
  <c r="AS45" i="40"/>
  <c r="CS42" i="40"/>
  <c r="CS45" i="40"/>
  <c r="BC41" i="40"/>
  <c r="BC45" i="40"/>
  <c r="BC9" i="40"/>
  <c r="BC7" i="40"/>
  <c r="BC6" i="40"/>
  <c r="BC8" i="40"/>
  <c r="BC10" i="40"/>
  <c r="BC6" i="5"/>
  <c r="BC8" i="5"/>
  <c r="BC11" i="5"/>
  <c r="BC15" i="5"/>
  <c r="BC7" i="5"/>
  <c r="BC17" i="5"/>
  <c r="BC16" i="5"/>
  <c r="BC13" i="5"/>
  <c r="BC12" i="5"/>
  <c r="BC10" i="5"/>
  <c r="BC14" i="5"/>
  <c r="BC9" i="5"/>
  <c r="BD29" i="47"/>
  <c r="BD28" i="47"/>
  <c r="BD27" i="47"/>
  <c r="BD12" i="47"/>
  <c r="BD23" i="47"/>
  <c r="BD13" i="47"/>
  <c r="BD25" i="47"/>
  <c r="BD20" i="47"/>
  <c r="BD26" i="47"/>
  <c r="BD24" i="47"/>
  <c r="BD21" i="47"/>
  <c r="BD9" i="47"/>
  <c r="BD19" i="47"/>
  <c r="BD18" i="47"/>
  <c r="BD16" i="47"/>
  <c r="BD15" i="47"/>
  <c r="BD11" i="47"/>
  <c r="BD8" i="47"/>
  <c r="BD17" i="47"/>
  <c r="BD10" i="47"/>
  <c r="AB35" i="23"/>
  <c r="M19" i="19"/>
  <c r="M14" i="19"/>
  <c r="M123" i="19"/>
  <c r="M25" i="19"/>
  <c r="AC42" i="54"/>
  <c r="AC4" i="54"/>
  <c r="AC32" i="53"/>
  <c r="H5" i="56"/>
  <c r="BF5" i="47"/>
  <c r="BH5" i="47"/>
  <c r="CV41" i="40"/>
  <c r="S43" i="28"/>
  <c r="H3" i="42"/>
  <c r="BG5" i="47"/>
  <c r="S35" i="28"/>
  <c r="AM4" i="52"/>
  <c r="M31" i="19"/>
  <c r="Q3" i="42"/>
  <c r="M60" i="19"/>
  <c r="I42" i="61"/>
  <c r="I48" i="53"/>
  <c r="J13" i="48"/>
  <c r="M54" i="19"/>
  <c r="BI5" i="47"/>
  <c r="S25" i="28"/>
  <c r="H12" i="62"/>
  <c r="BH5" i="40"/>
  <c r="AF5" i="15"/>
  <c r="BQ4" i="52"/>
  <c r="CV5" i="40"/>
  <c r="X5" i="13"/>
  <c r="O6" i="7"/>
  <c r="DK6" i="6"/>
  <c r="BX6" i="11"/>
  <c r="DB6" i="6"/>
  <c r="DK6" i="11"/>
  <c r="BW6" i="7"/>
  <c r="BF5" i="40"/>
  <c r="CS6" i="6"/>
  <c r="O6" i="6"/>
  <c r="BK5" i="47"/>
  <c r="BH5" i="4"/>
  <c r="BY6" i="7"/>
  <c r="AM4" i="54"/>
  <c r="BX6" i="6"/>
  <c r="BG4" i="52"/>
  <c r="AG5" i="55"/>
  <c r="CD41" i="40"/>
  <c r="S6" i="53"/>
  <c r="AO5" i="15"/>
  <c r="AH6" i="12"/>
  <c r="CD5" i="47"/>
  <c r="J5" i="17"/>
  <c r="BI5" i="5"/>
  <c r="AI30" i="44"/>
  <c r="BU6" i="7"/>
  <c r="CV5" i="5"/>
  <c r="CD5" i="9"/>
  <c r="Q19" i="23"/>
  <c r="O5" i="8"/>
  <c r="AC4" i="52"/>
  <c r="H17" i="44"/>
  <c r="BN42" i="54"/>
  <c r="Q31" i="23"/>
  <c r="CM5" i="47"/>
  <c r="CW45" i="12"/>
  <c r="BK5" i="9"/>
  <c r="O5" i="40"/>
  <c r="CM5" i="5"/>
  <c r="BJ5" i="9"/>
  <c r="BK5" i="5"/>
  <c r="BF5" i="8"/>
  <c r="BU6" i="11"/>
  <c r="X5" i="4"/>
  <c r="BW6" i="6"/>
  <c r="CW6" i="12"/>
  <c r="BK5" i="8"/>
  <c r="BG5" i="15"/>
  <c r="X41" i="40"/>
  <c r="I6" i="53"/>
  <c r="AC6" i="53"/>
  <c r="AG5" i="13"/>
  <c r="AW4" i="52"/>
  <c r="Q7" i="23"/>
  <c r="AB7" i="23"/>
  <c r="O5" i="9"/>
  <c r="I8" i="20"/>
  <c r="AP5" i="13"/>
  <c r="N5" i="15"/>
  <c r="DB6" i="11"/>
  <c r="BI5" i="4"/>
  <c r="X5" i="47"/>
  <c r="BH5" i="5"/>
  <c r="Y6" i="7"/>
  <c r="Q2" i="44"/>
  <c r="H17" i="62"/>
  <c r="BM6" i="12"/>
  <c r="CM5" i="40"/>
  <c r="BG5" i="9"/>
  <c r="X5" i="5"/>
  <c r="CO6" i="12"/>
  <c r="BG5" i="5"/>
  <c r="AP5" i="55"/>
  <c r="CV5" i="4"/>
  <c r="X5" i="55"/>
  <c r="DB6" i="7"/>
  <c r="BJ5" i="40"/>
  <c r="AY5" i="13"/>
  <c r="CS6" i="11"/>
  <c r="BK5" i="4"/>
  <c r="V5" i="17"/>
  <c r="BH5" i="13"/>
  <c r="BO6" i="12"/>
  <c r="BJ5" i="8"/>
  <c r="BH5" i="9"/>
  <c r="X5" i="8"/>
  <c r="CS6" i="7"/>
  <c r="AW4" i="54"/>
  <c r="X5" i="9"/>
  <c r="BH5" i="55"/>
  <c r="BG5" i="8"/>
  <c r="BG42" i="54"/>
  <c r="CV5" i="9"/>
  <c r="Y6" i="11"/>
  <c r="H9" i="44"/>
  <c r="BU6" i="6"/>
  <c r="BX6" i="7"/>
  <c r="CM41" i="40"/>
  <c r="BF5" i="4"/>
  <c r="CD5" i="40"/>
  <c r="AM6" i="7"/>
  <c r="BV6" i="6"/>
  <c r="AM42" i="54"/>
  <c r="BF5" i="5"/>
  <c r="I42" i="54"/>
  <c r="O41" i="40"/>
  <c r="S42" i="54"/>
  <c r="O6" i="11"/>
  <c r="U6" i="12"/>
  <c r="AI9" i="44"/>
  <c r="BJ6" i="12"/>
  <c r="BG5" i="40"/>
  <c r="CV5" i="47"/>
  <c r="BW6" i="11"/>
  <c r="DK6" i="7"/>
  <c r="O5" i="47"/>
  <c r="H30" i="44"/>
  <c r="Z17" i="44"/>
  <c r="H44" i="44"/>
  <c r="BG36" i="52"/>
  <c r="U45" i="12"/>
  <c r="AW42" i="54"/>
  <c r="CV5" i="8"/>
  <c r="CD5" i="5"/>
  <c r="BI5" i="40"/>
  <c r="J8" i="26"/>
  <c r="Z44" i="44"/>
  <c r="AY5" i="55"/>
  <c r="BJ5" i="47"/>
  <c r="BJ5" i="5"/>
  <c r="BI5" i="9"/>
  <c r="Q44" i="44"/>
  <c r="M40" i="19"/>
  <c r="BY6" i="11"/>
  <c r="BN4" i="54"/>
  <c r="Q30" i="44"/>
  <c r="BY6" i="6"/>
  <c r="AI44" i="44"/>
  <c r="BH5" i="8"/>
  <c r="AM6" i="11"/>
  <c r="BG4" i="54"/>
  <c r="BN6" i="12"/>
  <c r="BL6" i="12"/>
  <c r="W5" i="15"/>
  <c r="L6" i="12"/>
  <c r="AI17" i="44"/>
  <c r="BK5" i="40"/>
  <c r="BK41" i="40"/>
  <c r="Q17" i="44"/>
  <c r="CG6" i="12"/>
  <c r="S4" i="54"/>
  <c r="Z9" i="44"/>
  <c r="I6" i="61"/>
  <c r="I4" i="52"/>
  <c r="O23" i="61"/>
  <c r="Y6" i="6"/>
  <c r="O5" i="13"/>
  <c r="S4" i="52"/>
  <c r="I23" i="61"/>
  <c r="O5" i="4"/>
  <c r="BJ5" i="4"/>
  <c r="BZ6" i="7"/>
  <c r="BV6" i="7"/>
  <c r="CD5" i="4"/>
  <c r="I41" i="53"/>
  <c r="AM6" i="6"/>
  <c r="BZ6" i="6"/>
  <c r="AX5" i="15"/>
  <c r="O5" i="5"/>
  <c r="CD5" i="8"/>
  <c r="BZ6" i="11"/>
  <c r="I32" i="53"/>
  <c r="Q9" i="44"/>
  <c r="I4" i="54"/>
  <c r="CM5" i="4"/>
  <c r="CM5" i="9"/>
  <c r="BG5" i="4"/>
  <c r="X5" i="40"/>
  <c r="O5" i="55"/>
  <c r="CM5" i="8"/>
  <c r="BV6" i="11"/>
  <c r="BF5" i="9"/>
  <c r="Z30" i="44"/>
  <c r="BK6" i="12"/>
  <c r="S32" i="53"/>
  <c r="BI5" i="8"/>
  <c r="AY45" i="40"/>
  <c r="CT45" i="40"/>
  <c r="AZ8" i="9"/>
  <c r="AZ6" i="9"/>
  <c r="AZ9" i="9"/>
  <c r="AZ7" i="9"/>
  <c r="BC6" i="8"/>
  <c r="BC8" i="8"/>
  <c r="BC11" i="8"/>
  <c r="BC9" i="8"/>
  <c r="BC14" i="8"/>
  <c r="BC13" i="8"/>
  <c r="BC7" i="8"/>
  <c r="BC15" i="8"/>
  <c r="BC12" i="8"/>
  <c r="BA29" i="47"/>
  <c r="BA28" i="47"/>
  <c r="BA24" i="47"/>
  <c r="BA21" i="47"/>
  <c r="BA26" i="47"/>
  <c r="BA23" i="47"/>
  <c r="BA27" i="47"/>
  <c r="BA12" i="47"/>
  <c r="BA13" i="47"/>
  <c r="BA25" i="47"/>
  <c r="BA20" i="47"/>
  <c r="BA17" i="47"/>
  <c r="BA8" i="47"/>
  <c r="BA15" i="47"/>
  <c r="BA10" i="47"/>
  <c r="BA18" i="47"/>
  <c r="BA11" i="47"/>
  <c r="BA9" i="47"/>
  <c r="BA16" i="47"/>
  <c r="BA19" i="47"/>
  <c r="L83" i="19"/>
  <c r="L106" i="19"/>
  <c r="BB41" i="40"/>
  <c r="BB6" i="40"/>
  <c r="BB45" i="40"/>
  <c r="BB10" i="40"/>
  <c r="BB8" i="40"/>
  <c r="BB9" i="40"/>
  <c r="BB7" i="40"/>
  <c r="BC27" i="47"/>
  <c r="BC12" i="47"/>
  <c r="BC24" i="47"/>
  <c r="BC13" i="47"/>
  <c r="BC29" i="47"/>
  <c r="BC23" i="47"/>
  <c r="BC21" i="47"/>
  <c r="BC28" i="47"/>
  <c r="BC20" i="47"/>
  <c r="BC26" i="47"/>
  <c r="BC25" i="47"/>
  <c r="BC9" i="47"/>
  <c r="BC10" i="47"/>
  <c r="BC8" i="47"/>
  <c r="BC11" i="47"/>
  <c r="BC16" i="47"/>
  <c r="BC15" i="47"/>
  <c r="BC18" i="47"/>
  <c r="BC19" i="47"/>
  <c r="BC17" i="47"/>
  <c r="BB12" i="8"/>
  <c r="BB8" i="8"/>
  <c r="BB15" i="8"/>
  <c r="BB6" i="8"/>
  <c r="BB13" i="8"/>
  <c r="BB7" i="8"/>
  <c r="BB9" i="8"/>
  <c r="BB14" i="8"/>
  <c r="BB11" i="8"/>
  <c r="BD6" i="9"/>
  <c r="BD7" i="9"/>
  <c r="BD8" i="9"/>
  <c r="BD9" i="9"/>
  <c r="G7" i="62"/>
  <c r="S6" i="28"/>
  <c r="T11" i="28"/>
  <c r="T15" i="28"/>
  <c r="S17" i="28"/>
  <c r="CR10" i="5"/>
  <c r="CR8" i="9"/>
  <c r="O25" i="53"/>
  <c r="D30" i="53"/>
  <c r="D35" i="53"/>
  <c r="AY38" i="4"/>
  <c r="AM37" i="5"/>
  <c r="BC32" i="4"/>
  <c r="BC24" i="4"/>
  <c r="BC25" i="4"/>
  <c r="BC23" i="4"/>
  <c r="BC10" i="4"/>
  <c r="BC21" i="4"/>
  <c r="BC19" i="4"/>
  <c r="BC20" i="4"/>
  <c r="BC18" i="4"/>
  <c r="BC17" i="4"/>
  <c r="BC14" i="4"/>
  <c r="BC22" i="4"/>
  <c r="BC9" i="4"/>
  <c r="BC15" i="4"/>
  <c r="BC13" i="4"/>
  <c r="BC8" i="4"/>
  <c r="BC6" i="4"/>
  <c r="BC26" i="4"/>
  <c r="BC7" i="4"/>
  <c r="BC11" i="4"/>
  <c r="AZ13" i="47"/>
  <c r="AZ27" i="47"/>
  <c r="AZ25" i="47"/>
  <c r="AZ28" i="47"/>
  <c r="AZ21" i="47"/>
  <c r="AZ26" i="47"/>
  <c r="AZ20" i="47"/>
  <c r="AZ29" i="47"/>
  <c r="AZ24" i="47"/>
  <c r="AZ23" i="47"/>
  <c r="AZ12" i="47"/>
  <c r="AZ16" i="47"/>
  <c r="AZ10" i="47"/>
  <c r="AZ11" i="47"/>
  <c r="AZ9" i="47"/>
  <c r="AZ8" i="47"/>
  <c r="AZ17" i="47"/>
  <c r="AZ19" i="47"/>
  <c r="AZ18" i="47"/>
  <c r="AZ15" i="47"/>
  <c r="AG37" i="5"/>
  <c r="AS37" i="5"/>
  <c r="BA41" i="40"/>
  <c r="BA45" i="40"/>
  <c r="BA10" i="40"/>
  <c r="BA9" i="40"/>
  <c r="BA7" i="40"/>
  <c r="BA8" i="40"/>
  <c r="BA6" i="40"/>
  <c r="AA22" i="23"/>
  <c r="H49" i="61"/>
  <c r="BA7" i="8"/>
  <c r="BA14" i="8"/>
  <c r="BA15" i="8"/>
  <c r="BA6" i="8"/>
  <c r="BA12" i="8"/>
  <c r="BA11" i="8"/>
  <c r="BA13" i="8"/>
  <c r="BA9" i="8"/>
  <c r="BA8" i="8"/>
  <c r="BD9" i="5"/>
  <c r="BD15" i="5"/>
  <c r="BD12" i="5"/>
  <c r="BD17" i="5"/>
  <c r="BD10" i="5"/>
  <c r="BD11" i="5"/>
  <c r="BD13" i="5"/>
  <c r="BD14" i="5"/>
  <c r="BD6" i="5"/>
  <c r="BD7" i="5"/>
  <c r="BD16" i="5"/>
  <c r="BD8" i="5"/>
  <c r="AZ11" i="8"/>
  <c r="AZ9" i="8"/>
  <c r="AZ12" i="8"/>
  <c r="AZ13" i="8"/>
  <c r="AZ15" i="8"/>
  <c r="AZ6" i="8"/>
  <c r="AZ7" i="8"/>
  <c r="AZ14" i="8"/>
  <c r="AZ8" i="8"/>
  <c r="BD6" i="4"/>
  <c r="BD23" i="4"/>
  <c r="BD19" i="4"/>
  <c r="BD15" i="4"/>
  <c r="BD32" i="4"/>
  <c r="BD22" i="4"/>
  <c r="BD13" i="4"/>
  <c r="BD24" i="4"/>
  <c r="BD25" i="4"/>
  <c r="BD21" i="4"/>
  <c r="BD14" i="4"/>
  <c r="BD18" i="4"/>
  <c r="BD20" i="4"/>
  <c r="BD7" i="4"/>
  <c r="BD17" i="4"/>
  <c r="BD11" i="4"/>
  <c r="BD10" i="4"/>
  <c r="BD26" i="4"/>
  <c r="BD9" i="4"/>
  <c r="BD8" i="4"/>
  <c r="CR10" i="47"/>
  <c r="E29" i="53"/>
  <c r="O24" i="53"/>
  <c r="CR28" i="47"/>
  <c r="CR10" i="4"/>
  <c r="AG38" i="4"/>
  <c r="BD12" i="8"/>
  <c r="BD7" i="8"/>
  <c r="BD14" i="8"/>
  <c r="BD11" i="8"/>
  <c r="BD15" i="8"/>
  <c r="BD8" i="8"/>
  <c r="BD13" i="8"/>
  <c r="BD9" i="8"/>
  <c r="BD6" i="8"/>
  <c r="BB14" i="5"/>
  <c r="BB16" i="5"/>
  <c r="BB6" i="5"/>
  <c r="BB11" i="5"/>
  <c r="BB10" i="5"/>
  <c r="BB7" i="5"/>
  <c r="BB15" i="5"/>
  <c r="BB9" i="5"/>
  <c r="BB17" i="5"/>
  <c r="BB13" i="5"/>
  <c r="BB12" i="5"/>
  <c r="BB8" i="5"/>
  <c r="BA6" i="9"/>
  <c r="BA9" i="9"/>
  <c r="BA7" i="9"/>
  <c r="BA8" i="9"/>
  <c r="E43" i="20"/>
  <c r="K16" i="28"/>
  <c r="E21" i="58"/>
  <c r="D21" i="58"/>
  <c r="Q39" i="23"/>
  <c r="R39" i="23"/>
  <c r="G41" i="20"/>
  <c r="G40" i="20"/>
  <c r="G39" i="20"/>
  <c r="G42" i="20"/>
  <c r="D16" i="52"/>
  <c r="X16" i="52"/>
  <c r="D7" i="52"/>
  <c r="CQ37" i="5"/>
  <c r="Q16" i="17"/>
  <c r="D29" i="53"/>
  <c r="N25" i="53"/>
  <c r="AP10" i="54"/>
  <c r="CR17" i="4"/>
  <c r="CR11" i="5"/>
  <c r="D21" i="52"/>
  <c r="X21" i="52"/>
  <c r="BZ48" i="47"/>
  <c r="AK37" i="15"/>
  <c r="AL37" i="13"/>
  <c r="BZ37" i="9"/>
  <c r="CQ37" i="40"/>
  <c r="CQ38" i="40"/>
  <c r="CR6" i="5"/>
  <c r="X9" i="53"/>
  <c r="BC37" i="13"/>
  <c r="CR26" i="47"/>
  <c r="CR24" i="47"/>
  <c r="CR8" i="5"/>
  <c r="CR7" i="4"/>
  <c r="AL37" i="55"/>
  <c r="CR21" i="4"/>
  <c r="BZ38" i="4"/>
  <c r="BZ37" i="40"/>
  <c r="AM10" i="13"/>
  <c r="CA19" i="4"/>
  <c r="CA9" i="5"/>
  <c r="Q30" i="28"/>
  <c r="CQ37" i="9"/>
  <c r="CR9" i="5"/>
  <c r="CR25" i="4"/>
  <c r="CR18" i="47"/>
  <c r="CR23" i="4"/>
  <c r="CR11" i="4"/>
  <c r="CR8" i="4"/>
  <c r="CR29" i="47"/>
  <c r="CQ38" i="4"/>
  <c r="CQ39" i="4"/>
  <c r="BZ37" i="5"/>
  <c r="CR15" i="5"/>
  <c r="X22" i="53"/>
  <c r="BD6" i="13"/>
  <c r="CR27" i="47"/>
  <c r="BB37" i="15"/>
  <c r="D23" i="52"/>
  <c r="X23" i="52"/>
  <c r="BL23" i="52"/>
  <c r="AM11" i="13"/>
  <c r="CA11" i="47"/>
  <c r="CA24" i="47"/>
  <c r="CA26" i="47"/>
  <c r="CA7" i="4"/>
  <c r="AL11" i="15"/>
  <c r="AL7" i="15"/>
  <c r="CA9" i="4"/>
  <c r="CA12" i="5"/>
  <c r="D17" i="52"/>
  <c r="CR24" i="4"/>
  <c r="CR16" i="5"/>
  <c r="BC8" i="15"/>
  <c r="CR6" i="9"/>
  <c r="BC9" i="15"/>
  <c r="CA8" i="4"/>
  <c r="CA20" i="4"/>
  <c r="AL6" i="15"/>
  <c r="CA7" i="40"/>
  <c r="CA13" i="5"/>
  <c r="AL10" i="15"/>
  <c r="CA9" i="47"/>
  <c r="CA6" i="4"/>
  <c r="CA32" i="4"/>
  <c r="CA17" i="47"/>
  <c r="CA8" i="47"/>
  <c r="AL8" i="15"/>
  <c r="CA15" i="5"/>
  <c r="CA18" i="4"/>
  <c r="AM9" i="13"/>
  <c r="CA13" i="4"/>
  <c r="AL9" i="15"/>
  <c r="AL12" i="15"/>
  <c r="CA23" i="47"/>
  <c r="CA21" i="4"/>
  <c r="CA8" i="40"/>
  <c r="AM6" i="13"/>
  <c r="CA24" i="4"/>
  <c r="CA10" i="47"/>
  <c r="CA25" i="4"/>
  <c r="CA6" i="40"/>
  <c r="CA7" i="9"/>
  <c r="CA6" i="9"/>
  <c r="D25" i="52"/>
  <c r="AM7" i="13"/>
  <c r="CA14" i="4"/>
  <c r="CA18" i="47"/>
  <c r="CA11" i="5"/>
  <c r="CA10" i="5"/>
  <c r="CA16" i="5"/>
  <c r="CA16" i="47"/>
  <c r="CA15" i="47"/>
  <c r="CA9" i="9"/>
  <c r="CA6" i="5"/>
  <c r="CA7" i="5"/>
  <c r="CA15" i="4"/>
  <c r="CA10" i="4"/>
  <c r="CA8" i="9"/>
  <c r="CA26" i="4"/>
  <c r="CA14" i="5"/>
  <c r="CA23" i="4"/>
  <c r="CA17" i="4"/>
  <c r="X21" i="53"/>
  <c r="BD9" i="13"/>
  <c r="CR13" i="4"/>
  <c r="BD8" i="13"/>
  <c r="F10" i="26"/>
  <c r="F38" i="26"/>
  <c r="F41" i="26"/>
  <c r="CR9" i="40"/>
  <c r="BD7" i="13"/>
  <c r="CR9" i="9"/>
  <c r="CR13" i="5"/>
  <c r="CR10" i="40"/>
  <c r="T48" i="47"/>
  <c r="Q17" i="17"/>
  <c r="S37" i="15"/>
  <c r="BC6" i="15"/>
  <c r="T37" i="9"/>
  <c r="T38" i="4"/>
  <c r="CR6" i="40"/>
  <c r="T37" i="40"/>
  <c r="U23" i="47"/>
  <c r="U6" i="4"/>
  <c r="U8" i="40"/>
  <c r="U26" i="47"/>
  <c r="U25" i="4"/>
  <c r="U18" i="4"/>
  <c r="U16" i="5"/>
  <c r="U13" i="5"/>
  <c r="U7" i="13"/>
  <c r="U8" i="13"/>
  <c r="BE8" i="13"/>
  <c r="U6" i="5"/>
  <c r="U7" i="5"/>
  <c r="U16" i="47"/>
  <c r="U10" i="40"/>
  <c r="T6" i="15"/>
  <c r="U11" i="4"/>
  <c r="T11" i="15"/>
  <c r="T8" i="15"/>
  <c r="U7" i="4"/>
  <c r="U8" i="9"/>
  <c r="U6" i="13"/>
  <c r="U10" i="13"/>
  <c r="U9" i="47"/>
  <c r="U6" i="9"/>
  <c r="U25" i="47"/>
  <c r="U11" i="5"/>
  <c r="U14" i="5"/>
  <c r="U9" i="9"/>
  <c r="U22" i="4"/>
  <c r="CS22" i="4"/>
  <c r="U7" i="9"/>
  <c r="U8" i="47"/>
  <c r="U15" i="47"/>
  <c r="U7" i="40"/>
  <c r="U10" i="5"/>
  <c r="U20" i="4"/>
  <c r="U9" i="13"/>
  <c r="U15" i="4"/>
  <c r="U8" i="5"/>
  <c r="U24" i="4"/>
  <c r="U10" i="4"/>
  <c r="U32" i="4"/>
  <c r="T9" i="15"/>
  <c r="U17" i="5"/>
  <c r="CS17" i="5"/>
  <c r="U11" i="13"/>
  <c r="U6" i="40"/>
  <c r="U23" i="4"/>
  <c r="U12" i="5"/>
  <c r="U8" i="4"/>
  <c r="U19" i="4"/>
  <c r="U14" i="4"/>
  <c r="U26" i="4"/>
  <c r="U17" i="4"/>
  <c r="U9" i="4"/>
  <c r="U13" i="4"/>
  <c r="U24" i="47"/>
  <c r="U21" i="4"/>
  <c r="U18" i="47"/>
  <c r="T7" i="15"/>
  <c r="U9" i="5"/>
  <c r="T12" i="15"/>
  <c r="T10" i="15"/>
  <c r="U17" i="47"/>
  <c r="U15" i="5"/>
  <c r="U11" i="47"/>
  <c r="U10" i="47"/>
  <c r="U9" i="40"/>
  <c r="CS9" i="40"/>
  <c r="T37" i="5"/>
  <c r="T37" i="55"/>
  <c r="T37" i="13"/>
  <c r="N36" i="53"/>
  <c r="X10" i="53"/>
  <c r="X36" i="53"/>
  <c r="E7" i="58"/>
  <c r="E18" i="58"/>
  <c r="CS10" i="40"/>
  <c r="E9" i="58"/>
  <c r="E20" i="58"/>
  <c r="E8" i="58"/>
  <c r="E19" i="58"/>
  <c r="E44" i="53"/>
  <c r="D36" i="52"/>
  <c r="CQ48" i="47"/>
  <c r="CQ49" i="47"/>
  <c r="D11" i="52"/>
  <c r="X11" i="52"/>
  <c r="E30" i="53"/>
  <c r="E35" i="53"/>
  <c r="N29" i="53"/>
  <c r="N34" i="53"/>
  <c r="X28" i="53"/>
  <c r="CS8" i="5"/>
  <c r="M40" i="13"/>
  <c r="D9" i="52"/>
  <c r="CS25" i="47"/>
  <c r="D43" i="53"/>
  <c r="O28" i="53"/>
  <c r="D19" i="52"/>
  <c r="CS11" i="4"/>
  <c r="D6" i="58"/>
  <c r="D17" i="58"/>
  <c r="D9" i="58"/>
  <c r="D20" i="58"/>
  <c r="V8" i="19"/>
  <c r="H27" i="19"/>
  <c r="H26" i="19"/>
  <c r="X20" i="53"/>
  <c r="N33" i="53"/>
  <c r="X7" i="53"/>
  <c r="BE16" i="47"/>
  <c r="BE28" i="47"/>
  <c r="E43" i="53"/>
  <c r="BE9" i="47"/>
  <c r="BE20" i="47"/>
  <c r="BE25" i="47"/>
  <c r="D19" i="58"/>
  <c r="CQ38" i="8"/>
  <c r="Q19" i="17"/>
  <c r="O14" i="61"/>
  <c r="Q38" i="17"/>
  <c r="BB36" i="54"/>
  <c r="F43" i="20"/>
  <c r="BC38" i="13"/>
  <c r="Q36" i="17"/>
  <c r="DF39" i="11"/>
  <c r="Q23" i="17"/>
  <c r="DF39" i="7"/>
  <c r="Q18" i="17"/>
  <c r="Q8" i="17"/>
  <c r="Q7" i="17"/>
  <c r="CQ38" i="9"/>
  <c r="Q29" i="17"/>
  <c r="Q28" i="17"/>
  <c r="BE23" i="47"/>
  <c r="BE26" i="47"/>
  <c r="BA38" i="4"/>
  <c r="BB37" i="9"/>
  <c r="BA37" i="9"/>
  <c r="BE15" i="47"/>
  <c r="BD12" i="15"/>
  <c r="CS15" i="4"/>
  <c r="E8" i="56"/>
  <c r="E16" i="56"/>
  <c r="BE12" i="47"/>
  <c r="BE8" i="40"/>
  <c r="BE25" i="4"/>
  <c r="BE15" i="4"/>
  <c r="BE14" i="5"/>
  <c r="X7" i="52"/>
  <c r="BE13" i="4"/>
  <c r="BE26" i="4"/>
  <c r="BE13" i="8"/>
  <c r="BD37" i="5"/>
  <c r="CS9" i="5"/>
  <c r="BE8" i="9"/>
  <c r="BE18" i="47"/>
  <c r="BD37" i="9"/>
  <c r="BI6" i="9"/>
  <c r="BI7" i="9"/>
  <c r="BI9" i="9"/>
  <c r="BI8" i="9"/>
  <c r="BF32" i="4"/>
  <c r="BF13" i="4"/>
  <c r="BF6" i="4"/>
  <c r="BF18" i="4"/>
  <c r="BF24" i="4"/>
  <c r="BF9" i="4"/>
  <c r="BF15" i="4"/>
  <c r="BF7" i="4"/>
  <c r="BF19" i="4"/>
  <c r="BF22" i="4"/>
  <c r="BF17" i="4"/>
  <c r="BF25" i="4"/>
  <c r="BF14" i="4"/>
  <c r="BF10" i="4"/>
  <c r="BF26" i="4"/>
  <c r="BF8" i="4"/>
  <c r="BF11" i="4"/>
  <c r="BF23" i="4"/>
  <c r="BF21" i="4"/>
  <c r="BF20" i="4"/>
  <c r="BE16" i="5"/>
  <c r="BE19" i="47"/>
  <c r="BE27" i="47"/>
  <c r="Z26" i="17"/>
  <c r="Z25" i="17"/>
  <c r="BF8" i="9"/>
  <c r="BF7" i="9"/>
  <c r="BF6" i="9"/>
  <c r="BF9" i="9"/>
  <c r="BJ10" i="5"/>
  <c r="BJ13" i="5"/>
  <c r="BJ17" i="5"/>
  <c r="BJ16" i="5"/>
  <c r="BJ8" i="5"/>
  <c r="BJ9" i="5"/>
  <c r="BJ7" i="5"/>
  <c r="BJ11" i="5"/>
  <c r="BJ15" i="5"/>
  <c r="BJ12" i="5"/>
  <c r="BJ14" i="5"/>
  <c r="BJ6" i="5"/>
  <c r="BJ6" i="9"/>
  <c r="BJ7" i="9"/>
  <c r="BJ8" i="9"/>
  <c r="BJ9" i="9"/>
  <c r="BI13" i="5"/>
  <c r="BI7" i="5"/>
  <c r="BI14" i="5"/>
  <c r="BI10" i="5"/>
  <c r="BI6" i="5"/>
  <c r="BI17" i="5"/>
  <c r="BI11" i="5"/>
  <c r="BI12" i="5"/>
  <c r="BI16" i="5"/>
  <c r="BI8" i="5"/>
  <c r="BI9" i="5"/>
  <c r="BI15" i="5"/>
  <c r="BF41" i="40"/>
  <c r="BF8" i="40"/>
  <c r="BF10" i="40"/>
  <c r="BF7" i="40"/>
  <c r="BF6" i="40"/>
  <c r="BF9" i="40"/>
  <c r="BC37" i="40"/>
  <c r="BE7" i="4"/>
  <c r="BE10" i="4"/>
  <c r="BE21" i="4"/>
  <c r="BD37" i="40"/>
  <c r="BE12" i="5"/>
  <c r="BC37" i="9"/>
  <c r="D37" i="52"/>
  <c r="Y24" i="53"/>
  <c r="BE12" i="8"/>
  <c r="BG12" i="8"/>
  <c r="BG14" i="8"/>
  <c r="BG6" i="8"/>
  <c r="BG13" i="8"/>
  <c r="BG9" i="8"/>
  <c r="BG8" i="8"/>
  <c r="BG11" i="8"/>
  <c r="BG7" i="8"/>
  <c r="BG15" i="8"/>
  <c r="D25" i="53"/>
  <c r="BE8" i="8"/>
  <c r="BE9" i="8"/>
  <c r="BA37" i="40"/>
  <c r="BE17" i="47"/>
  <c r="BE24" i="47"/>
  <c r="BE13" i="47"/>
  <c r="BC38" i="4"/>
  <c r="U11" i="28"/>
  <c r="U15" i="28"/>
  <c r="T17" i="28"/>
  <c r="BJ29" i="47"/>
  <c r="BJ8" i="47"/>
  <c r="BJ12" i="47"/>
  <c r="BJ24" i="47"/>
  <c r="BJ21" i="47"/>
  <c r="BJ26" i="47"/>
  <c r="BJ27" i="47"/>
  <c r="BJ15" i="47"/>
  <c r="BJ18" i="47"/>
  <c r="BJ25" i="47"/>
  <c r="BJ11" i="47"/>
  <c r="BJ19" i="47"/>
  <c r="BJ20" i="47"/>
  <c r="BJ28" i="47"/>
  <c r="BJ23" i="47"/>
  <c r="BJ9" i="47"/>
  <c r="BJ13" i="47"/>
  <c r="BJ17" i="47"/>
  <c r="BJ16" i="47"/>
  <c r="BJ10" i="47"/>
  <c r="I14" i="61"/>
  <c r="M106" i="19"/>
  <c r="M83" i="19"/>
  <c r="AZ45" i="40"/>
  <c r="AZ38" i="4"/>
  <c r="BE6" i="4"/>
  <c r="BE24" i="4"/>
  <c r="BE10" i="5"/>
  <c r="BE8" i="5"/>
  <c r="BD38" i="4"/>
  <c r="BH8" i="8"/>
  <c r="BH15" i="8"/>
  <c r="BH6" i="8"/>
  <c r="BH14" i="8"/>
  <c r="BH7" i="8"/>
  <c r="BH11" i="8"/>
  <c r="BH13" i="8"/>
  <c r="BH9" i="8"/>
  <c r="BH12" i="8"/>
  <c r="R3" i="42"/>
  <c r="AC35" i="23"/>
  <c r="N19" i="19"/>
  <c r="N60" i="19"/>
  <c r="J42" i="61"/>
  <c r="J48" i="53"/>
  <c r="N31" i="19"/>
  <c r="K13" i="48"/>
  <c r="I5" i="56"/>
  <c r="T43" i="28"/>
  <c r="N25" i="19"/>
  <c r="I3" i="42"/>
  <c r="T35" i="28"/>
  <c r="N14" i="19"/>
  <c r="N123" i="19"/>
  <c r="AN4" i="52"/>
  <c r="T25" i="28"/>
  <c r="I12" i="62"/>
  <c r="N54" i="19"/>
  <c r="AD42" i="54"/>
  <c r="AD4" i="54"/>
  <c r="CW41" i="40"/>
  <c r="AD32" i="53"/>
  <c r="DL6" i="6"/>
  <c r="BI5" i="55"/>
  <c r="BQ5" i="47"/>
  <c r="BL5" i="4"/>
  <c r="AA44" i="44"/>
  <c r="Y5" i="8"/>
  <c r="X5" i="15"/>
  <c r="CE6" i="7"/>
  <c r="AN6" i="7"/>
  <c r="P5" i="8"/>
  <c r="CN5" i="47"/>
  <c r="BR4" i="52"/>
  <c r="BM5" i="4"/>
  <c r="P6" i="6"/>
  <c r="J6" i="53"/>
  <c r="BN5" i="4"/>
  <c r="AZ5" i="55"/>
  <c r="CE5" i="8"/>
  <c r="CB6" i="7"/>
  <c r="AQ5" i="13"/>
  <c r="AA9" i="44"/>
  <c r="J6" i="61"/>
  <c r="P41" i="40"/>
  <c r="CE41" i="40"/>
  <c r="BO42" i="54"/>
  <c r="P5" i="40"/>
  <c r="CD6" i="7"/>
  <c r="Y5" i="9"/>
  <c r="BO5" i="5"/>
  <c r="AZ5" i="13"/>
  <c r="I44" i="44"/>
  <c r="CN41" i="40"/>
  <c r="P5" i="55"/>
  <c r="CW5" i="5"/>
  <c r="AN42" i="54"/>
  <c r="BU6" i="12"/>
  <c r="CN5" i="5"/>
  <c r="I30" i="44"/>
  <c r="BQ5" i="40"/>
  <c r="BQ41" i="40"/>
  <c r="R19" i="23"/>
  <c r="DL6" i="7"/>
  <c r="CE5" i="9"/>
  <c r="Y41" i="40"/>
  <c r="BN5" i="5"/>
  <c r="P6" i="7"/>
  <c r="T4" i="52"/>
  <c r="J23" i="61"/>
  <c r="T4" i="54"/>
  <c r="R9" i="44"/>
  <c r="CB6" i="11"/>
  <c r="CX6" i="12"/>
  <c r="BO5" i="4"/>
  <c r="BH5" i="15"/>
  <c r="CA6" i="6"/>
  <c r="AA17" i="44"/>
  <c r="V45" i="12"/>
  <c r="BP6" i="12"/>
  <c r="O5" i="15"/>
  <c r="CW5" i="9"/>
  <c r="DC6" i="7"/>
  <c r="T6" i="53"/>
  <c r="M6" i="12"/>
  <c r="Y5" i="47"/>
  <c r="CW5" i="47"/>
  <c r="AY5" i="15"/>
  <c r="BQ6" i="12"/>
  <c r="AN4" i="54"/>
  <c r="BQ5" i="9"/>
  <c r="CC6" i="7"/>
  <c r="CN5" i="40"/>
  <c r="CT6" i="11"/>
  <c r="CN5" i="8"/>
  <c r="DC6" i="6"/>
  <c r="BN5" i="9"/>
  <c r="CX45" i="12"/>
  <c r="Y5" i="5"/>
  <c r="BQ5" i="4"/>
  <c r="BN5" i="8"/>
  <c r="BM5" i="40"/>
  <c r="K8" i="26"/>
  <c r="BL5" i="40"/>
  <c r="CH6" i="12"/>
  <c r="P5" i="5"/>
  <c r="P6" i="11"/>
  <c r="CT6" i="6"/>
  <c r="BQ5" i="8"/>
  <c r="J42" i="54"/>
  <c r="P5" i="4"/>
  <c r="I9" i="44"/>
  <c r="Y5" i="40"/>
  <c r="BP5" i="5"/>
  <c r="BM5" i="9"/>
  <c r="R44" i="44"/>
  <c r="BO4" i="54"/>
  <c r="AD6" i="53"/>
  <c r="AQ5" i="55"/>
  <c r="AN6" i="11"/>
  <c r="BH42" i="54"/>
  <c r="CT6" i="7"/>
  <c r="BO5" i="47"/>
  <c r="CC6" i="6"/>
  <c r="R7" i="23"/>
  <c r="AC7" i="23"/>
  <c r="BL5" i="8"/>
  <c r="BH4" i="54"/>
  <c r="T42" i="54"/>
  <c r="AJ30" i="44"/>
  <c r="BP5" i="8"/>
  <c r="CB6" i="6"/>
  <c r="P5" i="47"/>
  <c r="BL5" i="47"/>
  <c r="CE6" i="6"/>
  <c r="CC6" i="11"/>
  <c r="Y5" i="4"/>
  <c r="BT6" i="12"/>
  <c r="J4" i="54"/>
  <c r="AN6" i="6"/>
  <c r="V6" i="12"/>
  <c r="CA6" i="7"/>
  <c r="Z6" i="11"/>
  <c r="AG5" i="15"/>
  <c r="CN5" i="9"/>
  <c r="BM5" i="8"/>
  <c r="J4" i="52"/>
  <c r="P23" i="61"/>
  <c r="BM5" i="47"/>
  <c r="AJ17" i="44"/>
  <c r="R17" i="44"/>
  <c r="K5" i="17"/>
  <c r="W5" i="17"/>
  <c r="CE5" i="4"/>
  <c r="CA6" i="11"/>
  <c r="BO5" i="9"/>
  <c r="N40" i="19"/>
  <c r="P5" i="13"/>
  <c r="CN5" i="4"/>
  <c r="AP5" i="15"/>
  <c r="CW5" i="8"/>
  <c r="BI5" i="13"/>
  <c r="BP5" i="40"/>
  <c r="AH5" i="13"/>
  <c r="AD4" i="52"/>
  <c r="BN5" i="40"/>
  <c r="DL6" i="11"/>
  <c r="AH5" i="55"/>
  <c r="BH4" i="52"/>
  <c r="R2" i="44"/>
  <c r="I17" i="62"/>
  <c r="BN5" i="47"/>
  <c r="CE6" i="11"/>
  <c r="BL5" i="9"/>
  <c r="AA30" i="44"/>
  <c r="Y5" i="55"/>
  <c r="AX4" i="54"/>
  <c r="CD6" i="11"/>
  <c r="BQ5" i="5"/>
  <c r="BH36" i="52"/>
  <c r="R30" i="44"/>
  <c r="CE5" i="47"/>
  <c r="J8" i="20"/>
  <c r="J41" i="53"/>
  <c r="AI6" i="12"/>
  <c r="CF6" i="6"/>
  <c r="AJ44" i="44"/>
  <c r="Y5" i="13"/>
  <c r="CF6" i="11"/>
  <c r="BM5" i="5"/>
  <c r="Z6" i="7"/>
  <c r="CD6" i="6"/>
  <c r="R31" i="23"/>
  <c r="BP5" i="9"/>
  <c r="BP5" i="47"/>
  <c r="CF6" i="7"/>
  <c r="BO5" i="40"/>
  <c r="T32" i="53"/>
  <c r="CP6" i="12"/>
  <c r="BS6" i="12"/>
  <c r="CW5" i="40"/>
  <c r="DC6" i="11"/>
  <c r="J32" i="53"/>
  <c r="BR6" i="12"/>
  <c r="CW5" i="4"/>
  <c r="I17" i="44"/>
  <c r="P5" i="9"/>
  <c r="AX42" i="54"/>
  <c r="CE5" i="5"/>
  <c r="BP5" i="4"/>
  <c r="CE5" i="40"/>
  <c r="BL5" i="5"/>
  <c r="BO5" i="8"/>
  <c r="Z6" i="6"/>
  <c r="AJ9" i="44"/>
  <c r="AX4" i="52"/>
  <c r="BE14" i="8"/>
  <c r="BE11" i="8"/>
  <c r="BE8" i="47"/>
  <c r="BE29" i="47"/>
  <c r="H7" i="62"/>
  <c r="T6" i="28"/>
  <c r="BB37" i="40"/>
  <c r="BG41" i="40"/>
  <c r="BG8" i="40"/>
  <c r="BG6" i="40"/>
  <c r="BG10" i="40"/>
  <c r="BG7" i="40"/>
  <c r="BG9" i="40"/>
  <c r="BG45" i="40"/>
  <c r="BF15" i="5"/>
  <c r="BF6" i="5"/>
  <c r="BF8" i="5"/>
  <c r="BF10" i="5"/>
  <c r="BF12" i="5"/>
  <c r="BF7" i="5"/>
  <c r="BF9" i="5"/>
  <c r="BF11" i="5"/>
  <c r="BF16" i="5"/>
  <c r="BF14" i="5"/>
  <c r="BF13" i="5"/>
  <c r="BF17" i="5"/>
  <c r="BG13" i="5"/>
  <c r="BG6" i="5"/>
  <c r="BG15" i="5"/>
  <c r="BG9" i="5"/>
  <c r="BG14" i="5"/>
  <c r="BG7" i="5"/>
  <c r="BG8" i="5"/>
  <c r="BG12" i="5"/>
  <c r="BG16" i="5"/>
  <c r="BG17" i="5"/>
  <c r="BG11" i="5"/>
  <c r="BG10" i="5"/>
  <c r="BH9" i="5"/>
  <c r="BH10" i="5"/>
  <c r="BH15" i="5"/>
  <c r="BH7" i="5"/>
  <c r="BH12" i="5"/>
  <c r="BH6" i="5"/>
  <c r="BH11" i="5"/>
  <c r="BH14" i="5"/>
  <c r="BH8" i="5"/>
  <c r="BH17" i="5"/>
  <c r="BH13" i="5"/>
  <c r="BH16" i="5"/>
  <c r="BH27" i="47"/>
  <c r="BH21" i="47"/>
  <c r="BH11" i="47"/>
  <c r="BH25" i="47"/>
  <c r="BH26" i="47"/>
  <c r="BH24" i="47"/>
  <c r="BH29" i="47"/>
  <c r="BH8" i="47"/>
  <c r="BH12" i="47"/>
  <c r="BH28" i="47"/>
  <c r="BH15" i="47"/>
  <c r="BH23" i="47"/>
  <c r="BH18" i="47"/>
  <c r="BH20" i="47"/>
  <c r="BH19" i="47"/>
  <c r="BH9" i="47"/>
  <c r="BH10" i="47"/>
  <c r="BH17" i="47"/>
  <c r="BH16" i="47"/>
  <c r="BH13" i="47"/>
  <c r="BE10" i="40"/>
  <c r="BE22" i="4"/>
  <c r="BE18" i="4"/>
  <c r="BE23" i="4"/>
  <c r="BB38" i="4"/>
  <c r="BE15" i="5"/>
  <c r="BE13" i="5"/>
  <c r="BA37" i="5"/>
  <c r="BE11" i="4"/>
  <c r="BE7" i="8"/>
  <c r="BE7" i="9"/>
  <c r="AB22" i="23"/>
  <c r="I49" i="61"/>
  <c r="BH7" i="40"/>
  <c r="BH41" i="40"/>
  <c r="BH6" i="40"/>
  <c r="BH8" i="40"/>
  <c r="BH10" i="40"/>
  <c r="BH45" i="40"/>
  <c r="BH9" i="40"/>
  <c r="BF29" i="47"/>
  <c r="BF26" i="47"/>
  <c r="BF23" i="47"/>
  <c r="BF19" i="47"/>
  <c r="BF28" i="47"/>
  <c r="BF27" i="47"/>
  <c r="BF21" i="47"/>
  <c r="BF11" i="47"/>
  <c r="BF8" i="47"/>
  <c r="BF25" i="47"/>
  <c r="BF15" i="47"/>
  <c r="BF12" i="47"/>
  <c r="BF18" i="47"/>
  <c r="BF20" i="47"/>
  <c r="BF24" i="47"/>
  <c r="BF13" i="47"/>
  <c r="BF10" i="47"/>
  <c r="BF16" i="47"/>
  <c r="BF17" i="47"/>
  <c r="BF9" i="47"/>
  <c r="BE9" i="40"/>
  <c r="BE17" i="4"/>
  <c r="BE9" i="4"/>
  <c r="BE17" i="5"/>
  <c r="BE6" i="5"/>
  <c r="AZ37" i="5"/>
  <c r="BJ6" i="8"/>
  <c r="BJ12" i="8"/>
  <c r="BJ15" i="8"/>
  <c r="BJ7" i="8"/>
  <c r="BJ9" i="8"/>
  <c r="BJ8" i="8"/>
  <c r="BJ13" i="8"/>
  <c r="BJ11" i="8"/>
  <c r="BJ14" i="8"/>
  <c r="BF15" i="8"/>
  <c r="BF13" i="8"/>
  <c r="BF9" i="8"/>
  <c r="BF7" i="8"/>
  <c r="BF14" i="8"/>
  <c r="BF11" i="8"/>
  <c r="BF12" i="8"/>
  <c r="BF6" i="8"/>
  <c r="BF8" i="8"/>
  <c r="BG21" i="47"/>
  <c r="BG11" i="47"/>
  <c r="BG28" i="47"/>
  <c r="BG26" i="47"/>
  <c r="BG23" i="47"/>
  <c r="BG19" i="47"/>
  <c r="BG25" i="47"/>
  <c r="BG27" i="47"/>
  <c r="BG15" i="47"/>
  <c r="BG18" i="47"/>
  <c r="BG8" i="47"/>
  <c r="BG12" i="47"/>
  <c r="BG29" i="47"/>
  <c r="BG24" i="47"/>
  <c r="BG20" i="47"/>
  <c r="BG9" i="47"/>
  <c r="BG10" i="47"/>
  <c r="BG13" i="47"/>
  <c r="BG16" i="47"/>
  <c r="BG17" i="47"/>
  <c r="BE6" i="8"/>
  <c r="BE11" i="47"/>
  <c r="BE9" i="9"/>
  <c r="BI9" i="8"/>
  <c r="BI14" i="8"/>
  <c r="BI6" i="8"/>
  <c r="BI8" i="8"/>
  <c r="BI13" i="8"/>
  <c r="BI15" i="8"/>
  <c r="BI12" i="8"/>
  <c r="BI11" i="8"/>
  <c r="BI7" i="8"/>
  <c r="BI32" i="4"/>
  <c r="BI10" i="4"/>
  <c r="BI23" i="4"/>
  <c r="BI11" i="4"/>
  <c r="BI15" i="4"/>
  <c r="BI21" i="4"/>
  <c r="BI17" i="4"/>
  <c r="BI19" i="4"/>
  <c r="BI14" i="4"/>
  <c r="BI22" i="4"/>
  <c r="BI18" i="4"/>
  <c r="BI20" i="4"/>
  <c r="BI6" i="4"/>
  <c r="BI13" i="4"/>
  <c r="BI25" i="4"/>
  <c r="BI24" i="4"/>
  <c r="BI7" i="4"/>
  <c r="BI9" i="4"/>
  <c r="BI26" i="4"/>
  <c r="BI8" i="4"/>
  <c r="BH32" i="4"/>
  <c r="BH23" i="4"/>
  <c r="BH20" i="4"/>
  <c r="BH22" i="4"/>
  <c r="BH6" i="4"/>
  <c r="BH14" i="4"/>
  <c r="BH9" i="4"/>
  <c r="BH19" i="4"/>
  <c r="BH13" i="4"/>
  <c r="BH25" i="4"/>
  <c r="BH15" i="4"/>
  <c r="BH17" i="4"/>
  <c r="BH21" i="4"/>
  <c r="BH10" i="4"/>
  <c r="BH26" i="4"/>
  <c r="BH8" i="4"/>
  <c r="BH11" i="4"/>
  <c r="BH7" i="4"/>
  <c r="BH24" i="4"/>
  <c r="BH18" i="4"/>
  <c r="BC37" i="5"/>
  <c r="BE7" i="40"/>
  <c r="BE19" i="4"/>
  <c r="BE20" i="4"/>
  <c r="BE32" i="4"/>
  <c r="BE9" i="5"/>
  <c r="BE11" i="5"/>
  <c r="D12" i="52"/>
  <c r="D32" i="52"/>
  <c r="BB37" i="5"/>
  <c r="BE15" i="8"/>
  <c r="BE10" i="47"/>
  <c r="BE21" i="47"/>
  <c r="AZ37" i="9"/>
  <c r="BE6" i="9"/>
  <c r="BG32" i="4"/>
  <c r="BG23" i="4"/>
  <c r="BG14" i="4"/>
  <c r="BG6" i="4"/>
  <c r="BG26" i="4"/>
  <c r="BG11" i="4"/>
  <c r="BG21" i="4"/>
  <c r="BG13" i="4"/>
  <c r="BG15" i="4"/>
  <c r="BG9" i="4"/>
  <c r="BG19" i="4"/>
  <c r="BG10" i="4"/>
  <c r="BG7" i="4"/>
  <c r="BG17" i="4"/>
  <c r="BG25" i="4"/>
  <c r="BG22" i="4"/>
  <c r="BG8" i="4"/>
  <c r="BG20" i="4"/>
  <c r="BG18" i="4"/>
  <c r="BG24" i="4"/>
  <c r="BJ26" i="4"/>
  <c r="BJ21" i="4"/>
  <c r="BJ32" i="4"/>
  <c r="BJ10" i="4"/>
  <c r="BJ11" i="4"/>
  <c r="BJ8" i="4"/>
  <c r="BJ18" i="4"/>
  <c r="BJ20" i="4"/>
  <c r="BJ7" i="4"/>
  <c r="BJ9" i="4"/>
  <c r="BJ19" i="4"/>
  <c r="BJ22" i="4"/>
  <c r="BJ17" i="4"/>
  <c r="BJ15" i="4"/>
  <c r="BJ6" i="4"/>
  <c r="BJ13" i="4"/>
  <c r="BJ25" i="4"/>
  <c r="BJ23" i="4"/>
  <c r="BJ24" i="4"/>
  <c r="BJ14" i="4"/>
  <c r="X45" i="19"/>
  <c r="I36" i="61"/>
  <c r="BI41" i="40"/>
  <c r="BI7" i="40"/>
  <c r="BI6" i="40"/>
  <c r="BI8" i="40"/>
  <c r="BI9" i="40"/>
  <c r="BI45" i="40"/>
  <c r="BI10" i="40"/>
  <c r="BH9" i="9"/>
  <c r="BH8" i="9"/>
  <c r="BH7" i="9"/>
  <c r="BH6" i="9"/>
  <c r="BJ41" i="40"/>
  <c r="BJ7" i="40"/>
  <c r="BJ45" i="40"/>
  <c r="BJ8" i="40"/>
  <c r="BJ9" i="40"/>
  <c r="BJ6" i="40"/>
  <c r="BJ10" i="40"/>
  <c r="BG9" i="9"/>
  <c r="BG6" i="9"/>
  <c r="BG8" i="9"/>
  <c r="BG7" i="9"/>
  <c r="BI8" i="47"/>
  <c r="BI12" i="47"/>
  <c r="BI25" i="47"/>
  <c r="BI21" i="47"/>
  <c r="BI11" i="47"/>
  <c r="BI26" i="47"/>
  <c r="BI23" i="47"/>
  <c r="BI19" i="47"/>
  <c r="BI15" i="47"/>
  <c r="BI18" i="47"/>
  <c r="BI28" i="47"/>
  <c r="BI29" i="47"/>
  <c r="BI27" i="47"/>
  <c r="BI16" i="47"/>
  <c r="BI24" i="47"/>
  <c r="BI20" i="47"/>
  <c r="BI17" i="47"/>
  <c r="BI13" i="47"/>
  <c r="BI10" i="47"/>
  <c r="BI9" i="47"/>
  <c r="AZ37" i="40"/>
  <c r="BE6" i="40"/>
  <c r="BE8" i="4"/>
  <c r="BE14" i="4"/>
  <c r="BE7" i="5"/>
  <c r="BQ17" i="54"/>
  <c r="BQ37" i="54"/>
  <c r="S14" i="28"/>
  <c r="J16" i="28"/>
  <c r="I16" i="28"/>
  <c r="H16" i="28"/>
  <c r="G16" i="28"/>
  <c r="F16" i="28"/>
  <c r="E16" i="28"/>
  <c r="D16" i="28"/>
  <c r="E6" i="58"/>
  <c r="G43" i="20"/>
  <c r="G44" i="20"/>
  <c r="CS7" i="40"/>
  <c r="X17" i="52"/>
  <c r="CS8" i="40"/>
  <c r="BM23" i="52"/>
  <c r="CQ38" i="5"/>
  <c r="BD7" i="15"/>
  <c r="CS8" i="47"/>
  <c r="BD11" i="15"/>
  <c r="X30" i="53"/>
  <c r="X35" i="53"/>
  <c r="BD6" i="15"/>
  <c r="BC22" i="52"/>
  <c r="BM22" i="52"/>
  <c r="CS19" i="4"/>
  <c r="AM37" i="13"/>
  <c r="O30" i="53"/>
  <c r="O35" i="53"/>
  <c r="BD10" i="15"/>
  <c r="CS24" i="47"/>
  <c r="CS13" i="4"/>
  <c r="E6" i="56"/>
  <c r="E14" i="56"/>
  <c r="CS32" i="4"/>
  <c r="CS24" i="4"/>
  <c r="CS9" i="9"/>
  <c r="BE7" i="13"/>
  <c r="CS23" i="4"/>
  <c r="BE6" i="13"/>
  <c r="CS18" i="4"/>
  <c r="CR37" i="40"/>
  <c r="CR38" i="40"/>
  <c r="Y9" i="53"/>
  <c r="BE11" i="13"/>
  <c r="CS10" i="4"/>
  <c r="CS20" i="4"/>
  <c r="CS23" i="47"/>
  <c r="CA37" i="9"/>
  <c r="CR37" i="9"/>
  <c r="CS14" i="5"/>
  <c r="CS16" i="47"/>
  <c r="CR48" i="47"/>
  <c r="CR38" i="4"/>
  <c r="CR37" i="5"/>
  <c r="BD37" i="13"/>
  <c r="BC37" i="15"/>
  <c r="E29" i="52"/>
  <c r="AS35" i="54"/>
  <c r="BC35" i="54"/>
  <c r="O29" i="53"/>
  <c r="O34" i="53"/>
  <c r="BE9" i="13"/>
  <c r="E9" i="56"/>
  <c r="E17" i="56"/>
  <c r="CS16" i="5"/>
  <c r="CS6" i="4"/>
  <c r="CA37" i="5"/>
  <c r="AL37" i="15"/>
  <c r="X8" i="53"/>
  <c r="CA38" i="4"/>
  <c r="R30" i="28"/>
  <c r="CS18" i="47"/>
  <c r="CS11" i="47"/>
  <c r="CS9" i="4"/>
  <c r="CS17" i="4"/>
  <c r="CS12" i="5"/>
  <c r="CS6" i="40"/>
  <c r="CS15" i="47"/>
  <c r="CS7" i="9"/>
  <c r="BE10" i="13"/>
  <c r="CS8" i="9"/>
  <c r="BD8" i="15"/>
  <c r="CS6" i="5"/>
  <c r="G10" i="26"/>
  <c r="G38" i="26"/>
  <c r="G41" i="26"/>
  <c r="CS13" i="5"/>
  <c r="CS26" i="47"/>
  <c r="AM37" i="55"/>
  <c r="CA48" i="47"/>
  <c r="CA37" i="40"/>
  <c r="BB38" i="15"/>
  <c r="DF40" i="6"/>
  <c r="CS7" i="4"/>
  <c r="CS25" i="4"/>
  <c r="BB38" i="54"/>
  <c r="X25" i="52"/>
  <c r="BL25" i="52"/>
  <c r="CR39" i="4"/>
  <c r="CS15" i="5"/>
  <c r="CS21" i="4"/>
  <c r="CS26" i="4"/>
  <c r="CS14" i="4"/>
  <c r="E7" i="56"/>
  <c r="E15" i="56"/>
  <c r="CS11" i="5"/>
  <c r="O10" i="53"/>
  <c r="BD9" i="15"/>
  <c r="CS7" i="5"/>
  <c r="E25" i="53"/>
  <c r="E34" i="53"/>
  <c r="D26" i="52"/>
  <c r="D34" i="52"/>
  <c r="CS10" i="47"/>
  <c r="CS17" i="47"/>
  <c r="CS10" i="5"/>
  <c r="CS9" i="47"/>
  <c r="D44" i="53"/>
  <c r="D45" i="53"/>
  <c r="BB32" i="54"/>
  <c r="BB9" i="54"/>
  <c r="U38" i="4"/>
  <c r="U37" i="13"/>
  <c r="T37" i="15"/>
  <c r="BD37" i="55"/>
  <c r="BD38" i="55"/>
  <c r="U37" i="9"/>
  <c r="U37" i="55"/>
  <c r="U37" i="40"/>
  <c r="U37" i="5"/>
  <c r="CS8" i="4"/>
  <c r="CS6" i="9"/>
  <c r="U48" i="47"/>
  <c r="BB26" i="54"/>
  <c r="S30" i="28"/>
  <c r="X31" i="52"/>
  <c r="BC32" i="54"/>
  <c r="D31" i="52"/>
  <c r="D41" i="52"/>
  <c r="Q24" i="17"/>
  <c r="Q22" i="17"/>
  <c r="X29" i="53"/>
  <c r="E37" i="53"/>
  <c r="Y28" i="53"/>
  <c r="AT35" i="54"/>
  <c r="BD35" i="54"/>
  <c r="M41" i="13"/>
  <c r="O33" i="53"/>
  <c r="F6" i="56"/>
  <c r="F14" i="56"/>
  <c r="N40" i="13"/>
  <c r="N37" i="53"/>
  <c r="Q15" i="17"/>
  <c r="AH45" i="54"/>
  <c r="X19" i="52"/>
  <c r="W8" i="19"/>
  <c r="D22" i="58"/>
  <c r="D11" i="58"/>
  <c r="D14" i="52"/>
  <c r="D28" i="52"/>
  <c r="X33" i="53"/>
  <c r="H28" i="19"/>
  <c r="E44" i="20"/>
  <c r="X25" i="53"/>
  <c r="D42" i="52"/>
  <c r="X9" i="52"/>
  <c r="E45" i="53"/>
  <c r="BC31" i="54"/>
  <c r="X12" i="52"/>
  <c r="CR38" i="5"/>
  <c r="Q35" i="17"/>
  <c r="D39" i="52"/>
  <c r="D44" i="52"/>
  <c r="BK10" i="47"/>
  <c r="P14" i="61"/>
  <c r="CR38" i="8"/>
  <c r="BK15" i="8"/>
  <c r="BK7" i="9"/>
  <c r="BE37" i="40"/>
  <c r="E41" i="52"/>
  <c r="D34" i="53"/>
  <c r="D37" i="53"/>
  <c r="BI37" i="40"/>
  <c r="BK29" i="47"/>
  <c r="BJ37" i="40"/>
  <c r="BK13" i="8"/>
  <c r="BK7" i="4"/>
  <c r="BE37" i="5"/>
  <c r="BK13" i="47"/>
  <c r="BK11" i="47"/>
  <c r="BK12" i="5"/>
  <c r="BO11" i="8"/>
  <c r="BO6" i="8"/>
  <c r="BO7" i="8"/>
  <c r="BO14" i="8"/>
  <c r="BO15" i="8"/>
  <c r="BO12" i="8"/>
  <c r="BO8" i="8"/>
  <c r="BO13" i="8"/>
  <c r="BO9" i="8"/>
  <c r="BO8" i="40"/>
  <c r="BO9" i="40"/>
  <c r="BO7" i="40"/>
  <c r="BO41" i="40"/>
  <c r="BO6" i="40"/>
  <c r="BO10" i="40"/>
  <c r="BO45" i="40"/>
  <c r="BO8" i="9"/>
  <c r="BO9" i="9"/>
  <c r="BO6" i="9"/>
  <c r="BO7" i="9"/>
  <c r="BP13" i="8"/>
  <c r="BP9" i="8"/>
  <c r="BP15" i="8"/>
  <c r="BP8" i="8"/>
  <c r="BP12" i="8"/>
  <c r="BP14" i="8"/>
  <c r="BP11" i="8"/>
  <c r="BP7" i="8"/>
  <c r="BP6" i="8"/>
  <c r="BP13" i="5"/>
  <c r="BP6" i="5"/>
  <c r="BP17" i="5"/>
  <c r="BP15" i="5"/>
  <c r="BP16" i="5"/>
  <c r="BP10" i="5"/>
  <c r="BP12" i="5"/>
  <c r="BP8" i="5"/>
  <c r="BP9" i="5"/>
  <c r="BP14" i="5"/>
  <c r="BP11" i="5"/>
  <c r="BP7" i="5"/>
  <c r="N83" i="19"/>
  <c r="N106" i="19"/>
  <c r="BE38" i="4"/>
  <c r="BK7" i="40"/>
  <c r="BK8" i="9"/>
  <c r="BK20" i="4"/>
  <c r="BK15" i="4"/>
  <c r="BF48" i="47"/>
  <c r="BK8" i="47"/>
  <c r="BE45" i="40"/>
  <c r="CU45" i="40"/>
  <c r="BJ48" i="47"/>
  <c r="BK26" i="4"/>
  <c r="BE37" i="9"/>
  <c r="Y20" i="53"/>
  <c r="BG38" i="4"/>
  <c r="BK12" i="8"/>
  <c r="BK24" i="47"/>
  <c r="BK21" i="47"/>
  <c r="BK17" i="5"/>
  <c r="BK10" i="5"/>
  <c r="BG37" i="40"/>
  <c r="BL14" i="5"/>
  <c r="BL11" i="5"/>
  <c r="BL13" i="5"/>
  <c r="BL16" i="5"/>
  <c r="BL6" i="5"/>
  <c r="BL15" i="5"/>
  <c r="BL7" i="5"/>
  <c r="BL9" i="5"/>
  <c r="BL17" i="5"/>
  <c r="BL12" i="5"/>
  <c r="BL10" i="5"/>
  <c r="BL8" i="5"/>
  <c r="BN21" i="47"/>
  <c r="BN26" i="47"/>
  <c r="BN23" i="47"/>
  <c r="BN19" i="47"/>
  <c r="BN27" i="47"/>
  <c r="BN28" i="47"/>
  <c r="BN15" i="47"/>
  <c r="BN18" i="47"/>
  <c r="BN29" i="47"/>
  <c r="BN25" i="47"/>
  <c r="BN11" i="47"/>
  <c r="BN24" i="47"/>
  <c r="BN12" i="47"/>
  <c r="BN8" i="47"/>
  <c r="BN9" i="47"/>
  <c r="BN10" i="47"/>
  <c r="BN20" i="47"/>
  <c r="BN17" i="47"/>
  <c r="BN16" i="47"/>
  <c r="BN13" i="47"/>
  <c r="BP41" i="40"/>
  <c r="BP7" i="40"/>
  <c r="BP9" i="40"/>
  <c r="BP6" i="40"/>
  <c r="BP8" i="40"/>
  <c r="BP45" i="40"/>
  <c r="BP10" i="40"/>
  <c r="BM9" i="8"/>
  <c r="BM12" i="8"/>
  <c r="BM14" i="8"/>
  <c r="BM7" i="8"/>
  <c r="BM15" i="8"/>
  <c r="BM6" i="8"/>
  <c r="BM8" i="8"/>
  <c r="BM13" i="8"/>
  <c r="BM11" i="8"/>
  <c r="BN6" i="9"/>
  <c r="BN7" i="9"/>
  <c r="BN8" i="9"/>
  <c r="BN9" i="9"/>
  <c r="BN32" i="4"/>
  <c r="BN24" i="4"/>
  <c r="BN7" i="4"/>
  <c r="BN14" i="4"/>
  <c r="BN18" i="4"/>
  <c r="BN13" i="4"/>
  <c r="BN26" i="4"/>
  <c r="BN22" i="4"/>
  <c r="BN8" i="4"/>
  <c r="BN15" i="4"/>
  <c r="BN21" i="4"/>
  <c r="BN6" i="4"/>
  <c r="BN10" i="4"/>
  <c r="BN9" i="4"/>
  <c r="BN17" i="4"/>
  <c r="BN25" i="4"/>
  <c r="BN20" i="4"/>
  <c r="BN11" i="4"/>
  <c r="BN19" i="4"/>
  <c r="BN23" i="4"/>
  <c r="BK10" i="40"/>
  <c r="BJ37" i="5"/>
  <c r="BK21" i="4"/>
  <c r="BK10" i="4"/>
  <c r="BK9" i="4"/>
  <c r="BO32" i="4"/>
  <c r="BO10" i="4"/>
  <c r="BO8" i="4"/>
  <c r="BO14" i="4"/>
  <c r="BO23" i="4"/>
  <c r="BO6" i="4"/>
  <c r="BO7" i="4"/>
  <c r="BO9" i="4"/>
  <c r="BO21" i="4"/>
  <c r="BO18" i="4"/>
  <c r="BO20" i="4"/>
  <c r="BO13" i="4"/>
  <c r="BO22" i="4"/>
  <c r="BO17" i="4"/>
  <c r="BO15" i="4"/>
  <c r="BO19" i="4"/>
  <c r="BO26" i="4"/>
  <c r="BO24" i="4"/>
  <c r="BO11" i="4"/>
  <c r="BO25" i="4"/>
  <c r="BI38" i="4"/>
  <c r="BK11" i="8"/>
  <c r="BK20" i="47"/>
  <c r="BK27" i="47"/>
  <c r="BK13" i="5"/>
  <c r="BK8" i="5"/>
  <c r="BP29" i="47"/>
  <c r="BP27" i="47"/>
  <c r="BP21" i="47"/>
  <c r="BP28" i="47"/>
  <c r="BP26" i="47"/>
  <c r="BP11" i="47"/>
  <c r="BP25" i="47"/>
  <c r="BP23" i="47"/>
  <c r="BP8" i="47"/>
  <c r="BP12" i="47"/>
  <c r="BP24" i="47"/>
  <c r="BP18" i="47"/>
  <c r="BP15" i="47"/>
  <c r="BP19" i="47"/>
  <c r="BP20" i="47"/>
  <c r="BP17" i="47"/>
  <c r="BP16" i="47"/>
  <c r="BP13" i="47"/>
  <c r="BP10" i="47"/>
  <c r="BP9" i="47"/>
  <c r="BL41" i="40"/>
  <c r="BL10" i="40"/>
  <c r="BL7" i="40"/>
  <c r="BL6" i="40"/>
  <c r="BL8" i="40"/>
  <c r="BL9" i="40"/>
  <c r="AC22" i="23"/>
  <c r="J49" i="61"/>
  <c r="U17" i="28"/>
  <c r="BK8" i="40"/>
  <c r="BK23" i="4"/>
  <c r="BK14" i="4"/>
  <c r="BK24" i="4"/>
  <c r="BI37" i="9"/>
  <c r="BJ38" i="4"/>
  <c r="BM23" i="47"/>
  <c r="BM19" i="47"/>
  <c r="BM24" i="47"/>
  <c r="BM27" i="47"/>
  <c r="BM15" i="47"/>
  <c r="BM18" i="47"/>
  <c r="BM29" i="47"/>
  <c r="BM8" i="47"/>
  <c r="BM12" i="47"/>
  <c r="BM21" i="47"/>
  <c r="BM11" i="47"/>
  <c r="BM26" i="47"/>
  <c r="BM28" i="47"/>
  <c r="BM25" i="47"/>
  <c r="BM16" i="47"/>
  <c r="BM13" i="47"/>
  <c r="BM17" i="47"/>
  <c r="BM10" i="47"/>
  <c r="BM20" i="47"/>
  <c r="BM9" i="47"/>
  <c r="BO26" i="47"/>
  <c r="BO11" i="47"/>
  <c r="BO28" i="47"/>
  <c r="BO23" i="47"/>
  <c r="BO19" i="47"/>
  <c r="BO27" i="47"/>
  <c r="BO15" i="47"/>
  <c r="BO18" i="47"/>
  <c r="BO8" i="47"/>
  <c r="BO12" i="47"/>
  <c r="BO21" i="47"/>
  <c r="BO24" i="47"/>
  <c r="BO25" i="47"/>
  <c r="BO29" i="47"/>
  <c r="BO20" i="47"/>
  <c r="BO17" i="47"/>
  <c r="BO16" i="47"/>
  <c r="BO10" i="47"/>
  <c r="BO13" i="47"/>
  <c r="BO9" i="47"/>
  <c r="BF45" i="40"/>
  <c r="CR38" i="9"/>
  <c r="BH38" i="4"/>
  <c r="BG48" i="47"/>
  <c r="BK14" i="8"/>
  <c r="BK18" i="47"/>
  <c r="BK28" i="47"/>
  <c r="BK14" i="5"/>
  <c r="BF37" i="5"/>
  <c r="BK6" i="5"/>
  <c r="BP32" i="4"/>
  <c r="BP10" i="4"/>
  <c r="BP13" i="4"/>
  <c r="BP15" i="4"/>
  <c r="BP23" i="4"/>
  <c r="BP6" i="4"/>
  <c r="BP25" i="4"/>
  <c r="BP7" i="4"/>
  <c r="BP22" i="4"/>
  <c r="BP18" i="4"/>
  <c r="BP14" i="4"/>
  <c r="BP8" i="4"/>
  <c r="BP9" i="4"/>
  <c r="BP19" i="4"/>
  <c r="BP11" i="4"/>
  <c r="BP21" i="4"/>
  <c r="BP26" i="4"/>
  <c r="BP20" i="4"/>
  <c r="BP24" i="4"/>
  <c r="BP17" i="4"/>
  <c r="BP6" i="9"/>
  <c r="BP9" i="9"/>
  <c r="BP7" i="9"/>
  <c r="BP8" i="9"/>
  <c r="BI37" i="5"/>
  <c r="BJ37" i="9"/>
  <c r="BK25" i="4"/>
  <c r="BK18" i="4"/>
  <c r="BK6" i="8"/>
  <c r="BL9" i="9"/>
  <c r="BL7" i="9"/>
  <c r="BL6" i="9"/>
  <c r="BL8" i="9"/>
  <c r="BI48" i="47"/>
  <c r="BG37" i="9"/>
  <c r="BK7" i="8"/>
  <c r="BK9" i="47"/>
  <c r="BK12" i="47"/>
  <c r="BK19" i="47"/>
  <c r="BH37" i="40"/>
  <c r="BK16" i="5"/>
  <c r="BK15" i="5"/>
  <c r="J14" i="61"/>
  <c r="BL7" i="8"/>
  <c r="BL8" i="8"/>
  <c r="BL9" i="8"/>
  <c r="BL15" i="8"/>
  <c r="BL13" i="8"/>
  <c r="BL12" i="8"/>
  <c r="BL14" i="8"/>
  <c r="BL11" i="8"/>
  <c r="BL6" i="8"/>
  <c r="BM10" i="40"/>
  <c r="BM41" i="40"/>
  <c r="BM8" i="40"/>
  <c r="BM9" i="40"/>
  <c r="BM45" i="40"/>
  <c r="BM6" i="40"/>
  <c r="BM7" i="40"/>
  <c r="BM32" i="4"/>
  <c r="BM22" i="4"/>
  <c r="BM10" i="4"/>
  <c r="BM7" i="4"/>
  <c r="BM8" i="4"/>
  <c r="BM17" i="4"/>
  <c r="BM24" i="4"/>
  <c r="BM18" i="4"/>
  <c r="BM11" i="4"/>
  <c r="BM13" i="4"/>
  <c r="BM25" i="4"/>
  <c r="BM20" i="4"/>
  <c r="BM26" i="4"/>
  <c r="BM15" i="4"/>
  <c r="BM19" i="4"/>
  <c r="BM21" i="4"/>
  <c r="BM23" i="4"/>
  <c r="BM6" i="4"/>
  <c r="BM14" i="4"/>
  <c r="BM9" i="4"/>
  <c r="BK11" i="4"/>
  <c r="BK17" i="4"/>
  <c r="BK6" i="4"/>
  <c r="BF38" i="4"/>
  <c r="BK7" i="5"/>
  <c r="BH37" i="9"/>
  <c r="BK9" i="8"/>
  <c r="BK17" i="47"/>
  <c r="BK15" i="47"/>
  <c r="BK23" i="47"/>
  <c r="BH37" i="5"/>
  <c r="BG37" i="5"/>
  <c r="BK11" i="5"/>
  <c r="BL27" i="47"/>
  <c r="BL15" i="47"/>
  <c r="BL18" i="47"/>
  <c r="BL24" i="47"/>
  <c r="BL29" i="47"/>
  <c r="BL8" i="47"/>
  <c r="BL12" i="47"/>
  <c r="BL28" i="47"/>
  <c r="BL26" i="47"/>
  <c r="BL23" i="47"/>
  <c r="BL19" i="47"/>
  <c r="BQ19" i="47"/>
  <c r="BL11" i="47"/>
  <c r="BL25" i="47"/>
  <c r="BL21" i="47"/>
  <c r="BL16" i="47"/>
  <c r="BL13" i="47"/>
  <c r="BL9" i="47"/>
  <c r="BL20" i="47"/>
  <c r="BL10" i="47"/>
  <c r="BL17" i="47"/>
  <c r="BN12" i="8"/>
  <c r="BN7" i="8"/>
  <c r="BN11" i="8"/>
  <c r="BN15" i="8"/>
  <c r="BN8" i="8"/>
  <c r="BN14" i="8"/>
  <c r="BN9" i="8"/>
  <c r="BN6" i="8"/>
  <c r="BN13" i="8"/>
  <c r="BO17" i="5"/>
  <c r="BO14" i="5"/>
  <c r="BO13" i="5"/>
  <c r="BO8" i="5"/>
  <c r="BO10" i="5"/>
  <c r="BO7" i="5"/>
  <c r="BO16" i="5"/>
  <c r="BO11" i="5"/>
  <c r="BO6" i="5"/>
  <c r="BO12" i="5"/>
  <c r="BO9" i="5"/>
  <c r="BO15" i="5"/>
  <c r="BL32" i="4"/>
  <c r="BQ32" i="4"/>
  <c r="BL9" i="4"/>
  <c r="BL11" i="4"/>
  <c r="BL6" i="4"/>
  <c r="BL15" i="4"/>
  <c r="BL22" i="4"/>
  <c r="BQ22" i="4"/>
  <c r="BL21" i="4"/>
  <c r="BL18" i="4"/>
  <c r="BL10" i="4"/>
  <c r="BQ10" i="4"/>
  <c r="BL25" i="4"/>
  <c r="BL8" i="4"/>
  <c r="BL14" i="4"/>
  <c r="BL26" i="4"/>
  <c r="BQ26" i="4"/>
  <c r="BL7" i="4"/>
  <c r="BL19" i="4"/>
  <c r="BL17" i="4"/>
  <c r="BQ17" i="4"/>
  <c r="BL13" i="4"/>
  <c r="BQ13" i="4"/>
  <c r="BL23" i="4"/>
  <c r="BQ23" i="4"/>
  <c r="BL20" i="4"/>
  <c r="BQ20" i="4"/>
  <c r="BL24" i="4"/>
  <c r="BQ24" i="4"/>
  <c r="BK9" i="40"/>
  <c r="BK9" i="9"/>
  <c r="BK8" i="4"/>
  <c r="BK22" i="4"/>
  <c r="BK13" i="4"/>
  <c r="BH48" i="47"/>
  <c r="BM14" i="5"/>
  <c r="BM9" i="5"/>
  <c r="BM17" i="5"/>
  <c r="BM16" i="5"/>
  <c r="BM7" i="5"/>
  <c r="BM10" i="5"/>
  <c r="BM12" i="5"/>
  <c r="BM11" i="5"/>
  <c r="BM13" i="5"/>
  <c r="BM15" i="5"/>
  <c r="BM6" i="5"/>
  <c r="BM8" i="5"/>
  <c r="Y45" i="19"/>
  <c r="J36" i="61"/>
  <c r="BM6" i="9"/>
  <c r="BM7" i="9"/>
  <c r="BM8" i="9"/>
  <c r="BM9" i="9"/>
  <c r="Y7" i="53"/>
  <c r="BK8" i="8"/>
  <c r="BK16" i="47"/>
  <c r="BK25" i="47"/>
  <c r="BK26" i="47"/>
  <c r="BK9" i="5"/>
  <c r="I7" i="62"/>
  <c r="U6" i="28"/>
  <c r="BN45" i="40"/>
  <c r="BN6" i="40"/>
  <c r="BN8" i="40"/>
  <c r="BN41" i="40"/>
  <c r="BN7" i="40"/>
  <c r="BN10" i="40"/>
  <c r="BN9" i="40"/>
  <c r="BN11" i="5"/>
  <c r="BN9" i="5"/>
  <c r="BN15" i="5"/>
  <c r="BN17" i="5"/>
  <c r="BN10" i="5"/>
  <c r="BN8" i="5"/>
  <c r="BN14" i="5"/>
  <c r="BN7" i="5"/>
  <c r="BN13" i="5"/>
  <c r="BN12" i="5"/>
  <c r="BN6" i="5"/>
  <c r="BN16" i="5"/>
  <c r="AD35" i="23"/>
  <c r="O19" i="19"/>
  <c r="O60" i="19"/>
  <c r="K42" i="61"/>
  <c r="O14" i="19"/>
  <c r="O123" i="19"/>
  <c r="S3" i="42"/>
  <c r="O25" i="19"/>
  <c r="J3" i="42"/>
  <c r="AO4" i="52"/>
  <c r="AE32" i="53"/>
  <c r="O54" i="19"/>
  <c r="O31" i="19"/>
  <c r="CX41" i="40"/>
  <c r="K48" i="53"/>
  <c r="AE42" i="54"/>
  <c r="AE4" i="54"/>
  <c r="U35" i="28"/>
  <c r="J5" i="56"/>
  <c r="U25" i="28"/>
  <c r="J12" i="62"/>
  <c r="U43" i="28"/>
  <c r="U42" i="54"/>
  <c r="DM6" i="11"/>
  <c r="Q6" i="6"/>
  <c r="CX5" i="5"/>
  <c r="CO5" i="47"/>
  <c r="Q41" i="40"/>
  <c r="BV5" i="9"/>
  <c r="BU5" i="47"/>
  <c r="CF5" i="5"/>
  <c r="AH5" i="15"/>
  <c r="CF5" i="4"/>
  <c r="DM6" i="6"/>
  <c r="AB17" i="44"/>
  <c r="Q5" i="47"/>
  <c r="X5" i="17"/>
  <c r="K32" i="53"/>
  <c r="BS5" i="47"/>
  <c r="BT5" i="40"/>
  <c r="AK17" i="44"/>
  <c r="AY4" i="52"/>
  <c r="BV5" i="47"/>
  <c r="S9" i="44"/>
  <c r="BP4" i="54"/>
  <c r="CX5" i="9"/>
  <c r="DD6" i="6"/>
  <c r="CJ6" i="7"/>
  <c r="Q6" i="7"/>
  <c r="CX5" i="47"/>
  <c r="DM6" i="7"/>
  <c r="Z5" i="8"/>
  <c r="Z5" i="55"/>
  <c r="BU5" i="9"/>
  <c r="BA5" i="13"/>
  <c r="AO6" i="11"/>
  <c r="S30" i="44"/>
  <c r="AQ5" i="15"/>
  <c r="BJ5" i="13"/>
  <c r="Z41" i="40"/>
  <c r="AO6" i="6"/>
  <c r="DD6" i="7"/>
  <c r="L8" i="26"/>
  <c r="AZ5" i="15"/>
  <c r="U32" i="53"/>
  <c r="BW5" i="4"/>
  <c r="U4" i="54"/>
  <c r="CG6" i="7"/>
  <c r="CO5" i="5"/>
  <c r="BR5" i="5"/>
  <c r="J9" i="44"/>
  <c r="AJ6" i="12"/>
  <c r="BS5" i="4"/>
  <c r="Q5" i="40"/>
  <c r="AO42" i="54"/>
  <c r="CY6" i="12"/>
  <c r="CK6" i="7"/>
  <c r="AK30" i="44"/>
  <c r="CO5" i="40"/>
  <c r="CI6" i="12"/>
  <c r="AB9" i="44"/>
  <c r="K6" i="61"/>
  <c r="CU6" i="6"/>
  <c r="BV5" i="5"/>
  <c r="N6" i="12"/>
  <c r="CO5" i="4"/>
  <c r="Z5" i="13"/>
  <c r="AY42" i="54"/>
  <c r="Q6" i="11"/>
  <c r="BI42" i="54"/>
  <c r="BT5" i="5"/>
  <c r="BS4" i="52"/>
  <c r="CF5" i="40"/>
  <c r="AR5" i="13"/>
  <c r="BV5" i="4"/>
  <c r="CX5" i="40"/>
  <c r="CL6" i="7"/>
  <c r="BW5" i="5"/>
  <c r="W6" i="12"/>
  <c r="BR5" i="4"/>
  <c r="BU5" i="5"/>
  <c r="CX5" i="8"/>
  <c r="CG6" i="11"/>
  <c r="CO5" i="9"/>
  <c r="CK6" i="6"/>
  <c r="CI6" i="11"/>
  <c r="BU5" i="40"/>
  <c r="CL6" i="11"/>
  <c r="CI6" i="6"/>
  <c r="AR5" i="55"/>
  <c r="BU5" i="4"/>
  <c r="O40" i="19"/>
  <c r="BV6" i="12"/>
  <c r="BI4" i="52"/>
  <c r="BR5" i="40"/>
  <c r="BA5" i="55"/>
  <c r="S2" i="44"/>
  <c r="J17" i="62"/>
  <c r="AO4" i="54"/>
  <c r="CH6" i="11"/>
  <c r="CO5" i="8"/>
  <c r="BT5" i="4"/>
  <c r="Z5" i="40"/>
  <c r="Z5" i="9"/>
  <c r="BW5" i="9"/>
  <c r="Q5" i="5"/>
  <c r="AA6" i="7"/>
  <c r="CA6" i="12"/>
  <c r="J44" i="44"/>
  <c r="S19" i="23"/>
  <c r="CJ6" i="6"/>
  <c r="Q5" i="8"/>
  <c r="CO41" i="40"/>
  <c r="BV5" i="8"/>
  <c r="BP42" i="54"/>
  <c r="J30" i="44"/>
  <c r="AE4" i="52"/>
  <c r="BX6" i="12"/>
  <c r="K4" i="52"/>
  <c r="Q23" i="61"/>
  <c r="Y5" i="15"/>
  <c r="K6" i="53"/>
  <c r="AE6" i="53"/>
  <c r="Z5" i="5"/>
  <c r="CF41" i="40"/>
  <c r="J17" i="44"/>
  <c r="CQ6" i="12"/>
  <c r="AK9" i="44"/>
  <c r="S31" i="23"/>
  <c r="AY4" i="54"/>
  <c r="BV5" i="40"/>
  <c r="CU6" i="11"/>
  <c r="BW5" i="8"/>
  <c r="AO6" i="7"/>
  <c r="Q5" i="13"/>
  <c r="AK44" i="44"/>
  <c r="CL6" i="6"/>
  <c r="BI4" i="54"/>
  <c r="BT5" i="9"/>
  <c r="BI5" i="15"/>
  <c r="BW5" i="47"/>
  <c r="L5" i="17"/>
  <c r="BY6" i="12"/>
  <c r="BS5" i="5"/>
  <c r="BW5" i="40"/>
  <c r="BW41" i="40"/>
  <c r="U6" i="53"/>
  <c r="CH6" i="6"/>
  <c r="BJ5" i="55"/>
  <c r="AA6" i="11"/>
  <c r="AI5" i="13"/>
  <c r="CK6" i="11"/>
  <c r="BS5" i="40"/>
  <c r="CY45" i="12"/>
  <c r="S7" i="23"/>
  <c r="AD7" i="23"/>
  <c r="BR5" i="47"/>
  <c r="CX5" i="4"/>
  <c r="CG6" i="6"/>
  <c r="BR5" i="8"/>
  <c r="S17" i="44"/>
  <c r="Q5" i="9"/>
  <c r="K41" i="53"/>
  <c r="S44" i="44"/>
  <c r="BT5" i="47"/>
  <c r="BU5" i="8"/>
  <c r="CF5" i="9"/>
  <c r="Z5" i="47"/>
  <c r="CF5" i="47"/>
  <c r="Q5" i="4"/>
  <c r="DD6" i="11"/>
  <c r="Z5" i="4"/>
  <c r="AB44" i="44"/>
  <c r="BI36" i="52"/>
  <c r="CJ6" i="11"/>
  <c r="Q5" i="55"/>
  <c r="BS5" i="8"/>
  <c r="BW6" i="12"/>
  <c r="AB30" i="44"/>
  <c r="W45" i="12"/>
  <c r="P5" i="15"/>
  <c r="CF5" i="8"/>
  <c r="BS5" i="9"/>
  <c r="K4" i="54"/>
  <c r="K42" i="54"/>
  <c r="BZ6" i="12"/>
  <c r="CH6" i="7"/>
  <c r="CU6" i="7"/>
  <c r="AI5" i="55"/>
  <c r="K8" i="20"/>
  <c r="BT5" i="8"/>
  <c r="CI6" i="7"/>
  <c r="U4" i="52"/>
  <c r="K23" i="61"/>
  <c r="BR5" i="9"/>
  <c r="AA6" i="6"/>
  <c r="BF37" i="40"/>
  <c r="BK6" i="40"/>
  <c r="BK37" i="40"/>
  <c r="BF37" i="9"/>
  <c r="BK6" i="9"/>
  <c r="BK37" i="9"/>
  <c r="BK19" i="4"/>
  <c r="BK32" i="4"/>
  <c r="T14" i="28"/>
  <c r="E11" i="58"/>
  <c r="E17" i="58"/>
  <c r="E22" i="58"/>
  <c r="CS37" i="40"/>
  <c r="CS38" i="40"/>
  <c r="CB37" i="40"/>
  <c r="AN37" i="13"/>
  <c r="Y30" i="53"/>
  <c r="X26" i="52"/>
  <c r="X34" i="52"/>
  <c r="Y22" i="53"/>
  <c r="AI45" i="54"/>
  <c r="BD37" i="15"/>
  <c r="AH43" i="54"/>
  <c r="Y10" i="53"/>
  <c r="Y36" i="53"/>
  <c r="DG40" i="6"/>
  <c r="CB37" i="9"/>
  <c r="CB37" i="5"/>
  <c r="AN37" i="55"/>
  <c r="CB38" i="4"/>
  <c r="BN23" i="52"/>
  <c r="BE37" i="13"/>
  <c r="CR49" i="47"/>
  <c r="F8" i="56"/>
  <c r="F16" i="56"/>
  <c r="AM37" i="15"/>
  <c r="H10" i="26"/>
  <c r="F9" i="56"/>
  <c r="F17" i="56"/>
  <c r="CS37" i="5"/>
  <c r="DG39" i="11"/>
  <c r="Y8" i="53"/>
  <c r="H18" i="26"/>
  <c r="E42" i="52"/>
  <c r="DG39" i="7"/>
  <c r="CS37" i="9"/>
  <c r="F7" i="56"/>
  <c r="F15" i="56"/>
  <c r="Y29" i="53"/>
  <c r="Y25" i="53"/>
  <c r="BM25" i="52"/>
  <c r="BC38" i="54"/>
  <c r="BD38" i="13"/>
  <c r="E18" i="56"/>
  <c r="G25" i="59"/>
  <c r="BE37" i="55"/>
  <c r="BE38" i="55"/>
  <c r="Z36" i="53"/>
  <c r="E10" i="56"/>
  <c r="Y21" i="53"/>
  <c r="O36" i="53"/>
  <c r="BC38" i="15"/>
  <c r="BC36" i="54"/>
  <c r="V37" i="40"/>
  <c r="CS38" i="4"/>
  <c r="CS39" i="4"/>
  <c r="V37" i="9"/>
  <c r="G6" i="56"/>
  <c r="G7" i="56"/>
  <c r="G15" i="56"/>
  <c r="G8" i="56"/>
  <c r="G16" i="56"/>
  <c r="V37" i="55"/>
  <c r="V38" i="4"/>
  <c r="V37" i="13"/>
  <c r="U37" i="15"/>
  <c r="V37" i="5"/>
  <c r="AR31" i="52"/>
  <c r="BB21" i="52"/>
  <c r="BB26" i="52"/>
  <c r="BB34" i="52"/>
  <c r="AR34" i="52"/>
  <c r="T30" i="28"/>
  <c r="D47" i="54"/>
  <c r="Q32" i="17"/>
  <c r="Q42" i="17"/>
  <c r="D29" i="52"/>
  <c r="BQ9" i="47"/>
  <c r="BQ26" i="47"/>
  <c r="BQ16" i="47"/>
  <c r="I27" i="19"/>
  <c r="J33" i="19"/>
  <c r="D49" i="53"/>
  <c r="D52" i="53"/>
  <c r="I26" i="19"/>
  <c r="I32" i="19"/>
  <c r="E13" i="20"/>
  <c r="X34" i="53"/>
  <c r="X37" i="53"/>
  <c r="BQ21" i="47"/>
  <c r="I26" i="26"/>
  <c r="G9" i="56"/>
  <c r="G17" i="56"/>
  <c r="I10" i="26"/>
  <c r="O37" i="53"/>
  <c r="E49" i="53"/>
  <c r="E52" i="53"/>
  <c r="D23" i="58"/>
  <c r="DH39" i="7"/>
  <c r="H25" i="59"/>
  <c r="H58" i="59"/>
  <c r="Y33" i="53"/>
  <c r="AN37" i="15"/>
  <c r="AO37" i="13"/>
  <c r="AH49" i="54"/>
  <c r="AR34" i="54"/>
  <c r="AR49" i="54"/>
  <c r="D50" i="54"/>
  <c r="AI43" i="54"/>
  <c r="I18" i="26"/>
  <c r="E47" i="54"/>
  <c r="BQ27" i="47"/>
  <c r="BQ13" i="47"/>
  <c r="BQ28" i="47"/>
  <c r="X32" i="52"/>
  <c r="X14" i="52"/>
  <c r="X28" i="52"/>
  <c r="X29" i="52"/>
  <c r="Q33" i="17"/>
  <c r="Q43" i="17"/>
  <c r="I53" i="59"/>
  <c r="Z9" i="17"/>
  <c r="CS38" i="8"/>
  <c r="Q14" i="61"/>
  <c r="BO37" i="9"/>
  <c r="BC40" i="54"/>
  <c r="BC39" i="54"/>
  <c r="N41" i="13"/>
  <c r="AA37" i="17"/>
  <c r="BB40" i="54"/>
  <c r="BB39" i="54"/>
  <c r="AH44" i="54"/>
  <c r="AH46" i="54"/>
  <c r="BQ19" i="4"/>
  <c r="BQ18" i="4"/>
  <c r="BQ25" i="47"/>
  <c r="BQ29" i="47"/>
  <c r="BQ7" i="4"/>
  <c r="BQ17" i="47"/>
  <c r="BQ11" i="47"/>
  <c r="BQ24" i="47"/>
  <c r="BN48" i="47"/>
  <c r="BQ10" i="47"/>
  <c r="BQ20" i="47"/>
  <c r="BQ23" i="47"/>
  <c r="BQ15" i="47"/>
  <c r="BM37" i="40"/>
  <c r="BQ18" i="47"/>
  <c r="BQ14" i="4"/>
  <c r="BQ15" i="4"/>
  <c r="J7" i="62"/>
  <c r="BQ8" i="4"/>
  <c r="BQ21" i="4"/>
  <c r="BQ25" i="4"/>
  <c r="BQ11" i="4"/>
  <c r="BQ12" i="47"/>
  <c r="BO37" i="40"/>
  <c r="BT29" i="47"/>
  <c r="BT15" i="47"/>
  <c r="BT18" i="47"/>
  <c r="BT24" i="47"/>
  <c r="BT8" i="47"/>
  <c r="BT12" i="47"/>
  <c r="BT21" i="47"/>
  <c r="BT27" i="47"/>
  <c r="BT23" i="47"/>
  <c r="BT19" i="47"/>
  <c r="BT25" i="47"/>
  <c r="BT28" i="47"/>
  <c r="BT11" i="47"/>
  <c r="BT26" i="47"/>
  <c r="BT16" i="47"/>
  <c r="BT20" i="47"/>
  <c r="BT17" i="47"/>
  <c r="BT10" i="47"/>
  <c r="BT9" i="47"/>
  <c r="BT13" i="47"/>
  <c r="BR29" i="47"/>
  <c r="BR8" i="47"/>
  <c r="BR12" i="47"/>
  <c r="BR25" i="47"/>
  <c r="BR21" i="47"/>
  <c r="BR26" i="47"/>
  <c r="BR11" i="47"/>
  <c r="BR24" i="47"/>
  <c r="BR15" i="47"/>
  <c r="BR18" i="47"/>
  <c r="BR28" i="47"/>
  <c r="BR19" i="47"/>
  <c r="BR23" i="47"/>
  <c r="BR27" i="47"/>
  <c r="BR17" i="47"/>
  <c r="BR20" i="47"/>
  <c r="BR16" i="47"/>
  <c r="BR10" i="47"/>
  <c r="BR9" i="47"/>
  <c r="BR13" i="47"/>
  <c r="BT7" i="9"/>
  <c r="BT9" i="9"/>
  <c r="BT6" i="9"/>
  <c r="BT8" i="9"/>
  <c r="BV41" i="40"/>
  <c r="BV6" i="40"/>
  <c r="BV8" i="40"/>
  <c r="BV7" i="40"/>
  <c r="BV9" i="40"/>
  <c r="BV45" i="40"/>
  <c r="BV10" i="40"/>
  <c r="BV8" i="8"/>
  <c r="BV6" i="8"/>
  <c r="BV7" i="8"/>
  <c r="BV14" i="8"/>
  <c r="BV12" i="8"/>
  <c r="BV9" i="8"/>
  <c r="BV11" i="8"/>
  <c r="BV13" i="8"/>
  <c r="BV15" i="8"/>
  <c r="BU10" i="5"/>
  <c r="BU8" i="5"/>
  <c r="BU14" i="5"/>
  <c r="BU12" i="5"/>
  <c r="BU13" i="5"/>
  <c r="BU7" i="5"/>
  <c r="BU15" i="5"/>
  <c r="BU17" i="5"/>
  <c r="BU16" i="5"/>
  <c r="BU6" i="5"/>
  <c r="BU9" i="5"/>
  <c r="BU11" i="5"/>
  <c r="BQ13" i="8"/>
  <c r="BQ8" i="9"/>
  <c r="BP37" i="9"/>
  <c r="BM48" i="47"/>
  <c r="BQ9" i="40"/>
  <c r="BQ9" i="5"/>
  <c r="BR32" i="4"/>
  <c r="BR6" i="4"/>
  <c r="BR25" i="4"/>
  <c r="BR10" i="4"/>
  <c r="BR8" i="4"/>
  <c r="BR24" i="4"/>
  <c r="BR15" i="4"/>
  <c r="BR26" i="4"/>
  <c r="BR22" i="4"/>
  <c r="BR21" i="4"/>
  <c r="BR14" i="4"/>
  <c r="BR7" i="4"/>
  <c r="BR18" i="4"/>
  <c r="BR17" i="4"/>
  <c r="BR9" i="4"/>
  <c r="BR23" i="4"/>
  <c r="BR19" i="4"/>
  <c r="BR20" i="4"/>
  <c r="BR13" i="4"/>
  <c r="BR11" i="4"/>
  <c r="BV9" i="5"/>
  <c r="BV8" i="5"/>
  <c r="BV17" i="5"/>
  <c r="BV14" i="5"/>
  <c r="BV12" i="5"/>
  <c r="BV10" i="5"/>
  <c r="BV7" i="5"/>
  <c r="BV6" i="5"/>
  <c r="BV16" i="5"/>
  <c r="BV11" i="5"/>
  <c r="BV13" i="5"/>
  <c r="BV15" i="5"/>
  <c r="BV26" i="47"/>
  <c r="BV24" i="47"/>
  <c r="BV27" i="47"/>
  <c r="BV23" i="47"/>
  <c r="BV19" i="47"/>
  <c r="BV29" i="47"/>
  <c r="BV15" i="47"/>
  <c r="BV18" i="47"/>
  <c r="BV21" i="47"/>
  <c r="BV11" i="47"/>
  <c r="BV28" i="47"/>
  <c r="BV25" i="47"/>
  <c r="BV12" i="47"/>
  <c r="BV8" i="47"/>
  <c r="BV13" i="47"/>
  <c r="BV10" i="47"/>
  <c r="BV17" i="47"/>
  <c r="BV16" i="47"/>
  <c r="BV20" i="47"/>
  <c r="BV9" i="47"/>
  <c r="BN37" i="5"/>
  <c r="BN37" i="40"/>
  <c r="BM37" i="5"/>
  <c r="BQ9" i="4"/>
  <c r="BL48" i="47"/>
  <c r="BQ8" i="47"/>
  <c r="BQ15" i="8"/>
  <c r="BQ6" i="9"/>
  <c r="BL37" i="9"/>
  <c r="BP38" i="4"/>
  <c r="BK37" i="5"/>
  <c r="BQ8" i="40"/>
  <c r="BN37" i="9"/>
  <c r="BQ7" i="5"/>
  <c r="BP37" i="5"/>
  <c r="BR41" i="40"/>
  <c r="BR10" i="40"/>
  <c r="BR8" i="40"/>
  <c r="BR6" i="40"/>
  <c r="BR7" i="40"/>
  <c r="BR9" i="40"/>
  <c r="BU41" i="40"/>
  <c r="BU10" i="40"/>
  <c r="BU7" i="40"/>
  <c r="BU9" i="40"/>
  <c r="BU6" i="40"/>
  <c r="BU45" i="40"/>
  <c r="BU8" i="40"/>
  <c r="BT6" i="5"/>
  <c r="BT11" i="5"/>
  <c r="BT9" i="5"/>
  <c r="BT16" i="5"/>
  <c r="BT17" i="5"/>
  <c r="BT7" i="5"/>
  <c r="BT8" i="5"/>
  <c r="BT14" i="5"/>
  <c r="BT10" i="5"/>
  <c r="BT13" i="5"/>
  <c r="BT12" i="5"/>
  <c r="BT15" i="5"/>
  <c r="BQ9" i="8"/>
  <c r="BQ7" i="9"/>
  <c r="BL45" i="40"/>
  <c r="BP48" i="47"/>
  <c r="BQ15" i="5"/>
  <c r="AA26" i="17"/>
  <c r="AA25" i="17"/>
  <c r="BR7" i="9"/>
  <c r="BR8" i="9"/>
  <c r="BR6" i="9"/>
  <c r="BR9" i="9"/>
  <c r="BS41" i="40"/>
  <c r="BS45" i="40"/>
  <c r="BS9" i="40"/>
  <c r="BS6" i="40"/>
  <c r="BS7" i="40"/>
  <c r="BS10" i="40"/>
  <c r="BS8" i="40"/>
  <c r="BS10" i="5"/>
  <c r="BS14" i="5"/>
  <c r="BS6" i="5"/>
  <c r="BS8" i="5"/>
  <c r="BS11" i="5"/>
  <c r="BS12" i="5"/>
  <c r="BS7" i="5"/>
  <c r="BS16" i="5"/>
  <c r="BS15" i="5"/>
  <c r="BS9" i="5"/>
  <c r="BS17" i="5"/>
  <c r="BS13" i="5"/>
  <c r="BS26" i="4"/>
  <c r="BS19" i="4"/>
  <c r="BS24" i="4"/>
  <c r="BS22" i="4"/>
  <c r="BS15" i="4"/>
  <c r="BS8" i="4"/>
  <c r="BS21" i="4"/>
  <c r="BS13" i="4"/>
  <c r="BS17" i="4"/>
  <c r="BS14" i="4"/>
  <c r="BS7" i="4"/>
  <c r="BS18" i="4"/>
  <c r="BS32" i="4"/>
  <c r="BS20" i="4"/>
  <c r="BS11" i="4"/>
  <c r="BS10" i="4"/>
  <c r="BS9" i="4"/>
  <c r="BS25" i="4"/>
  <c r="BS6" i="4"/>
  <c r="BS23" i="4"/>
  <c r="BM37" i="9"/>
  <c r="BQ6" i="8"/>
  <c r="BQ8" i="8"/>
  <c r="BQ9" i="9"/>
  <c r="BO48" i="47"/>
  <c r="BL37" i="40"/>
  <c r="BQ6" i="40"/>
  <c r="BN38" i="4"/>
  <c r="BL37" i="5"/>
  <c r="BQ6" i="5"/>
  <c r="E23" i="58"/>
  <c r="BS15" i="8"/>
  <c r="BS8" i="8"/>
  <c r="BS14" i="8"/>
  <c r="BS13" i="8"/>
  <c r="BS9" i="8"/>
  <c r="BS11" i="8"/>
  <c r="BS7" i="8"/>
  <c r="BS12" i="8"/>
  <c r="BS6" i="8"/>
  <c r="AD22" i="23"/>
  <c r="K49" i="61"/>
  <c r="BT32" i="4"/>
  <c r="BT11" i="4"/>
  <c r="BT19" i="4"/>
  <c r="BT24" i="4"/>
  <c r="BT21" i="4"/>
  <c r="BT22" i="4"/>
  <c r="BT18" i="4"/>
  <c r="BT13" i="4"/>
  <c r="BT23" i="4"/>
  <c r="BT14" i="4"/>
  <c r="BT17" i="4"/>
  <c r="BT25" i="4"/>
  <c r="BT15" i="4"/>
  <c r="BT7" i="4"/>
  <c r="BT9" i="4"/>
  <c r="BT10" i="4"/>
  <c r="BT6" i="4"/>
  <c r="BT20" i="4"/>
  <c r="BT8" i="4"/>
  <c r="BT26" i="4"/>
  <c r="BT41" i="40"/>
  <c r="BT9" i="40"/>
  <c r="BT6" i="40"/>
  <c r="BT10" i="40"/>
  <c r="BT7" i="40"/>
  <c r="BT8" i="40"/>
  <c r="BT45" i="40"/>
  <c r="BQ11" i="8"/>
  <c r="BQ7" i="8"/>
  <c r="BQ7" i="40"/>
  <c r="BO38" i="4"/>
  <c r="BP37" i="40"/>
  <c r="BQ8" i="5"/>
  <c r="BQ16" i="5"/>
  <c r="BK48" i="47"/>
  <c r="BR12" i="8"/>
  <c r="BR7" i="8"/>
  <c r="BR13" i="8"/>
  <c r="BR15" i="8"/>
  <c r="BR8" i="8"/>
  <c r="BR6" i="8"/>
  <c r="BR14" i="8"/>
  <c r="BR9" i="8"/>
  <c r="BR11" i="8"/>
  <c r="K14" i="61"/>
  <c r="Z45" i="19"/>
  <c r="K36" i="61"/>
  <c r="BS29" i="47"/>
  <c r="BS15" i="47"/>
  <c r="BS18" i="47"/>
  <c r="BS25" i="47"/>
  <c r="BS8" i="47"/>
  <c r="BS12" i="47"/>
  <c r="BS21" i="47"/>
  <c r="BS26" i="47"/>
  <c r="BS11" i="47"/>
  <c r="BS27" i="47"/>
  <c r="BS23" i="47"/>
  <c r="BS19" i="47"/>
  <c r="BS28" i="47"/>
  <c r="BS24" i="47"/>
  <c r="BS17" i="47"/>
  <c r="BS20" i="47"/>
  <c r="BS16" i="47"/>
  <c r="BS9" i="47"/>
  <c r="BS10" i="47"/>
  <c r="BS13" i="47"/>
  <c r="O83" i="19"/>
  <c r="O106" i="19"/>
  <c r="BK38" i="4"/>
  <c r="BQ14" i="8"/>
  <c r="BQ10" i="40"/>
  <c r="BQ10" i="5"/>
  <c r="BQ13" i="5"/>
  <c r="BT7" i="8"/>
  <c r="BT8" i="8"/>
  <c r="BT9" i="8"/>
  <c r="BT11" i="8"/>
  <c r="BT12" i="8"/>
  <c r="BT6" i="8"/>
  <c r="BT15" i="8"/>
  <c r="BT14" i="8"/>
  <c r="BT13" i="8"/>
  <c r="BS6" i="9"/>
  <c r="BS9" i="9"/>
  <c r="BS7" i="9"/>
  <c r="BS8" i="9"/>
  <c r="BU32" i="4"/>
  <c r="BU15" i="4"/>
  <c r="BU23" i="4"/>
  <c r="BU22" i="4"/>
  <c r="BU20" i="4"/>
  <c r="BU21" i="4"/>
  <c r="BU11" i="4"/>
  <c r="BU18" i="4"/>
  <c r="BU25" i="4"/>
  <c r="BU17" i="4"/>
  <c r="BU10" i="4"/>
  <c r="BU14" i="4"/>
  <c r="BU7" i="4"/>
  <c r="BU8" i="4"/>
  <c r="BU6" i="4"/>
  <c r="BU19" i="4"/>
  <c r="BU24" i="4"/>
  <c r="BU9" i="4"/>
  <c r="BU26" i="4"/>
  <c r="BU13" i="4"/>
  <c r="BV32" i="4"/>
  <c r="BV20" i="4"/>
  <c r="BV19" i="4"/>
  <c r="BV8" i="4"/>
  <c r="BV13" i="4"/>
  <c r="BV10" i="4"/>
  <c r="BV23" i="4"/>
  <c r="BV21" i="4"/>
  <c r="BV11" i="4"/>
  <c r="BV18" i="4"/>
  <c r="BV15" i="4"/>
  <c r="BV17" i="4"/>
  <c r="BV24" i="4"/>
  <c r="BV9" i="4"/>
  <c r="BV14" i="4"/>
  <c r="BV7" i="4"/>
  <c r="BV25" i="4"/>
  <c r="BV22" i="4"/>
  <c r="BV26" i="4"/>
  <c r="BV6" i="4"/>
  <c r="BR7" i="5"/>
  <c r="BW7" i="5"/>
  <c r="BR6" i="5"/>
  <c r="BR13" i="5"/>
  <c r="BR12" i="5"/>
  <c r="BR11" i="5"/>
  <c r="BR16" i="5"/>
  <c r="BR9" i="5"/>
  <c r="BR8" i="5"/>
  <c r="BR17" i="5"/>
  <c r="BR14" i="5"/>
  <c r="BR15" i="5"/>
  <c r="BR10" i="5"/>
  <c r="BW10" i="5"/>
  <c r="BU9" i="9"/>
  <c r="BU7" i="9"/>
  <c r="BU6" i="9"/>
  <c r="BU8" i="9"/>
  <c r="BU27" i="47"/>
  <c r="BU23" i="47"/>
  <c r="BU19" i="47"/>
  <c r="BU24" i="47"/>
  <c r="BU29" i="47"/>
  <c r="BU15" i="47"/>
  <c r="BU18" i="47"/>
  <c r="BU8" i="47"/>
  <c r="BU12" i="47"/>
  <c r="BU28" i="47"/>
  <c r="BU26" i="47"/>
  <c r="BU11" i="47"/>
  <c r="BU21" i="47"/>
  <c r="BU25" i="47"/>
  <c r="BU17" i="47"/>
  <c r="BU20" i="47"/>
  <c r="BU16" i="47"/>
  <c r="BU10" i="47"/>
  <c r="BU9" i="47"/>
  <c r="BU13" i="47"/>
  <c r="BO37" i="5"/>
  <c r="BK45" i="40"/>
  <c r="CV45" i="40"/>
  <c r="BQ12" i="5"/>
  <c r="BQ11" i="5"/>
  <c r="Y35" i="53"/>
  <c r="BU14" i="8"/>
  <c r="BU12" i="8"/>
  <c r="BU15" i="8"/>
  <c r="BU8" i="8"/>
  <c r="BU11" i="8"/>
  <c r="BU7" i="8"/>
  <c r="BU6" i="8"/>
  <c r="BU9" i="8"/>
  <c r="BU13" i="8"/>
  <c r="BV7" i="9"/>
  <c r="BV9" i="9"/>
  <c r="BV8" i="9"/>
  <c r="BV6" i="9"/>
  <c r="BQ6" i="4"/>
  <c r="BL38" i="4"/>
  <c r="BM38" i="4"/>
  <c r="BQ12" i="8"/>
  <c r="BQ17" i="5"/>
  <c r="BQ14" i="5"/>
  <c r="U14" i="28"/>
  <c r="BD38" i="15"/>
  <c r="H30" i="26"/>
  <c r="CT37" i="40"/>
  <c r="CT38" i="40"/>
  <c r="I56" i="59"/>
  <c r="CT37" i="9"/>
  <c r="DH40" i="6"/>
  <c r="D50" i="53"/>
  <c r="BE38" i="13"/>
  <c r="H20" i="26"/>
  <c r="BD26" i="54"/>
  <c r="CC37" i="5"/>
  <c r="CC37" i="40"/>
  <c r="CT37" i="5"/>
  <c r="H12" i="26"/>
  <c r="CS38" i="5"/>
  <c r="BF40" i="55"/>
  <c r="E44" i="52"/>
  <c r="CC37" i="9"/>
  <c r="Q36" i="53"/>
  <c r="BF37" i="55"/>
  <c r="BF38" i="55"/>
  <c r="H26" i="26"/>
  <c r="F18" i="56"/>
  <c r="CC38" i="4"/>
  <c r="AO37" i="55"/>
  <c r="CT38" i="4"/>
  <c r="CT39" i="4"/>
  <c r="DH39" i="11"/>
  <c r="W37" i="5"/>
  <c r="I14" i="26"/>
  <c r="H22" i="26"/>
  <c r="AI44" i="54"/>
  <c r="H28" i="26"/>
  <c r="BE38" i="15"/>
  <c r="H24" i="26"/>
  <c r="CS38" i="9"/>
  <c r="H16" i="26"/>
  <c r="H14" i="26"/>
  <c r="Y34" i="53"/>
  <c r="G26" i="59"/>
  <c r="G58" i="59"/>
  <c r="G11" i="41"/>
  <c r="G25" i="41"/>
  <c r="AS32" i="52"/>
  <c r="I30" i="26"/>
  <c r="R36" i="53"/>
  <c r="G10" i="56"/>
  <c r="G14" i="56"/>
  <c r="G18" i="56"/>
  <c r="AA40" i="17"/>
  <c r="I28" i="26"/>
  <c r="W38" i="4"/>
  <c r="W37" i="55"/>
  <c r="W37" i="40"/>
  <c r="W37" i="9"/>
  <c r="F10" i="56"/>
  <c r="V37" i="15"/>
  <c r="W37" i="13"/>
  <c r="H8" i="56"/>
  <c r="H16" i="56"/>
  <c r="J10" i="26"/>
  <c r="H6" i="56"/>
  <c r="H7" i="56"/>
  <c r="H15" i="56"/>
  <c r="H9" i="56"/>
  <c r="H17" i="56"/>
  <c r="CD38" i="4"/>
  <c r="U30" i="28"/>
  <c r="AP37" i="13"/>
  <c r="BC21" i="52"/>
  <c r="BC26" i="52"/>
  <c r="BC34" i="52"/>
  <c r="AS34" i="52"/>
  <c r="CD48" i="47"/>
  <c r="I20" i="26"/>
  <c r="BL21" i="52"/>
  <c r="BL26" i="52"/>
  <c r="BL34" i="52"/>
  <c r="E50" i="54"/>
  <c r="CD37" i="5"/>
  <c r="CD37" i="40"/>
  <c r="AO37" i="15"/>
  <c r="CD37" i="9"/>
  <c r="AP37" i="55"/>
  <c r="BD9" i="54"/>
  <c r="I12" i="26"/>
  <c r="I25" i="59"/>
  <c r="I11" i="41"/>
  <c r="I10" i="41"/>
  <c r="I33" i="19"/>
  <c r="I34" i="19"/>
  <c r="D12" i="58"/>
  <c r="BQ38" i="4"/>
  <c r="J32" i="19"/>
  <c r="F13" i="20"/>
  <c r="I28" i="19"/>
  <c r="F44" i="20"/>
  <c r="Z30" i="17"/>
  <c r="CT38" i="5"/>
  <c r="CU37" i="40"/>
  <c r="CU38" i="40"/>
  <c r="Y37" i="53"/>
  <c r="AI46" i="54"/>
  <c r="I22" i="26"/>
  <c r="I24" i="26"/>
  <c r="AR33" i="54"/>
  <c r="I16" i="26"/>
  <c r="BD36" i="54"/>
  <c r="BB34" i="54"/>
  <c r="BB49" i="54"/>
  <c r="AH51" i="54"/>
  <c r="AS31" i="52"/>
  <c r="AA36" i="53"/>
  <c r="AB36" i="53"/>
  <c r="AC36" i="53"/>
  <c r="AD36" i="53"/>
  <c r="AE36" i="53"/>
  <c r="AF36" i="53"/>
  <c r="H11" i="41"/>
  <c r="CU37" i="9"/>
  <c r="AA29" i="17"/>
  <c r="I57" i="59"/>
  <c r="I58" i="59"/>
  <c r="J34" i="19"/>
  <c r="E12" i="58"/>
  <c r="F14" i="20"/>
  <c r="AA17" i="17"/>
  <c r="AR32" i="52"/>
  <c r="AR28" i="52"/>
  <c r="DI39" i="7"/>
  <c r="Z18" i="17"/>
  <c r="DI39" i="11"/>
  <c r="BF38" i="13"/>
  <c r="Z19" i="17"/>
  <c r="BW9" i="8"/>
  <c r="AA9" i="17"/>
  <c r="DI40" i="6"/>
  <c r="Z17" i="17"/>
  <c r="CT38" i="9"/>
  <c r="AB9" i="17"/>
  <c r="AA28" i="17"/>
  <c r="BW12" i="8"/>
  <c r="BW17" i="5"/>
  <c r="BU37" i="5"/>
  <c r="BW17" i="47"/>
  <c r="BW11" i="47"/>
  <c r="BQ37" i="40"/>
  <c r="BV37" i="9"/>
  <c r="BU37" i="9"/>
  <c r="BW9" i="5"/>
  <c r="BW16" i="5"/>
  <c r="BW11" i="5"/>
  <c r="BW8" i="40"/>
  <c r="BW19" i="4"/>
  <c r="BW22" i="4"/>
  <c r="BG37" i="55"/>
  <c r="BG38" i="55"/>
  <c r="BW12" i="5"/>
  <c r="BW13" i="5"/>
  <c r="BQ48" i="47"/>
  <c r="BS37" i="5"/>
  <c r="BR38" i="4"/>
  <c r="BW6" i="4"/>
  <c r="BU48" i="47"/>
  <c r="BW8" i="5"/>
  <c r="BW14" i="8"/>
  <c r="BW10" i="40"/>
  <c r="BW23" i="4"/>
  <c r="BW26" i="4"/>
  <c r="BW32" i="4"/>
  <c r="BW27" i="47"/>
  <c r="BW26" i="47"/>
  <c r="AB25" i="17"/>
  <c r="AB26" i="17"/>
  <c r="BV38" i="4"/>
  <c r="BU38" i="4"/>
  <c r="BW9" i="9"/>
  <c r="BQ45" i="40"/>
  <c r="CW45" i="40"/>
  <c r="BV48" i="47"/>
  <c r="BW9" i="4"/>
  <c r="BW15" i="4"/>
  <c r="BW23" i="47"/>
  <c r="BW21" i="47"/>
  <c r="BS37" i="9"/>
  <c r="BW6" i="8"/>
  <c r="BQ37" i="5"/>
  <c r="BS38" i="4"/>
  <c r="BR37" i="9"/>
  <c r="BW6" i="9"/>
  <c r="BQ37" i="9"/>
  <c r="BW17" i="4"/>
  <c r="BW24" i="4"/>
  <c r="BV37" i="40"/>
  <c r="BW13" i="47"/>
  <c r="BW19" i="47"/>
  <c r="BW25" i="47"/>
  <c r="BW8" i="8"/>
  <c r="BT38" i="4"/>
  <c r="BW8" i="9"/>
  <c r="BT37" i="5"/>
  <c r="BW9" i="40"/>
  <c r="BV37" i="5"/>
  <c r="BW11" i="4"/>
  <c r="BW18" i="4"/>
  <c r="BW8" i="4"/>
  <c r="BW9" i="47"/>
  <c r="BW28" i="47"/>
  <c r="BW12" i="47"/>
  <c r="BW15" i="8"/>
  <c r="BW7" i="9"/>
  <c r="BW7" i="40"/>
  <c r="BW13" i="4"/>
  <c r="BW7" i="4"/>
  <c r="BW10" i="4"/>
  <c r="BW10" i="47"/>
  <c r="BW18" i="47"/>
  <c r="BR48" i="47"/>
  <c r="BW8" i="47"/>
  <c r="BW15" i="5"/>
  <c r="BW13" i="8"/>
  <c r="BT37" i="40"/>
  <c r="BS37" i="40"/>
  <c r="BR45" i="40"/>
  <c r="BW14" i="4"/>
  <c r="BW25" i="4"/>
  <c r="BT37" i="9"/>
  <c r="BW16" i="47"/>
  <c r="BW15" i="47"/>
  <c r="BW29" i="47"/>
  <c r="BT48" i="47"/>
  <c r="BW14" i="5"/>
  <c r="BW6" i="5"/>
  <c r="BR37" i="5"/>
  <c r="BS48" i="47"/>
  <c r="BW11" i="8"/>
  <c r="BW7" i="8"/>
  <c r="BU37" i="40"/>
  <c r="BR37" i="40"/>
  <c r="BW6" i="40"/>
  <c r="S39" i="23"/>
  <c r="BW20" i="4"/>
  <c r="BW21" i="4"/>
  <c r="BW20" i="47"/>
  <c r="BW24" i="47"/>
  <c r="BG40" i="55"/>
  <c r="CU37" i="5"/>
  <c r="CT38" i="8"/>
  <c r="Y29" i="52"/>
  <c r="J53" i="59"/>
  <c r="I25" i="41"/>
  <c r="Z37" i="17"/>
  <c r="CU38" i="4"/>
  <c r="CU39" i="4"/>
  <c r="BF39" i="13"/>
  <c r="H43" i="26"/>
  <c r="J56" i="59"/>
  <c r="Z40" i="17"/>
  <c r="AI49" i="54"/>
  <c r="BC9" i="54"/>
  <c r="J30" i="26"/>
  <c r="X37" i="40"/>
  <c r="AS28" i="52"/>
  <c r="J14" i="26"/>
  <c r="BH40" i="55"/>
  <c r="H10" i="56"/>
  <c r="H14" i="56"/>
  <c r="H18" i="56"/>
  <c r="K10" i="41"/>
  <c r="K56" i="59"/>
  <c r="S35" i="53"/>
  <c r="AB40" i="17"/>
  <c r="J28" i="26"/>
  <c r="J26" i="26"/>
  <c r="K53" i="59"/>
  <c r="CV37" i="9"/>
  <c r="X37" i="5"/>
  <c r="X37" i="55"/>
  <c r="X38" i="4"/>
  <c r="CV37" i="40"/>
  <c r="CV38" i="40"/>
  <c r="X37" i="9"/>
  <c r="I7" i="56"/>
  <c r="I15" i="56"/>
  <c r="I8" i="56"/>
  <c r="I16" i="56"/>
  <c r="I6" i="56"/>
  <c r="K10" i="26"/>
  <c r="X48" i="47"/>
  <c r="W37" i="15"/>
  <c r="X37" i="13"/>
  <c r="BM21" i="52"/>
  <c r="BM26" i="52"/>
  <c r="BM34" i="52"/>
  <c r="BH37" i="55"/>
  <c r="BH38" i="55"/>
  <c r="J24" i="26"/>
  <c r="J22" i="26"/>
  <c r="J18" i="26"/>
  <c r="J20" i="26"/>
  <c r="J16" i="26"/>
  <c r="AQ37" i="13"/>
  <c r="Z23" i="17"/>
  <c r="BD21" i="52"/>
  <c r="CV48" i="47"/>
  <c r="CE38" i="4"/>
  <c r="CV38" i="4"/>
  <c r="CV39" i="4"/>
  <c r="AS34" i="54"/>
  <c r="Z16" i="17"/>
  <c r="J12" i="26"/>
  <c r="CE37" i="9"/>
  <c r="CE48" i="47"/>
  <c r="AA30" i="17"/>
  <c r="CV37" i="5"/>
  <c r="CE37" i="40"/>
  <c r="AP37" i="15"/>
  <c r="AQ37" i="55"/>
  <c r="CE37" i="5"/>
  <c r="J25" i="59"/>
  <c r="J11" i="41"/>
  <c r="K25" i="59"/>
  <c r="K11" i="41"/>
  <c r="E14" i="20"/>
  <c r="J10" i="41"/>
  <c r="J25" i="41"/>
  <c r="AI51" i="54"/>
  <c r="DJ39" i="11"/>
  <c r="I43" i="26"/>
  <c r="BB33" i="54"/>
  <c r="CU38" i="9"/>
  <c r="BF38" i="15"/>
  <c r="CU38" i="5"/>
  <c r="DJ40" i="6"/>
  <c r="AE15" i="23"/>
  <c r="Z29" i="17"/>
  <c r="AC37" i="17"/>
  <c r="CV38" i="9"/>
  <c r="AB28" i="17"/>
  <c r="AA19" i="17"/>
  <c r="Z38" i="17"/>
  <c r="AC9" i="17"/>
  <c r="Z15" i="17"/>
  <c r="AB17" i="17"/>
  <c r="DJ39" i="7"/>
  <c r="AA18" i="17"/>
  <c r="BG39" i="13"/>
  <c r="BD40" i="54"/>
  <c r="BD39" i="54"/>
  <c r="BW37" i="5"/>
  <c r="BW37" i="40"/>
  <c r="BW37" i="9"/>
  <c r="BW48" i="47"/>
  <c r="BW45" i="40"/>
  <c r="CX45" i="40"/>
  <c r="BW38" i="4"/>
  <c r="AC26" i="17"/>
  <c r="AC25" i="17"/>
  <c r="J57" i="59"/>
  <c r="J58" i="59"/>
  <c r="AB37" i="17"/>
  <c r="S36" i="53"/>
  <c r="K46" i="59"/>
  <c r="Z28" i="17"/>
  <c r="BG38" i="13"/>
  <c r="CU38" i="8"/>
  <c r="K25" i="41"/>
  <c r="S34" i="53"/>
  <c r="Z7" i="17"/>
  <c r="Z8" i="17"/>
  <c r="Z36" i="17"/>
  <c r="DK40" i="6"/>
  <c r="K43" i="59"/>
  <c r="T36" i="53"/>
  <c r="BC26" i="54"/>
  <c r="E50" i="53"/>
  <c r="Y37" i="9"/>
  <c r="K30" i="26"/>
  <c r="L46" i="59"/>
  <c r="I14" i="56"/>
  <c r="L53" i="59"/>
  <c r="BI40" i="55"/>
  <c r="K26" i="26"/>
  <c r="T35" i="53"/>
  <c r="K28" i="26"/>
  <c r="AC40" i="17"/>
  <c r="I9" i="56"/>
  <c r="I17" i="56"/>
  <c r="K14" i="26"/>
  <c r="L10" i="41"/>
  <c r="X37" i="15"/>
  <c r="Y37" i="13"/>
  <c r="CW37" i="40"/>
  <c r="CW38" i="40"/>
  <c r="CW37" i="9"/>
  <c r="Y38" i="4"/>
  <c r="Y37" i="55"/>
  <c r="Y37" i="5"/>
  <c r="I35" i="53"/>
  <c r="Y37" i="40"/>
  <c r="DA9" i="5"/>
  <c r="DB9" i="5"/>
  <c r="DA8" i="5"/>
  <c r="DB8" i="5"/>
  <c r="DA10" i="5"/>
  <c r="DB10" i="5"/>
  <c r="J7" i="56"/>
  <c r="DA7" i="5"/>
  <c r="DB7" i="5"/>
  <c r="DA17" i="5"/>
  <c r="DB17" i="5"/>
  <c r="DA12" i="5"/>
  <c r="DB12" i="5"/>
  <c r="J6" i="56"/>
  <c r="DA14" i="5"/>
  <c r="DB14" i="5"/>
  <c r="DA11" i="5"/>
  <c r="DB11" i="5"/>
  <c r="DA13" i="5"/>
  <c r="DB13" i="5"/>
  <c r="J8" i="56"/>
  <c r="DA15" i="5"/>
  <c r="DB15" i="5"/>
  <c r="J9" i="56"/>
  <c r="DA16" i="5"/>
  <c r="DB16" i="5"/>
  <c r="L10" i="26"/>
  <c r="Y48" i="47"/>
  <c r="CW37" i="5"/>
  <c r="AB19" i="17"/>
  <c r="CV38" i="8"/>
  <c r="AA16" i="17"/>
  <c r="BI37" i="55"/>
  <c r="BI38" i="55"/>
  <c r="CF37" i="40"/>
  <c r="CF37" i="5"/>
  <c r="K112" i="19"/>
  <c r="K110" i="19"/>
  <c r="AA23" i="17"/>
  <c r="BN21" i="52"/>
  <c r="J43" i="26"/>
  <c r="AR37" i="13"/>
  <c r="CV38" i="5"/>
  <c r="CF38" i="4"/>
  <c r="CF48" i="47"/>
  <c r="CW38" i="4"/>
  <c r="CW39" i="4"/>
  <c r="K12" i="26"/>
  <c r="K16" i="26"/>
  <c r="K18" i="26"/>
  <c r="K20" i="26"/>
  <c r="K22" i="26"/>
  <c r="K24" i="26"/>
  <c r="CW48" i="47"/>
  <c r="AR37" i="55"/>
  <c r="AQ37" i="15"/>
  <c r="CF37" i="9"/>
  <c r="BC34" i="54"/>
  <c r="AS33" i="54"/>
  <c r="AS49" i="54"/>
  <c r="S33" i="53"/>
  <c r="BG38" i="15"/>
  <c r="BH39" i="13"/>
  <c r="BH38" i="13"/>
  <c r="AA38" i="17"/>
  <c r="J32" i="26"/>
  <c r="J38" i="26"/>
  <c r="CV49" i="47"/>
  <c r="DK39" i="7"/>
  <c r="AB18" i="17"/>
  <c r="AT34" i="54"/>
  <c r="R38" i="23"/>
  <c r="K57" i="59"/>
  <c r="K58" i="59"/>
  <c r="AB30" i="17"/>
  <c r="L25" i="59"/>
  <c r="L11" i="41"/>
  <c r="V8" i="53"/>
  <c r="K26" i="59"/>
  <c r="CW38" i="9"/>
  <c r="AB8" i="17"/>
  <c r="AA36" i="17"/>
  <c r="L42" i="59"/>
  <c r="AB29" i="17"/>
  <c r="AA15" i="17"/>
  <c r="AB15" i="17"/>
  <c r="AD9" i="17"/>
  <c r="DK39" i="11"/>
  <c r="DL40" i="6"/>
  <c r="AC28" i="17"/>
  <c r="I18" i="56"/>
  <c r="AD26" i="17"/>
  <c r="AD25" i="17"/>
  <c r="I34" i="53"/>
  <c r="I37" i="53"/>
  <c r="T34" i="53"/>
  <c r="AB7" i="17"/>
  <c r="L25" i="41"/>
  <c r="AC35" i="53"/>
  <c r="AA8" i="17"/>
  <c r="I42" i="52"/>
  <c r="V25" i="53"/>
  <c r="J35" i="53"/>
  <c r="L56" i="59"/>
  <c r="L57" i="59"/>
  <c r="L58" i="59"/>
  <c r="L28" i="26"/>
  <c r="Z37" i="9"/>
  <c r="J14" i="56"/>
  <c r="K14" i="56"/>
  <c r="K6" i="56"/>
  <c r="AM45" i="54"/>
  <c r="J17" i="56"/>
  <c r="K17" i="56"/>
  <c r="K9" i="56"/>
  <c r="M10" i="41"/>
  <c r="L30" i="26"/>
  <c r="L26" i="26"/>
  <c r="V24" i="53"/>
  <c r="L14" i="26"/>
  <c r="J15" i="56"/>
  <c r="K15" i="56"/>
  <c r="K7" i="56"/>
  <c r="J10" i="56"/>
  <c r="BJ40" i="55"/>
  <c r="J16" i="56"/>
  <c r="K16" i="56"/>
  <c r="K8" i="56"/>
  <c r="U36" i="53"/>
  <c r="V9" i="53"/>
  <c r="CX37" i="9"/>
  <c r="Z37" i="13"/>
  <c r="I10" i="56"/>
  <c r="Z38" i="4"/>
  <c r="Y37" i="15"/>
  <c r="Z37" i="55"/>
  <c r="Z48" i="47"/>
  <c r="CX37" i="40"/>
  <c r="CX38" i="40"/>
  <c r="Z37" i="40"/>
  <c r="Z37" i="5"/>
  <c r="L43" i="59"/>
  <c r="T33" i="53"/>
  <c r="Q40" i="23"/>
  <c r="BD34" i="54"/>
  <c r="AT49" i="54"/>
  <c r="AT33" i="54"/>
  <c r="BC33" i="54"/>
  <c r="BC49" i="54"/>
  <c r="L22" i="26"/>
  <c r="L20" i="26"/>
  <c r="L16" i="26"/>
  <c r="L24" i="26"/>
  <c r="L18" i="26"/>
  <c r="CW49" i="47"/>
  <c r="AC24" i="17"/>
  <c r="I41" i="52"/>
  <c r="L12" i="26"/>
  <c r="AC18" i="17"/>
  <c r="DL39" i="7"/>
  <c r="CX37" i="5"/>
  <c r="AC29" i="17"/>
  <c r="DL39" i="11"/>
  <c r="AB38" i="17"/>
  <c r="K43" i="26"/>
  <c r="BI39" i="13"/>
  <c r="BI38" i="13"/>
  <c r="L36" i="59"/>
  <c r="L37" i="59"/>
  <c r="K42" i="59"/>
  <c r="S38" i="23"/>
  <c r="J34" i="53"/>
  <c r="AA7" i="17"/>
  <c r="L25" i="53"/>
  <c r="CW38" i="8"/>
  <c r="AC19" i="17"/>
  <c r="CX48" i="47"/>
  <c r="CW38" i="5"/>
  <c r="S37" i="53"/>
  <c r="AB36" i="17"/>
  <c r="I44" i="52"/>
  <c r="BJ37" i="55"/>
  <c r="BJ38" i="55"/>
  <c r="AB23" i="17"/>
  <c r="BH38" i="15"/>
  <c r="CX38" i="4"/>
  <c r="CX39" i="4"/>
  <c r="AB16" i="17"/>
  <c r="L112" i="19"/>
  <c r="L110" i="19"/>
  <c r="AC30" i="17"/>
  <c r="DA6" i="5"/>
  <c r="M25" i="59"/>
  <c r="M11" i="41"/>
  <c r="AP35" i="54"/>
  <c r="L26" i="59"/>
  <c r="AD28" i="17"/>
  <c r="V7" i="53"/>
  <c r="M53" i="59"/>
  <c r="N53" i="59"/>
  <c r="AP9" i="54"/>
  <c r="AC17" i="17"/>
  <c r="V10" i="53"/>
  <c r="AP25" i="54"/>
  <c r="M56" i="59"/>
  <c r="N56" i="59"/>
  <c r="AE16" i="23"/>
  <c r="AE12" i="23"/>
  <c r="K35" i="53"/>
  <c r="I49" i="53"/>
  <c r="I52" i="53"/>
  <c r="T37" i="53"/>
  <c r="M43" i="59"/>
  <c r="U35" i="53"/>
  <c r="J37" i="53"/>
  <c r="J49" i="53"/>
  <c r="J52" i="53"/>
  <c r="U34" i="53"/>
  <c r="M42" i="59"/>
  <c r="AD40" i="17"/>
  <c r="CX38" i="9"/>
  <c r="K18" i="56"/>
  <c r="M25" i="41"/>
  <c r="AD37" i="17"/>
  <c r="M36" i="59"/>
  <c r="M37" i="59"/>
  <c r="J18" i="56"/>
  <c r="AP8" i="54"/>
  <c r="K10" i="56"/>
  <c r="DM40" i="6"/>
  <c r="AD35" i="53"/>
  <c r="L47" i="59"/>
  <c r="N25" i="59"/>
  <c r="DM39" i="7"/>
  <c r="AD18" i="17"/>
  <c r="J41" i="52"/>
  <c r="U33" i="53"/>
  <c r="AC23" i="17"/>
  <c r="AC16" i="17"/>
  <c r="AC15" i="17"/>
  <c r="DB6" i="5"/>
  <c r="DB37" i="5"/>
  <c r="DA37" i="5"/>
  <c r="AP24" i="54"/>
  <c r="M112" i="19"/>
  <c r="M110" i="19"/>
  <c r="K47" i="59"/>
  <c r="K48" i="59"/>
  <c r="AC36" i="17"/>
  <c r="CX38" i="5"/>
  <c r="AC8" i="17"/>
  <c r="AD30" i="17"/>
  <c r="CX49" i="47"/>
  <c r="AD24" i="17"/>
  <c r="DM39" i="11"/>
  <c r="AP40" i="54"/>
  <c r="AN45" i="54"/>
  <c r="CX38" i="8"/>
  <c r="AD19" i="17"/>
  <c r="L43" i="26"/>
  <c r="J42" i="52"/>
  <c r="K32" i="26"/>
  <c r="K38" i="26"/>
  <c r="AC38" i="17"/>
  <c r="K34" i="53"/>
  <c r="AD29" i="17"/>
  <c r="BJ39" i="13"/>
  <c r="BJ38" i="13"/>
  <c r="BI38" i="15"/>
  <c r="L48" i="59"/>
  <c r="M26" i="59"/>
  <c r="AM49" i="54"/>
  <c r="M57" i="59"/>
  <c r="M58" i="59"/>
  <c r="AD17" i="17"/>
  <c r="N57" i="59"/>
  <c r="N58" i="59"/>
  <c r="L32" i="26"/>
  <c r="L38" i="26"/>
  <c r="AO45" i="54"/>
  <c r="AD8" i="17"/>
  <c r="AD36" i="17"/>
  <c r="K42" i="52"/>
  <c r="K37" i="53"/>
  <c r="AC7" i="17"/>
  <c r="S40" i="23"/>
  <c r="AP23" i="54"/>
  <c r="AD23" i="17"/>
  <c r="I50" i="54"/>
  <c r="AD16" i="17"/>
  <c r="AD15" i="17"/>
  <c r="AE35" i="53"/>
  <c r="AD38" i="17"/>
  <c r="J44" i="52"/>
  <c r="AP39" i="54"/>
  <c r="AP19" i="54"/>
  <c r="N112" i="19"/>
  <c r="N110" i="19"/>
  <c r="K41" i="52"/>
  <c r="J50" i="53"/>
  <c r="AP21" i="54"/>
  <c r="U37" i="53"/>
  <c r="I50" i="53"/>
  <c r="BJ9" i="54"/>
  <c r="M46" i="59"/>
  <c r="N36" i="59"/>
  <c r="N37" i="59"/>
  <c r="K44" i="52"/>
  <c r="AW49" i="54"/>
  <c r="AW33" i="54"/>
  <c r="J50" i="54"/>
  <c r="K40" i="26"/>
  <c r="K41" i="26"/>
  <c r="AP36" i="54"/>
  <c r="J40" i="26"/>
  <c r="AP34" i="54"/>
  <c r="AD7" i="17"/>
  <c r="BQ9" i="54"/>
  <c r="Q38" i="23"/>
  <c r="K49" i="53"/>
  <c r="AN49" i="54"/>
  <c r="BQ40" i="54"/>
  <c r="O112" i="19"/>
  <c r="O110" i="19"/>
  <c r="AP22" i="54"/>
  <c r="AP26" i="54"/>
  <c r="R40" i="23"/>
  <c r="BJ40" i="54"/>
  <c r="AP20" i="54"/>
  <c r="AP18" i="54"/>
  <c r="M47" i="59"/>
  <c r="M48" i="59"/>
  <c r="AO49" i="54"/>
  <c r="BJ26" i="54"/>
  <c r="AX49" i="54"/>
  <c r="AX33" i="54"/>
  <c r="K52" i="53"/>
  <c r="K50" i="53"/>
  <c r="BQ39" i="54"/>
  <c r="K50" i="54"/>
  <c r="L40" i="26"/>
  <c r="L41" i="26"/>
  <c r="BJ36" i="54"/>
  <c r="BG33" i="54"/>
  <c r="BN33" i="54"/>
  <c r="BG49" i="54"/>
  <c r="BJ39" i="54"/>
  <c r="J41" i="26"/>
  <c r="BG26" i="52"/>
  <c r="BG34" i="52"/>
  <c r="Q37" i="23"/>
  <c r="K119" i="19"/>
  <c r="K117" i="19"/>
  <c r="AP6" i="54"/>
  <c r="BQ26" i="52"/>
  <c r="BQ34" i="52"/>
  <c r="H9" i="58"/>
  <c r="H20" i="58"/>
  <c r="BQ26" i="54"/>
  <c r="BQ36" i="54"/>
  <c r="AY49" i="54"/>
  <c r="AY33" i="54"/>
  <c r="BH33" i="54"/>
  <c r="BO33" i="54"/>
  <c r="BH49" i="54"/>
  <c r="BH26" i="52"/>
  <c r="BH34" i="52"/>
  <c r="I9" i="58"/>
  <c r="I20" i="58"/>
  <c r="AP7" i="54"/>
  <c r="Q36" i="23"/>
  <c r="L119" i="19"/>
  <c r="L117" i="19"/>
  <c r="AP5" i="54"/>
  <c r="R37" i="23"/>
  <c r="BI26" i="52"/>
  <c r="BI34" i="52"/>
  <c r="J9" i="58"/>
  <c r="J20" i="58"/>
  <c r="BI33" i="54"/>
  <c r="BP33" i="54"/>
  <c r="BI49" i="54"/>
  <c r="BR26" i="52"/>
  <c r="BR34" i="52"/>
  <c r="R36" i="23"/>
  <c r="BS26" i="52"/>
  <c r="BS34" i="52"/>
  <c r="S36" i="23"/>
  <c r="M119" i="19"/>
  <c r="M117" i="19"/>
  <c r="S37" i="23"/>
  <c r="N119" i="19"/>
  <c r="N117" i="19"/>
  <c r="O119" i="19"/>
  <c r="O117" i="19"/>
  <c r="S29" i="52"/>
  <c r="S43" i="52"/>
  <c r="U43" i="52"/>
  <c r="T29" i="52"/>
  <c r="T43" i="52"/>
  <c r="R43" i="52"/>
  <c r="Q43" i="52"/>
  <c r="V43" i="52"/>
  <c r="E10" i="20"/>
  <c r="E15" i="20"/>
  <c r="E18" i="20"/>
  <c r="D9" i="57"/>
  <c r="D19" i="57"/>
  <c r="D21" i="57"/>
  <c r="D22" i="57"/>
  <c r="D11" i="57"/>
  <c r="D12" i="57"/>
  <c r="O69" i="47"/>
  <c r="BB37" i="47"/>
  <c r="AZ37" i="47"/>
  <c r="CL37" i="47"/>
  <c r="BC37" i="47"/>
  <c r="BA37" i="47"/>
  <c r="BD37" i="47"/>
  <c r="CK37" i="47"/>
  <c r="AW37" i="47"/>
  <c r="AV37" i="47"/>
  <c r="AT37" i="47"/>
  <c r="AU37" i="47"/>
  <c r="AX37" i="47"/>
  <c r="M48" i="47"/>
  <c r="Q41" i="52"/>
  <c r="N48" i="47"/>
  <c r="BB48" i="47"/>
  <c r="AU48" i="47"/>
  <c r="AW48" i="47"/>
  <c r="W48" i="47"/>
  <c r="R41" i="52"/>
  <c r="AZ48" i="47"/>
  <c r="AT48" i="47"/>
  <c r="R44" i="52"/>
  <c r="R42" i="52"/>
  <c r="CC48" i="47"/>
  <c r="BA48" i="47"/>
  <c r="BD48" i="47"/>
  <c r="V48" i="47"/>
  <c r="AX48" i="47"/>
  <c r="AY37" i="47"/>
  <c r="BC48" i="47"/>
  <c r="CL48" i="47"/>
  <c r="V44" i="52"/>
  <c r="CB48" i="47"/>
  <c r="AV48" i="47"/>
  <c r="CK48" i="47"/>
  <c r="BE37" i="47"/>
  <c r="R29" i="52"/>
  <c r="Q44" i="52"/>
  <c r="AY48" i="47"/>
  <c r="H34" i="53"/>
  <c r="G44" i="52"/>
  <c r="AP31" i="54"/>
  <c r="BJ31" i="54"/>
  <c r="BQ31" i="54"/>
  <c r="D8" i="61"/>
  <c r="AH29" i="52"/>
  <c r="AR29" i="52"/>
  <c r="AI29" i="52"/>
  <c r="AS29" i="52"/>
  <c r="D39" i="61"/>
  <c r="AJ29" i="52"/>
  <c r="H43" i="19"/>
  <c r="J43" i="19"/>
  <c r="I43" i="19"/>
  <c r="AC33" i="53"/>
  <c r="H43" i="52"/>
  <c r="AA12" i="17"/>
  <c r="BB39" i="52"/>
  <c r="BB18" i="52"/>
  <c r="G39" i="61"/>
  <c r="AD33" i="53"/>
  <c r="K43" i="19"/>
  <c r="F39" i="61"/>
  <c r="Z12" i="17"/>
  <c r="L43" i="19"/>
  <c r="G43" i="52"/>
  <c r="M43" i="19"/>
  <c r="AC34" i="53"/>
  <c r="AC37" i="53"/>
  <c r="BB33" i="52"/>
  <c r="BL18" i="52"/>
  <c r="BL33" i="52"/>
  <c r="I39" i="61"/>
  <c r="AR30" i="54"/>
  <c r="BB30" i="54"/>
  <c r="AR8" i="54"/>
  <c r="AR28" i="54"/>
  <c r="AR6" i="54"/>
  <c r="AR13" i="54"/>
  <c r="BB13" i="54"/>
  <c r="AR7" i="54"/>
  <c r="AR25" i="54"/>
  <c r="BB25" i="54"/>
  <c r="AR19" i="54"/>
  <c r="AR29" i="54"/>
  <c r="BB29" i="54"/>
  <c r="AR23" i="54"/>
  <c r="AR24" i="54"/>
  <c r="BB24" i="54"/>
  <c r="BB37" i="52"/>
  <c r="BB38" i="52"/>
  <c r="AR20" i="54"/>
  <c r="BB20" i="54"/>
  <c r="AR12" i="54"/>
  <c r="BB12" i="54"/>
  <c r="AR11" i="54"/>
  <c r="AR21" i="54"/>
  <c r="BB21" i="54"/>
  <c r="E39" i="61"/>
  <c r="I43" i="52"/>
  <c r="AB12" i="17"/>
  <c r="AC29" i="52"/>
  <c r="H39" i="61"/>
  <c r="H57" i="19"/>
  <c r="H58" i="19"/>
  <c r="AE33" i="53"/>
  <c r="AK29" i="52"/>
  <c r="BB28" i="54"/>
  <c r="BB27" i="54"/>
  <c r="AR27" i="54"/>
  <c r="AM29" i="52"/>
  <c r="AR10" i="54"/>
  <c r="BB11" i="54"/>
  <c r="BB10" i="54"/>
  <c r="BB6" i="52"/>
  <c r="BB11" i="52"/>
  <c r="BB16" i="52"/>
  <c r="BB19" i="54"/>
  <c r="BB18" i="54"/>
  <c r="AR18" i="54"/>
  <c r="AR5" i="54"/>
  <c r="AR43" i="54"/>
  <c r="BB6" i="54"/>
  <c r="J43" i="52"/>
  <c r="AC12" i="17"/>
  <c r="N43" i="19"/>
  <c r="AD34" i="53"/>
  <c r="AD37" i="53"/>
  <c r="AR22" i="54"/>
  <c r="BB23" i="54"/>
  <c r="BB22" i="54"/>
  <c r="BB7" i="54"/>
  <c r="BB44" i="54"/>
  <c r="AR44" i="54"/>
  <c r="BB8" i="54"/>
  <c r="BB45" i="54"/>
  <c r="AR45" i="54"/>
  <c r="J39" i="61"/>
  <c r="AL29" i="52"/>
  <c r="BB12" i="52"/>
  <c r="BL12" i="52"/>
  <c r="BB17" i="52"/>
  <c r="BL17" i="52"/>
  <c r="BB7" i="52"/>
  <c r="I47" i="54"/>
  <c r="BB5" i="54"/>
  <c r="BB43" i="54"/>
  <c r="BB46" i="54"/>
  <c r="BB51" i="54"/>
  <c r="BB32" i="52"/>
  <c r="BL7" i="52"/>
  <c r="BL32" i="52"/>
  <c r="AR46" i="54"/>
  <c r="AR51" i="54"/>
  <c r="AR52" i="54"/>
  <c r="BB19" i="52"/>
  <c r="BL16" i="52"/>
  <c r="BL19" i="52"/>
  <c r="AD29" i="52"/>
  <c r="BD39" i="52"/>
  <c r="BD18" i="52"/>
  <c r="F10" i="20"/>
  <c r="F15" i="20"/>
  <c r="F18" i="20"/>
  <c r="E9" i="57"/>
  <c r="AW28" i="52"/>
  <c r="AW29" i="52"/>
  <c r="BB14" i="52"/>
  <c r="BL11" i="52"/>
  <c r="BL14" i="52"/>
  <c r="K43" i="52"/>
  <c r="AD12" i="17"/>
  <c r="AE29" i="52"/>
  <c r="AM44" i="54"/>
  <c r="O43" i="19"/>
  <c r="AM43" i="54"/>
  <c r="BL6" i="52"/>
  <c r="BB31" i="52"/>
  <c r="BB9" i="52"/>
  <c r="AN29" i="52"/>
  <c r="AN43" i="54"/>
  <c r="BD33" i="52"/>
  <c r="BN18" i="52"/>
  <c r="BN33" i="52"/>
  <c r="BB28" i="52"/>
  <c r="BB29" i="52"/>
  <c r="J47" i="54"/>
  <c r="AT7" i="54"/>
  <c r="BD37" i="52"/>
  <c r="AT21" i="54"/>
  <c r="BD21" i="54"/>
  <c r="AT13" i="54"/>
  <c r="BD13" i="54"/>
  <c r="AT6" i="54"/>
  <c r="AT19" i="54"/>
  <c r="AT23" i="54"/>
  <c r="AT12" i="54"/>
  <c r="BD12" i="54"/>
  <c r="BD38" i="52"/>
  <c r="AT11" i="54"/>
  <c r="AT24" i="54"/>
  <c r="BD24" i="54"/>
  <c r="AT8" i="54"/>
  <c r="AT20" i="54"/>
  <c r="BD20" i="54"/>
  <c r="AT25" i="54"/>
  <c r="BD25" i="54"/>
  <c r="K39" i="61"/>
  <c r="AN44" i="54"/>
  <c r="L43" i="52"/>
  <c r="AM46" i="54"/>
  <c r="AM51" i="54"/>
  <c r="K47" i="54"/>
  <c r="BL9" i="52"/>
  <c r="BL28" i="52"/>
  <c r="BL31" i="52"/>
  <c r="AE34" i="53"/>
  <c r="AX28" i="52"/>
  <c r="AX29" i="52"/>
  <c r="E11" i="57"/>
  <c r="E12" i="57"/>
  <c r="E19" i="57"/>
  <c r="E21" i="57"/>
  <c r="E22" i="57"/>
  <c r="J57" i="19"/>
  <c r="J58" i="19"/>
  <c r="AA8" i="19"/>
  <c r="AT22" i="54"/>
  <c r="BD23" i="54"/>
  <c r="BD22" i="54"/>
  <c r="BD11" i="54"/>
  <c r="BD10" i="54"/>
  <c r="AT10" i="54"/>
  <c r="BD19" i="54"/>
  <c r="BD18" i="54"/>
  <c r="AT18" i="54"/>
  <c r="AZ8" i="52"/>
  <c r="BD12" i="52"/>
  <c r="BN12" i="52"/>
  <c r="BD17" i="52"/>
  <c r="BN17" i="52"/>
  <c r="BD7" i="52"/>
  <c r="BD32" i="52"/>
  <c r="AT5" i="54"/>
  <c r="BD6" i="54"/>
  <c r="BD11" i="52"/>
  <c r="BD14" i="52"/>
  <c r="AN46" i="54"/>
  <c r="AN51" i="54"/>
  <c r="AE37" i="53"/>
  <c r="BD8" i="54"/>
  <c r="BD7" i="54"/>
  <c r="M28" i="19"/>
  <c r="BD5" i="54"/>
  <c r="AO43" i="54"/>
  <c r="AP15" i="54"/>
  <c r="BC39" i="52"/>
  <c r="BC18" i="52"/>
  <c r="AZ33" i="52"/>
  <c r="AY28" i="52"/>
  <c r="AZ13" i="52"/>
  <c r="AO29" i="52"/>
  <c r="AP14" i="54"/>
  <c r="BM18" i="52"/>
  <c r="BM33" i="52"/>
  <c r="BC33" i="52"/>
  <c r="AO44" i="54"/>
  <c r="AP16" i="54"/>
  <c r="I57" i="19"/>
  <c r="I58" i="19"/>
  <c r="AB8" i="19"/>
  <c r="M57" i="19"/>
  <c r="M58" i="19"/>
  <c r="N57" i="19"/>
  <c r="N58" i="19"/>
  <c r="AY29" i="52"/>
  <c r="AS25" i="54"/>
  <c r="BC25" i="54"/>
  <c r="AS24" i="54"/>
  <c r="BC24" i="54"/>
  <c r="AS13" i="54"/>
  <c r="BC13" i="54"/>
  <c r="AS20" i="54"/>
  <c r="BC20" i="54"/>
  <c r="AS6" i="54"/>
  <c r="AS19" i="54"/>
  <c r="BC38" i="52"/>
  <c r="AS11" i="54"/>
  <c r="AS23" i="54"/>
  <c r="AS28" i="54"/>
  <c r="BC37" i="52"/>
  <c r="AS29" i="54"/>
  <c r="BC29" i="54"/>
  <c r="AS12" i="54"/>
  <c r="BC12" i="54"/>
  <c r="AS8" i="54"/>
  <c r="AS30" i="54"/>
  <c r="BC30" i="54"/>
  <c r="AS21" i="54"/>
  <c r="BC21" i="54"/>
  <c r="AS7" i="54"/>
  <c r="M34" i="19"/>
  <c r="AS5" i="54"/>
  <c r="AS43" i="54"/>
  <c r="BC6" i="54"/>
  <c r="N28" i="19"/>
  <c r="AW45" i="54"/>
  <c r="G58" i="61"/>
  <c r="AS44" i="54"/>
  <c r="BC7" i="54"/>
  <c r="BC44" i="54"/>
  <c r="AS22" i="54"/>
  <c r="BC23" i="54"/>
  <c r="BC22" i="54"/>
  <c r="H10" i="58"/>
  <c r="H21" i="58"/>
  <c r="AX45" i="54"/>
  <c r="BC11" i="54"/>
  <c r="BC10" i="54"/>
  <c r="AS10" i="54"/>
  <c r="J58" i="61"/>
  <c r="AW43" i="54"/>
  <c r="H58" i="61"/>
  <c r="I58" i="61"/>
  <c r="BC11" i="52"/>
  <c r="BC6" i="52"/>
  <c r="BC16" i="52"/>
  <c r="BC12" i="52"/>
  <c r="BM12" i="52"/>
  <c r="BC17" i="52"/>
  <c r="BM17" i="52"/>
  <c r="BC7" i="52"/>
  <c r="AS45" i="54"/>
  <c r="BC8" i="54"/>
  <c r="BC45" i="54"/>
  <c r="AS27" i="54"/>
  <c r="BC28" i="54"/>
  <c r="BC27" i="54"/>
  <c r="AS18" i="54"/>
  <c r="BC19" i="54"/>
  <c r="BC18" i="54"/>
  <c r="I10" i="58"/>
  <c r="I21" i="58"/>
  <c r="AO46" i="54"/>
  <c r="AO51" i="54"/>
  <c r="AW44" i="54"/>
  <c r="AX43" i="54"/>
  <c r="AX44" i="54"/>
  <c r="N20" i="60"/>
  <c r="N38" i="60"/>
  <c r="AC8" i="19"/>
  <c r="BC19" i="52"/>
  <c r="BM16" i="52"/>
  <c r="BM19" i="52"/>
  <c r="AA33" i="23"/>
  <c r="Z33" i="23"/>
  <c r="BH44" i="54"/>
  <c r="BG32" i="52"/>
  <c r="H6" i="58"/>
  <c r="BQ32" i="52"/>
  <c r="BH31" i="52"/>
  <c r="I8" i="58"/>
  <c r="I19" i="58"/>
  <c r="AS46" i="54"/>
  <c r="AS51" i="54"/>
  <c r="AS52" i="54"/>
  <c r="BG31" i="52"/>
  <c r="H8" i="58"/>
  <c r="H19" i="58"/>
  <c r="M38" i="60"/>
  <c r="BG43" i="54"/>
  <c r="BC43" i="54"/>
  <c r="BC46" i="54"/>
  <c r="BC51" i="54"/>
  <c r="BC5" i="54"/>
  <c r="BH32" i="52"/>
  <c r="I6" i="58"/>
  <c r="BR32" i="52"/>
  <c r="BC32" i="52"/>
  <c r="BM7" i="52"/>
  <c r="BM32" i="52"/>
  <c r="BC9" i="52"/>
  <c r="BC31" i="52"/>
  <c r="BM6" i="52"/>
  <c r="AW46" i="54"/>
  <c r="AW51" i="54"/>
  <c r="AW52" i="54"/>
  <c r="BG33" i="52"/>
  <c r="H7" i="58"/>
  <c r="H18" i="58"/>
  <c r="BQ33" i="52"/>
  <c r="O57" i="19"/>
  <c r="O58" i="19"/>
  <c r="N34" i="19"/>
  <c r="BG45" i="54"/>
  <c r="AX46" i="54"/>
  <c r="AX51" i="54"/>
  <c r="AX52" i="54"/>
  <c r="BG44" i="54"/>
  <c r="BM11" i="52"/>
  <c r="BM14" i="52"/>
  <c r="BC14" i="52"/>
  <c r="AB33" i="23"/>
  <c r="BH45" i="54"/>
  <c r="AC33" i="23"/>
  <c r="BM9" i="52"/>
  <c r="BM28" i="52"/>
  <c r="BM31" i="52"/>
  <c r="N39" i="60"/>
  <c r="L20" i="60"/>
  <c r="BH33" i="52"/>
  <c r="I7" i="58"/>
  <c r="I18" i="58"/>
  <c r="BG28" i="52"/>
  <c r="BG29" i="52"/>
  <c r="BC28" i="52"/>
  <c r="BC29" i="52"/>
  <c r="BQ31" i="52"/>
  <c r="H17" i="58"/>
  <c r="H22" i="58"/>
  <c r="H11" i="58"/>
  <c r="H12" i="58"/>
  <c r="I17" i="58"/>
  <c r="I11" i="58"/>
  <c r="I12" i="58"/>
  <c r="Q35" i="23"/>
  <c r="BG46" i="54"/>
  <c r="BG51" i="54"/>
  <c r="N37" i="60"/>
  <c r="O28" i="19"/>
  <c r="K58" i="61"/>
  <c r="M20" i="60"/>
  <c r="AY45" i="54"/>
  <c r="BH43" i="54"/>
  <c r="BH46" i="54"/>
  <c r="BH51" i="54"/>
  <c r="BR31" i="52"/>
  <c r="Q34" i="23"/>
  <c r="BR33" i="52"/>
  <c r="I22" i="58"/>
  <c r="I23" i="58"/>
  <c r="N18" i="60"/>
  <c r="N22" i="60"/>
  <c r="BI45" i="54"/>
  <c r="J10" i="58"/>
  <c r="J21" i="58"/>
  <c r="AE24" i="23"/>
  <c r="T22" i="23"/>
  <c r="T21" i="23"/>
  <c r="BI32" i="52"/>
  <c r="H23" i="58"/>
  <c r="M37" i="60"/>
  <c r="M18" i="60"/>
  <c r="BI44" i="54"/>
  <c r="K20" i="60"/>
  <c r="AY44" i="54"/>
  <c r="BQ28" i="52"/>
  <c r="R34" i="23"/>
  <c r="R35" i="23"/>
  <c r="BI43" i="54"/>
  <c r="AY43" i="54"/>
  <c r="O34" i="19"/>
  <c r="BI31" i="52"/>
  <c r="M39" i="60"/>
  <c r="I9" i="57"/>
  <c r="J20" i="20"/>
  <c r="BH28" i="52"/>
  <c r="BH29" i="52"/>
  <c r="T29" i="23"/>
  <c r="N19" i="60"/>
  <c r="I19" i="57"/>
  <c r="I21" i="57"/>
  <c r="I22" i="57"/>
  <c r="I11" i="57"/>
  <c r="I12" i="57"/>
  <c r="J8" i="58"/>
  <c r="J19" i="58"/>
  <c r="M22" i="60"/>
  <c r="M19" i="60"/>
  <c r="BI46" i="54"/>
  <c r="BI51" i="54"/>
  <c r="BS31" i="52"/>
  <c r="AY46" i="54"/>
  <c r="AY51" i="54"/>
  <c r="AY52" i="54"/>
  <c r="H9" i="57"/>
  <c r="I20" i="20"/>
  <c r="Q17" i="23"/>
  <c r="Q18" i="23"/>
  <c r="Q33" i="23"/>
  <c r="Q41" i="23"/>
  <c r="J6" i="58"/>
  <c r="AD33" i="23"/>
  <c r="AE23" i="23"/>
  <c r="AE33" i="23"/>
  <c r="BI33" i="52"/>
  <c r="BN47" i="54"/>
  <c r="BS32" i="52"/>
  <c r="BR28" i="52"/>
  <c r="AB18" i="23"/>
  <c r="BI28" i="52"/>
  <c r="BI29" i="52"/>
  <c r="BO47" i="54"/>
  <c r="R33" i="23"/>
  <c r="R17" i="23"/>
  <c r="R18" i="23"/>
  <c r="J7" i="58"/>
  <c r="J18" i="58"/>
  <c r="J11" i="58"/>
  <c r="J12" i="58"/>
  <c r="J17" i="58"/>
  <c r="AB19" i="23"/>
  <c r="O20" i="60"/>
  <c r="P20" i="60"/>
  <c r="P31" i="60"/>
  <c r="P34" i="60"/>
  <c r="Q34" i="60"/>
  <c r="S35" i="23"/>
  <c r="BS33" i="52"/>
  <c r="H19" i="57"/>
  <c r="H21" i="57"/>
  <c r="H22" i="57"/>
  <c r="H11" i="57"/>
  <c r="H12" i="57"/>
  <c r="AC18" i="23"/>
  <c r="O38" i="60"/>
  <c r="O18" i="60"/>
  <c r="J9" i="57"/>
  <c r="K20" i="20"/>
  <c r="BS28" i="52"/>
  <c r="R41" i="23"/>
  <c r="S33" i="23"/>
  <c r="S34" i="23"/>
  <c r="S41" i="23"/>
  <c r="S17" i="23"/>
  <c r="M16" i="20"/>
  <c r="O37" i="60"/>
  <c r="J22" i="58"/>
  <c r="J23" i="58"/>
  <c r="AC19" i="23"/>
  <c r="O39" i="60"/>
  <c r="O22" i="60"/>
  <c r="BP47" i="54"/>
  <c r="S18" i="23"/>
  <c r="AD18" i="23"/>
  <c r="AD19" i="23"/>
  <c r="J11" i="57"/>
  <c r="J12" i="57"/>
  <c r="J19" i="57"/>
  <c r="J21" i="57"/>
  <c r="J22" i="57"/>
  <c r="O19" i="60"/>
  <c r="D18" i="60"/>
  <c r="D19" i="60"/>
  <c r="D37" i="60"/>
  <c r="D22" i="60"/>
  <c r="K29" i="52"/>
  <c r="J29" i="52"/>
  <c r="Q42" i="52"/>
  <c r="AB24" i="17"/>
  <c r="U29" i="52"/>
  <c r="AT32" i="52"/>
  <c r="BN7" i="52"/>
  <c r="BN32" i="52"/>
  <c r="F44" i="52"/>
  <c r="V41" i="52"/>
  <c r="E33" i="17"/>
  <c r="E43" i="17"/>
  <c r="E42" i="17"/>
  <c r="N29" i="52"/>
  <c r="P29" i="52"/>
  <c r="BN11" i="52"/>
  <c r="BN14" i="52"/>
  <c r="BD22" i="52"/>
  <c r="BD26" i="52"/>
  <c r="BD34" i="52"/>
  <c r="BN22" i="52"/>
  <c r="O29" i="52"/>
  <c r="F45" i="53"/>
  <c r="BP23" i="52"/>
  <c r="P38" i="23"/>
  <c r="V36" i="53"/>
  <c r="P41" i="52"/>
  <c r="P35" i="53"/>
  <c r="F34" i="53"/>
  <c r="F37" i="53"/>
  <c r="F42" i="52"/>
  <c r="BN25" i="52"/>
  <c r="E15" i="60"/>
  <c r="E70" i="60"/>
  <c r="E49" i="60"/>
  <c r="P34" i="53"/>
  <c r="BP24" i="52"/>
  <c r="P39" i="23"/>
  <c r="J34" i="59"/>
  <c r="L43" i="53"/>
  <c r="K32" i="59"/>
  <c r="J43" i="59"/>
  <c r="R35" i="53"/>
  <c r="E6" i="60"/>
  <c r="K34" i="59"/>
  <c r="J45" i="59"/>
  <c r="E108" i="60"/>
  <c r="E111" i="60"/>
  <c r="T50" i="60"/>
  <c r="D31" i="59"/>
  <c r="Q29" i="52"/>
  <c r="Z35" i="53"/>
  <c r="E71" i="60"/>
  <c r="E50" i="60"/>
  <c r="T57" i="60"/>
  <c r="R34" i="53"/>
  <c r="CU48" i="47"/>
  <c r="P33" i="53"/>
  <c r="P37" i="53"/>
  <c r="F49" i="53"/>
  <c r="CS48" i="47"/>
  <c r="CT48" i="47"/>
  <c r="BD32" i="54"/>
  <c r="AJ49" i="54"/>
  <c r="J35" i="59"/>
  <c r="G45" i="53"/>
  <c r="F50" i="54"/>
  <c r="G42" i="52"/>
  <c r="O34" i="59"/>
  <c r="I45" i="59"/>
  <c r="N45" i="59"/>
  <c r="BN26" i="52"/>
  <c r="BN34" i="52"/>
  <c r="AZ24" i="52"/>
  <c r="D42" i="59"/>
  <c r="D47" i="59"/>
  <c r="D48" i="59"/>
  <c r="D36" i="59"/>
  <c r="D37" i="59"/>
  <c r="AZ21" i="52"/>
  <c r="J12" i="59"/>
  <c r="J14" i="59"/>
  <c r="O11" i="59"/>
  <c r="O12" i="59"/>
  <c r="O14" i="59"/>
  <c r="I23" i="59"/>
  <c r="T77" i="60"/>
  <c r="T78" i="60"/>
  <c r="E68" i="60"/>
  <c r="AK49" i="54"/>
  <c r="Z34" i="53"/>
  <c r="J32" i="59"/>
  <c r="G34" i="53"/>
  <c r="L29" i="53"/>
  <c r="Q35" i="53"/>
  <c r="V35" i="53"/>
  <c r="V30" i="53"/>
  <c r="BT24" i="52"/>
  <c r="E37" i="60"/>
  <c r="AB35" i="53"/>
  <c r="AB33" i="53"/>
  <c r="AT34" i="52"/>
  <c r="H35" i="53"/>
  <c r="H37" i="53"/>
  <c r="E11" i="60"/>
  <c r="K82" i="60"/>
  <c r="AZ22" i="52"/>
  <c r="I29" i="52"/>
  <c r="G35" i="53"/>
  <c r="L35" i="53"/>
  <c r="L30" i="53"/>
  <c r="J31" i="59"/>
  <c r="K31" i="59"/>
  <c r="O31" i="59"/>
  <c r="V28" i="53"/>
  <c r="Q33" i="53"/>
  <c r="R33" i="53"/>
  <c r="R37" i="53"/>
  <c r="V42" i="52"/>
  <c r="F52" i="53"/>
  <c r="H42" i="52"/>
  <c r="K12" i="59"/>
  <c r="K14" i="59"/>
  <c r="J23" i="59"/>
  <c r="J24" i="59"/>
  <c r="J26" i="59"/>
  <c r="L34" i="53"/>
  <c r="L37" i="53"/>
  <c r="G37" i="53"/>
  <c r="AA35" i="53"/>
  <c r="AF35" i="53"/>
  <c r="L42" i="52"/>
  <c r="V29" i="53"/>
  <c r="Q34" i="53"/>
  <c r="V34" i="53"/>
  <c r="E12" i="60"/>
  <c r="E57" i="60"/>
  <c r="J42" i="59"/>
  <c r="AB34" i="53"/>
  <c r="AB37" i="53"/>
  <c r="AE14" i="23"/>
  <c r="T15" i="23"/>
  <c r="O39" i="23"/>
  <c r="T39" i="23"/>
  <c r="O32" i="59"/>
  <c r="I43" i="59"/>
  <c r="N43" i="59"/>
  <c r="L82" i="60"/>
  <c r="AK45" i="54"/>
  <c r="AP30" i="54"/>
  <c r="AA33" i="53"/>
  <c r="T58" i="60"/>
  <c r="T61" i="60"/>
  <c r="V33" i="53"/>
  <c r="V37" i="53"/>
  <c r="Q37" i="53"/>
  <c r="H32" i="26"/>
  <c r="H38" i="26"/>
  <c r="CU49" i="47"/>
  <c r="K71" i="60"/>
  <c r="AU33" i="54"/>
  <c r="AU49" i="54"/>
  <c r="AZ34" i="54"/>
  <c r="P11" i="59"/>
  <c r="H23" i="59"/>
  <c r="G41" i="52"/>
  <c r="I24" i="59"/>
  <c r="I26" i="59"/>
  <c r="N23" i="59"/>
  <c r="N24" i="59"/>
  <c r="N26" i="59"/>
  <c r="G50" i="54"/>
  <c r="J36" i="59"/>
  <c r="J37" i="59"/>
  <c r="I42" i="59"/>
  <c r="BE26" i="52"/>
  <c r="BE34" i="52"/>
  <c r="AL43" i="54"/>
  <c r="BD38" i="54"/>
  <c r="BD33" i="54"/>
  <c r="AP28" i="54"/>
  <c r="AK43" i="54"/>
  <c r="CT49" i="47"/>
  <c r="CS49" i="47"/>
  <c r="AJ45" i="54"/>
  <c r="AT30" i="54"/>
  <c r="K72" i="60"/>
  <c r="AZ35" i="54"/>
  <c r="AJ44" i="54"/>
  <c r="AT29" i="54"/>
  <c r="BL32" i="54"/>
  <c r="BE38" i="54"/>
  <c r="BE49" i="54"/>
  <c r="AL45" i="54"/>
  <c r="AZ7" i="52"/>
  <c r="BO23" i="52"/>
  <c r="AZ23" i="52"/>
  <c r="E9" i="60"/>
  <c r="E77" i="60"/>
  <c r="E78" i="60"/>
  <c r="I46" i="59"/>
  <c r="Z33" i="53"/>
  <c r="Z37" i="53"/>
  <c r="H47" i="54"/>
  <c r="AK44" i="54"/>
  <c r="AL44" i="54"/>
  <c r="AP44" i="54"/>
  <c r="AP29" i="54"/>
  <c r="I47" i="59"/>
  <c r="I48" i="59"/>
  <c r="N42" i="59"/>
  <c r="AZ16" i="52"/>
  <c r="K49" i="60"/>
  <c r="AZ12" i="52"/>
  <c r="I12" i="59"/>
  <c r="H21" i="59"/>
  <c r="P9" i="59"/>
  <c r="P12" i="59"/>
  <c r="P14" i="59"/>
  <c r="BD16" i="52"/>
  <c r="BN16" i="52"/>
  <c r="BN19" i="52"/>
  <c r="BD19" i="52"/>
  <c r="H50" i="54"/>
  <c r="AP45" i="54"/>
  <c r="AZ17" i="52"/>
  <c r="F47" i="54"/>
  <c r="BL38" i="54"/>
  <c r="BT23" i="52"/>
  <c r="AZ6" i="52"/>
  <c r="AZ9" i="52"/>
  <c r="E61" i="60"/>
  <c r="E58" i="60"/>
  <c r="Z24" i="17"/>
  <c r="BO26" i="52"/>
  <c r="BO34" i="52"/>
  <c r="F29" i="52"/>
  <c r="AL49" i="54"/>
  <c r="AP49" i="54"/>
  <c r="AP32" i="54"/>
  <c r="AT44" i="54"/>
  <c r="BD29" i="54"/>
  <c r="BD44" i="54"/>
  <c r="F50" i="53"/>
  <c r="AJ43" i="54"/>
  <c r="AJ46" i="54"/>
  <c r="AJ51" i="54"/>
  <c r="AT28" i="54"/>
  <c r="H41" i="52"/>
  <c r="BD30" i="54"/>
  <c r="BD45" i="54"/>
  <c r="AT45" i="54"/>
  <c r="AP43" i="54"/>
  <c r="AL46" i="54"/>
  <c r="AL51" i="54"/>
  <c r="F41" i="52"/>
  <c r="L41" i="52"/>
  <c r="AA24" i="17"/>
  <c r="K35" i="59"/>
  <c r="H45" i="53"/>
  <c r="H49" i="53"/>
  <c r="L44" i="53"/>
  <c r="L45" i="53"/>
  <c r="G49" i="53"/>
  <c r="E38" i="60"/>
  <c r="E18" i="60"/>
  <c r="AA34" i="53"/>
  <c r="AF34" i="53"/>
  <c r="F9" i="58"/>
  <c r="F20" i="58"/>
  <c r="Z29" i="52"/>
  <c r="L72" i="60"/>
  <c r="P72" i="60"/>
  <c r="AB29" i="52"/>
  <c r="BL49" i="54"/>
  <c r="L49" i="60"/>
  <c r="BE33" i="54"/>
  <c r="AA37" i="53"/>
  <c r="AF33" i="53"/>
  <c r="AF37" i="53"/>
  <c r="L71" i="60"/>
  <c r="P71" i="60"/>
  <c r="AV49" i="54"/>
  <c r="AZ49" i="54"/>
  <c r="AV33" i="54"/>
  <c r="AZ33" i="54"/>
  <c r="BD49" i="54"/>
  <c r="O37" i="23"/>
  <c r="P12" i="60"/>
  <c r="H52" i="53"/>
  <c r="H50" i="53"/>
  <c r="AP46" i="54"/>
  <c r="AP51" i="54"/>
  <c r="AT27" i="54"/>
  <c r="AT43" i="54"/>
  <c r="AT46" i="54"/>
  <c r="AT51" i="54"/>
  <c r="AT52" i="54"/>
  <c r="BD28" i="54"/>
  <c r="BM32" i="54"/>
  <c r="BJ32" i="54"/>
  <c r="T14" i="23"/>
  <c r="O38" i="23"/>
  <c r="T38" i="23"/>
  <c r="L47" i="54"/>
  <c r="BL33" i="54"/>
  <c r="AT28" i="52"/>
  <c r="AT29" i="52"/>
  <c r="BD6" i="52"/>
  <c r="BN6" i="52"/>
  <c r="AT31" i="52"/>
  <c r="AZ19" i="52"/>
  <c r="J46" i="59"/>
  <c r="K36" i="59"/>
  <c r="K37" i="59"/>
  <c r="O35" i="59"/>
  <c r="O36" i="59"/>
  <c r="AK46" i="54"/>
  <c r="AK51" i="54"/>
  <c r="AZ32" i="52"/>
  <c r="H29" i="52"/>
  <c r="BJ35" i="54"/>
  <c r="AA29" i="52"/>
  <c r="O40" i="23"/>
  <c r="H40" i="26"/>
  <c r="AV28" i="52"/>
  <c r="AV29" i="52"/>
  <c r="P13" i="60"/>
  <c r="BQ35" i="54"/>
  <c r="AP27" i="54"/>
  <c r="G50" i="53"/>
  <c r="L49" i="53"/>
  <c r="G52" i="53"/>
  <c r="BF38" i="54"/>
  <c r="BF49" i="54"/>
  <c r="BJ49" i="54"/>
  <c r="AP33" i="54"/>
  <c r="AP38" i="54"/>
  <c r="AU28" i="52"/>
  <c r="AZ11" i="52"/>
  <c r="AZ14" i="52"/>
  <c r="H24" i="59"/>
  <c r="H10" i="41"/>
  <c r="H25" i="41"/>
  <c r="P49" i="60"/>
  <c r="J15" i="59"/>
  <c r="BF26" i="52"/>
  <c r="BF34" i="52"/>
  <c r="BJ21" i="52"/>
  <c r="G29" i="52"/>
  <c r="K15" i="59"/>
  <c r="I32" i="26"/>
  <c r="I38" i="26"/>
  <c r="M38" i="26"/>
  <c r="AZ25" i="52"/>
  <c r="AZ26" i="52"/>
  <c r="I14" i="59"/>
  <c r="I15" i="59"/>
  <c r="I37" i="59"/>
  <c r="G47" i="54"/>
  <c r="BJ34" i="54"/>
  <c r="E19" i="60"/>
  <c r="E22" i="60"/>
  <c r="BJ22" i="52"/>
  <c r="O36" i="23"/>
  <c r="H44" i="52"/>
  <c r="AU29" i="52"/>
  <c r="AZ28" i="52"/>
  <c r="AZ29" i="52"/>
  <c r="BT25" i="52"/>
  <c r="BN31" i="52"/>
  <c r="BN9" i="52"/>
  <c r="BN28" i="52"/>
  <c r="AF29" i="52"/>
  <c r="BD31" i="52"/>
  <c r="BD9" i="52"/>
  <c r="BD28" i="52"/>
  <c r="BD29" i="52"/>
  <c r="BF33" i="54"/>
  <c r="H41" i="26"/>
  <c r="BT22" i="52"/>
  <c r="K56" i="60"/>
  <c r="P16" i="19"/>
  <c r="Y8" i="19"/>
  <c r="O15" i="59"/>
  <c r="L44" i="52"/>
  <c r="L50" i="54"/>
  <c r="BJ26" i="52"/>
  <c r="BM38" i="54"/>
  <c r="BQ38" i="54"/>
  <c r="BJ38" i="54"/>
  <c r="BM49" i="54"/>
  <c r="BQ49" i="54"/>
  <c r="BQ32" i="54"/>
  <c r="AZ34" i="52"/>
  <c r="AE11" i="23"/>
  <c r="BP26" i="52"/>
  <c r="BP34" i="52"/>
  <c r="BT34" i="52"/>
  <c r="BT21" i="52"/>
  <c r="BT26" i="52"/>
  <c r="H26" i="59"/>
  <c r="H48" i="59"/>
  <c r="L52" i="53"/>
  <c r="J47" i="59"/>
  <c r="J48" i="59"/>
  <c r="N46" i="59"/>
  <c r="N47" i="59"/>
  <c r="N48" i="59"/>
  <c r="BD27" i="54"/>
  <c r="BD43" i="54"/>
  <c r="BD46" i="54"/>
  <c r="BD51" i="54"/>
  <c r="AZ31" i="52"/>
  <c r="G9" i="58"/>
  <c r="G20" i="58"/>
  <c r="BJ34" i="52"/>
  <c r="L50" i="53"/>
  <c r="BQ34" i="54"/>
  <c r="L56" i="60"/>
  <c r="L57" i="60"/>
  <c r="Z8" i="19"/>
  <c r="P56" i="60"/>
  <c r="P57" i="60"/>
  <c r="K57" i="60"/>
  <c r="I40" i="26"/>
  <c r="K28" i="19"/>
  <c r="BM33" i="54"/>
  <c r="BQ33" i="54"/>
  <c r="BJ33" i="54"/>
  <c r="AE13" i="23"/>
  <c r="P40" i="23"/>
  <c r="T40" i="23"/>
  <c r="T16" i="23"/>
  <c r="P36" i="23"/>
  <c r="T36" i="23"/>
  <c r="T12" i="23"/>
  <c r="P37" i="23"/>
  <c r="T37" i="23"/>
  <c r="T13" i="23"/>
  <c r="K57" i="19"/>
  <c r="K58" i="19"/>
  <c r="AE17" i="23"/>
  <c r="P61" i="60"/>
  <c r="K61" i="60"/>
  <c r="K80" i="60"/>
  <c r="DC21" i="5"/>
  <c r="DD21" i="5"/>
  <c r="DC20" i="5"/>
  <c r="DD20" i="5"/>
  <c r="DC6" i="5"/>
  <c r="DC7" i="5"/>
  <c r="DD7" i="5"/>
  <c r="DC10" i="5"/>
  <c r="DD10" i="5"/>
  <c r="DC9" i="5"/>
  <c r="DD9" i="5"/>
  <c r="DC14" i="5"/>
  <c r="DD14" i="5"/>
  <c r="DC12" i="5"/>
  <c r="DD12" i="5"/>
  <c r="DC13" i="5"/>
  <c r="DD13" i="5"/>
  <c r="DC17" i="5"/>
  <c r="DD17" i="5"/>
  <c r="DC16" i="5"/>
  <c r="DD16" i="5"/>
  <c r="DC8" i="5"/>
  <c r="DD8" i="5"/>
  <c r="DC19" i="5"/>
  <c r="DD19" i="5"/>
  <c r="DC11" i="5"/>
  <c r="DD11" i="5"/>
  <c r="DC15" i="5"/>
  <c r="DD15" i="5"/>
  <c r="DC18" i="5"/>
  <c r="DD18" i="5"/>
  <c r="I41" i="26"/>
  <c r="M41" i="26"/>
  <c r="M40" i="26"/>
  <c r="L28" i="19"/>
  <c r="K81" i="60"/>
  <c r="F10" i="58"/>
  <c r="F21" i="58"/>
  <c r="L61" i="60"/>
  <c r="K34" i="19"/>
  <c r="L34" i="19"/>
  <c r="AU5" i="54"/>
  <c r="AU43" i="54"/>
  <c r="AU44" i="54"/>
  <c r="AU18" i="54"/>
  <c r="P10" i="60"/>
  <c r="AZ12" i="54"/>
  <c r="AU14" i="54"/>
  <c r="DD6" i="5"/>
  <c r="DD37" i="5"/>
  <c r="DC37" i="5"/>
  <c r="AU22" i="54"/>
  <c r="AU45" i="54"/>
  <c r="AZ30" i="54"/>
  <c r="AZ13" i="54"/>
  <c r="AZ25" i="54"/>
  <c r="BM20" i="54"/>
  <c r="L80" i="60"/>
  <c r="AZ11" i="54"/>
  <c r="BM13" i="54"/>
  <c r="BM12" i="54"/>
  <c r="AZ7" i="54"/>
  <c r="BM25" i="54"/>
  <c r="BM24" i="54"/>
  <c r="P14" i="60"/>
  <c r="BM21" i="54"/>
  <c r="BM30" i="54"/>
  <c r="BM29" i="54"/>
  <c r="AU27" i="54"/>
  <c r="AU10" i="54"/>
  <c r="K73" i="60"/>
  <c r="K69" i="60"/>
  <c r="L57" i="19"/>
  <c r="L58" i="19"/>
  <c r="AZ24" i="54"/>
  <c r="AZ20" i="54"/>
  <c r="BM16" i="54"/>
  <c r="L81" i="60"/>
  <c r="G10" i="58"/>
  <c r="G21" i="58"/>
  <c r="AV14" i="54"/>
  <c r="L66" i="60"/>
  <c r="BL28" i="54"/>
  <c r="BJ28" i="54"/>
  <c r="AV5" i="54"/>
  <c r="AV43" i="54"/>
  <c r="AV18" i="54"/>
  <c r="L73" i="60"/>
  <c r="L67" i="60"/>
  <c r="BL16" i="54"/>
  <c r="BQ16" i="54"/>
  <c r="BJ16" i="54"/>
  <c r="BL12" i="54"/>
  <c r="BQ12" i="54"/>
  <c r="BJ12" i="54"/>
  <c r="K65" i="60"/>
  <c r="AZ5" i="54"/>
  <c r="K70" i="60"/>
  <c r="AV27" i="54"/>
  <c r="L70" i="60"/>
  <c r="P70" i="60"/>
  <c r="AZ27" i="54"/>
  <c r="AV22" i="54"/>
  <c r="AZ16" i="54"/>
  <c r="BL19" i="54"/>
  <c r="BJ19" i="54"/>
  <c r="L69" i="60"/>
  <c r="P69" i="60"/>
  <c r="BT18" i="52"/>
  <c r="BJ18" i="52"/>
  <c r="AV44" i="54"/>
  <c r="AZ44" i="54"/>
  <c r="BL24" i="54"/>
  <c r="BQ24" i="54"/>
  <c r="BJ24" i="54"/>
  <c r="BL23" i="54"/>
  <c r="BL6" i="54"/>
  <c r="BE43" i="54"/>
  <c r="BJ6" i="54"/>
  <c r="BL20" i="54"/>
  <c r="BQ20" i="54"/>
  <c r="BJ20" i="54"/>
  <c r="P73" i="60"/>
  <c r="AV45" i="54"/>
  <c r="BL25" i="54"/>
  <c r="BQ25" i="54"/>
  <c r="BJ25" i="54"/>
  <c r="AZ45" i="54"/>
  <c r="AZ29" i="54"/>
  <c r="G20" i="20"/>
  <c r="F9" i="57"/>
  <c r="BL7" i="54"/>
  <c r="BE44" i="54"/>
  <c r="BJ17" i="52"/>
  <c r="BE33" i="52"/>
  <c r="AZ8" i="54"/>
  <c r="BL29" i="54"/>
  <c r="BQ29" i="54"/>
  <c r="BJ29" i="54"/>
  <c r="AZ21" i="54"/>
  <c r="BJ12" i="52"/>
  <c r="BT12" i="52"/>
  <c r="BL11" i="54"/>
  <c r="BL13" i="54"/>
  <c r="BQ13" i="54"/>
  <c r="BJ13" i="54"/>
  <c r="BL8" i="54"/>
  <c r="BE45" i="54"/>
  <c r="BJ8" i="54"/>
  <c r="AZ15" i="54"/>
  <c r="BL21" i="54"/>
  <c r="BQ21" i="54"/>
  <c r="BJ21" i="54"/>
  <c r="BE31" i="52"/>
  <c r="BJ6" i="52"/>
  <c r="BE32" i="52"/>
  <c r="BJ7" i="54"/>
  <c r="AV10" i="54"/>
  <c r="AZ10" i="54"/>
  <c r="AZ23" i="54"/>
  <c r="K66" i="60"/>
  <c r="AZ19" i="54"/>
  <c r="AU46" i="54"/>
  <c r="AU51" i="54"/>
  <c r="AU52" i="54"/>
  <c r="AZ43" i="54"/>
  <c r="BJ16" i="52"/>
  <c r="BJ19" i="52"/>
  <c r="AZ28" i="54"/>
  <c r="BL30" i="54"/>
  <c r="BQ30" i="54"/>
  <c r="BJ30" i="54"/>
  <c r="K68" i="60"/>
  <c r="AZ22" i="54"/>
  <c r="BL15" i="54"/>
  <c r="BJ15" i="54"/>
  <c r="K67" i="60"/>
  <c r="P67" i="60"/>
  <c r="AZ6" i="54"/>
  <c r="BM11" i="54"/>
  <c r="G9" i="57"/>
  <c r="H20" i="20"/>
  <c r="BM23" i="54"/>
  <c r="BQ23" i="54"/>
  <c r="L38" i="60"/>
  <c r="BJ14" i="54"/>
  <c r="BF31" i="52"/>
  <c r="G8" i="58"/>
  <c r="G19" i="58"/>
  <c r="AZ46" i="54"/>
  <c r="AZ51" i="54"/>
  <c r="F8" i="58"/>
  <c r="F19" i="58"/>
  <c r="BL45" i="54"/>
  <c r="BM8" i="54"/>
  <c r="BQ8" i="54"/>
  <c r="BF32" i="52"/>
  <c r="G6" i="58"/>
  <c r="BP32" i="52"/>
  <c r="L68" i="60"/>
  <c r="P68" i="60"/>
  <c r="BJ22" i="54"/>
  <c r="BE28" i="52"/>
  <c r="BP33" i="52"/>
  <c r="BF33" i="52"/>
  <c r="G7" i="58"/>
  <c r="G18" i="58"/>
  <c r="BJ33" i="52"/>
  <c r="F7" i="58"/>
  <c r="F18" i="58"/>
  <c r="BE46" i="54"/>
  <c r="BE51" i="54"/>
  <c r="BF43" i="54"/>
  <c r="BJ43" i="54"/>
  <c r="BM28" i="54"/>
  <c r="BQ28" i="54"/>
  <c r="BM19" i="54"/>
  <c r="BM15" i="54"/>
  <c r="BQ15" i="54"/>
  <c r="L39" i="60"/>
  <c r="AZ14" i="54"/>
  <c r="BO32" i="52"/>
  <c r="BT32" i="52"/>
  <c r="BJ11" i="54"/>
  <c r="BJ8" i="52"/>
  <c r="BL44" i="54"/>
  <c r="BM45" i="54"/>
  <c r="BF45" i="54"/>
  <c r="BJ45" i="54"/>
  <c r="BL43" i="54"/>
  <c r="AV46" i="54"/>
  <c r="AV51" i="54"/>
  <c r="AV52" i="54"/>
  <c r="BT6" i="52"/>
  <c r="BO31" i="52"/>
  <c r="BJ11" i="52"/>
  <c r="P66" i="60"/>
  <c r="BJ7" i="52"/>
  <c r="BJ9" i="52"/>
  <c r="BQ11" i="54"/>
  <c r="BO33" i="52"/>
  <c r="F19" i="57"/>
  <c r="F21" i="57"/>
  <c r="F22" i="57"/>
  <c r="F11" i="57"/>
  <c r="F12" i="57"/>
  <c r="BJ13" i="52"/>
  <c r="BJ5" i="54"/>
  <c r="K77" i="60"/>
  <c r="K78" i="60"/>
  <c r="L65" i="60"/>
  <c r="P65" i="60"/>
  <c r="BM6" i="54"/>
  <c r="BM43" i="54"/>
  <c r="BM7" i="54"/>
  <c r="BM44" i="54"/>
  <c r="BM46" i="54"/>
  <c r="BF44" i="54"/>
  <c r="BJ44" i="54"/>
  <c r="AZ18" i="54"/>
  <c r="BT16" i="52"/>
  <c r="F6" i="58"/>
  <c r="BJ32" i="52"/>
  <c r="BT17" i="52"/>
  <c r="L20" i="20"/>
  <c r="BT13" i="52"/>
  <c r="BJ23" i="54"/>
  <c r="BQ19" i="54"/>
  <c r="T11" i="23"/>
  <c r="O35" i="23"/>
  <c r="BT8" i="52"/>
  <c r="BJ14" i="52"/>
  <c r="BQ6" i="54"/>
  <c r="BQ22" i="54"/>
  <c r="BQ45" i="54"/>
  <c r="BQ14" i="54"/>
  <c r="BJ18" i="54"/>
  <c r="BT33" i="52"/>
  <c r="BL46" i="54"/>
  <c r="BQ43" i="54"/>
  <c r="BT7" i="52"/>
  <c r="BJ31" i="52"/>
  <c r="BJ27" i="54"/>
  <c r="P8" i="60"/>
  <c r="BQ18" i="54"/>
  <c r="BT9" i="52"/>
  <c r="BJ46" i="54"/>
  <c r="BJ51" i="54"/>
  <c r="P11" i="60"/>
  <c r="BQ27" i="54"/>
  <c r="BJ10" i="54"/>
  <c r="BO28" i="52"/>
  <c r="BQ10" i="54"/>
  <c r="BF46" i="54"/>
  <c r="BF51" i="54"/>
  <c r="BQ5" i="54"/>
  <c r="P34" i="23"/>
  <c r="BQ7" i="54"/>
  <c r="BE29" i="52"/>
  <c r="G11" i="58"/>
  <c r="G12" i="58"/>
  <c r="G17" i="58"/>
  <c r="G22" i="58"/>
  <c r="G23" i="58"/>
  <c r="BP31" i="52"/>
  <c r="BT31" i="52"/>
  <c r="L77" i="60"/>
  <c r="L78" i="60"/>
  <c r="BQ44" i="54"/>
  <c r="BT11" i="52"/>
  <c r="BT14" i="52"/>
  <c r="F17" i="58"/>
  <c r="F22" i="58"/>
  <c r="F11" i="58"/>
  <c r="F23" i="58"/>
  <c r="F12" i="58"/>
  <c r="BM51" i="54"/>
  <c r="L58" i="60"/>
  <c r="AE9" i="23"/>
  <c r="T10" i="23"/>
  <c r="O34" i="23"/>
  <c r="T34" i="23"/>
  <c r="BF28" i="52"/>
  <c r="BF29" i="52"/>
  <c r="P35" i="23"/>
  <c r="BT19" i="52"/>
  <c r="P77" i="60"/>
  <c r="P78" i="60"/>
  <c r="G11" i="57"/>
  <c r="G12" i="57"/>
  <c r="G19" i="57"/>
  <c r="G21" i="57"/>
  <c r="G22" i="57"/>
  <c r="BP28" i="52"/>
  <c r="P9" i="60"/>
  <c r="P38" i="60"/>
  <c r="K38" i="60"/>
  <c r="L18" i="60"/>
  <c r="L37" i="60"/>
  <c r="BJ28" i="52"/>
  <c r="P6" i="60"/>
  <c r="K18" i="60"/>
  <c r="K37" i="60"/>
  <c r="P7" i="60"/>
  <c r="P39" i="60"/>
  <c r="K39" i="60"/>
  <c r="T35" i="23"/>
  <c r="BT28" i="52"/>
  <c r="BQ46" i="54"/>
  <c r="T9" i="23"/>
  <c r="T17" i="23"/>
  <c r="M15" i="20"/>
  <c r="O33" i="23"/>
  <c r="O17" i="23"/>
  <c r="O18" i="23"/>
  <c r="BL51" i="54"/>
  <c r="BL47" i="54"/>
  <c r="AE10" i="23"/>
  <c r="Z18" i="23"/>
  <c r="Z19" i="23"/>
  <c r="L19" i="60"/>
  <c r="L22" i="60"/>
  <c r="BQ51" i="54"/>
  <c r="BL53" i="54"/>
  <c r="K58" i="60"/>
  <c r="K22" i="60"/>
  <c r="K19" i="60"/>
  <c r="P18" i="60"/>
  <c r="P37" i="60"/>
  <c r="AA18" i="23"/>
  <c r="P17" i="23"/>
  <c r="AA19" i="23"/>
  <c r="P18" i="23"/>
  <c r="P33" i="23"/>
  <c r="P41" i="23"/>
  <c r="BM47" i="54"/>
  <c r="O41" i="23"/>
  <c r="T33" i="23"/>
  <c r="T41" i="23"/>
  <c r="P22" i="60"/>
  <c r="Q18" i="60"/>
  <c r="P19" i="60"/>
  <c r="BQ52" i="54"/>
  <c r="P58" i="60"/>
  <c r="AE8" i="23"/>
  <c r="AE18" i="23"/>
  <c r="AE19" i="23"/>
  <c r="Q22" i="60"/>
  <c r="P23" i="60"/>
  <c r="P2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F6346D25-BE39-4EA6-BF8A-12076DBD8D7B}">
      <text>
        <r>
          <rPr>
            <b/>
            <sz val="9"/>
            <color indexed="81"/>
            <rFont val="Tahoma"/>
            <family val="2"/>
          </rPr>
          <t>ASD:</t>
        </r>
        <r>
          <rPr>
            <sz val="9"/>
            <color indexed="81"/>
            <rFont val="Tahoma"/>
            <family val="2"/>
          </rPr>
          <t xml:space="preserve">
Please note: we have applied the AER's Draft Decision FY22 COVID adjustment ratio at the connection type level within our Connections capex forecast model.  We have not applied the adjustment to cogeneration projects (subtransmission connections).  
Please refer to chapter 3 of the Revised Proposal for more details.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0000000-0006-0000-0500-000001000000}">
      <text>
        <r>
          <rPr>
            <b/>
            <sz val="9"/>
            <color indexed="81"/>
            <rFont val="Tahoma"/>
            <family val="2"/>
          </rPr>
          <t>AST:</t>
        </r>
        <r>
          <rPr>
            <sz val="9"/>
            <color indexed="81"/>
            <rFont val="Tahoma"/>
            <family val="2"/>
          </rPr>
          <t xml:space="preserve">
Average of Transformers &amp; Switchgear categories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26" authorId="0" shapeId="0" xr:uid="{00000000-0006-0000-0600-000001000000}">
      <text>
        <r>
          <rPr>
            <b/>
            <sz val="9"/>
            <color indexed="81"/>
            <rFont val="Tahoma"/>
            <family val="2"/>
          </rPr>
          <t>Author:</t>
        </r>
        <r>
          <rPr>
            <sz val="9"/>
            <color indexed="81"/>
            <rFont val="Tahoma"/>
            <family val="2"/>
          </rPr>
          <t xml:space="preserve">
Half of 18/19 and 19/20</t>
        </r>
      </text>
    </comment>
    <comment ref="O26" authorId="0" shapeId="0" xr:uid="{00000000-0006-0000-0600-000002000000}">
      <text>
        <r>
          <rPr>
            <b/>
            <sz val="9"/>
            <color indexed="81"/>
            <rFont val="Tahoma"/>
            <family val="2"/>
          </rPr>
          <t>Author:</t>
        </r>
        <r>
          <rPr>
            <sz val="9"/>
            <color indexed="81"/>
            <rFont val="Tahoma"/>
            <family val="2"/>
          </rPr>
          <t xml:space="preserve">
half of 19-20 and 20-21</t>
        </r>
      </text>
    </comment>
    <comment ref="P26" authorId="0" shapeId="0" xr:uid="{00000000-0006-0000-0600-000003000000}">
      <text>
        <r>
          <rPr>
            <b/>
            <sz val="9"/>
            <color indexed="81"/>
            <rFont val="Tahoma"/>
            <family val="2"/>
          </rPr>
          <t>Author:</t>
        </r>
        <r>
          <rPr>
            <sz val="9"/>
            <color indexed="81"/>
            <rFont val="Tahoma"/>
            <family val="2"/>
          </rPr>
          <t xml:space="preserve">
Half of FY2020-21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8" authorId="0" shapeId="0" xr:uid="{00000000-0006-0000-1100-000001000000}">
      <text>
        <r>
          <rPr>
            <b/>
            <sz val="9"/>
            <color indexed="81"/>
            <rFont val="Tahoma"/>
            <family val="2"/>
          </rPr>
          <t>AST:</t>
        </r>
        <r>
          <rPr>
            <sz val="9"/>
            <color indexed="81"/>
            <rFont val="Tahoma"/>
            <family val="2"/>
          </rPr>
          <t xml:space="preserve">
installing fall arrest systems on subtn towers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8" authorId="0" shapeId="0" xr:uid="{00000000-0006-0000-1D00-000001000000}">
      <text>
        <r>
          <rPr>
            <b/>
            <sz val="9"/>
            <color indexed="81"/>
            <rFont val="Tahoma"/>
            <family val="2"/>
          </rPr>
          <t>AST:</t>
        </r>
        <r>
          <rPr>
            <sz val="9"/>
            <color indexed="81"/>
            <rFont val="Tahoma"/>
            <family val="2"/>
          </rPr>
          <t xml:space="preserve">
For overheads allocaiton purposes Gifted assets are excluded from the direct cost base.</t>
        </r>
      </text>
    </comment>
    <comment ref="O66" authorId="0" shapeId="0" xr:uid="{93FB2645-35AF-4657-9324-2F3240F5C66A}">
      <text>
        <r>
          <rPr>
            <b/>
            <sz val="9"/>
            <color indexed="81"/>
            <rFont val="Tahoma"/>
            <family val="2"/>
          </rPr>
          <t>ASD:</t>
        </r>
        <r>
          <rPr>
            <sz val="9"/>
            <color indexed="81"/>
            <rFont val="Tahoma"/>
            <family val="2"/>
          </rPr>
          <t xml:space="preserve">
note, these small balances in FY22-26 appear due to Downer support cost allocations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W91" authorId="0" shapeId="0" xr:uid="{9864270B-54ED-45B8-9116-325631C6D690}">
      <text>
        <r>
          <rPr>
            <b/>
            <sz val="9"/>
            <color indexed="81"/>
            <rFont val="Tahoma"/>
            <family val="2"/>
          </rPr>
          <t>Author:</t>
        </r>
        <r>
          <rPr>
            <sz val="9"/>
            <color indexed="81"/>
            <rFont val="Tahoma"/>
            <family val="2"/>
          </rPr>
          <t xml:space="preserve">
</t>
        </r>
        <r>
          <rPr>
            <b/>
            <sz val="9"/>
            <color indexed="81"/>
            <rFont val="Tahoma"/>
            <family val="2"/>
          </rPr>
          <t>Note:</t>
        </r>
        <r>
          <rPr>
            <sz val="9"/>
            <color indexed="81"/>
            <rFont val="Tahoma"/>
            <family val="2"/>
          </rPr>
          <t xml:space="preserve"> post submission of the 2019 annual RIN we have confirmed that total REFCL capex (excl overheads) was $87.6m. The variance of $1.5m is a reclassication between Augmentation and REFCL categories. The amended total of $87.6m is shown below in the REFCL tranches composition table.</t>
        </r>
      </text>
    </comment>
  </commentList>
</comments>
</file>

<file path=xl/sharedStrings.xml><?xml version="1.0" encoding="utf-8"?>
<sst xmlns="http://schemas.openxmlformats.org/spreadsheetml/2006/main" count="3714" uniqueCount="879">
  <si>
    <t>Outputs</t>
  </si>
  <si>
    <t>Stations</t>
  </si>
  <si>
    <t>Lines</t>
  </si>
  <si>
    <t>Protection, Control &amp; Automation</t>
  </si>
  <si>
    <t>ICT Infrastructure Capex</t>
  </si>
  <si>
    <t>Other</t>
  </si>
  <si>
    <t>Table of Contents</t>
  </si>
  <si>
    <t>Key Assumptions</t>
  </si>
  <si>
    <t>This model only contains information relating to Standard Control Services Capex.  Alternative Control Services are excluded</t>
  </si>
  <si>
    <t>Inputs Section</t>
  </si>
  <si>
    <t>Augmentation</t>
  </si>
  <si>
    <t>Major Rebuilds</t>
  </si>
  <si>
    <t>SCADA &amp; Comms</t>
  </si>
  <si>
    <t>Enviro, Safety &amp; Legal Capex</t>
  </si>
  <si>
    <t>Other Non Network</t>
  </si>
  <si>
    <t>1. Assumptions</t>
  </si>
  <si>
    <t>a.</t>
  </si>
  <si>
    <t>b.</t>
  </si>
  <si>
    <t>c.</t>
  </si>
  <si>
    <t>d.</t>
  </si>
  <si>
    <t>e.</t>
  </si>
  <si>
    <t>Reporting Categories</t>
  </si>
  <si>
    <t>Lookup Tables</t>
  </si>
  <si>
    <t>Project Ref</t>
  </si>
  <si>
    <t>Description</t>
  </si>
  <si>
    <t>Augmentation Capex</t>
  </si>
  <si>
    <t>Customer Connections</t>
  </si>
  <si>
    <t>ICT Infrastructure</t>
  </si>
  <si>
    <t>EDPR RIN Template Outputs</t>
  </si>
  <si>
    <t>2.1 EXPENDITURE SUMMARY &amp; RECONCILIATION</t>
  </si>
  <si>
    <t>TABLE 2.1.1 - STANDARD CONTROL SERVICES CAPEX</t>
  </si>
  <si>
    <t>Replacement expenditure</t>
  </si>
  <si>
    <t>Connections</t>
  </si>
  <si>
    <t>Augmentation Expenditure</t>
  </si>
  <si>
    <t>Non-network</t>
  </si>
  <si>
    <t>Capitalised network overheads</t>
  </si>
  <si>
    <t>Capitalised corporate overheads</t>
  </si>
  <si>
    <t>TOTAL GROSS CAPEX 
(includes capcons)</t>
  </si>
  <si>
    <t>capcons</t>
  </si>
  <si>
    <t>2.1 Expenditure Summary</t>
  </si>
  <si>
    <t>2.6 Non-Network</t>
  </si>
  <si>
    <t>f.</t>
  </si>
  <si>
    <t>Applies to year</t>
  </si>
  <si>
    <t>ASSET CATEGORY</t>
  </si>
  <si>
    <t>Subtransmission</t>
  </si>
  <si>
    <t>Distribution system assets</t>
  </si>
  <si>
    <t>Standard metering</t>
  </si>
  <si>
    <t>Public lighting</t>
  </si>
  <si>
    <t>SCADA/Network control</t>
  </si>
  <si>
    <t>Non-network general assets - IT</t>
  </si>
  <si>
    <t>Non-network general assets - Other</t>
  </si>
  <si>
    <t>Demand related capital expenditure</t>
  </si>
  <si>
    <t>Replacement expenditure (Group 1)</t>
  </si>
  <si>
    <t>Replacement expenditure (Group 2)</t>
  </si>
  <si>
    <t>Replacement expenditure (Group 3)</t>
  </si>
  <si>
    <t>Environment, safety &amp; legal</t>
  </si>
  <si>
    <t>Standard metering (Group 1)</t>
  </si>
  <si>
    <t>Standard metering (Group 2)</t>
  </si>
  <si>
    <t>Safety</t>
  </si>
  <si>
    <t>On</t>
  </si>
  <si>
    <t>Off</t>
  </si>
  <si>
    <t>Reinforcement</t>
  </si>
  <si>
    <t>RQ Maintained</t>
  </si>
  <si>
    <t>RQ Improved</t>
  </si>
  <si>
    <t>ESL</t>
  </si>
  <si>
    <t>SCADA</t>
  </si>
  <si>
    <t>IT Capex</t>
  </si>
  <si>
    <t>Other Non-system</t>
  </si>
  <si>
    <t>System</t>
  </si>
  <si>
    <t>Non-System</t>
  </si>
  <si>
    <t>TAB Categories - PTRM / RFM</t>
  </si>
  <si>
    <t>Category</t>
  </si>
  <si>
    <t>Class</t>
  </si>
  <si>
    <t>Customer Contributions</t>
  </si>
  <si>
    <t>VBRC Capex (direct costs only)</t>
  </si>
  <si>
    <t>Cap Cons</t>
  </si>
  <si>
    <t>RAB Category</t>
  </si>
  <si>
    <t>TAB Category</t>
  </si>
  <si>
    <t>RAB Categories - PTRM / RFM</t>
  </si>
  <si>
    <t>P50 Direct $000's</t>
  </si>
  <si>
    <t>Replacement Capex</t>
  </si>
  <si>
    <t>Non Network Capex</t>
  </si>
  <si>
    <t>Replace roofs, doors, windows &amp; doors</t>
  </si>
  <si>
    <t>Renew roads, drains and other</t>
  </si>
  <si>
    <t>Switchboards</t>
  </si>
  <si>
    <t>NERs &amp; NEDs</t>
  </si>
  <si>
    <t>Surge arresters</t>
  </si>
  <si>
    <t>HV switches, earth switches &amp; isolators</t>
  </si>
  <si>
    <t>Customer Capex (Gross)</t>
  </si>
  <si>
    <t>Contributions</t>
  </si>
  <si>
    <t>Crossarms - HV</t>
  </si>
  <si>
    <t>Crossarms - LV</t>
  </si>
  <si>
    <t>Crossarms - Subtransmission</t>
  </si>
  <si>
    <t>Cables</t>
  </si>
  <si>
    <t>Services</t>
  </si>
  <si>
    <t>Line voltage regulators</t>
  </si>
  <si>
    <t>ZSS - AVE VRR replacement program</t>
  </si>
  <si>
    <t>ZSS - MD1000 RTU replacement program (Stage 2) (15 sites)</t>
  </si>
  <si>
    <t>Program</t>
  </si>
  <si>
    <t>Substation Protection</t>
  </si>
  <si>
    <t>Voltage Regulation</t>
  </si>
  <si>
    <t>Secondary Infrastructure</t>
  </si>
  <si>
    <t>Poles</t>
  </si>
  <si>
    <t>Crossarms</t>
  </si>
  <si>
    <t>Conductor</t>
  </si>
  <si>
    <t>Switches &amp; Other</t>
  </si>
  <si>
    <t>Civil Infrastructure</t>
  </si>
  <si>
    <t>Zone substation major replacement projects</t>
  </si>
  <si>
    <t>Distribution substations &amp; LV</t>
  </si>
  <si>
    <t>Total Network Capex (Gross)</t>
  </si>
  <si>
    <t>Total Network Capex (Net)</t>
  </si>
  <si>
    <t>Grand Total (Net)</t>
  </si>
  <si>
    <t>Network Comms</t>
  </si>
  <si>
    <t>Replacement of buildings due to asbestos</t>
  </si>
  <si>
    <t>Replace battery rooms due to asbestos</t>
  </si>
  <si>
    <t>Full environmental upgrade incl bund</t>
  </si>
  <si>
    <t>Upgrade oil control controls</t>
  </si>
  <si>
    <t>Line voltage regulator fence replacement</t>
  </si>
  <si>
    <t>Ground type distribution sub fence replacement</t>
  </si>
  <si>
    <t>Infrastructure Security</t>
  </si>
  <si>
    <t>Vibration Dampers &amp; Armour Rods</t>
  </si>
  <si>
    <t>Overhang Removals</t>
  </si>
  <si>
    <t>EDO fuses</t>
  </si>
  <si>
    <t>Line clearance</t>
  </si>
  <si>
    <t>Animal / Bird Proofing</t>
  </si>
  <si>
    <t>Fall arrest systems</t>
  </si>
  <si>
    <t>Safety clearances in distribution substations (ground type, indoor type and kiosk)</t>
  </si>
  <si>
    <t>SWER Earths</t>
  </si>
  <si>
    <t>Environmental</t>
  </si>
  <si>
    <t>Govt. Funded Programs</t>
  </si>
  <si>
    <t>Repex - 50% Grp 2, 50% Grp 3</t>
  </si>
  <si>
    <t>Repex - 75% Grp 2, 25% Grp 3</t>
  </si>
  <si>
    <t>SCADA &amp; Network Communications</t>
  </si>
  <si>
    <t>Check</t>
  </si>
  <si>
    <t>Total ESL Volume Based</t>
  </si>
  <si>
    <t>Total ESL Project based</t>
  </si>
  <si>
    <t>Total ESL</t>
  </si>
  <si>
    <t>Sum</t>
  </si>
  <si>
    <t>Customer Connections (Net)</t>
  </si>
  <si>
    <t>Customer Initiated</t>
  </si>
  <si>
    <t>SME</t>
  </si>
  <si>
    <t>Govt. Contribution</t>
  </si>
  <si>
    <t>Enviro, Safety &amp; Legal Capex (Net)</t>
  </si>
  <si>
    <t>Escalators</t>
  </si>
  <si>
    <t>RAB Categories</t>
  </si>
  <si>
    <t>(Excluding escalators)</t>
  </si>
  <si>
    <t>Total</t>
  </si>
  <si>
    <t>Checks - Inputs</t>
  </si>
  <si>
    <t>TAB Categories (stage 2)</t>
  </si>
  <si>
    <t>Base Forecast Summary - Direct Expenditure</t>
  </si>
  <si>
    <t>Replacement</t>
  </si>
  <si>
    <t>Non-Network Expenditure</t>
  </si>
  <si>
    <t>Subtransmission Substations, Switching Stations , Zone Substations</t>
  </si>
  <si>
    <t>Subtransmission Lines</t>
  </si>
  <si>
    <t>Distribution Substations</t>
  </si>
  <si>
    <t>Other Assets</t>
  </si>
  <si>
    <t>Pole Top Structures</t>
  </si>
  <si>
    <t>Overhead Conductors</t>
  </si>
  <si>
    <t>Underground Cables</t>
  </si>
  <si>
    <t>Service Lines</t>
  </si>
  <si>
    <t>Transformers</t>
  </si>
  <si>
    <t>Switchgear</t>
  </si>
  <si>
    <t>Motor Vehicles</t>
  </si>
  <si>
    <t>Buildings And Property</t>
  </si>
  <si>
    <t>HV Feeders</t>
  </si>
  <si>
    <t>LV Feeders</t>
  </si>
  <si>
    <t>IT and Communications</t>
  </si>
  <si>
    <t>Simple and Complex Customer Connections</t>
  </si>
  <si>
    <t>Labour &amp; Non-Labour Category Splits</t>
  </si>
  <si>
    <t>CPI Escalation</t>
  </si>
  <si>
    <t>Labour Escalation</t>
  </si>
  <si>
    <t>Material Escalation</t>
  </si>
  <si>
    <t>Labour Type</t>
  </si>
  <si>
    <t>Direct Material Cost</t>
  </si>
  <si>
    <t>Direct Labour Cost</t>
  </si>
  <si>
    <t>Other Cost</t>
  </si>
  <si>
    <t>Transformers &amp; Switchgear</t>
  </si>
  <si>
    <t>Activity Type</t>
  </si>
  <si>
    <t>Expenditure Type</t>
  </si>
  <si>
    <t>Material Composition</t>
  </si>
  <si>
    <t>Alum</t>
  </si>
  <si>
    <t>Copper</t>
  </si>
  <si>
    <t>Steel</t>
  </si>
  <si>
    <t>Crude Oil</t>
  </si>
  <si>
    <t>Labour &amp; Non Labour Splits</t>
  </si>
  <si>
    <t>Spare</t>
  </si>
  <si>
    <t>Zone Sub Transformers</t>
  </si>
  <si>
    <t>Distribution Transformers</t>
  </si>
  <si>
    <t>Distribution Regulators</t>
  </si>
  <si>
    <t>Pole Top Capacitors</t>
  </si>
  <si>
    <t>Poles replaced</t>
  </si>
  <si>
    <t>Staked Poles</t>
  </si>
  <si>
    <t>Conductors - Steel</t>
  </si>
  <si>
    <t>Conductors - Copper</t>
  </si>
  <si>
    <t>Insulators</t>
  </si>
  <si>
    <t>Services - Unplanned</t>
  </si>
  <si>
    <t>Services - Planned</t>
  </si>
  <si>
    <t>Underground cables (Projects)</t>
  </si>
  <si>
    <t>Dist. Regulators</t>
  </si>
  <si>
    <t>Pole top Switches (Incl Gas)</t>
  </si>
  <si>
    <t>ACRs 3ph</t>
  </si>
  <si>
    <t>OCR 1ph</t>
  </si>
  <si>
    <t>HV Fuses</t>
  </si>
  <si>
    <t>Surge Diverters</t>
  </si>
  <si>
    <t>Protection &amp; Control</t>
  </si>
  <si>
    <t>Internal labour real rate</t>
  </si>
  <si>
    <t>External labour real rate</t>
  </si>
  <si>
    <t>New 66kV lines (kms)</t>
  </si>
  <si>
    <t>Reconductored 66kV lines (kms)</t>
  </si>
  <si>
    <t>Buildings &amp; Civil infrastructure</t>
  </si>
  <si>
    <t>Program Type</t>
  </si>
  <si>
    <t>Material Escalation Index</t>
  </si>
  <si>
    <t>RIN Asset Category</t>
  </si>
  <si>
    <t xml:space="preserve">New Zone Substation </t>
  </si>
  <si>
    <t>66kv Feeders - HV</t>
  </si>
  <si>
    <t>Thermal Upgrade - 22kv LV Feeders</t>
  </si>
  <si>
    <t>Thermal Upgrade Voltage - 22kv LV Feeders</t>
  </si>
  <si>
    <t>2. Lookup Tables</t>
  </si>
  <si>
    <t>3.1. Augmentation Capex</t>
  </si>
  <si>
    <t>3.3. Replacement Capex</t>
  </si>
  <si>
    <t>3.4. Enviro, Safety &amp; Legal Capex</t>
  </si>
  <si>
    <t>5. Outputs</t>
  </si>
  <si>
    <t>5.1 EDPR submission outputs</t>
  </si>
  <si>
    <t>5.3 EDPR RIN outputs</t>
  </si>
  <si>
    <t>3. Inputs (Direct Costs, units &amp; unit rates)</t>
  </si>
  <si>
    <t>(for stage 1 aggregation)</t>
  </si>
  <si>
    <t>POLES</t>
  </si>
  <si>
    <t>POLE TOP STRUCTURES</t>
  </si>
  <si>
    <t>OVERHEAD CONDUCTORS</t>
  </si>
  <si>
    <t>UNDERGROUND CABLES</t>
  </si>
  <si>
    <t>SERVICE LINES</t>
  </si>
  <si>
    <t>TRANSFORMERS</t>
  </si>
  <si>
    <t>SWITCHGEAR</t>
  </si>
  <si>
    <t>PUBLIC LIGHTING</t>
  </si>
  <si>
    <t>OTHER</t>
  </si>
  <si>
    <t>MOTOR VEHICLES</t>
  </si>
  <si>
    <t>BUILDINGS AND PROPERTY</t>
  </si>
  <si>
    <t>Total Direct $000's</t>
  </si>
  <si>
    <t>Other 56M Undergrounding</t>
  </si>
  <si>
    <t>Communication Systems</t>
  </si>
  <si>
    <t>SCADA Remote</t>
  </si>
  <si>
    <t>Material Escalation Rate</t>
  </si>
  <si>
    <t>Circuit Breakers &amp; disconnectors 22 kV</t>
  </si>
  <si>
    <t>Circuit Breakers &amp; disconnectors  66kV</t>
  </si>
  <si>
    <t>Cap Cans</t>
  </si>
  <si>
    <t>NER</t>
  </si>
  <si>
    <t>Bird &amp; Animal proofing</t>
  </si>
  <si>
    <t>Instrument Transformers</t>
  </si>
  <si>
    <t>ZSS Major replacements</t>
  </si>
  <si>
    <t>RMUs (Kiosk Substations)</t>
  </si>
  <si>
    <t>Distribution Sub Transformers (Pole Top &amp; Kiosk upgrades)</t>
  </si>
  <si>
    <t>Dampers &amp; Armour Rods</t>
  </si>
  <si>
    <t>Fall Arrests</t>
  </si>
  <si>
    <t>Environmental, Safety &amp; Legal - Part A</t>
  </si>
  <si>
    <t>Environmental, Safety &amp; Legal - Part B</t>
  </si>
  <si>
    <t>Calculated 'Direct Labour Costs' includes both employee labour and internal labour hire contracts</t>
  </si>
  <si>
    <t>Instrument transformers - VTs</t>
  </si>
  <si>
    <t>Cap banks &amp; reactors</t>
  </si>
  <si>
    <t>Subtransmission poles - complex 147COM</t>
  </si>
  <si>
    <t>Subtransmission poles - simple 147SIM</t>
  </si>
  <si>
    <t>Distribution poles - HV complex 148HVC</t>
  </si>
  <si>
    <t>Distribution poles - HV simple 148HVS</t>
  </si>
  <si>
    <t>Distribution poles - LV 148LVP</t>
  </si>
  <si>
    <t>Distribution poles - street lights 148SIM</t>
  </si>
  <si>
    <t>Pole reinforcement 149FWK</t>
  </si>
  <si>
    <t>Conductor - AAC HV</t>
  </si>
  <si>
    <t>Conductor - ACSR HV</t>
  </si>
  <si>
    <t>Conductor - Steel</t>
  </si>
  <si>
    <t>Fuses</t>
  </si>
  <si>
    <t>Pole top capacitors</t>
  </si>
  <si>
    <t>Conductors - Alum</t>
  </si>
  <si>
    <t>Enhanced Prot &amp; control 1ph &amp; 3ph</t>
  </si>
  <si>
    <t>Conductors - ACSR</t>
  </si>
  <si>
    <t>Conductor - Routine HV &amp; LV (Subtr)</t>
  </si>
  <si>
    <t>Conductor - AAC HV (Subtr)</t>
  </si>
  <si>
    <t>Conductor - ACSR HV (Subtr)</t>
  </si>
  <si>
    <t xml:space="preserve">Completion of HV ABC program </t>
  </si>
  <si>
    <t>Conductor replacement - AAC</t>
  </si>
  <si>
    <t>Conductor replacement - ACSR</t>
  </si>
  <si>
    <t>Conductor replacement - Steel</t>
  </si>
  <si>
    <t>Company Owned Vehicles</t>
  </si>
  <si>
    <t>Property - General Equip &amp; Furniture</t>
  </si>
  <si>
    <t>Tools &amp; Test Equipment</t>
  </si>
  <si>
    <t>Network</t>
  </si>
  <si>
    <t>IT</t>
  </si>
  <si>
    <t>Actual</t>
  </si>
  <si>
    <t>Forecast</t>
  </si>
  <si>
    <t>Table 3.4.1 - Volume Based</t>
  </si>
  <si>
    <t>Table 3.4.2 - Project based</t>
  </si>
  <si>
    <t>Table 3.2.1 - Gross Expenditure</t>
  </si>
  <si>
    <t>Table 3.2.2 - Customer Contributions</t>
  </si>
  <si>
    <t>Total Gross Capex</t>
  </si>
  <si>
    <t>Customer Capex</t>
  </si>
  <si>
    <t>4. Aggregations &amp; Allocations</t>
  </si>
  <si>
    <t>Aggregations &amp; Allocations</t>
  </si>
  <si>
    <t>Millions</t>
  </si>
  <si>
    <t>Thousands</t>
  </si>
  <si>
    <t>Contracts Cost</t>
  </si>
  <si>
    <t>Reset RIN Categories</t>
  </si>
  <si>
    <t>ESC Categories</t>
  </si>
  <si>
    <t>Network overheads</t>
  </si>
  <si>
    <t>Corporate overheads</t>
  </si>
  <si>
    <t>(Including real cost escalators)</t>
  </si>
  <si>
    <t>(including real cost escalators, overheads and CPI)</t>
  </si>
  <si>
    <t>Actual / Historical</t>
  </si>
  <si>
    <t>Index - Nominal to $2014</t>
  </si>
  <si>
    <t>CPI movement - 8 Capital Cities</t>
  </si>
  <si>
    <t>Non Network Other</t>
  </si>
  <si>
    <t>2016-20</t>
  </si>
  <si>
    <t>Net Capex</t>
  </si>
  <si>
    <t>Table 3.4.3 - Government Funded Safety Programs</t>
  </si>
  <si>
    <t>Govt. Funded Safety Programs</t>
  </si>
  <si>
    <t>TABLE 2.17.2 - FORECAST CAPEX STEP CHANGES FOR STANDARD CONTROL SERVICES</t>
  </si>
  <si>
    <t>Current regulatory period</t>
  </si>
  <si>
    <t>Forthcoming regulatory period</t>
  </si>
  <si>
    <t>Step change</t>
  </si>
  <si>
    <t>2.17 Step Changes</t>
  </si>
  <si>
    <t>Escalated values --&gt;</t>
  </si>
  <si>
    <t>Replacement Volume Summary</t>
  </si>
  <si>
    <t>ABC component</t>
  </si>
  <si>
    <t>Assumed zero escalation for materials</t>
  </si>
  <si>
    <t>Net inflation</t>
  </si>
  <si>
    <t>RIN Expenditure Category</t>
  </si>
  <si>
    <t>SCADA network control and protection systems</t>
  </si>
  <si>
    <t>(Capex only)</t>
  </si>
  <si>
    <t>TABLE 2.6.1 NON-NETWORK EXPENDITURE</t>
  </si>
  <si>
    <t>SERVICE SUBCATEGORY</t>
  </si>
  <si>
    <t>ASSET REPORTING 
CATEGORY</t>
  </si>
  <si>
    <t>IT &amp; COMMUNICATIONS</t>
  </si>
  <si>
    <t>Client device expenditure</t>
  </si>
  <si>
    <t xml:space="preserve">Opex </t>
  </si>
  <si>
    <t xml:space="preserve">Capex </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</si>
  <si>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</si>
  <si>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</si>
  <si>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</si>
  <si>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</si>
  <si>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</si>
  <si>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</si>
  <si>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</si>
  <si>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</si>
  <si>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t>Other expenditure</t>
  </si>
  <si>
    <t>RIN Expenditure Summary - Direct Expenditure</t>
  </si>
  <si>
    <t>3.2. Customer Connections (Not Used - See separate model)</t>
  </si>
  <si>
    <t>RIN Exp Categories</t>
  </si>
  <si>
    <t>Subtotal Replacement Capex</t>
  </si>
  <si>
    <t>RIN Expenditure Summary Categories</t>
  </si>
  <si>
    <t>5.4 Other outputs</t>
  </si>
  <si>
    <t>Other Outputs</t>
  </si>
  <si>
    <t>Repex Volumes Analysis</t>
  </si>
  <si>
    <t>Lines Replacement Program &amp; Customer Connections</t>
  </si>
  <si>
    <t>Low service/conductor</t>
  </si>
  <si>
    <t>Table 1 - CPI Indexes</t>
  </si>
  <si>
    <t>CPI - 8 cities - Sept (old base), 1yr lagged</t>
  </si>
  <si>
    <t>CPI - 8 cities - Sept (rebased in Sep-12), 1yr lagged</t>
  </si>
  <si>
    <t>(Direct costs Only)</t>
  </si>
  <si>
    <t>&lt;Spare&gt;</t>
  </si>
  <si>
    <t>Other &lt;spare&gt;</t>
  </si>
  <si>
    <t>Non Network Total</t>
  </si>
  <si>
    <t>OTHER - DNSP nominated</t>
  </si>
  <si>
    <t>Non Network Asset Category</t>
  </si>
  <si>
    <t>Non Network Asset SubCategory</t>
  </si>
  <si>
    <t>General furniture and equipment</t>
  </si>
  <si>
    <t>Other buildings and property</t>
  </si>
  <si>
    <t>Total Motor Veh</t>
  </si>
  <si>
    <t>AusNet Overhead allocations</t>
  </si>
  <si>
    <t>source: SPA Revised EDPR Capex Fcast Model 19 July 2010 (2011-15 EDPR), updated with new additional activity types</t>
  </si>
  <si>
    <t>Copper within ACSR below</t>
  </si>
  <si>
    <t>Total Network</t>
  </si>
  <si>
    <t>Current Reg Period</t>
  </si>
  <si>
    <t>Regulatory Period</t>
  </si>
  <si>
    <t>Next Regulatory Period</t>
  </si>
  <si>
    <t>First year of next period</t>
  </si>
  <si>
    <t>t-2 regulatory year</t>
  </si>
  <si>
    <t>t-1 regulatory year</t>
  </si>
  <si>
    <t>t-2</t>
  </si>
  <si>
    <t>t-1</t>
  </si>
  <si>
    <t>User Input</t>
  </si>
  <si>
    <t>Direct Unit cost ($2018, $000's)</t>
  </si>
  <si>
    <t>P50 Direct Cost Inputs - $000's, real $2018</t>
  </si>
  <si>
    <t>Total Direct Cost, including labour escalation - $000's, real $2018</t>
  </si>
  <si>
    <t>Refer to Connections Capex &amp; Contributions Forecast model</t>
  </si>
  <si>
    <t>Direct Labour Unit Cost ($2018)</t>
  </si>
  <si>
    <t>Direct Material Unit Cost ($2018)</t>
  </si>
  <si>
    <t>Direct Contracts Unit Cost ($2018)</t>
  </si>
  <si>
    <t>Direct Other Unit Cost ($2018)</t>
  </si>
  <si>
    <t>Number of Units Input</t>
  </si>
  <si>
    <t>P50 Direct Cost - $000's, real $2018</t>
  </si>
  <si>
    <t>CPI - $2018 to nominal</t>
  </si>
  <si>
    <t>Downer Cost Allocation ($2018) - Lines Portion Only</t>
  </si>
  <si>
    <t>Downer Cost Allocation ($2018) - Customer Portion Only</t>
  </si>
  <si>
    <t>Downer Cost Allocation ($2018) - Total</t>
  </si>
  <si>
    <t>Downer Contract inflation</t>
  </si>
  <si>
    <t>Nominal</t>
  </si>
  <si>
    <t>Gross Capex ($m)</t>
  </si>
  <si>
    <t>Customer Contributions ($m)</t>
  </si>
  <si>
    <t>Land</t>
  </si>
  <si>
    <t>Direct Expenditure ($2018) - Excluding Downer Contract Costs</t>
  </si>
  <si>
    <t>Demand driven Augmentation</t>
  </si>
  <si>
    <t>FY22</t>
  </si>
  <si>
    <t>FY23</t>
  </si>
  <si>
    <t>CY19</t>
  </si>
  <si>
    <t>CY20</t>
  </si>
  <si>
    <t>Grand Total (Gross)</t>
  </si>
  <si>
    <t>End $2020 to Nominal</t>
  </si>
  <si>
    <t>Index - Nominal to End $2020</t>
  </si>
  <si>
    <t>REFCL T3</t>
  </si>
  <si>
    <t>REFCL Program</t>
  </si>
  <si>
    <t>REFCL</t>
  </si>
  <si>
    <t>Subtransmission/Augmentation Expenditure</t>
  </si>
  <si>
    <t>Distribution system assets/Augmentation Expenditure</t>
  </si>
  <si>
    <t>Distribution system assets/Replacement expenditure</t>
  </si>
  <si>
    <t>SCADA/Network control/Augmentation Expenditure</t>
  </si>
  <si>
    <t>SCADA/Network control/Replacement expenditure</t>
  </si>
  <si>
    <t>Non-network general assets - Other/Non-network</t>
  </si>
  <si>
    <t>Central Region Feeders</t>
  </si>
  <si>
    <t>Power Quality Monitoring (Meter Installations)</t>
  </si>
  <si>
    <t>Hosting Capacity Development (DER)</t>
  </si>
  <si>
    <t xml:space="preserve">New CLN24 feeder </t>
  </si>
  <si>
    <t>New CLN31 Feeder</t>
  </si>
  <si>
    <t>Reconfigure feeders Ex-CRE</t>
  </si>
  <si>
    <t>Upgrade KLO14 feeder</t>
  </si>
  <si>
    <t>WOTS 22 kV Zone Sub Feeder Reconfiguration  </t>
  </si>
  <si>
    <t>Distribution Network</t>
  </si>
  <si>
    <t>Augex Project</t>
  </si>
  <si>
    <t>Augex Project (NEW)</t>
  </si>
  <si>
    <t>DER</t>
  </si>
  <si>
    <t>Augex Program</t>
  </si>
  <si>
    <t>Maffra Refurbishment</t>
  </si>
  <si>
    <t>Benalla Refurbishment</t>
  </si>
  <si>
    <t>Watsonia Refurbishment</t>
  </si>
  <si>
    <t>Thomastown Refurbishment</t>
  </si>
  <si>
    <t>New</t>
  </si>
  <si>
    <t>Newmeralla Refurbishment</t>
  </si>
  <si>
    <t>Traralgon Stage 2 Refurbishment</t>
  </si>
  <si>
    <t>Bayswater Refurbishment</t>
  </si>
  <si>
    <t>Warragul Refurbishment</t>
  </si>
  <si>
    <t>Security Enhancement</t>
  </si>
  <si>
    <t>Property - Land Acquisition</t>
  </si>
  <si>
    <t>Duplicate 22kV Bus Tie Protection at KLO and CPK</t>
  </si>
  <si>
    <t>DC Supplies Upgrade (2006 Install EOL)</t>
  </si>
  <si>
    <t>ZSS - non-AVE VRR replacement program</t>
  </si>
  <si>
    <t>Gov Funded</t>
  </si>
  <si>
    <t>66kV Circuit breakers</t>
  </si>
  <si>
    <t xml:space="preserve">22kV Circuit breakers </t>
  </si>
  <si>
    <t>66kV Surge arresters</t>
  </si>
  <si>
    <t xml:space="preserve">22 kV Surge Arresters </t>
  </si>
  <si>
    <t>Conductor - Cu HV</t>
  </si>
  <si>
    <t>Conductor replacement - Codified</t>
  </si>
  <si>
    <t>Codified Areas - Proactive insulation/undergrounding</t>
  </si>
  <si>
    <t>Augmentation - Demand related</t>
  </si>
  <si>
    <t>Non-Network Other</t>
  </si>
  <si>
    <t>Capex by Purpose</t>
  </si>
  <si>
    <t>$2015 to nominal</t>
  </si>
  <si>
    <t>Innovation</t>
  </si>
  <si>
    <t>Direct cost composition - New Connections ($2018)</t>
  </si>
  <si>
    <t>Repex / Augex</t>
  </si>
  <si>
    <t>Connections Only</t>
  </si>
  <si>
    <t>Augex</t>
  </si>
  <si>
    <t>Repex</t>
  </si>
  <si>
    <t>Total Overheads - $2018</t>
  </si>
  <si>
    <t>Connections - Gifted</t>
  </si>
  <si>
    <t>Augex / Repex</t>
  </si>
  <si>
    <t>LV Network Capacity and Voltage Management Program (formerly Distribution transformer Upgrades)</t>
  </si>
  <si>
    <t>NERs &amp; NEDs Health Monitoring</t>
  </si>
  <si>
    <t>Distribution subs - ground type</t>
  </si>
  <si>
    <t>Distribution subs - pole top</t>
  </si>
  <si>
    <t>Instrument transformers - CTs - 66kV</t>
  </si>
  <si>
    <t>Instrument transformers - CTs - 22kV</t>
  </si>
  <si>
    <t>Power Transformer Life Extension</t>
  </si>
  <si>
    <t>Power Transformer Risk Mitigation</t>
  </si>
  <si>
    <t>Circuit Breakers &amp; disconnectors</t>
  </si>
  <si>
    <t>Conductors - SWER</t>
  </si>
  <si>
    <t>Power Transformer Replacement 20MVA</t>
  </si>
  <si>
    <t>Power Transformer Replacement 5MVA</t>
  </si>
  <si>
    <t>BDSS - Replace Obsolete Protection Schemes on High Value Assets</t>
  </si>
  <si>
    <t>ZSS - Replace Obsolete 22kV Bus, BUEF and MEF Protection Schemes</t>
  </si>
  <si>
    <t>ZSS - Replace Obsolete and Non-Compliant 22kV Feeder Protection Schemes</t>
  </si>
  <si>
    <t xml:space="preserve">ZSS - Obsolete 66kV Bus Distance Relay replacement </t>
  </si>
  <si>
    <t>Network Overheads Allocation</t>
  </si>
  <si>
    <t>Subtotal</t>
  </si>
  <si>
    <t>Non-Network</t>
  </si>
  <si>
    <t>Control Totals</t>
  </si>
  <si>
    <t>Non-network IT</t>
  </si>
  <si>
    <t>Total Network Classes</t>
  </si>
  <si>
    <t>Grand Totals</t>
  </si>
  <si>
    <t>Safety (excl REFCLs)</t>
  </si>
  <si>
    <t>REFCL (excl Non-network)</t>
  </si>
  <si>
    <t>Capitalised Overheads, $2018</t>
  </si>
  <si>
    <t>Total Expenditure, $2018</t>
  </si>
  <si>
    <t>Safety Expenditure</t>
  </si>
  <si>
    <t>Direct Costs incl Labour escalation, $2018</t>
  </si>
  <si>
    <t>Downer Contractor support costs (previously known as "Tenix overheads") are treated as direct costs inputs in our annual regulatory accounts and are therefore included in forecast Direct expenditures in this model</t>
  </si>
  <si>
    <t>Augmentation - Non-Demand related</t>
  </si>
  <si>
    <t>Non Safety related</t>
  </si>
  <si>
    <t>Safety re-allocations</t>
  </si>
  <si>
    <t>Direct costs incl Labour escalation, $2018</t>
  </si>
  <si>
    <t>Non Network IT</t>
  </si>
  <si>
    <t>Labour escalation, $2018</t>
  </si>
  <si>
    <t>Total Direct Expenditure, $2018</t>
  </si>
  <si>
    <t>Total Non-Network</t>
  </si>
  <si>
    <t>Non-Network (excl REFCL)</t>
  </si>
  <si>
    <t>P50 Direct Expenditure excluding Labour escalation, $2018</t>
  </si>
  <si>
    <t>P50 Direct Expenditure including Labour escalation, $2018</t>
  </si>
  <si>
    <t>Capex by Driver</t>
  </si>
  <si>
    <t>Grand Total</t>
  </si>
  <si>
    <t>Downer Support Costs</t>
  </si>
  <si>
    <t>Overhead rates</t>
  </si>
  <si>
    <t>Connections - Cash Capex</t>
  </si>
  <si>
    <t>Network Capex subject to Overheads (incl Repex, Augex, Connections)</t>
  </si>
  <si>
    <t>For RIN Template population:-</t>
  </si>
  <si>
    <t>Regulatory Forecast Expenditure</t>
  </si>
  <si>
    <t>CPI - 8 cities - Jun Qtr, 1yr lagged</t>
  </si>
  <si>
    <t>Non Network Safety Capex</t>
  </si>
  <si>
    <t>REFCL program</t>
  </si>
  <si>
    <t>CNMS Lifecycle Management</t>
  </si>
  <si>
    <t>Mesh Lifecycle Management - App</t>
  </si>
  <si>
    <t>Mesh Lifecycle Management - Comms</t>
  </si>
  <si>
    <t>Non-network - Metering related IT</t>
  </si>
  <si>
    <t>SCADA &amp; Comms - Metering</t>
  </si>
  <si>
    <t>Metering related IT systems</t>
  </si>
  <si>
    <t>SCADA/Network Control</t>
  </si>
  <si>
    <t>Metering SCS</t>
  </si>
  <si>
    <t>3G to 4G Comms Upgrade</t>
  </si>
  <si>
    <t>Network / Non Network Asset Category</t>
  </si>
  <si>
    <t>g.</t>
  </si>
  <si>
    <t>End $2015 to Mid Year $2018</t>
  </si>
  <si>
    <t>Total Direct $000's, real $2018</t>
  </si>
  <si>
    <t>P50 Direct $000's, real $2018</t>
  </si>
  <si>
    <t>Internal labour index - applied to labour costs in $2018</t>
  </si>
  <si>
    <t>Internal labour index - applied to labour costs in $2015</t>
  </si>
  <si>
    <t>External labour index - applied to labour costs in $2018</t>
  </si>
  <si>
    <t>External labour index - applied to labour costs in $2015</t>
  </si>
  <si>
    <t>East Region Feeders</t>
  </si>
  <si>
    <t>Conductor - Reactive Replacement LV &amp; MV</t>
  </si>
  <si>
    <t>Conductor - SWER (Non Codified)</t>
  </si>
  <si>
    <t>Electrical Earths</t>
  </si>
  <si>
    <t>Subtransmission Protection</t>
  </si>
  <si>
    <t xml:space="preserve">ZSS - Obsolete 66kV Line Distance Relay replacement </t>
  </si>
  <si>
    <t xml:space="preserve">Distribution feeders </t>
  </si>
  <si>
    <t>End $2015 to End $2020</t>
  </si>
  <si>
    <t>Property - Buildings Acquisition &amp; depot upgrades</t>
  </si>
  <si>
    <t>P50 Direct incl labour escalation, $2018</t>
  </si>
  <si>
    <t>P50 Direct excl labour escalation, $2018</t>
  </si>
  <si>
    <t>Other - Metering Business Communications</t>
  </si>
  <si>
    <t>Other - Metering Comms Battery purchases</t>
  </si>
  <si>
    <t>CY16</t>
  </si>
  <si>
    <t>CY17</t>
  </si>
  <si>
    <t>CY18</t>
  </si>
  <si>
    <t>Act</t>
  </si>
  <si>
    <t>F'cast</t>
  </si>
  <si>
    <t>REFCL Driven Augmentation  (Safety)</t>
  </si>
  <si>
    <t>Safety (incl REFCL Augm)</t>
  </si>
  <si>
    <t>REFCL Program (Incl Non-network)</t>
  </si>
  <si>
    <t>real $2018</t>
  </si>
  <si>
    <t>P50 Direct Inputs - All Tranches</t>
  </si>
  <si>
    <t>Ntwk Balancing &amp; Isol Subs</t>
  </si>
  <si>
    <t>Feeder asset replacement</t>
  </si>
  <si>
    <t>Live line Equipment</t>
  </si>
  <si>
    <t>Non Ntwk</t>
  </si>
  <si>
    <t>WiMAX Network Asset Maintenance (Purchases)</t>
  </si>
  <si>
    <t>Mesh Network Asset Maintanenance</t>
  </si>
  <si>
    <t xml:space="preserve">North Region Feeders (From WOTS 22kV Zone Sub) </t>
  </si>
  <si>
    <t>Flexible DER - Dist. Transformer Sensing Devices</t>
  </si>
  <si>
    <t>Control Boxes &amp; ACRs</t>
  </si>
  <si>
    <t>MV Switches</t>
  </si>
  <si>
    <t>TRIO Remote and 3G Modem Replacement</t>
  </si>
  <si>
    <t>SDH/PDH and DIC Switch &amp; Serial Server Replacement</t>
  </si>
  <si>
    <t>Telephony Service (POTS to NBN) and TMR Console / Mobile Replacement</t>
  </si>
  <si>
    <t>Zone substation lighting</t>
  </si>
  <si>
    <t>SWER (Codified Areas)</t>
  </si>
  <si>
    <t>Bare conductor (Codified Areas)</t>
  </si>
  <si>
    <t>Arc Suppression Coil</t>
  </si>
  <si>
    <t>5 min meter data settlement and global settlements</t>
  </si>
  <si>
    <t>Non-network general assets - Land</t>
  </si>
  <si>
    <t>Top down adjustment</t>
  </si>
  <si>
    <t>REFCL driven Augmentation</t>
  </si>
  <si>
    <t>Voltage Compliance Program</t>
  </si>
  <si>
    <t xml:space="preserve">Summer Network Readiness Program </t>
  </si>
  <si>
    <t>Customer Supply Compliance Program</t>
  </si>
  <si>
    <t>Eliminating Network Operational Deficiencies Program</t>
  </si>
  <si>
    <t>real $2018 to $Jun 2021</t>
  </si>
  <si>
    <t>Real Jun $2021</t>
  </si>
  <si>
    <t>ZSS fencing upgrade</t>
  </si>
  <si>
    <t>$2018 to Jun $2021</t>
  </si>
  <si>
    <t>REFCL Contingent projects (T1 / T2 / T3)</t>
  </si>
  <si>
    <t>Non-Network Leasehold Land &amp; Buildings</t>
  </si>
  <si>
    <t>Capitalised leases</t>
  </si>
  <si>
    <t>Capitalised Leases</t>
  </si>
  <si>
    <t>2022-26</t>
  </si>
  <si>
    <t>2027-31</t>
  </si>
  <si>
    <t>FY24</t>
  </si>
  <si>
    <t>FY25</t>
  </si>
  <si>
    <t>FY26</t>
  </si>
  <si>
    <t>real Jun $2021</t>
  </si>
  <si>
    <t>REFCL Program labour / non-labour splits</t>
  </si>
  <si>
    <t>Per IT Capex model FY22-26</t>
  </si>
  <si>
    <t>Forecast 
($0's, real June 2021)</t>
  </si>
  <si>
    <t>High Level Program split - Recurrent</t>
  </si>
  <si>
    <t>High Level Program split - Non-recurrent</t>
  </si>
  <si>
    <t>High Level Program split - Client device</t>
  </si>
  <si>
    <t>DER - ICT - Non-recurrent</t>
  </si>
  <si>
    <t>ICT</t>
  </si>
  <si>
    <t>Direct P50, including labour escalation ($2018)</t>
  </si>
  <si>
    <t>6 mths</t>
  </si>
  <si>
    <t>Direct P50, including labour escalation ($Jun 2021)</t>
  </si>
  <si>
    <t>Stub</t>
  </si>
  <si>
    <t>Downer Electricity Contract - Support Costs forecast</t>
  </si>
  <si>
    <t>Downer Support costs, $2018</t>
  </si>
  <si>
    <t>before Downer support cost allocation</t>
  </si>
  <si>
    <t>P50 Direct Expenditure Forecast ($2018) - excluding Downer Contracts</t>
  </si>
  <si>
    <t>LV Circuit Breakers</t>
  </si>
  <si>
    <t>EXPENDITURE
($'0s, real June 2021)</t>
  </si>
  <si>
    <t>Forecast ($0's, real June 2021)</t>
  </si>
  <si>
    <t>Total Capex excl OH</t>
  </si>
  <si>
    <t>2020-21</t>
  </si>
  <si>
    <t>2021-22</t>
  </si>
  <si>
    <t>2022-23</t>
  </si>
  <si>
    <t>2023-24</t>
  </si>
  <si>
    <t>2024-25</t>
  </si>
  <si>
    <t>2025-26</t>
  </si>
  <si>
    <t>2019-20</t>
  </si>
  <si>
    <t xml:space="preserve">Calendar year forecast </t>
  </si>
  <si>
    <t>CY2019</t>
  </si>
  <si>
    <t>CY2020</t>
  </si>
  <si>
    <t>Direct, $Nominal</t>
  </si>
  <si>
    <t>In-house labour expenditure</t>
  </si>
  <si>
    <t>Labour expenditure outsourced to related parties</t>
  </si>
  <si>
    <t>Labour expenditure outsourced to unrelated parties</t>
  </si>
  <si>
    <t>Controllable non-labour expenditure</t>
  </si>
  <si>
    <t>Uncontrollable non-labour expenditure</t>
  </si>
  <si>
    <t>Total Capex incl OHD, net of contributions</t>
  </si>
  <si>
    <t>real $Jun 2021</t>
  </si>
  <si>
    <t>2.11 Labour - Capex</t>
  </si>
  <si>
    <t>2.1.8 - STANDARD CONTROL SERVICES CAPITALISED OVERHEADS</t>
  </si>
  <si>
    <t>capcons (included in the above)</t>
  </si>
  <si>
    <t>Forecast 
($0's, real $2018)</t>
  </si>
  <si>
    <t>6 months</t>
  </si>
  <si>
    <t>Capitalised Overheads, $Nominal</t>
  </si>
  <si>
    <t>This line does not get included in the total</t>
  </si>
  <si>
    <t>3 Year</t>
  </si>
  <si>
    <t>Average</t>
  </si>
  <si>
    <t>June Financial Years:-</t>
  </si>
  <si>
    <t>Buidling Services - Other</t>
  </si>
  <si>
    <t>Land purchases - REFCL</t>
  </si>
  <si>
    <t>Live line equipment</t>
  </si>
  <si>
    <t>REFCL Augmentation</t>
  </si>
  <si>
    <t>REFCL Tranches and REFCL Augmentation</t>
  </si>
  <si>
    <t>Total REFCL Capex</t>
  </si>
  <si>
    <t>DER Capex View</t>
  </si>
  <si>
    <t>Jan-Jun-21</t>
  </si>
  <si>
    <t>source: 2018 Actual Input Table Splits (excluding 'IT &amp; Comms splits' and 'Other Comms' splits).</t>
  </si>
  <si>
    <t>Medium Density Housing</t>
  </si>
  <si>
    <t>U/Ground Service Installation</t>
  </si>
  <si>
    <t>Business Supply Projects</t>
  </si>
  <si>
    <t>Private Electric Line Repl</t>
  </si>
  <si>
    <t>Low Density Housing - Subdivision</t>
  </si>
  <si>
    <t>Meters T/Switches &amp; Services</t>
  </si>
  <si>
    <t>Recoverable &amp; Special Works</t>
  </si>
  <si>
    <t>Cogeneration Projects</t>
  </si>
  <si>
    <t>Public Lighting Projects - Minor</t>
  </si>
  <si>
    <t>Public Lighting Capital - Major</t>
  </si>
  <si>
    <t>Complex residential supply projects</t>
  </si>
  <si>
    <t>Total Capex incl Overheads, $2018</t>
  </si>
  <si>
    <t>Total Capex incl Overheads, $2021</t>
  </si>
  <si>
    <t>P50 Direct incl labour escalation, $2021</t>
  </si>
  <si>
    <t>Forecast
($000's, real)</t>
  </si>
  <si>
    <t>Source: AER Category Analysis Templates 2009-13, 2014 - 2018</t>
  </si>
  <si>
    <t>Capitalised Overheads - Standard Control</t>
  </si>
  <si>
    <t>$Nominal</t>
  </si>
  <si>
    <t>Total Safety Expenditure  (Replacement, Augmentation, Non Network)</t>
  </si>
  <si>
    <t>(before Downer support cost allocation)</t>
  </si>
  <si>
    <t>Total Capitalised Overheads - SCS ($m)</t>
  </si>
  <si>
    <t>Excludes REFCL tranches volumes</t>
  </si>
  <si>
    <t>Capitalised Overheads are applied to Network and IT Capex categories.  Non Network Other (e.g, property, vehicles, tools, etc.) does not include an overheads allocation.</t>
  </si>
  <si>
    <t>Supporting calculation for the Network Overhead rates: -</t>
  </si>
  <si>
    <t>Direct Capex by Purpose (excl. Non Network)</t>
  </si>
  <si>
    <t>Total Connections - Excluding Gifted Assets</t>
  </si>
  <si>
    <t>Total Connections - Including Gifted Assets</t>
  </si>
  <si>
    <t>New Connections Direct costs subject to Overheads (Incl Downer)</t>
  </si>
  <si>
    <t>Lifecycle</t>
  </si>
  <si>
    <t>Metering lifecycle initiatives</t>
  </si>
  <si>
    <t>Forecast Overheads by stream</t>
  </si>
  <si>
    <t>2.1.8 Overheads</t>
  </si>
  <si>
    <t>2.11 Labour</t>
  </si>
  <si>
    <t>5.2 Selected Reporting Views</t>
  </si>
  <si>
    <t>DER related Capex</t>
  </si>
  <si>
    <t>REFCL Capex</t>
  </si>
  <si>
    <t>REFCL T1</t>
  </si>
  <si>
    <t>REFCL T2</t>
  </si>
  <si>
    <t>Overhead Cable</t>
  </si>
  <si>
    <t>Proactive replacement of bare SWER conductor in Codified Areas with HV ABC</t>
  </si>
  <si>
    <t>Tranche 3 REFCL Construction, Testing and Commissioning</t>
  </si>
  <si>
    <t>Augmentation to address the capacitive current seen by REFCL's</t>
  </si>
  <si>
    <t>Table 1A - Direct P50, including labour escalation ($2018)</t>
  </si>
  <si>
    <t>Table 1B - Direct P50, including labour escalation ($Jun 2021)</t>
  </si>
  <si>
    <t>Historical / Actual</t>
  </si>
  <si>
    <t>Jan-Jun21</t>
  </si>
  <si>
    <r>
      <t xml:space="preserve">Safety </t>
    </r>
    <r>
      <rPr>
        <vertAlign val="superscript"/>
        <sz val="9.35"/>
        <color theme="1"/>
        <rFont val="Calibri"/>
        <family val="2"/>
      </rPr>
      <t>3</t>
    </r>
  </si>
  <si>
    <r>
      <t xml:space="preserve">Total Gross Capex (Jun $2021) </t>
    </r>
    <r>
      <rPr>
        <b/>
        <vertAlign val="superscript"/>
        <sz val="9.35"/>
        <color theme="1"/>
        <rFont val="Calibri"/>
        <family val="2"/>
      </rPr>
      <t>1</t>
    </r>
  </si>
  <si>
    <r>
      <t xml:space="preserve">Net Capex - Total (Jun $2021) </t>
    </r>
    <r>
      <rPr>
        <b/>
        <vertAlign val="superscript"/>
        <sz val="9.35"/>
        <color theme="1"/>
        <rFont val="Calibri"/>
        <family val="2"/>
      </rPr>
      <t>2</t>
    </r>
  </si>
  <si>
    <t>1. Excludes equity raising costs</t>
  </si>
  <si>
    <t>2. Net Capex before asset disposals</t>
  </si>
  <si>
    <t>3. Govt funded safety (powerline replacement fund) is included in 2014 and 2015 actual gross capex and contributions.  From 2016 onward these costs and contributions are excluded from SCS capex</t>
  </si>
  <si>
    <t>Table 2: Capital Contributions</t>
  </si>
  <si>
    <t>Contributions by driver</t>
  </si>
  <si>
    <t>Government funded (PRF)</t>
  </si>
  <si>
    <t>Contributions - Total (Jun $2021)</t>
  </si>
  <si>
    <t>Capex net of contributions (Jun $2021)</t>
  </si>
  <si>
    <t>2021-25</t>
  </si>
  <si>
    <t>Demand driven Augex - net of contributions</t>
  </si>
  <si>
    <t>Safety (exc REFCL) - net of contributions</t>
  </si>
  <si>
    <t>Connections - net of contributions</t>
  </si>
  <si>
    <t>Real $Jun-21</t>
  </si>
  <si>
    <t>Table 1: Gross Capex including capcons</t>
  </si>
  <si>
    <t>Total Capital Contributions (Jun $2021)</t>
  </si>
  <si>
    <t>Total 2016-20 Forecast Net Capex</t>
  </si>
  <si>
    <t>% Reduction to 2016-20 period</t>
  </si>
  <si>
    <t>Safety - REFCL driven Augmentation</t>
  </si>
  <si>
    <t>Capex Driver</t>
  </si>
  <si>
    <t>FY22-26 Forecast</t>
  </si>
  <si>
    <t>PTRM output - Standard Control Services</t>
  </si>
  <si>
    <t>Capex Drivers - Standard Control Services</t>
  </si>
  <si>
    <t>$m, Jun $2021</t>
  </si>
  <si>
    <t>REFCL Tranches (incl Non-network)</t>
  </si>
  <si>
    <t>Table 1A - Direct costs including labour escalation, $Jun 2021</t>
  </si>
  <si>
    <t>Table 1B - Direct costs including labour escalation, $Jun 2021 - FY basis</t>
  </si>
  <si>
    <t>Replacement Expenditure</t>
  </si>
  <si>
    <t>Table 1D - Direct costs including labour escalation, $Jun 2021 - FY basis</t>
  </si>
  <si>
    <t>Table 1C - Direct costs including labour escalation, $Jun 2021</t>
  </si>
  <si>
    <t>Total T1-T3</t>
  </si>
  <si>
    <t>Subtotal Tranches 1-3</t>
  </si>
  <si>
    <t>Metering related IT systems (SCS)</t>
  </si>
  <si>
    <t>Capex 2016-2026</t>
  </si>
  <si>
    <t>MV capex profile</t>
  </si>
  <si>
    <t>Metering Comms Replacement (SCS)</t>
  </si>
  <si>
    <t>Source: AusNet Services' 2018 RIN expenditure analysis</t>
  </si>
  <si>
    <t>Table 1E - Direct costs including labour escalation, $Jun 2021 - FY basis</t>
  </si>
  <si>
    <t>Confidential</t>
  </si>
  <si>
    <t>$2018</t>
  </si>
  <si>
    <t>$Jun-21</t>
  </si>
  <si>
    <t>(includes Downer support)</t>
  </si>
  <si>
    <t>Zone Substation Works</t>
  </si>
  <si>
    <t>Capitalised Overheads - Standard Control Services</t>
  </si>
  <si>
    <t>CLN 3rd 20/33MVA Transformer</t>
  </si>
  <si>
    <t>DRN 3rd 20/33MVA Transformer</t>
  </si>
  <si>
    <t>See Connections Capex Forecast model</t>
  </si>
  <si>
    <t>Note: This sheet is left blank intentionally</t>
  </si>
  <si>
    <t>--&gt; source: ASD Connections Capex forecast model 2021-26</t>
  </si>
  <si>
    <t>(source: ASD Connections Capex forecast model 2021-26)</t>
  </si>
  <si>
    <t>Reg_Forecast!G8:U8</t>
  </si>
  <si>
    <t>Reg_Forecast!G13:U13</t>
  </si>
  <si>
    <t>Downer_Contract!U12</t>
  </si>
  <si>
    <t>Downer_Contract!U19:AB19</t>
  </si>
  <si>
    <t>AusNet_Overheads!H62:O62</t>
  </si>
  <si>
    <t>AusNet_Overheads!H46:O46</t>
  </si>
  <si>
    <t>AusNet_Overheads!H47:O47</t>
  </si>
  <si>
    <t>AusNet_Overheads!H41:J41</t>
  </si>
  <si>
    <t>Base_Forecast!H13:X13</t>
  </si>
  <si>
    <t>Proposal</t>
  </si>
  <si>
    <t>Real $2018</t>
  </si>
  <si>
    <t>CPI Forecast</t>
  </si>
  <si>
    <t>CPI Indexes (June Quarter)</t>
  </si>
  <si>
    <t>Escalation!L6:Q6</t>
  </si>
  <si>
    <t>Escalation!J17:Q17</t>
  </si>
  <si>
    <t>Escalation!J19:Q19</t>
  </si>
  <si>
    <t>Downer Support'!H9:I9</t>
  </si>
  <si>
    <t>Downer Support'!H7:O7</t>
  </si>
  <si>
    <t>Location in Connections Model</t>
  </si>
  <si>
    <t>Location in Capex Model</t>
  </si>
  <si>
    <t>RFM_PTRM!O21:S28</t>
  </si>
  <si>
    <t>PTRM Inputs  (Real $2021)</t>
  </si>
  <si>
    <t>Non-network general assets - IT as % of "ICT Infrastructure"</t>
  </si>
  <si>
    <t>PTRM Data Inputs</t>
  </si>
  <si>
    <t>Proposal capex Model</t>
  </si>
  <si>
    <t>Direct Capex</t>
  </si>
  <si>
    <t>Fixed Overheads</t>
  </si>
  <si>
    <t>Variable Overheads</t>
  </si>
  <si>
    <t>Variable Overheads Rate</t>
  </si>
  <si>
    <t>IT Capitalised Overheads</t>
  </si>
  <si>
    <t>Network Capitalised Overheads</t>
  </si>
  <si>
    <t>AER Overheads</t>
  </si>
  <si>
    <t>Direct Capex attracting Overheads</t>
  </si>
  <si>
    <t>check</t>
  </si>
  <si>
    <t>TOTAL</t>
  </si>
  <si>
    <t>Forecast Immediate Expensing of Capital Expenditure ($m)</t>
  </si>
  <si>
    <t>Non- Network Leasehold Land &amp; Buildings - 2021-22</t>
  </si>
  <si>
    <t>Non- Network Leasehold Land &amp; Buildings - 2025-26</t>
  </si>
  <si>
    <t>Buildings</t>
  </si>
  <si>
    <t>in-house software</t>
  </si>
  <si>
    <t>Disposals</t>
  </si>
  <si>
    <t>Disposals ($m) obtained from response to IR#15</t>
  </si>
  <si>
    <t>2021-22 COVID adjustment ratio</t>
  </si>
  <si>
    <t>Jan21-Jun21</t>
  </si>
  <si>
    <t>2021/22</t>
  </si>
  <si>
    <t>2022/23</t>
  </si>
  <si>
    <t>2023/24</t>
  </si>
  <si>
    <t>2024/25</t>
  </si>
  <si>
    <t>2025/26</t>
  </si>
  <si>
    <t>source: actual CPI Jan2021-Jun2021 (Draft Decision RFM) and forecast CPI for FY22-26 (Draft Decision PTRM model - 2022-26)</t>
  </si>
  <si>
    <t>Net capex excluding disposals</t>
  </si>
  <si>
    <t>COGENERATION PROJECTS</t>
  </si>
  <si>
    <t>TURNKEY - GIFTED ASSETS</t>
  </si>
  <si>
    <t>ASD Revised Proposal</t>
  </si>
  <si>
    <t>Direct Capex attracting overheads</t>
  </si>
  <si>
    <t>Network Direct capex increase / decrease</t>
  </si>
  <si>
    <t>Revised Variable Overheads</t>
  </si>
  <si>
    <t>IT Direct capex increase / decrease</t>
  </si>
  <si>
    <t>Index - Mid Year Nominal to $2021</t>
  </si>
  <si>
    <t>Mid $2018 to Mid Year Nominal</t>
  </si>
  <si>
    <t>Bushfire passthrough</t>
  </si>
  <si>
    <t>Revised total KLO forecast direct - $2018</t>
  </si>
  <si>
    <t>Total KLO allowance CPA3 - $2018</t>
  </si>
  <si>
    <t>Incremental KLO costs - $2018</t>
  </si>
  <si>
    <t>Subtotal REFCL T3 capex forecast - real $2018</t>
  </si>
  <si>
    <t>P50 Direct Costs Allowance (including labour escalation adjustments)</t>
  </si>
  <si>
    <t>BN</t>
  </si>
  <si>
    <t>KLO</t>
  </si>
  <si>
    <t>LLG</t>
  </si>
  <si>
    <t>MSD</t>
  </si>
  <si>
    <t>SLE</t>
  </si>
  <si>
    <t>KLO2</t>
  </si>
  <si>
    <t>Other Program costs</t>
  </si>
  <si>
    <t>source</t>
  </si>
  <si>
    <t>per above table</t>
  </si>
  <si>
    <t>Jan-Jun21*</t>
  </si>
  <si>
    <t>*Note, Jan-Jun-21 capex allowance is based on CY2020 allowance, halved (AER)</t>
  </si>
  <si>
    <t>Incrremental KLO cost calculation</t>
  </si>
  <si>
    <t>REFCL Contingent Project 3 - Cost information</t>
  </si>
  <si>
    <t>Project Total ($2018)</t>
  </si>
  <si>
    <t>revised KLO</t>
  </si>
  <si>
    <t>KLO adjustment</t>
  </si>
  <si>
    <t>Safety capex</t>
  </si>
  <si>
    <t xml:space="preserve">Total Overheads (Nominal) </t>
  </si>
  <si>
    <t>Capitalised overheads</t>
  </si>
  <si>
    <t>Capital contributions included in the above</t>
  </si>
  <si>
    <t>Total Direct costs</t>
  </si>
  <si>
    <t>Annual RIN - 8.2.1 - Capex by Purpose - STANDARD CONTROL SERVICES (includes gifted assets)</t>
  </si>
  <si>
    <t>Table 2a: Capital Contributions - $Nominal</t>
  </si>
  <si>
    <t>Capitalised Overheads</t>
  </si>
  <si>
    <t>Direct</t>
  </si>
  <si>
    <t>Indirect</t>
  </si>
  <si>
    <t>Total net of contributions</t>
  </si>
  <si>
    <t>Total Gross</t>
  </si>
  <si>
    <t>Total Gross Capex (Jun $2021)</t>
  </si>
  <si>
    <t>Net Capex before disposals (Jun $2021)</t>
  </si>
  <si>
    <t>Net Capex before Disposals ($m)</t>
  </si>
  <si>
    <t>real Mid-Year $2018 to $Jun 2021</t>
  </si>
  <si>
    <t xml:space="preserve">Connections </t>
  </si>
  <si>
    <t>Overhead rates (applied to capex subject to overheads)</t>
  </si>
  <si>
    <t>IT program</t>
  </si>
  <si>
    <t>REFCL Tranches</t>
  </si>
  <si>
    <t>Table 1b: Indirect overheads allocation, $m real Jun $2021</t>
  </si>
  <si>
    <t>IT overhead rate</t>
  </si>
  <si>
    <t>IT overheads - total</t>
  </si>
  <si>
    <t>Direct expenditure - $Nominal</t>
  </si>
  <si>
    <t>Metering related IT systems (SCS) - 5 min meter data settlement and global settlements</t>
  </si>
  <si>
    <t>Non-network - Other</t>
  </si>
  <si>
    <t>Non-network - IT</t>
  </si>
  <si>
    <t>REFCL Tranches only (T1-T3), including IT</t>
  </si>
  <si>
    <t>(Including IT)</t>
  </si>
  <si>
    <t>2018-19</t>
  </si>
  <si>
    <t>2017-18</t>
  </si>
  <si>
    <t>2016-17</t>
  </si>
  <si>
    <t>real Mid Year $2018 to $Jun 2021</t>
  </si>
  <si>
    <t>2016-2026</t>
  </si>
  <si>
    <t>REFCL tranches composition (Direct costs):</t>
  </si>
  <si>
    <t>Total REFCL compliance</t>
  </si>
  <si>
    <t>source: ASD - KLO cost comparison - PUBLIC, December 2020</t>
  </si>
  <si>
    <t>Current period T3 KLO costs incurred (excl overheads), $2018</t>
  </si>
  <si>
    <t xml:space="preserve">Source: ASD - EDPR 2022-26 Revised Proposal - Labour Price Escalation calculation - 031220 - PUBLIC - 2019-26 forecasts based on an average of forecasts prepared by Deloitte &amp; BIS forecasts. Forecast of EGWWS Victoria real WPI. </t>
  </si>
  <si>
    <t>EGWWS Victoria real WPI</t>
  </si>
  <si>
    <t>DAE WPI</t>
  </si>
  <si>
    <t>3.5. Non Network Capex</t>
  </si>
  <si>
    <t>IT Capex composition (Direct costs), $Jun-21:</t>
  </si>
  <si>
    <t>Table 1a: Capex by driver, $m real Jun $2021</t>
  </si>
  <si>
    <t>Forecast 2022-26</t>
  </si>
  <si>
    <t>ASD – EDPR 2022-26 Revised Proposal – KLO Cost Comparison – 031220 – PUBLIC</t>
  </si>
  <si>
    <t>ASD – EDPR 2022-26 Revised Proposal – REFCL KLO Total Cost Model (2021-26) – 031220 – PUBLIC</t>
  </si>
  <si>
    <t>** Public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</si>
</sst>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quot;$&quot;#,##0_);[Red]\(&quot;$&quot;#,##0\)"/>
    <numFmt numFmtId="166" formatCode="#,##0.0"/>
    <numFmt numFmtId="167" formatCode="0.0%"/>
    <numFmt numFmtId="168" formatCode="0.000"/>
    <numFmt numFmtId="169" formatCode="0.0"/>
    <numFmt numFmtId="170" formatCode="0.0000"/>
    <numFmt numFmtId="171" formatCode="&quot;$&quot;#,##0"/>
    <numFmt numFmtId="172" formatCode="&quot;$&quot;#,##0.0"/>
    <numFmt numFmtId="173" formatCode="#,##0.000"/>
    <numFmt numFmtId="174" formatCode="_-* #,##0_-;\-* #,##0_-;_-* &quot;-&quot;??_-;_-@_-"/>
    <numFmt numFmtId="175" formatCode="#,##0_ ;[Red]\-#,##0\ "/>
    <numFmt numFmtId="176" formatCode="_-* #,##0.0_-;\-* #,##0.0_-;_-* &quot;-&quot;??_-;_-@_-"/>
    <numFmt numFmtId="177" formatCode="0.000000%"/>
    <numFmt numFmtId="178" formatCode="_-* #,##0.000_-;\-* #,##0.000_-;_-* &quot;-&quot;??_-;_-@_-"/>
    <numFmt numFmtId="179" formatCode="#,##0.00000"/>
    <numFmt numFmtId="180" formatCode="#,##0.000000"/>
    <numFmt numFmtId="181" formatCode="#,##0.0000000"/>
    <numFmt numFmtId="182" formatCode="0.0000%"/>
    <numFmt numFmtId="183" formatCode="0.00000000000000%"/>
    <numFmt numFmtId="184" formatCode="0.000000"/>
    <numFmt numFmtId="185" formatCode="0.000%"/>
    <numFmt numFmtId="186" formatCode="0.000000000000000000000%"/>
    <numFmt numFmtId="187" formatCode="_-* #,##0.00000_-;\-* #,##0.00000_-;_-* &quot;-&quot;??_-;_-@_-"/>
    <numFmt numFmtId="188" formatCode="_(* #,##0_);_(* \(#,##0\);_(* &quot;-&quot;??_);_(@_)"/>
    <numFmt numFmtId="189" formatCode="_(* #,##0.0_);_(* \(#,##0.0\);_(* &quot;-&quot;??_);_(@_)"/>
    <numFmt numFmtId="190" formatCode="_-* #,##0.0_-;\-* #,##0.0_-;_-* &quot;-&quot;?_-;_-@_-"/>
    <numFmt numFmtId="191" formatCode="_([$€-2]* #,##0.00_);_([$€-2]* \(#,##0.00\);_([$€-2]* &quot;-&quot;??_)"/>
    <numFmt numFmtId="192" formatCode="_(* #,##0.0_);_(* \(#,##0.0\);_(* &quot;-&quot;?_);_(@_)"/>
    <numFmt numFmtId="193" formatCode="_(* #,##0_);_(* \(#,##0\);_(* &quot;-&quot;?_);_(@_)"/>
    <numFmt numFmtId="194" formatCode="_-* #,##0.00_-;[Red]\(#,##0.00\)_-;_-* &quot;-&quot;??_-;_-@_-"/>
    <numFmt numFmtId="195" formatCode="mm/dd/yy"/>
    <numFmt numFmtId="196" formatCode="0_);[Red]\(0\)"/>
    <numFmt numFmtId="197" formatCode="#,##0.0_);\(#,##0.0\)"/>
    <numFmt numFmtId="198" formatCode="#,##0_ ;\-#,##0\ "/>
    <numFmt numFmtId="199" formatCode="#,##0;[Red]\(#,##0.0\)"/>
    <numFmt numFmtId="200" formatCode="#,##0_ ;[Red]\(#,##0\)\ "/>
    <numFmt numFmtId="201" formatCode="#,##0.00;\(#,##0.00\)"/>
    <numFmt numFmtId="202" formatCode="_)d\-mmm\-yy_)"/>
    <numFmt numFmtId="203" formatCode="_(#,##0.0_);\(#,##0.0\);_(&quot;-&quot;_)"/>
    <numFmt numFmtId="204" formatCode="_(###0_);\(###0\);_(###0_)"/>
    <numFmt numFmtId="205" formatCode="#,##0.0000_);[Red]\(#,##0.0000\)"/>
    <numFmt numFmtId="206" formatCode="#,##0.000_ ;[Red]\-#,##0.000\ "/>
  </numFmts>
  <fonts count="120">
    <font>
      <sz val="11"/>
      <color theme="1"/>
      <name val="Calibri"/>
      <family val="2"/>
      <scheme val="minor"/>
    </font>
    <font>
      <sz val="10"/>
      <color theme="1"/>
      <name val="Arial"/>
      <family val="2"/>
    </font>
    <font>
      <sz val="10"/>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14"/>
      <color rgb="FF002060"/>
      <name val="Calibri"/>
      <family val="2"/>
      <scheme val="minor"/>
    </font>
    <font>
      <b/>
      <sz val="16"/>
      <color rgb="FF002060"/>
      <name val="Calibri"/>
      <family val="2"/>
      <scheme val="minor"/>
    </font>
    <font>
      <b/>
      <sz val="11"/>
      <color rgb="FF002060"/>
      <name val="Calibri"/>
      <family val="2"/>
      <scheme val="minor"/>
    </font>
    <font>
      <u/>
      <sz val="11"/>
      <color rgb="FF002060"/>
      <name val="Calibri"/>
      <family val="2"/>
      <scheme val="minor"/>
    </font>
    <font>
      <sz val="11"/>
      <color rgb="FF002060"/>
      <name val="Calibri"/>
      <family val="2"/>
      <scheme val="minor"/>
    </font>
    <font>
      <sz val="10"/>
      <color theme="1"/>
      <name val="Calibri"/>
      <family val="2"/>
      <scheme val="minor"/>
    </font>
    <font>
      <i/>
      <sz val="11"/>
      <color rgb="FF002060"/>
      <name val="Calibri"/>
      <family val="2"/>
      <scheme val="minor"/>
    </font>
    <font>
      <i/>
      <sz val="11"/>
      <color theme="1"/>
      <name val="Calibri"/>
      <family val="2"/>
      <scheme val="minor"/>
    </font>
    <font>
      <u/>
      <sz val="10"/>
      <color theme="10"/>
      <name val="Calibri"/>
      <family val="2"/>
      <scheme val="minor"/>
    </font>
    <font>
      <u/>
      <sz val="11"/>
      <color theme="1"/>
      <name val="Calibri"/>
      <family val="2"/>
      <scheme val="minor"/>
    </font>
    <font>
      <sz val="11"/>
      <color rgb="FFC00000"/>
      <name val="Calibri"/>
      <family val="2"/>
      <scheme val="minor"/>
    </font>
    <font>
      <sz val="9"/>
      <color indexed="81"/>
      <name val="Tahoma"/>
      <family val="2"/>
    </font>
    <font>
      <b/>
      <sz val="9"/>
      <color indexed="81"/>
      <name val="Tahoma"/>
      <family val="2"/>
    </font>
    <font>
      <sz val="11"/>
      <color theme="0" tint="-0.499984740745262"/>
      <name val="Calibri"/>
      <family val="2"/>
      <scheme val="minor"/>
    </font>
    <font>
      <sz val="11"/>
      <name val="Calibri"/>
      <family val="2"/>
      <scheme val="minor"/>
    </font>
    <font>
      <sz val="11"/>
      <color theme="0"/>
      <name val="Calibri"/>
      <family val="2"/>
      <scheme val="minor"/>
    </font>
    <font>
      <u/>
      <sz val="11"/>
      <color theme="11"/>
      <name val="Calibri"/>
      <family val="2"/>
      <scheme val="minor"/>
    </font>
    <font>
      <sz val="11"/>
      <color rgb="FF800000"/>
      <name val="Calibri"/>
      <family val="2"/>
      <scheme val="minor"/>
    </font>
    <font>
      <sz val="11"/>
      <color rgb="FF0070C0"/>
      <name val="Calibri"/>
      <family val="2"/>
      <scheme val="minor"/>
    </font>
    <font>
      <i/>
      <sz val="11"/>
      <color theme="3"/>
      <name val="Calibri"/>
      <family val="2"/>
      <scheme val="minor"/>
    </font>
    <font>
      <sz val="11"/>
      <color theme="3"/>
      <name val="Calibri"/>
      <family val="2"/>
      <scheme val="minor"/>
    </font>
    <font>
      <b/>
      <sz val="12"/>
      <color theme="0"/>
      <name val="Calibri"/>
      <family val="2"/>
      <scheme val="minor"/>
    </font>
    <font>
      <sz val="16"/>
      <color indexed="51"/>
      <name val="Arial Black"/>
      <family val="2"/>
    </font>
    <font>
      <b/>
      <sz val="10"/>
      <name val="Arial"/>
      <family val="2"/>
    </font>
    <font>
      <sz val="10"/>
      <name val="Arial"/>
      <family val="2"/>
    </font>
    <font>
      <sz val="10"/>
      <color rgb="FFFF0000"/>
      <name val="Arial"/>
      <family val="2"/>
    </font>
    <font>
      <b/>
      <sz val="11"/>
      <name val="Arial Black"/>
      <family val="2"/>
    </font>
    <font>
      <b/>
      <sz val="11"/>
      <color theme="3"/>
      <name val="Calibri"/>
      <family val="2"/>
      <scheme val="minor"/>
    </font>
    <font>
      <b/>
      <u/>
      <sz val="11"/>
      <color theme="1"/>
      <name val="Calibri"/>
      <family val="2"/>
      <scheme val="minor"/>
    </font>
    <font>
      <b/>
      <sz val="14"/>
      <color theme="1"/>
      <name val="Arial"/>
      <family val="2"/>
    </font>
    <font>
      <b/>
      <sz val="11"/>
      <name val="Arial"/>
      <family val="2"/>
    </font>
    <font>
      <b/>
      <sz val="11"/>
      <name val="Calibri"/>
      <family val="2"/>
      <scheme val="minor"/>
    </font>
    <font>
      <sz val="11"/>
      <color theme="1"/>
      <name val="Arial"/>
      <family val="2"/>
    </font>
    <font>
      <sz val="11"/>
      <name val="Arial"/>
      <family val="2"/>
    </font>
    <font>
      <b/>
      <sz val="11"/>
      <color theme="1"/>
      <name val="Arial"/>
      <family val="2"/>
    </font>
    <font>
      <b/>
      <sz val="11"/>
      <color rgb="FFFF0000"/>
      <name val="Calibri"/>
      <family val="2"/>
      <scheme val="minor"/>
    </font>
    <font>
      <b/>
      <sz val="11"/>
      <color rgb="FF0070C0"/>
      <name val="Calibri"/>
      <family val="2"/>
      <scheme val="minor"/>
    </font>
    <font>
      <sz val="11"/>
      <color rgb="FF0000FF"/>
      <name val="Calibri"/>
      <family val="2"/>
      <scheme val="minor"/>
    </font>
    <font>
      <b/>
      <sz val="16"/>
      <color rgb="FFFF0000"/>
      <name val="Calibri"/>
      <family val="2"/>
      <scheme val="minor"/>
    </font>
    <font>
      <b/>
      <sz val="11"/>
      <color theme="0"/>
      <name val="Calibri"/>
      <family val="2"/>
      <scheme val="minor"/>
    </font>
    <font>
      <i/>
      <sz val="10"/>
      <color theme="1"/>
      <name val="Calibri"/>
      <family val="2"/>
      <scheme val="minor"/>
    </font>
    <font>
      <i/>
      <sz val="9"/>
      <color theme="1"/>
      <name val="Calibri"/>
      <family val="2"/>
      <scheme val="minor"/>
    </font>
    <font>
      <sz val="8"/>
      <name val="Calibri"/>
      <family val="2"/>
      <scheme val="minor"/>
    </font>
    <font>
      <vertAlign val="superscript"/>
      <sz val="9.35"/>
      <color theme="1"/>
      <name val="Calibri"/>
      <family val="2"/>
    </font>
    <font>
      <b/>
      <vertAlign val="superscript"/>
      <sz val="9.35"/>
      <color theme="1"/>
      <name val="Calibri"/>
      <family val="2"/>
    </font>
    <font>
      <sz val="12"/>
      <color rgb="FF0070C0"/>
      <name val="Calibri"/>
      <family val="2"/>
      <scheme val="minor"/>
    </font>
    <font>
      <b/>
      <sz val="14"/>
      <color theme="3"/>
      <name val="Calibri"/>
      <family val="2"/>
      <scheme val="minor"/>
    </font>
    <font>
      <b/>
      <sz val="14"/>
      <color rgb="FF0070C0"/>
      <name val="Calibri"/>
      <family val="2"/>
      <scheme val="minor"/>
    </font>
    <font>
      <b/>
      <sz val="11"/>
      <color rgb="FF0000FF"/>
      <name val="Calibri"/>
      <family val="2"/>
      <scheme val="minor"/>
    </font>
    <font>
      <b/>
      <sz val="11"/>
      <color rgb="FF0033CC"/>
      <name val="Calibri"/>
      <family val="2"/>
      <scheme val="minor"/>
    </font>
    <font>
      <b/>
      <i/>
      <sz val="11"/>
      <color rgb="FFFF0000"/>
      <name val="Calibri"/>
      <family val="2"/>
      <scheme val="minor"/>
    </font>
    <font>
      <b/>
      <u/>
      <sz val="11"/>
      <color rgb="FFFF0000"/>
      <name val="Calibri"/>
      <family val="2"/>
      <scheme val="minor"/>
    </font>
    <font>
      <b/>
      <sz val="10"/>
      <color theme="1"/>
      <name val="Arial"/>
      <family val="2"/>
    </font>
    <font>
      <b/>
      <sz val="10"/>
      <color rgb="FF0000FF"/>
      <name val="Arial"/>
      <family val="2"/>
    </font>
    <font>
      <b/>
      <i/>
      <sz val="11"/>
      <color theme="3"/>
      <name val="Calibri"/>
      <family val="2"/>
      <scheme val="minor"/>
    </font>
    <font>
      <b/>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2"/>
      <name val="Arial"/>
      <family val="2"/>
    </font>
    <font>
      <b/>
      <sz val="14"/>
      <name val="Arial"/>
      <family val="2"/>
    </font>
    <font>
      <b/>
      <sz val="9"/>
      <name val="Arial"/>
      <family val="2"/>
    </font>
    <font>
      <sz val="9"/>
      <name val="Arial"/>
      <family val="2"/>
    </font>
    <font>
      <sz val="10"/>
      <name val="Verdana"/>
      <family val="2"/>
    </font>
    <font>
      <b/>
      <sz val="16"/>
      <color indexed="9"/>
      <name val="Arial"/>
      <family val="2"/>
    </font>
    <font>
      <b/>
      <sz val="12"/>
      <color theme="0"/>
      <name val="Arial"/>
      <family val="2"/>
    </font>
    <font>
      <sz val="10"/>
      <name val="Helv"/>
      <charset val="204"/>
    </font>
    <font>
      <sz val="14"/>
      <name val="System"/>
      <family val="2"/>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b/>
      <sz val="9"/>
      <color indexed="9"/>
      <name val="Arial"/>
      <family val="2"/>
    </font>
    <font>
      <sz val="9"/>
      <color theme="1"/>
      <name val="Calibri"/>
      <family val="2"/>
      <scheme val="minor"/>
    </font>
  </fonts>
  <fills count="7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FF"/>
        <bgColor indexed="64"/>
      </patternFill>
    </fill>
    <fill>
      <patternFill patternType="solid">
        <fgColor rgb="FF0070C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FF"/>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FF9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8"/>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499984740745262"/>
        <bgColor indexed="64"/>
      </patternFill>
    </fill>
    <fill>
      <patternFill patternType="solid">
        <fgColor theme="8" tint="0.59999389629810485"/>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dotted">
        <color auto="1"/>
      </left>
      <right/>
      <top/>
      <bottom/>
      <diagonal/>
    </border>
    <border>
      <left style="dotted">
        <color auto="1"/>
      </left>
      <right/>
      <top/>
      <bottom style="thin">
        <color auto="1"/>
      </bottom>
      <diagonal/>
    </border>
    <border diagonalUp="1">
      <left/>
      <right/>
      <top/>
      <bottom style="thin">
        <color auto="1"/>
      </bottom>
      <diagonal style="thin">
        <color auto="1"/>
      </diagonal>
    </border>
    <border diagonalUp="1">
      <left/>
      <right/>
      <top/>
      <bottom/>
      <diagonal style="thin">
        <color auto="1"/>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diagonal/>
    </border>
    <border>
      <left style="medium">
        <color auto="1"/>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auto="1"/>
      </top>
      <bottom/>
      <diagonal/>
    </border>
    <border>
      <left style="thin">
        <color indexed="64"/>
      </left>
      <right/>
      <top style="thin">
        <color indexed="64"/>
      </top>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auto="1"/>
      </right>
      <top style="medium">
        <color indexed="64"/>
      </top>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top style="thin">
        <color theme="0" tint="-0.24994659260841701"/>
      </top>
      <bottom style="medium">
        <color auto="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indexed="64"/>
      </bottom>
      <diagonal/>
    </border>
    <border>
      <left style="medium">
        <color auto="1"/>
      </left>
      <right/>
      <top style="thin">
        <color indexed="64"/>
      </top>
      <bottom style="thin">
        <color theme="0" tint="-0.34998626667073579"/>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auto="1"/>
      </bottom>
      <diagonal/>
    </border>
    <border>
      <left style="medium">
        <color indexed="64"/>
      </left>
      <right style="medium">
        <color indexed="64"/>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right style="medium">
        <color auto="1"/>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Up="1">
      <left style="thin">
        <color auto="1"/>
      </left>
      <right/>
      <top/>
      <bottom/>
      <diagonal style="thin">
        <color auto="1"/>
      </diagonal>
    </border>
    <border diagonalUp="1">
      <left style="thin">
        <color indexed="64"/>
      </left>
      <right/>
      <top/>
      <bottom style="thin">
        <color auto="1"/>
      </bottom>
      <diagonal style="thin">
        <color auto="1"/>
      </diagonal>
    </border>
    <border>
      <left/>
      <right style="medium">
        <color indexed="64"/>
      </right>
      <top/>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top style="thin">
        <color theme="0" tint="-0.24994659260841701"/>
      </top>
      <bottom/>
      <diagonal/>
    </border>
    <border>
      <left/>
      <right style="thin">
        <color theme="0" tint="-0.24994659260841701"/>
      </right>
      <top/>
      <bottom style="medium">
        <color indexed="64"/>
      </bottom>
      <diagonal/>
    </border>
    <border>
      <left style="thin">
        <color indexed="64"/>
      </left>
      <right style="thin">
        <color theme="0" tint="-0.24994659260841701"/>
      </right>
      <top style="thin">
        <color auto="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medium">
        <color indexed="64"/>
      </bottom>
      <diagonal/>
    </border>
    <border>
      <left style="dotted">
        <color auto="1"/>
      </left>
      <right style="dotted">
        <color auto="1"/>
      </right>
      <top style="thin">
        <color indexed="64"/>
      </top>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medium">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diagonalUp="1">
      <left/>
      <right style="thin">
        <color auto="1"/>
      </right>
      <top/>
      <bottom/>
      <diagonal style="thin">
        <color auto="1"/>
      </diagonal>
    </border>
    <border diagonalUp="1">
      <left/>
      <right style="thin">
        <color auto="1"/>
      </right>
      <top/>
      <bottom style="thin">
        <color indexed="64"/>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78">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5" fillId="0" borderId="0" applyFont="0" applyFill="0" applyBorder="0" applyAlignment="0" applyProtection="0"/>
    <xf numFmtId="0" fontId="28" fillId="10" borderId="0">
      <alignment vertical="center"/>
      <protection locked="0"/>
    </xf>
    <xf numFmtId="0" fontId="31" fillId="35" borderId="0"/>
    <xf numFmtId="0" fontId="73" fillId="0" borderId="0" applyNumberFormat="0" applyFill="0" applyBorder="0" applyAlignment="0" applyProtection="0">
      <alignment vertical="top"/>
      <protection locked="0"/>
    </xf>
    <xf numFmtId="41" fontId="31" fillId="50" borderId="0" applyFont="0" applyBorder="0" applyAlignment="0">
      <alignment horizontal="right"/>
      <protection locked="0"/>
    </xf>
    <xf numFmtId="0" fontId="86" fillId="0" borderId="0"/>
    <xf numFmtId="43" fontId="86" fillId="0" borderId="0" applyFont="0" applyFill="0" applyBorder="0" applyAlignment="0" applyProtection="0"/>
    <xf numFmtId="0" fontId="31" fillId="0" borderId="0"/>
    <xf numFmtId="0" fontId="31" fillId="0" borderId="0"/>
    <xf numFmtId="0" fontId="31" fillId="35" borderId="0"/>
    <xf numFmtId="43" fontId="31" fillId="0" borderId="0" applyFont="0" applyFill="0" applyBorder="0" applyAlignment="0" applyProtection="0"/>
    <xf numFmtId="0" fontId="31" fillId="35" borderId="0"/>
    <xf numFmtId="41" fontId="31" fillId="15" borderId="0" applyNumberFormat="0" applyFont="0" applyBorder="0" applyAlignment="0">
      <alignment horizontal="right"/>
    </xf>
    <xf numFmtId="0" fontId="31" fillId="0" borderId="0"/>
    <xf numFmtId="0" fontId="31" fillId="35" borderId="0"/>
    <xf numFmtId="0" fontId="31" fillId="0" borderId="0"/>
    <xf numFmtId="9" fontId="31" fillId="0" borderId="0" applyFont="0" applyFill="0" applyBorder="0" applyAlignment="0" applyProtection="0"/>
    <xf numFmtId="0" fontId="31" fillId="0" borderId="0"/>
    <xf numFmtId="0" fontId="31" fillId="0" borderId="0"/>
    <xf numFmtId="0" fontId="31" fillId="0" borderId="0" applyFill="0"/>
    <xf numFmtId="0" fontId="31" fillId="0" borderId="0"/>
    <xf numFmtId="0" fontId="31" fillId="0" borderId="0"/>
    <xf numFmtId="0" fontId="31" fillId="0" borderId="0"/>
    <xf numFmtId="191" fontId="31" fillId="0" borderId="0"/>
    <xf numFmtId="0" fontId="89" fillId="0" borderId="0"/>
    <xf numFmtId="0" fontId="89"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92" fontId="31" fillId="14" borderId="0" applyFont="0" applyBorder="0">
      <alignment horizontal="right"/>
    </xf>
    <xf numFmtId="0" fontId="31" fillId="35" borderId="0"/>
    <xf numFmtId="44" fontId="31" fillId="0" borderId="0" applyFont="0" applyFill="0" applyBorder="0" applyAlignment="0" applyProtection="0"/>
    <xf numFmtId="0" fontId="5" fillId="0" borderId="0"/>
    <xf numFmtId="191" fontId="3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2" borderId="0" applyNumberFormat="0" applyBorder="0" applyAlignment="0" applyProtection="0"/>
    <xf numFmtId="0" fontId="64" fillId="46" borderId="0" applyNumberFormat="0" applyBorder="0" applyAlignment="0" applyProtection="0"/>
    <xf numFmtId="0" fontId="65" fillId="47" borderId="0" applyNumberFormat="0" applyBorder="0" applyAlignment="0" applyProtection="0"/>
    <xf numFmtId="41" fontId="31" fillId="15" borderId="0" applyNumberFormat="0" applyFont="0" applyBorder="0" applyAlignment="0">
      <alignment horizontal="right"/>
    </xf>
    <xf numFmtId="0" fontId="66" fillId="39" borderId="83" applyNumberFormat="0" applyAlignment="0" applyProtection="0"/>
    <xf numFmtId="0" fontId="67" fillId="48" borderId="84" applyNumberFormat="0" applyAlignment="0" applyProtection="0"/>
    <xf numFmtId="43" fontId="8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68" fillId="0" borderId="0" applyNumberFormat="0" applyFill="0" applyBorder="0" applyAlignment="0" applyProtection="0"/>
    <xf numFmtId="0" fontId="69" fillId="49" borderId="0" applyNumberFormat="0" applyBorder="0" applyAlignment="0" applyProtection="0"/>
    <xf numFmtId="0" fontId="70" fillId="0" borderId="85" applyNumberFormat="0" applyFill="0" applyAlignment="0" applyProtection="0"/>
    <xf numFmtId="0" fontId="71" fillId="0" borderId="86" applyNumberFormat="0" applyFill="0" applyAlignment="0" applyProtection="0"/>
    <xf numFmtId="0" fontId="72" fillId="0" borderId="87" applyNumberFormat="0" applyFill="0" applyAlignment="0" applyProtection="0"/>
    <xf numFmtId="0" fontId="72" fillId="0" borderId="0" applyNumberFormat="0" applyFill="0" applyBorder="0" applyAlignment="0" applyProtection="0"/>
    <xf numFmtId="0" fontId="91"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37" borderId="83" applyNumberFormat="0" applyAlignment="0" applyProtection="0"/>
    <xf numFmtId="41" fontId="31" fillId="50" borderId="0" applyFont="0" applyBorder="0" applyAlignment="0">
      <alignment horizontal="right"/>
      <protection locked="0"/>
    </xf>
    <xf numFmtId="41" fontId="31" fillId="50" borderId="0" applyFont="0" applyBorder="0" applyAlignment="0">
      <alignment horizontal="right"/>
      <protection locked="0"/>
    </xf>
    <xf numFmtId="41" fontId="31" fillId="50" borderId="0" applyFont="0" applyBorder="0" applyAlignment="0">
      <alignment horizontal="right"/>
      <protection locked="0"/>
    </xf>
    <xf numFmtId="41" fontId="31" fillId="50" borderId="0" applyFont="0" applyBorder="0" applyAlignment="0">
      <alignment horizontal="right"/>
      <protection locked="0"/>
    </xf>
    <xf numFmtId="193" fontId="31" fillId="52" borderId="0" applyFont="0" applyBorder="0">
      <alignment horizontal="right"/>
      <protection locked="0"/>
    </xf>
    <xf numFmtId="193" fontId="31" fillId="52" borderId="0" applyFont="0" applyBorder="0">
      <alignment horizontal="right"/>
      <protection locked="0"/>
    </xf>
    <xf numFmtId="41" fontId="31" fillId="14" borderId="0" applyFont="0" applyBorder="0">
      <alignment horizontal="right"/>
      <protection locked="0"/>
    </xf>
    <xf numFmtId="41" fontId="31" fillId="14" borderId="0" applyFont="0" applyBorder="0">
      <alignment horizontal="right"/>
      <protection locked="0"/>
    </xf>
    <xf numFmtId="0" fontId="75" fillId="0" borderId="88" applyNumberFormat="0" applyFill="0" applyAlignment="0" applyProtection="0"/>
    <xf numFmtId="0" fontId="76" fillId="40" borderId="0" applyNumberFormat="0" applyBorder="0" applyAlignment="0" applyProtection="0"/>
    <xf numFmtId="0" fontId="31" fillId="0" borderId="0"/>
    <xf numFmtId="0" fontId="86" fillId="0" borderId="0"/>
    <xf numFmtId="0" fontId="31" fillId="0" borderId="0"/>
    <xf numFmtId="0" fontId="31" fillId="35" borderId="0"/>
    <xf numFmtId="0" fontId="5" fillId="0" borderId="0"/>
    <xf numFmtId="0" fontId="31" fillId="0" borderId="0"/>
    <xf numFmtId="0" fontId="31" fillId="38" borderId="89" applyNumberFormat="0" applyFont="0" applyAlignment="0" applyProtection="0"/>
    <xf numFmtId="0" fontId="31" fillId="38" borderId="89" applyNumberFormat="0" applyFont="0" applyAlignment="0" applyProtection="0"/>
    <xf numFmtId="0" fontId="77" fillId="39" borderId="90"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8" fillId="0" borderId="0" applyNumberFormat="0" applyFill="0" applyBorder="0" applyAlignment="0" applyProtection="0"/>
    <xf numFmtId="0" fontId="79" fillId="0" borderId="91" applyNumberFormat="0" applyFill="0" applyAlignment="0" applyProtection="0"/>
    <xf numFmtId="0" fontId="80" fillId="0" borderId="0" applyNumberFormat="0" applyFill="0" applyBorder="0" applyAlignment="0" applyProtection="0"/>
    <xf numFmtId="43" fontId="86" fillId="0" borderId="0" applyFont="0" applyFill="0" applyBorder="0" applyAlignment="0" applyProtection="0"/>
    <xf numFmtId="9" fontId="31"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09" fillId="0" borderId="95">
      <alignment horizontal="center"/>
    </xf>
    <xf numFmtId="0" fontId="31" fillId="0" borderId="0"/>
    <xf numFmtId="0" fontId="31" fillId="0" borderId="0"/>
    <xf numFmtId="0" fontId="31" fillId="0" borderId="0"/>
    <xf numFmtId="194" fontId="81" fillId="0" borderId="0"/>
    <xf numFmtId="194" fontId="81" fillId="0" borderId="0"/>
    <xf numFmtId="0" fontId="64" fillId="36" borderId="0" applyNumberFormat="0" applyBorder="0" applyAlignment="0" applyProtection="0"/>
    <xf numFmtId="0" fontId="64" fillId="37"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4" fillId="54" borderId="0" applyNumberFormat="0" applyBorder="0" applyAlignment="0" applyProtection="0"/>
    <xf numFmtId="0" fontId="64" fillId="42"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4" fillId="57" borderId="0" applyNumberFormat="0" applyBorder="0" applyAlignment="0" applyProtection="0"/>
    <xf numFmtId="0" fontId="64" fillId="43" borderId="0" applyNumberFormat="0" applyBorder="0" applyAlignment="0" applyProtection="0"/>
    <xf numFmtId="0" fontId="63" fillId="55" borderId="0" applyNumberFormat="0" applyBorder="0" applyAlignment="0" applyProtection="0"/>
    <xf numFmtId="0" fontId="63" fillId="58" borderId="0" applyNumberFormat="0" applyBorder="0" applyAlignment="0" applyProtection="0"/>
    <xf numFmtId="0" fontId="64" fillId="56" borderId="0" applyNumberFormat="0" applyBorder="0" applyAlignment="0" applyProtection="0"/>
    <xf numFmtId="0" fontId="64" fillId="44" borderId="0" applyNumberFormat="0" applyBorder="0" applyAlignment="0" applyProtection="0"/>
    <xf numFmtId="0" fontId="63" fillId="53" borderId="0" applyNumberFormat="0" applyBorder="0" applyAlignment="0" applyProtection="0"/>
    <xf numFmtId="0" fontId="63" fillId="56" borderId="0" applyNumberFormat="0" applyBorder="0" applyAlignment="0" applyProtection="0"/>
    <xf numFmtId="0" fontId="64" fillId="56" borderId="0" applyNumberFormat="0" applyBorder="0" applyAlignment="0" applyProtection="0"/>
    <xf numFmtId="0" fontId="64" fillId="45" borderId="0" applyNumberFormat="0" applyBorder="0" applyAlignment="0" applyProtection="0"/>
    <xf numFmtId="0" fontId="63" fillId="59" borderId="0" applyNumberFormat="0" applyBorder="0" applyAlignment="0" applyProtection="0"/>
    <xf numFmtId="0" fontId="63" fillId="53" borderId="0" applyNumberFormat="0" applyBorder="0" applyAlignment="0" applyProtection="0"/>
    <xf numFmtId="0" fontId="64" fillId="54" borderId="0" applyNumberFormat="0" applyBorder="0" applyAlignment="0" applyProtection="0"/>
    <xf numFmtId="0" fontId="64" fillId="42" borderId="0" applyNumberFormat="0" applyBorder="0" applyAlignment="0" applyProtection="0"/>
    <xf numFmtId="0" fontId="63" fillId="55" borderId="0" applyNumberFormat="0" applyBorder="0" applyAlignment="0" applyProtection="0"/>
    <xf numFmtId="0" fontId="63" fillId="60" borderId="0" applyNumberFormat="0" applyBorder="0" applyAlignment="0" applyProtection="0"/>
    <xf numFmtId="0" fontId="64" fillId="60" borderId="0" applyNumberFormat="0" applyBorder="0" applyAlignment="0" applyProtection="0"/>
    <xf numFmtId="0" fontId="64" fillId="46" borderId="0" applyNumberFormat="0" applyBorder="0" applyAlignment="0" applyProtection="0"/>
    <xf numFmtId="0" fontId="92" fillId="0" borderId="0"/>
    <xf numFmtId="42" fontId="93" fillId="0" borderId="0" applyFont="0" applyFill="0" applyBorder="0" applyAlignment="0" applyProtection="0"/>
    <xf numFmtId="0" fontId="65" fillId="47" borderId="0" applyNumberFormat="0" applyBorder="0" applyAlignment="0" applyProtection="0"/>
    <xf numFmtId="0" fontId="94" fillId="0" borderId="0" applyNumberFormat="0" applyFill="0" applyBorder="0" applyAlignment="0"/>
    <xf numFmtId="0" fontId="95" fillId="0" borderId="0" applyNumberFormat="0" applyFill="0" applyBorder="0" applyAlignment="0">
      <protection locked="0"/>
    </xf>
    <xf numFmtId="0" fontId="66" fillId="39" borderId="83" applyNumberFormat="0" applyAlignment="0" applyProtection="0"/>
    <xf numFmtId="0" fontId="67" fillId="48" borderId="84" applyNumberFormat="0" applyAlignment="0" applyProtection="0"/>
    <xf numFmtId="41" fontId="31" fillId="0" borderId="0" applyFont="0" applyFill="0" applyBorder="0" applyAlignment="0" applyProtection="0"/>
    <xf numFmtId="0" fontId="96"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43" fontId="6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43" fontId="8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97"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195" fontId="31" fillId="0" borderId="0" applyFont="0" applyFill="0" applyBorder="0" applyAlignment="0" applyProtection="0"/>
    <xf numFmtId="195" fontId="31" fillId="0" borderId="0" applyFont="0" applyFill="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191" fontId="63" fillId="0" borderId="0" applyFont="0" applyFill="0" applyBorder="0" applyAlignment="0" applyProtection="0"/>
    <xf numFmtId="0" fontId="68" fillId="0" borderId="0" applyNumberForma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0" fontId="98" fillId="0" borderId="0"/>
    <xf numFmtId="0" fontId="99" fillId="0" borderId="0"/>
    <xf numFmtId="0" fontId="69" fillId="49" borderId="0" applyNumberFormat="0" applyBorder="0" applyAlignment="0" applyProtection="0"/>
    <xf numFmtId="0" fontId="30" fillId="0" borderId="0" applyFill="0" applyBorder="0">
      <alignment vertical="center"/>
    </xf>
    <xf numFmtId="0" fontId="70" fillId="0" borderId="85" applyNumberFormat="0" applyFill="0" applyAlignment="0" applyProtection="0"/>
    <xf numFmtId="0" fontId="30" fillId="0" borderId="0" applyFill="0" applyBorder="0">
      <alignment vertical="center"/>
    </xf>
    <xf numFmtId="0" fontId="84" fillId="0" borderId="0" applyFill="0" applyBorder="0">
      <alignment vertical="center"/>
    </xf>
    <xf numFmtId="0" fontId="71" fillId="0" borderId="86" applyNumberFormat="0" applyFill="0" applyAlignment="0" applyProtection="0"/>
    <xf numFmtId="0" fontId="84" fillId="0" borderId="0" applyFill="0" applyBorder="0">
      <alignment vertical="center"/>
    </xf>
    <xf numFmtId="0" fontId="72" fillId="0" borderId="87" applyNumberFormat="0" applyFill="0" applyAlignment="0" applyProtection="0"/>
    <xf numFmtId="0" fontId="72" fillId="0" borderId="87" applyNumberFormat="0" applyFill="0" applyAlignment="0" applyProtection="0"/>
    <xf numFmtId="0" fontId="100" fillId="0" borderId="0" applyFill="0" applyBorder="0">
      <alignment vertical="center"/>
    </xf>
    <xf numFmtId="0" fontId="100" fillId="0" borderId="0" applyFill="0" applyBorder="0">
      <alignment vertical="center"/>
    </xf>
    <xf numFmtId="0" fontId="81" fillId="0" borderId="0" applyFill="0" applyBorder="0">
      <alignment vertical="center"/>
    </xf>
    <xf numFmtId="0" fontId="72" fillId="0" borderId="0" applyNumberFormat="0" applyFill="0" applyBorder="0" applyAlignment="0" applyProtection="0"/>
    <xf numFmtId="0" fontId="81" fillId="0" borderId="0" applyFill="0" applyBorder="0">
      <alignment vertical="center"/>
    </xf>
    <xf numFmtId="167" fontId="101" fillId="0" borderId="0"/>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0" fontId="74" fillId="37" borderId="83" applyNumberFormat="0" applyAlignment="0" applyProtection="0"/>
    <xf numFmtId="41" fontId="31" fillId="64" borderId="0" applyFont="0" applyBorder="0" applyAlignment="0">
      <alignment horizontal="right"/>
      <protection locked="0"/>
    </xf>
    <xf numFmtId="0" fontId="81" fillId="15" borderId="0"/>
    <xf numFmtId="0" fontId="75" fillId="0" borderId="88" applyNumberFormat="0" applyFill="0" applyAlignment="0" applyProtection="0"/>
    <xf numFmtId="197" fontId="105" fillId="0" borderId="0"/>
    <xf numFmtId="0" fontId="82" fillId="0" borderId="0" applyFill="0" applyBorder="0">
      <alignment horizontal="left" vertical="center"/>
    </xf>
    <xf numFmtId="0" fontId="76" fillId="40" borderId="0" applyNumberFormat="0" applyBorder="0" applyAlignment="0" applyProtection="0"/>
    <xf numFmtId="198" fontId="106" fillId="0" borderId="0"/>
    <xf numFmtId="0" fontId="31" fillId="0" borderId="0"/>
    <xf numFmtId="0" fontId="31" fillId="0" borderId="0"/>
    <xf numFmtId="0" fontId="31" fillId="0" borderId="0"/>
    <xf numFmtId="0" fontId="63" fillId="0" borderId="0"/>
    <xf numFmtId="0" fontId="31" fillId="0" borderId="0"/>
    <xf numFmtId="0" fontId="31" fillId="0" borderId="0"/>
    <xf numFmtId="0" fontId="31" fillId="0" borderId="0"/>
    <xf numFmtId="0" fontId="31" fillId="0" borderId="0"/>
    <xf numFmtId="0" fontId="31" fillId="35"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63" fillId="0" borderId="0"/>
    <xf numFmtId="0" fontId="31" fillId="0" borderId="0"/>
    <xf numFmtId="0" fontId="93" fillId="0" borderId="0"/>
    <xf numFmtId="0" fontId="31" fillId="35" borderId="0"/>
    <xf numFmtId="0" fontId="31" fillId="0" borderId="0"/>
    <xf numFmtId="0" fontId="5" fillId="0" borderId="0"/>
    <xf numFmtId="0" fontId="31" fillId="0" borderId="0"/>
    <xf numFmtId="0" fontId="31" fillId="0" borderId="0"/>
    <xf numFmtId="0" fontId="77" fillId="39" borderId="90" applyNumberFormat="0" applyAlignment="0" applyProtection="0"/>
    <xf numFmtId="199" fontId="31" fillId="0" borderId="0" applyFill="0" applyBorder="0"/>
    <xf numFmtId="199" fontId="31" fillId="0" borderId="0" applyFill="0" applyBorder="0"/>
    <xf numFmtId="199" fontId="31" fillId="0" borderId="0" applyFill="0" applyBorder="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7" fontId="107" fillId="0" borderId="0"/>
    <xf numFmtId="0" fontId="100" fillId="0" borderId="0" applyFill="0" applyBorder="0">
      <alignment vertical="center"/>
    </xf>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200" fontId="108" fillId="0" borderId="3"/>
    <xf numFmtId="0" fontId="109" fillId="0" borderId="95">
      <alignment horizontal="center"/>
    </xf>
    <xf numFmtId="3" fontId="96" fillId="0" borderId="0" applyFont="0" applyFill="0" applyBorder="0" applyAlignment="0" applyProtection="0"/>
    <xf numFmtId="0" fontId="96" fillId="65" borderId="0" applyNumberFormat="0" applyFont="0" applyBorder="0" applyAlignment="0" applyProtection="0"/>
    <xf numFmtId="201" fontId="31" fillId="0" borderId="0"/>
    <xf numFmtId="201" fontId="31" fillId="0" borderId="0"/>
    <xf numFmtId="201" fontId="31" fillId="0" borderId="0"/>
    <xf numFmtId="202" fontId="81" fillId="0" borderId="0" applyFill="0" applyBorder="0">
      <alignment horizontal="right" vertical="center"/>
    </xf>
    <xf numFmtId="203" fontId="81" fillId="0" borderId="0" applyFill="0" applyBorder="0">
      <alignment horizontal="right" vertical="center"/>
    </xf>
    <xf numFmtId="204" fontId="81" fillId="0" borderId="0" applyFill="0" applyBorder="0">
      <alignment horizontal="right" vertical="center"/>
    </xf>
    <xf numFmtId="0" fontId="31" fillId="38" borderId="0" applyNumberFormat="0" applyFont="0" applyBorder="0" applyAlignment="0" applyProtection="0"/>
    <xf numFmtId="0" fontId="31" fillId="38" borderId="0" applyNumberFormat="0" applyFont="0" applyBorder="0" applyAlignment="0" applyProtection="0"/>
    <xf numFmtId="0" fontId="31" fillId="39" borderId="0" applyNumberFormat="0" applyFont="0" applyBorder="0" applyAlignment="0" applyProtection="0"/>
    <xf numFmtId="0" fontId="31" fillId="39" borderId="0" applyNumberFormat="0" applyFont="0" applyBorder="0" applyAlignment="0" applyProtection="0"/>
    <xf numFmtId="0" fontId="31" fillId="41" borderId="0" applyNumberFormat="0" applyFont="0" applyBorder="0" applyAlignment="0" applyProtection="0"/>
    <xf numFmtId="0" fontId="31" fillId="41" borderId="0" applyNumberFormat="0" applyFont="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1" borderId="0" applyNumberFormat="0" applyFont="0" applyBorder="0" applyAlignment="0" applyProtection="0"/>
    <xf numFmtId="0" fontId="31" fillId="41" borderId="0" applyNumberFormat="0" applyFont="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Border="0" applyAlignment="0" applyProtection="0"/>
    <xf numFmtId="0" fontId="31" fillId="0" borderId="0" applyNumberFormat="0" applyFont="0" applyBorder="0" applyAlignment="0" applyProtection="0"/>
    <xf numFmtId="0" fontId="78" fillId="0" borderId="0" applyNumberFormat="0" applyFill="0" applyBorder="0" applyAlignment="0" applyProtection="0"/>
    <xf numFmtId="0" fontId="31" fillId="0" borderId="0"/>
    <xf numFmtId="0" fontId="82" fillId="0" borderId="0"/>
    <xf numFmtId="0" fontId="83" fillId="0" borderId="0"/>
    <xf numFmtId="15" fontId="31" fillId="0" borderId="0"/>
    <xf numFmtId="15" fontId="31" fillId="0" borderId="0"/>
    <xf numFmtId="15" fontId="31" fillId="0" borderId="0"/>
    <xf numFmtId="10" fontId="31" fillId="0" borderId="0"/>
    <xf numFmtId="10" fontId="31" fillId="0" borderId="0"/>
    <xf numFmtId="10" fontId="31" fillId="0" borderId="0"/>
    <xf numFmtId="0" fontId="110" fillId="51" borderId="9" applyBorder="0" applyProtection="0">
      <alignment horizontal="centerContinuous" vertical="center"/>
    </xf>
    <xf numFmtId="0" fontId="111" fillId="0" borderId="0" applyBorder="0" applyProtection="0">
      <alignment vertical="center"/>
    </xf>
    <xf numFmtId="0" fontId="112" fillId="0" borderId="0">
      <alignment horizontal="left"/>
    </xf>
    <xf numFmtId="0" fontId="112" fillId="0" borderId="8" applyFill="0" applyBorder="0" applyProtection="0">
      <alignment horizontal="left" vertical="top"/>
    </xf>
    <xf numFmtId="49" fontId="31" fillId="0" borderId="0" applyFont="0" applyFill="0" applyBorder="0" applyAlignment="0" applyProtection="0"/>
    <xf numFmtId="0" fontId="113" fillId="0" borderId="0"/>
    <xf numFmtId="49" fontId="31" fillId="0" borderId="0" applyFont="0" applyFill="0" applyBorder="0" applyAlignment="0" applyProtection="0"/>
    <xf numFmtId="0" fontId="114" fillId="0" borderId="0"/>
    <xf numFmtId="0" fontId="114" fillId="0" borderId="0"/>
    <xf numFmtId="0" fontId="113" fillId="0" borderId="0"/>
    <xf numFmtId="197" fontId="115" fillId="0" borderId="0"/>
    <xf numFmtId="0" fontId="78" fillId="0" borderId="0" applyNumberFormat="0" applyFill="0" applyBorder="0" applyAlignment="0" applyProtection="0"/>
    <xf numFmtId="0" fontId="116" fillId="0" borderId="0" applyFill="0" applyBorder="0">
      <alignment horizontal="left" vertical="center"/>
      <protection locked="0"/>
    </xf>
    <xf numFmtId="0" fontId="113" fillId="0" borderId="0"/>
    <xf numFmtId="0" fontId="117" fillId="0" borderId="0" applyFill="0" applyBorder="0">
      <alignment horizontal="left" vertical="center"/>
      <protection locked="0"/>
    </xf>
    <xf numFmtId="0" fontId="79" fillId="0" borderId="91" applyNumberFormat="0" applyFill="0" applyAlignment="0" applyProtection="0"/>
    <xf numFmtId="0" fontId="80" fillId="0" borderId="0" applyNumberFormat="0" applyFill="0" applyBorder="0" applyAlignment="0" applyProtection="0"/>
    <xf numFmtId="205" fontId="31" fillId="0" borderId="9" applyBorder="0" applyProtection="0">
      <alignment horizontal="right"/>
    </xf>
    <xf numFmtId="205" fontId="31" fillId="0" borderId="9" applyBorder="0" applyProtection="0">
      <alignment horizontal="right"/>
    </xf>
    <xf numFmtId="205" fontId="31" fillId="0" borderId="9" applyBorder="0" applyProtection="0">
      <alignment horizontal="right"/>
    </xf>
    <xf numFmtId="0" fontId="31" fillId="35" borderId="0"/>
    <xf numFmtId="41" fontId="31" fillId="15" borderId="0" applyNumberFormat="0" applyFont="0" applyBorder="0" applyAlignment="0">
      <alignment horizontal="right"/>
    </xf>
    <xf numFmtId="0" fontId="4" fillId="0" borderId="0" applyNumberFormat="0" applyFill="0" applyBorder="0" applyAlignment="0" applyProtection="0"/>
    <xf numFmtId="193" fontId="31" fillId="52" borderId="0" applyFont="0" applyBorder="0">
      <alignment horizontal="right"/>
      <protection locked="0"/>
    </xf>
    <xf numFmtId="41" fontId="31" fillId="14" borderId="0" applyFont="0" applyBorder="0">
      <alignment horizontal="right"/>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31" fillId="0" borderId="0"/>
    <xf numFmtId="0" fontId="31" fillId="38" borderId="89" applyNumberFormat="0" applyFont="0" applyAlignment="0" applyProtection="0"/>
    <xf numFmtId="0" fontId="31" fillId="38" borderId="8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31" fillId="0" borderId="0" applyFill="0"/>
    <xf numFmtId="9" fontId="5" fillId="0" borderId="0" applyFont="0" applyFill="0" applyBorder="0" applyAlignment="0" applyProtection="0"/>
    <xf numFmtId="0" fontId="31" fillId="0" borderId="0" applyFill="0"/>
    <xf numFmtId="44" fontId="5" fillId="0" borderId="0" applyFont="0" applyFill="0" applyBorder="0" applyAlignment="0" applyProtection="0"/>
    <xf numFmtId="43" fontId="5" fillId="0" borderId="0" applyFont="0" applyFill="0" applyBorder="0" applyAlignment="0" applyProtection="0"/>
    <xf numFmtId="0" fontId="67" fillId="48" borderId="84" applyNumberFormat="0" applyAlignment="0" applyProtection="0"/>
    <xf numFmtId="0" fontId="5" fillId="0" borderId="0"/>
    <xf numFmtId="0" fontId="5" fillId="0" borderId="0"/>
    <xf numFmtId="0" fontId="109" fillId="0" borderId="95">
      <alignment horizontal="center"/>
    </xf>
    <xf numFmtId="0" fontId="31" fillId="0" borderId="0"/>
    <xf numFmtId="206" fontId="5" fillId="3" borderId="36">
      <protection locked="0"/>
    </xf>
    <xf numFmtId="206" fontId="5" fillId="11" borderId="36"/>
    <xf numFmtId="49" fontId="5" fillId="3" borderId="36" applyFont="0" applyAlignment="0">
      <alignment horizontal="left" vertical="center" wrapText="1"/>
      <protection locked="0"/>
    </xf>
    <xf numFmtId="0" fontId="87" fillId="17"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1" fillId="35"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192" fontId="31" fillId="14" borderId="0" applyFont="0" applyBorder="0">
      <alignment horizontal="right"/>
    </xf>
    <xf numFmtId="167" fontId="31" fillId="14" borderId="0" applyFont="0" applyBorder="0" applyAlignment="0"/>
    <xf numFmtId="10" fontId="31" fillId="64" borderId="0" applyFont="0" applyBorder="0">
      <alignment horizontal="right"/>
      <protection locked="0"/>
    </xf>
    <xf numFmtId="3" fontId="31" fillId="66" borderId="0" applyFont="0" applyBorder="0">
      <protection locked="0"/>
    </xf>
    <xf numFmtId="167" fontId="84" fillId="66" borderId="0" applyBorder="0" applyAlignment="0">
      <protection locked="0"/>
    </xf>
    <xf numFmtId="167" fontId="118" fillId="67" borderId="0" applyBorder="0" applyAlignment="0"/>
    <xf numFmtId="192" fontId="85" fillId="15" borderId="54" applyFont="0" applyBorder="0" applyAlignment="0"/>
    <xf numFmtId="167" fontId="84" fillId="15" borderId="0" applyFont="0" applyBorder="0" applyAlignment="0"/>
    <xf numFmtId="0" fontId="31" fillId="35" borderId="0"/>
    <xf numFmtId="0" fontId="5" fillId="0" borderId="0"/>
    <xf numFmtId="9" fontId="5" fillId="0" borderId="0" applyFont="0" applyFill="0" applyBorder="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31" fillId="0" borderId="0"/>
    <xf numFmtId="0" fontId="66" fillId="39" borderId="83" applyNumberFormat="0" applyAlignment="0" applyProtection="0"/>
    <xf numFmtId="0" fontId="72" fillId="0" borderId="87" applyNumberFormat="0" applyFill="0" applyAlignment="0" applyProtection="0"/>
    <xf numFmtId="0" fontId="72" fillId="0" borderId="87" applyNumberFormat="0" applyFill="0" applyAlignment="0" applyProtection="0"/>
    <xf numFmtId="0" fontId="74" fillId="37" borderId="83" applyNumberFormat="0" applyAlignment="0" applyProtection="0"/>
    <xf numFmtId="0" fontId="63" fillId="0" borderId="0"/>
    <xf numFmtId="0" fontId="31" fillId="0" borderId="0"/>
    <xf numFmtId="0" fontId="31" fillId="38" borderId="89" applyNumberFormat="0" applyFont="0" applyAlignment="0" applyProtection="0"/>
    <xf numFmtId="0" fontId="77" fillId="39" borderId="90" applyNumberFormat="0" applyAlignment="0" applyProtection="0"/>
    <xf numFmtId="0" fontId="109" fillId="0" borderId="95">
      <alignment horizontal="center"/>
    </xf>
    <xf numFmtId="0" fontId="79" fillId="0" borderId="91" applyNumberFormat="0" applyFill="0" applyAlignment="0" applyProtection="0"/>
    <xf numFmtId="0" fontId="31" fillId="35" borderId="0"/>
    <xf numFmtId="0" fontId="31" fillId="0" borderId="0"/>
    <xf numFmtId="0" fontId="31" fillId="38" borderId="89" applyNumberFormat="0" applyFont="0" applyAlignment="0" applyProtection="0"/>
    <xf numFmtId="0" fontId="31" fillId="38" borderId="89" applyNumberFormat="0" applyFont="0" applyAlignment="0" applyProtection="0"/>
    <xf numFmtId="0" fontId="31" fillId="0" borderId="0"/>
    <xf numFmtId="0" fontId="31" fillId="0" borderId="0"/>
    <xf numFmtId="0" fontId="5" fillId="0" borderId="0"/>
    <xf numFmtId="0" fontId="5"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206" fontId="5" fillId="3" borderId="36">
      <protection locked="0"/>
    </xf>
    <xf numFmtId="206" fontId="5" fillId="11" borderId="36"/>
    <xf numFmtId="49" fontId="5" fillId="3" borderId="36" applyFont="0" applyAlignment="0">
      <alignment horizontal="left" vertical="center" wrapText="1"/>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206" fontId="5" fillId="3" borderId="36">
      <protection locked="0"/>
    </xf>
    <xf numFmtId="206" fontId="5" fillId="11" borderId="36"/>
    <xf numFmtId="49" fontId="5" fillId="3" borderId="36" applyFont="0" applyAlignment="0">
      <alignment horizontal="left" vertical="center" wrapText="1"/>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5" fillId="0" borderId="0"/>
    <xf numFmtId="9" fontId="5" fillId="0" borderId="0" applyFont="0" applyFill="0" applyBorder="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109" fillId="0" borderId="95">
      <alignment horizontal="center"/>
    </xf>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9" fillId="0" borderId="95">
      <alignment horizontal="center"/>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109" fillId="0" borderId="95">
      <alignment horizontal="center"/>
    </xf>
    <xf numFmtId="0" fontId="73" fillId="0" borderId="0" applyNumberFormat="0" applyFill="0" applyBorder="0" applyAlignment="0" applyProtection="0">
      <alignment vertical="top"/>
      <protection locked="0"/>
    </xf>
    <xf numFmtId="0" fontId="66" fillId="39" borderId="83" applyNumberFormat="0" applyAlignment="0" applyProtection="0"/>
    <xf numFmtId="0" fontId="74" fillId="37" borderId="83" applyNumberFormat="0" applyAlignment="0" applyProtection="0"/>
    <xf numFmtId="0" fontId="31" fillId="38" borderId="89" applyNumberFormat="0" applyFont="0" applyAlignment="0" applyProtection="0"/>
    <xf numFmtId="0" fontId="77" fillId="39" borderId="90" applyNumberFormat="0" applyAlignment="0" applyProtection="0"/>
    <xf numFmtId="0" fontId="79" fillId="0" borderId="91" applyNumberFormat="0" applyFill="0" applyAlignment="0" applyProtection="0"/>
    <xf numFmtId="0" fontId="31" fillId="38" borderId="89" applyNumberFormat="0" applyFont="0" applyAlignment="0" applyProtection="0"/>
    <xf numFmtId="0" fontId="31" fillId="38" borderId="89" applyNumberFormat="0" applyFont="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72" fillId="0" borderId="87" applyNumberFormat="0" applyFill="0" applyAlignment="0" applyProtection="0"/>
    <xf numFmtId="0" fontId="5" fillId="0" borderId="0"/>
    <xf numFmtId="43" fontId="31" fillId="0" borderId="0" applyFont="0" applyFill="0" applyBorder="0" applyAlignment="0" applyProtection="0"/>
    <xf numFmtId="43" fontId="31" fillId="0" borderId="0" applyFont="0" applyFill="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1" fontId="31" fillId="50" borderId="0" applyFont="0" applyBorder="0" applyAlignment="0">
      <alignment horizontal="right"/>
      <protection locked="0"/>
    </xf>
    <xf numFmtId="41" fontId="31" fillId="64" borderId="0" applyFont="0" applyBorder="0" applyAlignment="0">
      <alignment horizontal="right"/>
      <protection locked="0"/>
    </xf>
    <xf numFmtId="0" fontId="5" fillId="0" borderId="0"/>
    <xf numFmtId="0" fontId="31" fillId="0" borderId="0" applyFill="0"/>
    <xf numFmtId="0" fontId="31" fillId="0" borderId="0"/>
    <xf numFmtId="0" fontId="31" fillId="35" borderId="0"/>
    <xf numFmtId="0" fontId="31" fillId="35" borderId="0"/>
    <xf numFmtId="0" fontId="31" fillId="35" borderId="0"/>
    <xf numFmtId="0" fontId="31" fillId="0" borderId="0"/>
    <xf numFmtId="0" fontId="5"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09" fillId="0" borderId="95">
      <alignment horizontal="center"/>
    </xf>
    <xf numFmtId="0" fontId="109" fillId="0" borderId="95">
      <alignment horizontal="center"/>
    </xf>
    <xf numFmtId="0" fontId="109" fillId="0" borderId="95">
      <alignment horizontal="center"/>
    </xf>
    <xf numFmtId="0" fontId="109" fillId="0" borderId="95">
      <alignment horizontal="center"/>
    </xf>
    <xf numFmtId="0" fontId="109" fillId="0" borderId="95">
      <alignment horizontal="center"/>
    </xf>
    <xf numFmtId="0" fontId="109" fillId="0" borderId="95">
      <alignment horizontal="center"/>
    </xf>
    <xf numFmtId="0" fontId="109" fillId="0" borderId="95">
      <alignment horizontal="center"/>
    </xf>
    <xf numFmtId="206" fontId="39" fillId="3" borderId="96">
      <alignment horizontal="right" indent="2"/>
      <protection locked="0"/>
    </xf>
    <xf numFmtId="0" fontId="87" fillId="68" borderId="0"/>
    <xf numFmtId="0" fontId="5" fillId="0" borderId="0"/>
    <xf numFmtId="43" fontId="31" fillId="0" borderId="0" applyFont="0" applyFill="0" applyBorder="0" applyAlignment="0" applyProtection="0"/>
    <xf numFmtId="0" fontId="88" fillId="10" borderId="17">
      <alignment vertical="center"/>
    </xf>
  </cellStyleXfs>
  <cellXfs count="1026">
    <xf numFmtId="0" fontId="0" fillId="0" borderId="0" xfId="0"/>
    <xf numFmtId="0" fontId="0" fillId="2" borderId="0" xfId="0" applyFill="1"/>
    <xf numFmtId="0" fontId="3" fillId="2" borderId="0" xfId="0" applyFont="1" applyFill="1"/>
    <xf numFmtId="0" fontId="4" fillId="2" borderId="0" xfId="1" applyFill="1"/>
    <xf numFmtId="0" fontId="0" fillId="2" borderId="1" xfId="0" applyFill="1" applyBorder="1" applyAlignment="1">
      <alignment horizontal="left" vertical="center"/>
    </xf>
    <xf numFmtId="0" fontId="0" fillId="2" borderId="1" xfId="0" applyFill="1" applyBorder="1" applyAlignment="1">
      <alignment vertical="center" wrapText="1"/>
    </xf>
    <xf numFmtId="0" fontId="0" fillId="2" borderId="1" xfId="0" applyFill="1" applyBorder="1"/>
    <xf numFmtId="0" fontId="0" fillId="3" borderId="1" xfId="0" applyFill="1" applyBorder="1"/>
    <xf numFmtId="0" fontId="3" fillId="2" borderId="1" xfId="0" applyFont="1" applyFill="1" applyBorder="1"/>
    <xf numFmtId="0" fontId="3" fillId="2" borderId="1" xfId="0" applyFont="1" applyFill="1" applyBorder="1" applyAlignment="1">
      <alignment horizontal="center" wrapText="1"/>
    </xf>
    <xf numFmtId="0" fontId="7" fillId="2" borderId="0" xfId="0" applyFont="1" applyFill="1"/>
    <xf numFmtId="0" fontId="8" fillId="2" borderId="0" xfId="0" applyFont="1" applyFill="1"/>
    <xf numFmtId="0" fontId="9" fillId="2" borderId="0" xfId="0" applyFont="1" applyFill="1"/>
    <xf numFmtId="0" fontId="11" fillId="2" borderId="0" xfId="0" applyFont="1" applyFill="1" applyAlignment="1">
      <alignment horizontal="center"/>
    </xf>
    <xf numFmtId="0" fontId="11" fillId="2" borderId="0" xfId="0" applyFont="1" applyFill="1" applyAlignment="1">
      <alignment horizontal="right"/>
    </xf>
    <xf numFmtId="0" fontId="11" fillId="2" borderId="0" xfId="0" applyFont="1" applyFill="1"/>
    <xf numFmtId="0" fontId="12" fillId="2" borderId="0" xfId="0" applyFont="1" applyFill="1"/>
    <xf numFmtId="0" fontId="3" fillId="2" borderId="1" xfId="0" applyFont="1" applyFill="1" applyBorder="1" applyAlignment="1">
      <alignment horizontal="center"/>
    </xf>
    <xf numFmtId="0" fontId="3" fillId="2" borderId="1" xfId="0" applyNumberFormat="1" applyFont="1" applyFill="1" applyBorder="1" applyAlignment="1">
      <alignment horizontal="center"/>
    </xf>
    <xf numFmtId="0" fontId="9" fillId="2" borderId="0" xfId="0" applyFont="1" applyFill="1" applyAlignment="1"/>
    <xf numFmtId="0" fontId="10" fillId="2" borderId="0" xfId="1" applyFont="1" applyFill="1"/>
    <xf numFmtId="0" fontId="7" fillId="5" borderId="0" xfId="0" applyFont="1" applyFill="1"/>
    <xf numFmtId="0" fontId="0" fillId="5" borderId="0" xfId="0" applyFill="1"/>
    <xf numFmtId="0" fontId="13" fillId="2" borderId="0" xfId="0" applyFont="1" applyFill="1" applyAlignment="1">
      <alignment horizontal="right"/>
    </xf>
    <xf numFmtId="0" fontId="14" fillId="2" borderId="0" xfId="0" applyFont="1" applyFill="1"/>
    <xf numFmtId="0" fontId="15" fillId="2" borderId="0" xfId="1" applyFont="1" applyFill="1"/>
    <xf numFmtId="0" fontId="15" fillId="5" borderId="0" xfId="1" applyFont="1" applyFill="1"/>
    <xf numFmtId="10" fontId="0" fillId="2" borderId="1" xfId="2" applyNumberFormat="1" applyFont="1" applyFill="1" applyBorder="1"/>
    <xf numFmtId="0" fontId="0" fillId="2" borderId="1" xfId="0" applyFill="1" applyBorder="1" applyAlignment="1">
      <alignment horizontal="center"/>
    </xf>
    <xf numFmtId="17" fontId="0" fillId="2" borderId="1" xfId="0" applyNumberFormat="1" applyFill="1" applyBorder="1" applyAlignment="1">
      <alignment horizontal="center"/>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6" fillId="2" borderId="0" xfId="0" applyFont="1" applyFill="1"/>
    <xf numFmtId="0" fontId="16" fillId="2" borderId="0" xfId="0" applyFont="1" applyFill="1"/>
    <xf numFmtId="0" fontId="0" fillId="2" borderId="0" xfId="0" applyFill="1" applyAlignment="1">
      <alignment horizontal="center"/>
    </xf>
    <xf numFmtId="0" fontId="0" fillId="2" borderId="8" xfId="0" applyFill="1" applyBorder="1" applyAlignment="1">
      <alignment horizontal="center"/>
    </xf>
    <xf numFmtId="0" fontId="0" fillId="2" borderId="8" xfId="0" applyFill="1" applyBorder="1"/>
    <xf numFmtId="3" fontId="0" fillId="2" borderId="0" xfId="0" applyNumberFormat="1" applyFill="1"/>
    <xf numFmtId="3" fontId="0" fillId="2" borderId="9" xfId="0" applyNumberFormat="1" applyFill="1" applyBorder="1"/>
    <xf numFmtId="0" fontId="0" fillId="2" borderId="0" xfId="0" applyFill="1" applyBorder="1"/>
    <xf numFmtId="0" fontId="0" fillId="2" borderId="9" xfId="0" applyFill="1" applyBorder="1"/>
    <xf numFmtId="0" fontId="0" fillId="2" borderId="0" xfId="0" applyFont="1" applyFill="1" applyAlignment="1">
      <alignment horizontal="center"/>
    </xf>
    <xf numFmtId="0" fontId="0" fillId="2" borderId="11" xfId="0" applyFill="1" applyBorder="1" applyAlignment="1">
      <alignment horizontal="center"/>
    </xf>
    <xf numFmtId="3" fontId="0" fillId="3" borderId="1" xfId="0" applyNumberFormat="1" applyFill="1" applyBorder="1"/>
    <xf numFmtId="166" fontId="0" fillId="3" borderId="1" xfId="0" applyNumberFormat="1" applyFill="1" applyBorder="1"/>
    <xf numFmtId="3" fontId="0" fillId="2" borderId="1" xfId="0" applyNumberFormat="1" applyFill="1" applyBorder="1"/>
    <xf numFmtId="3" fontId="3" fillId="2" borderId="1" xfId="0" applyNumberFormat="1" applyFont="1" applyFill="1" applyBorder="1"/>
    <xf numFmtId="3" fontId="3" fillId="3" borderId="1" xfId="0" applyNumberFormat="1" applyFont="1" applyFill="1" applyBorder="1"/>
    <xf numFmtId="3" fontId="0" fillId="2" borderId="0" xfId="0" applyNumberFormat="1" applyFill="1" applyBorder="1"/>
    <xf numFmtId="3" fontId="3" fillId="2" borderId="0" xfId="0" applyNumberFormat="1" applyFont="1" applyFill="1"/>
    <xf numFmtId="0" fontId="17" fillId="2" borderId="0" xfId="0" applyFont="1" applyFill="1"/>
    <xf numFmtId="0" fontId="20" fillId="2" borderId="0" xfId="0" applyFont="1" applyFill="1"/>
    <xf numFmtId="0" fontId="21" fillId="2" borderId="0" xfId="0" applyFont="1" applyFill="1"/>
    <xf numFmtId="3" fontId="0" fillId="3" borderId="0" xfId="0" applyNumberFormat="1" applyFill="1"/>
    <xf numFmtId="0" fontId="0" fillId="2" borderId="0" xfId="0" applyFill="1" applyAlignment="1">
      <alignment horizontal="left" indent="1"/>
    </xf>
    <xf numFmtId="0" fontId="0" fillId="2" borderId="0" xfId="0" applyFill="1" applyAlignment="1">
      <alignment horizontal="center" wrapText="1"/>
    </xf>
    <xf numFmtId="0" fontId="0" fillId="2" borderId="2" xfId="0" applyFill="1" applyBorder="1" applyAlignment="1">
      <alignment vertical="top"/>
    </xf>
    <xf numFmtId="167" fontId="0" fillId="2" borderId="1" xfId="2" applyNumberFormat="1" applyFont="1" applyFill="1" applyBorder="1" applyAlignment="1">
      <alignment vertical="center"/>
    </xf>
    <xf numFmtId="0" fontId="22" fillId="2" borderId="3" xfId="0" applyFont="1" applyFill="1" applyBorder="1"/>
    <xf numFmtId="0" fontId="22" fillId="2" borderId="4" xfId="0" applyFont="1" applyFill="1" applyBorder="1"/>
    <xf numFmtId="9" fontId="0" fillId="2" borderId="1" xfId="2" applyFont="1" applyFill="1" applyBorder="1"/>
    <xf numFmtId="168" fontId="0" fillId="2" borderId="1" xfId="0" applyNumberFormat="1" applyFill="1" applyBorder="1"/>
    <xf numFmtId="0" fontId="0" fillId="2" borderId="1" xfId="0" applyFont="1" applyFill="1" applyBorder="1"/>
    <xf numFmtId="9" fontId="0" fillId="2" borderId="1" xfId="2" applyFont="1" applyFill="1" applyBorder="1" applyAlignment="1"/>
    <xf numFmtId="0" fontId="3" fillId="2" borderId="9" xfId="0" applyFont="1" applyFill="1" applyBorder="1" applyAlignment="1"/>
    <xf numFmtId="0" fontId="0" fillId="2" borderId="2" xfId="0" applyFont="1" applyFill="1" applyBorder="1"/>
    <xf numFmtId="0" fontId="3" fillId="2" borderId="3" xfId="0" applyFont="1" applyFill="1" applyBorder="1"/>
    <xf numFmtId="0" fontId="3" fillId="2" borderId="4" xfId="0" applyFont="1" applyFill="1" applyBorder="1"/>
    <xf numFmtId="0" fontId="0" fillId="2" borderId="3" xfId="0" applyFont="1" applyFill="1" applyBorder="1"/>
    <xf numFmtId="0" fontId="0" fillId="2" borderId="1" xfId="0" applyFont="1" applyFill="1" applyBorder="1" applyAlignment="1"/>
    <xf numFmtId="0" fontId="0" fillId="2" borderId="1" xfId="0" applyFont="1" applyFill="1" applyBorder="1" applyAlignment="1">
      <alignment horizontal="center" wrapText="1"/>
    </xf>
    <xf numFmtId="0" fontId="9" fillId="2" borderId="0" xfId="1" applyFont="1" applyFill="1"/>
    <xf numFmtId="167" fontId="0" fillId="2" borderId="1" xfId="2" applyNumberFormat="1" applyFont="1" applyFill="1" applyBorder="1" applyAlignment="1">
      <alignment horizontal="right" vertical="center"/>
    </xf>
    <xf numFmtId="0" fontId="0" fillId="0" borderId="1" xfId="0" applyFill="1" applyBorder="1"/>
    <xf numFmtId="9" fontId="0" fillId="0" borderId="1" xfId="2" applyFont="1" applyFill="1" applyBorder="1"/>
    <xf numFmtId="9" fontId="0" fillId="2" borderId="0" xfId="0" applyNumberFormat="1" applyFill="1" applyAlignment="1"/>
    <xf numFmtId="0" fontId="0" fillId="2" borderId="0" xfId="0" applyFill="1" applyAlignment="1">
      <alignment horizontal="right"/>
    </xf>
    <xf numFmtId="10" fontId="0" fillId="2" borderId="1" xfId="0" applyNumberFormat="1" applyFill="1" applyBorder="1"/>
    <xf numFmtId="0" fontId="3" fillId="2" borderId="9" xfId="0" applyFont="1" applyFill="1" applyBorder="1" applyAlignment="1">
      <alignment horizontal="center"/>
    </xf>
    <xf numFmtId="168" fontId="0" fillId="0" borderId="1" xfId="0" applyNumberFormat="1" applyFill="1" applyBorder="1"/>
    <xf numFmtId="166" fontId="0" fillId="2" borderId="1" xfId="0" applyNumberFormat="1" applyFill="1" applyBorder="1"/>
    <xf numFmtId="0" fontId="0" fillId="3" borderId="0" xfId="0" applyFill="1"/>
    <xf numFmtId="167" fontId="0" fillId="2" borderId="0" xfId="2" applyNumberFormat="1" applyFont="1" applyFill="1"/>
    <xf numFmtId="165" fontId="0" fillId="2" borderId="0" xfId="0" quotePrefix="1" applyNumberFormat="1" applyFill="1" applyBorder="1" applyAlignment="1">
      <alignment horizontal="center"/>
    </xf>
    <xf numFmtId="0" fontId="0" fillId="2" borderId="0" xfId="0" applyFill="1" applyBorder="1" applyAlignment="1">
      <alignment horizontal="center"/>
    </xf>
    <xf numFmtId="167" fontId="0" fillId="2" borderId="0" xfId="2" applyNumberFormat="1" applyFont="1" applyFill="1" applyBorder="1"/>
    <xf numFmtId="0" fontId="24" fillId="2" borderId="0" xfId="0" applyFont="1" applyFill="1"/>
    <xf numFmtId="166" fontId="0" fillId="2" borderId="8" xfId="0" applyNumberFormat="1" applyFill="1" applyBorder="1"/>
    <xf numFmtId="166" fontId="0" fillId="2" borderId="0" xfId="0" applyNumberFormat="1" applyFill="1"/>
    <xf numFmtId="166" fontId="0" fillId="2" borderId="9" xfId="0" applyNumberFormat="1" applyFill="1" applyBorder="1"/>
    <xf numFmtId="169" fontId="0" fillId="2" borderId="0" xfId="0" applyNumberFormat="1" applyFill="1"/>
    <xf numFmtId="0" fontId="3" fillId="2" borderId="9" xfId="0" applyFont="1" applyFill="1" applyBorder="1" applyAlignment="1">
      <alignment horizontal="center"/>
    </xf>
    <xf numFmtId="0" fontId="25" fillId="8" borderId="0" xfId="0" applyFont="1" applyFill="1"/>
    <xf numFmtId="0" fontId="26" fillId="8" borderId="0" xfId="0" applyFont="1" applyFill="1"/>
    <xf numFmtId="0" fontId="26" fillId="2" borderId="0" xfId="0" applyFont="1" applyFill="1"/>
    <xf numFmtId="0" fontId="26" fillId="7" borderId="0" xfId="0" applyFont="1" applyFill="1"/>
    <xf numFmtId="0" fontId="27" fillId="7" borderId="0" xfId="0" applyFont="1" applyFill="1"/>
    <xf numFmtId="169" fontId="0" fillId="2" borderId="1" xfId="0" applyNumberFormat="1" applyFill="1" applyBorder="1" applyAlignment="1"/>
    <xf numFmtId="170" fontId="0" fillId="2" borderId="0" xfId="0" applyNumberFormat="1" applyFill="1"/>
    <xf numFmtId="165" fontId="3" fillId="2" borderId="0" xfId="0" quotePrefix="1" applyNumberFormat="1" applyFont="1" applyFill="1" applyBorder="1" applyAlignment="1">
      <alignment horizontal="center"/>
    </xf>
    <xf numFmtId="0" fontId="0" fillId="2" borderId="0" xfId="0" applyFont="1" applyFill="1"/>
    <xf numFmtId="0" fontId="3" fillId="2" borderId="9" xfId="0" applyFont="1" applyFill="1" applyBorder="1" applyAlignment="1">
      <alignment horizontal="center"/>
    </xf>
    <xf numFmtId="171" fontId="0" fillId="3" borderId="1" xfId="0" applyNumberFormat="1" applyFill="1" applyBorder="1"/>
    <xf numFmtId="172" fontId="0" fillId="3" borderId="1" xfId="0" applyNumberFormat="1" applyFill="1" applyBorder="1"/>
    <xf numFmtId="166" fontId="21" fillId="2" borderId="1" xfId="0" applyNumberFormat="1" applyFont="1" applyFill="1" applyBorder="1"/>
    <xf numFmtId="9" fontId="0" fillId="2" borderId="0" xfId="2" applyFont="1" applyFill="1"/>
    <xf numFmtId="10" fontId="0" fillId="2" borderId="0" xfId="2" applyNumberFormat="1" applyFont="1" applyFill="1"/>
    <xf numFmtId="170" fontId="0" fillId="2" borderId="1" xfId="0" applyNumberFormat="1" applyFill="1" applyBorder="1"/>
    <xf numFmtId="10" fontId="0" fillId="0" borderId="1" xfId="2" applyNumberFormat="1" applyFont="1" applyFill="1" applyBorder="1"/>
    <xf numFmtId="166" fontId="0" fillId="2" borderId="0" xfId="0" applyNumberFormat="1" applyFill="1" applyBorder="1"/>
    <xf numFmtId="3" fontId="3" fillId="2" borderId="0" xfId="0" applyNumberFormat="1" applyFont="1" applyFill="1" applyBorder="1"/>
    <xf numFmtId="0" fontId="28" fillId="10" borderId="0" xfId="49">
      <alignment vertical="center"/>
      <protection locked="0"/>
    </xf>
    <xf numFmtId="0" fontId="0" fillId="2" borderId="0" xfId="0" applyFill="1" applyAlignment="1"/>
    <xf numFmtId="0" fontId="30" fillId="6" borderId="20"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0" fillId="12" borderId="27" xfId="0" applyFont="1" applyFill="1" applyBorder="1" applyAlignment="1">
      <alignment horizontal="center" vertical="center" wrapText="1"/>
    </xf>
    <xf numFmtId="0" fontId="30" fillId="12" borderId="28" xfId="0" applyFont="1" applyFill="1" applyBorder="1" applyAlignment="1">
      <alignment horizontal="center" vertical="center" wrapText="1"/>
    </xf>
    <xf numFmtId="4" fontId="31" fillId="14" borderId="30" xfId="0" applyNumberFormat="1" applyFont="1" applyFill="1" applyBorder="1" applyAlignment="1" applyProtection="1">
      <alignment horizontal="left" vertical="center" wrapText="1"/>
      <protection locked="0"/>
    </xf>
    <xf numFmtId="4" fontId="31" fillId="14" borderId="34" xfId="0" applyNumberFormat="1" applyFont="1" applyFill="1" applyBorder="1" applyAlignment="1" applyProtection="1">
      <alignment horizontal="left" vertical="center" wrapText="1"/>
      <protection locked="0"/>
    </xf>
    <xf numFmtId="4" fontId="32" fillId="14" borderId="38" xfId="0" applyNumberFormat="1" applyFont="1" applyFill="1" applyBorder="1" applyAlignment="1" applyProtection="1">
      <alignment horizontal="left" vertical="center" wrapText="1"/>
      <protection locked="0"/>
    </xf>
    <xf numFmtId="4" fontId="31" fillId="14" borderId="38" xfId="0" applyNumberFormat="1" applyFont="1" applyFill="1" applyBorder="1" applyAlignment="1" applyProtection="1">
      <alignment horizontal="left" vertical="center" wrapText="1"/>
      <protection locked="0"/>
    </xf>
    <xf numFmtId="3" fontId="0" fillId="0" borderId="0" xfId="0" applyNumberFormat="1"/>
    <xf numFmtId="0" fontId="6" fillId="0" borderId="0" xfId="0" applyFont="1"/>
    <xf numFmtId="10" fontId="0" fillId="0" borderId="1" xfId="0" applyNumberFormat="1" applyFill="1" applyBorder="1"/>
    <xf numFmtId="0" fontId="34" fillId="2" borderId="0" xfId="0" applyFont="1" applyFill="1"/>
    <xf numFmtId="0" fontId="35" fillId="2" borderId="0" xfId="0" applyFont="1" applyFill="1"/>
    <xf numFmtId="3" fontId="0" fillId="0" borderId="1" xfId="0" applyNumberFormat="1" applyFill="1" applyBorder="1"/>
    <xf numFmtId="0" fontId="0" fillId="0" borderId="0" xfId="0" applyFill="1"/>
    <xf numFmtId="0" fontId="28" fillId="10" borderId="0" xfId="49" applyProtection="1">
      <alignment vertical="center"/>
    </xf>
    <xf numFmtId="0" fontId="36" fillId="0" borderId="0" xfId="0" applyFont="1" applyFill="1" applyBorder="1" applyProtection="1"/>
    <xf numFmtId="0" fontId="0" fillId="2" borderId="46" xfId="0" applyFill="1" applyBorder="1" applyAlignment="1" applyProtection="1">
      <alignment vertical="center"/>
    </xf>
    <xf numFmtId="0" fontId="0" fillId="2" borderId="0" xfId="0" applyFill="1" applyBorder="1" applyAlignment="1" applyProtection="1">
      <alignment vertical="center"/>
    </xf>
    <xf numFmtId="0" fontId="30" fillId="0" borderId="47" xfId="0" applyFont="1" applyFill="1" applyBorder="1" applyAlignment="1" applyProtection="1">
      <alignment horizontal="left" vertical="center" wrapText="1"/>
    </xf>
    <xf numFmtId="0" fontId="3" fillId="2" borderId="48" xfId="0" applyFont="1" applyFill="1" applyBorder="1" applyAlignment="1" applyProtection="1">
      <alignment vertical="center"/>
    </xf>
    <xf numFmtId="0" fontId="3" fillId="2" borderId="15" xfId="0" applyFont="1" applyFill="1" applyBorder="1" applyAlignment="1" applyProtection="1">
      <alignment horizontal="center" vertical="center" wrapText="1"/>
    </xf>
    <xf numFmtId="0" fontId="39" fillId="2" borderId="15" xfId="0" applyFont="1" applyFill="1" applyBorder="1" applyProtection="1"/>
    <xf numFmtId="0" fontId="40" fillId="2" borderId="49" xfId="0" applyFont="1" applyFill="1" applyBorder="1" applyAlignment="1" applyProtection="1">
      <alignment wrapText="1"/>
    </xf>
    <xf numFmtId="0" fontId="39" fillId="2" borderId="50" xfId="0" applyFont="1" applyFill="1" applyBorder="1" applyAlignment="1" applyProtection="1">
      <alignment horizontal="right"/>
    </xf>
    <xf numFmtId="174" fontId="40" fillId="3" borderId="31" xfId="48" applyNumberFormat="1" applyFont="1" applyFill="1" applyBorder="1" applyAlignment="1" applyProtection="1">
      <alignment horizontal="right" vertical="center" indent="1"/>
      <protection locked="0"/>
    </xf>
    <xf numFmtId="174" fontId="40" fillId="3" borderId="32" xfId="48" applyNumberFormat="1" applyFont="1" applyFill="1" applyBorder="1" applyAlignment="1" applyProtection="1">
      <alignment horizontal="right" vertical="center" indent="1"/>
      <protection locked="0"/>
    </xf>
    <xf numFmtId="174" fontId="40" fillId="3" borderId="33" xfId="48" applyNumberFormat="1" applyFont="1" applyFill="1" applyBorder="1" applyAlignment="1" applyProtection="1">
      <alignment horizontal="right" vertical="center" indent="1"/>
      <protection locked="0"/>
    </xf>
    <xf numFmtId="0" fontId="39" fillId="2" borderId="46" xfId="0" applyFont="1" applyFill="1" applyBorder="1" applyProtection="1"/>
    <xf numFmtId="0" fontId="40" fillId="2" borderId="10" xfId="0" applyFont="1" applyFill="1" applyBorder="1" applyAlignment="1" applyProtection="1">
      <alignment wrapText="1"/>
    </xf>
    <xf numFmtId="0" fontId="39" fillId="2" borderId="51" xfId="0" applyFont="1" applyFill="1" applyBorder="1" applyAlignment="1" applyProtection="1">
      <alignment horizontal="right"/>
    </xf>
    <xf numFmtId="174" fontId="40" fillId="16" borderId="35" xfId="48" applyNumberFormat="1" applyFont="1" applyFill="1" applyBorder="1" applyAlignment="1" applyProtection="1">
      <alignment horizontal="right" vertical="center" indent="1"/>
      <protection locked="0"/>
    </xf>
    <xf numFmtId="174" fontId="40" fillId="16" borderId="36" xfId="48" applyNumberFormat="1" applyFont="1" applyFill="1" applyBorder="1" applyAlignment="1" applyProtection="1">
      <alignment horizontal="right" vertical="center" indent="1"/>
      <protection locked="0"/>
    </xf>
    <xf numFmtId="174" fontId="40" fillId="16" borderId="37" xfId="48" applyNumberFormat="1" applyFont="1" applyFill="1" applyBorder="1" applyAlignment="1" applyProtection="1">
      <alignment horizontal="right" vertical="center" indent="1"/>
      <protection locked="0"/>
    </xf>
    <xf numFmtId="0" fontId="40" fillId="2" borderId="26" xfId="0" applyFont="1" applyFill="1" applyBorder="1" applyAlignment="1" applyProtection="1"/>
    <xf numFmtId="0" fontId="39" fillId="2" borderId="52" xfId="0" applyFont="1" applyFill="1" applyBorder="1" applyAlignment="1" applyProtection="1">
      <alignment horizontal="right"/>
    </xf>
    <xf numFmtId="174" fontId="40" fillId="3" borderId="35" xfId="48" applyNumberFormat="1" applyFont="1" applyFill="1" applyBorder="1" applyAlignment="1" applyProtection="1">
      <alignment horizontal="right" vertical="center" indent="1"/>
      <protection locked="0"/>
    </xf>
    <xf numFmtId="174" fontId="40" fillId="3" borderId="36" xfId="48" applyNumberFormat="1" applyFont="1" applyFill="1" applyBorder="1" applyAlignment="1" applyProtection="1">
      <alignment horizontal="right" vertical="center" indent="1"/>
      <protection locked="0"/>
    </xf>
    <xf numFmtId="174" fontId="40" fillId="3" borderId="37" xfId="48" applyNumberFormat="1" applyFont="1" applyFill="1" applyBorder="1" applyAlignment="1" applyProtection="1">
      <alignment horizontal="right" vertical="center" indent="1"/>
      <protection locked="0"/>
    </xf>
    <xf numFmtId="0" fontId="40" fillId="2" borderId="10" xfId="0" applyFont="1" applyFill="1" applyBorder="1" applyAlignment="1" applyProtection="1"/>
    <xf numFmtId="0" fontId="39" fillId="2" borderId="23" xfId="0" applyFont="1" applyFill="1" applyBorder="1" applyProtection="1"/>
    <xf numFmtId="0" fontId="40" fillId="2" borderId="8" xfId="0" applyFont="1" applyFill="1" applyBorder="1" applyAlignment="1" applyProtection="1"/>
    <xf numFmtId="174" fontId="0" fillId="2" borderId="0" xfId="48" applyNumberFormat="1" applyFont="1" applyFill="1"/>
    <xf numFmtId="174" fontId="0" fillId="2" borderId="0" xfId="0" applyNumberFormat="1" applyFill="1"/>
    <xf numFmtId="174" fontId="3" fillId="2" borderId="0" xfId="48" applyNumberFormat="1" applyFont="1" applyFill="1"/>
    <xf numFmtId="1" fontId="0" fillId="2" borderId="0" xfId="0" applyNumberFormat="1" applyFill="1"/>
    <xf numFmtId="0" fontId="41" fillId="0" borderId="46" xfId="0" applyFont="1" applyFill="1" applyBorder="1" applyProtection="1"/>
    <xf numFmtId="0" fontId="27" fillId="2" borderId="0" xfId="0" applyFont="1" applyFill="1"/>
    <xf numFmtId="0" fontId="0" fillId="2" borderId="14" xfId="0" applyFill="1" applyBorder="1"/>
    <xf numFmtId="0" fontId="0" fillId="2" borderId="13" xfId="0" applyFill="1" applyBorder="1"/>
    <xf numFmtId="0" fontId="31" fillId="0" borderId="30" xfId="0" applyFont="1" applyFill="1" applyBorder="1" applyAlignment="1" applyProtection="1">
      <alignment horizontal="right" vertical="top"/>
    </xf>
    <xf numFmtId="175" fontId="0" fillId="3" borderId="57" xfId="48" applyNumberFormat="1" applyFont="1" applyFill="1" applyBorder="1" applyAlignment="1" applyProtection="1">
      <alignment horizontal="right" vertical="top" wrapText="1"/>
      <protection locked="0"/>
    </xf>
    <xf numFmtId="175" fontId="0" fillId="3" borderId="58" xfId="48" applyNumberFormat="1" applyFont="1" applyFill="1" applyBorder="1" applyAlignment="1" applyProtection="1">
      <alignment horizontal="right" vertical="top" wrapText="1"/>
      <protection locked="0"/>
    </xf>
    <xf numFmtId="0" fontId="31" fillId="0" borderId="34" xfId="0" applyFont="1" applyFill="1" applyBorder="1" applyAlignment="1" applyProtection="1">
      <alignment horizontal="right" vertical="top"/>
    </xf>
    <xf numFmtId="175" fontId="0" fillId="3" borderId="36" xfId="48" applyNumberFormat="1" applyFont="1" applyFill="1" applyBorder="1" applyAlignment="1" applyProtection="1">
      <alignment horizontal="right" vertical="top" wrapText="1"/>
      <protection locked="0"/>
    </xf>
    <xf numFmtId="175" fontId="0" fillId="3" borderId="37" xfId="48" applyNumberFormat="1" applyFont="1" applyFill="1" applyBorder="1" applyAlignment="1" applyProtection="1">
      <alignment horizontal="right" vertical="top" wrapText="1"/>
      <protection locked="0"/>
    </xf>
    <xf numFmtId="175" fontId="0" fillId="6" borderId="60" xfId="48" applyNumberFormat="1" applyFont="1" applyFill="1" applyBorder="1" applyAlignment="1" applyProtection="1">
      <alignment horizontal="right" vertical="center"/>
    </xf>
    <xf numFmtId="175" fontId="0" fillId="6" borderId="61" xfId="48" applyNumberFormat="1" applyFont="1" applyFill="1" applyBorder="1" applyAlignment="1" applyProtection="1">
      <alignment horizontal="right" vertical="center"/>
    </xf>
    <xf numFmtId="0" fontId="31" fillId="0" borderId="5" xfId="0" applyFont="1" applyFill="1" applyBorder="1" applyAlignment="1" applyProtection="1">
      <alignment horizontal="right" vertical="top"/>
    </xf>
    <xf numFmtId="3" fontId="3" fillId="4" borderId="1" xfId="0" applyNumberFormat="1" applyFont="1" applyFill="1" applyBorder="1" applyAlignment="1">
      <alignment vertical="center"/>
    </xf>
    <xf numFmtId="175" fontId="5" fillId="3" borderId="62" xfId="48" applyNumberFormat="1" applyFont="1" applyFill="1" applyBorder="1" applyAlignment="1" applyProtection="1">
      <alignment horizontal="right" vertical="top"/>
      <protection locked="0"/>
    </xf>
    <xf numFmtId="175" fontId="5" fillId="3" borderId="63" xfId="48" applyNumberFormat="1" applyFont="1" applyFill="1" applyBorder="1" applyAlignment="1" applyProtection="1">
      <alignment horizontal="right" vertical="top"/>
      <protection locked="0"/>
    </xf>
    <xf numFmtId="167" fontId="0" fillId="6" borderId="1" xfId="2" applyNumberFormat="1" applyFont="1" applyFill="1" applyBorder="1" applyAlignment="1">
      <alignment vertical="center"/>
    </xf>
    <xf numFmtId="0" fontId="0" fillId="2" borderId="0" xfId="0" applyFill="1" applyAlignment="1">
      <alignment horizontal="center"/>
    </xf>
    <xf numFmtId="167" fontId="0" fillId="2" borderId="0" xfId="0" applyNumberFormat="1" applyFill="1"/>
    <xf numFmtId="167" fontId="0" fillId="0" borderId="1" xfId="2" applyNumberFormat="1" applyFont="1" applyFill="1" applyBorder="1" applyAlignment="1">
      <alignment vertical="center"/>
    </xf>
    <xf numFmtId="166" fontId="0" fillId="5" borderId="8" xfId="0" applyNumberFormat="1" applyFill="1" applyBorder="1"/>
    <xf numFmtId="166" fontId="0" fillId="5" borderId="10" xfId="0" applyNumberFormat="1" applyFill="1" applyBorder="1"/>
    <xf numFmtId="0" fontId="0" fillId="2" borderId="0" xfId="0" quotePrefix="1" applyFill="1"/>
    <xf numFmtId="0" fontId="14" fillId="17" borderId="1" xfId="0" applyFont="1" applyFill="1" applyBorder="1" applyAlignment="1">
      <alignment horizontal="center"/>
    </xf>
    <xf numFmtId="169" fontId="0" fillId="17" borderId="1" xfId="0" applyNumberFormat="1" applyFill="1" applyBorder="1" applyAlignment="1"/>
    <xf numFmtId="168" fontId="0" fillId="2" borderId="1" xfId="0" applyNumberFormat="1" applyFill="1" applyBorder="1" applyAlignment="1"/>
    <xf numFmtId="0" fontId="0" fillId="2" borderId="1" xfId="0" applyFont="1" applyFill="1" applyBorder="1" applyAlignment="1">
      <alignment horizontal="center"/>
    </xf>
    <xf numFmtId="175" fontId="31" fillId="3" borderId="32" xfId="48" applyNumberFormat="1" applyFont="1" applyFill="1" applyBorder="1" applyAlignment="1" applyProtection="1">
      <alignment horizontal="right" vertical="center"/>
      <protection locked="0"/>
    </xf>
    <xf numFmtId="175" fontId="31" fillId="3" borderId="31" xfId="48" applyNumberFormat="1" applyFont="1" applyFill="1" applyBorder="1" applyAlignment="1" applyProtection="1">
      <alignment horizontal="right" vertical="center"/>
      <protection locked="0"/>
    </xf>
    <xf numFmtId="175" fontId="31" fillId="3" borderId="33" xfId="48" applyNumberFormat="1" applyFont="1" applyFill="1" applyBorder="1" applyAlignment="1" applyProtection="1">
      <alignment horizontal="right" vertical="center"/>
      <protection locked="0"/>
    </xf>
    <xf numFmtId="175" fontId="31" fillId="3" borderId="35" xfId="48" applyNumberFormat="1" applyFont="1" applyFill="1" applyBorder="1" applyAlignment="1" applyProtection="1">
      <alignment horizontal="right" vertical="center"/>
      <protection locked="0"/>
    </xf>
    <xf numFmtId="175" fontId="31" fillId="3" borderId="36" xfId="48" applyNumberFormat="1" applyFont="1" applyFill="1" applyBorder="1" applyAlignment="1" applyProtection="1">
      <alignment horizontal="right" vertical="center"/>
      <protection locked="0"/>
    </xf>
    <xf numFmtId="175" fontId="31" fillId="3" borderId="37" xfId="48" applyNumberFormat="1" applyFont="1" applyFill="1" applyBorder="1" applyAlignment="1" applyProtection="1">
      <alignment horizontal="right" vertical="center"/>
      <protection locked="0"/>
    </xf>
    <xf numFmtId="175" fontId="31" fillId="3" borderId="39" xfId="48" applyNumberFormat="1" applyFont="1" applyFill="1" applyBorder="1" applyAlignment="1" applyProtection="1">
      <alignment horizontal="right" vertical="center"/>
      <protection locked="0"/>
    </xf>
    <xf numFmtId="175" fontId="31" fillId="3" borderId="40" xfId="48" applyNumberFormat="1" applyFont="1" applyFill="1" applyBorder="1" applyAlignment="1" applyProtection="1">
      <alignment horizontal="right" vertical="center"/>
      <protection locked="0"/>
    </xf>
    <xf numFmtId="175" fontId="31" fillId="3" borderId="41" xfId="48" applyNumberFormat="1" applyFont="1" applyFill="1" applyBorder="1" applyAlignment="1" applyProtection="1">
      <alignment horizontal="right" vertical="center"/>
      <protection locked="0"/>
    </xf>
    <xf numFmtId="175" fontId="31" fillId="15" borderId="43" xfId="48" applyNumberFormat="1" applyFont="1" applyFill="1" applyBorder="1" applyAlignment="1" applyProtection="1">
      <alignment horizontal="right" vertical="center"/>
    </xf>
    <xf numFmtId="175" fontId="31" fillId="15" borderId="44" xfId="48" applyNumberFormat="1" applyFont="1" applyFill="1" applyBorder="1" applyAlignment="1" applyProtection="1">
      <alignment horizontal="right" vertical="center"/>
    </xf>
    <xf numFmtId="175" fontId="31" fillId="15" borderId="45" xfId="48" applyNumberFormat="1" applyFont="1" applyFill="1" applyBorder="1" applyAlignment="1" applyProtection="1">
      <alignment horizontal="right" vertical="center"/>
    </xf>
    <xf numFmtId="0" fontId="27" fillId="0" borderId="0" xfId="0" applyFont="1"/>
    <xf numFmtId="174" fontId="3" fillId="2" borderId="0" xfId="0" applyNumberFormat="1" applyFont="1" applyFill="1"/>
    <xf numFmtId="0" fontId="0" fillId="2" borderId="0" xfId="0" applyFill="1" applyAlignment="1">
      <alignment horizontal="center"/>
    </xf>
    <xf numFmtId="167" fontId="5" fillId="2" borderId="0" xfId="2" applyNumberFormat="1" applyFont="1" applyFill="1" applyBorder="1"/>
    <xf numFmtId="0" fontId="0" fillId="2" borderId="0" xfId="0" applyFill="1" applyAlignment="1">
      <alignment horizontal="center"/>
    </xf>
    <xf numFmtId="0" fontId="0" fillId="2" borderId="0" xfId="0" applyFill="1" applyAlignment="1">
      <alignment horizontal="center" vertical="center" wrapText="1"/>
    </xf>
    <xf numFmtId="0" fontId="39" fillId="2" borderId="0" xfId="0" applyFont="1" applyFill="1" applyBorder="1" applyProtection="1"/>
    <xf numFmtId="0" fontId="40" fillId="2" borderId="0" xfId="0" applyFont="1" applyFill="1" applyBorder="1" applyAlignment="1" applyProtection="1"/>
    <xf numFmtId="0" fontId="39" fillId="2" borderId="0" xfId="0" applyFont="1" applyFill="1" applyBorder="1" applyAlignment="1" applyProtection="1">
      <alignment horizontal="right"/>
    </xf>
    <xf numFmtId="0" fontId="0" fillId="2" borderId="56" xfId="0" applyFill="1" applyBorder="1" applyProtection="1"/>
    <xf numFmtId="0" fontId="40" fillId="2" borderId="46" xfId="0" applyFont="1" applyFill="1" applyBorder="1" applyAlignment="1" applyProtection="1">
      <protection locked="0"/>
    </xf>
    <xf numFmtId="0" fontId="40" fillId="2" borderId="64" xfId="0" applyFont="1" applyFill="1" applyBorder="1" applyAlignment="1" applyProtection="1">
      <protection locked="0"/>
    </xf>
    <xf numFmtId="174" fontId="40" fillId="2" borderId="0" xfId="48" applyNumberFormat="1" applyFont="1" applyFill="1" applyBorder="1" applyAlignment="1" applyProtection="1">
      <alignment horizontal="right" vertical="center" indent="1"/>
      <protection locked="0"/>
    </xf>
    <xf numFmtId="0" fontId="0" fillId="2" borderId="0" xfId="0" applyFill="1" applyAlignment="1">
      <alignment horizontal="center"/>
    </xf>
    <xf numFmtId="0" fontId="0" fillId="2" borderId="0" xfId="0" applyFill="1" applyAlignment="1">
      <alignment horizontal="center" vertical="center"/>
    </xf>
    <xf numFmtId="167" fontId="0" fillId="2" borderId="0" xfId="2" applyNumberFormat="1" applyFont="1" applyFill="1" applyAlignment="1">
      <alignment horizontal="center"/>
    </xf>
    <xf numFmtId="164" fontId="0" fillId="2" borderId="0" xfId="48" applyFont="1" applyFill="1"/>
    <xf numFmtId="168" fontId="0" fillId="0" borderId="1" xfId="0" applyNumberFormat="1" applyFill="1" applyBorder="1" applyAlignment="1"/>
    <xf numFmtId="3" fontId="0" fillId="0" borderId="0" xfId="0" applyNumberFormat="1" applyFill="1"/>
    <xf numFmtId="0" fontId="21" fillId="0" borderId="0" xfId="0" applyFont="1"/>
    <xf numFmtId="174" fontId="0" fillId="2" borderId="9" xfId="48" applyNumberFormat="1" applyFont="1" applyFill="1" applyBorder="1"/>
    <xf numFmtId="0" fontId="3" fillId="2" borderId="9" xfId="0" applyFont="1" applyFill="1" applyBorder="1" applyAlignment="1">
      <alignment horizontal="center"/>
    </xf>
    <xf numFmtId="0" fontId="0" fillId="2" borderId="0" xfId="0" applyFill="1" applyAlignment="1">
      <alignment horizontal="center"/>
    </xf>
    <xf numFmtId="17" fontId="0" fillId="2" borderId="0" xfId="0" applyNumberFormat="1" applyFill="1" applyAlignment="1">
      <alignment horizontal="center"/>
    </xf>
    <xf numFmtId="0" fontId="25" fillId="3" borderId="1" xfId="0" applyFont="1" applyFill="1" applyBorder="1"/>
    <xf numFmtId="0" fontId="3" fillId="3" borderId="65" xfId="0" applyFont="1" applyFill="1" applyBorder="1" applyAlignment="1">
      <alignment horizontal="center"/>
    </xf>
    <xf numFmtId="0" fontId="34" fillId="2" borderId="0" xfId="0" applyFont="1" applyFill="1" applyAlignment="1">
      <alignment horizontal="left" indent="1"/>
    </xf>
    <xf numFmtId="0" fontId="0" fillId="2" borderId="5" xfId="0" applyFill="1" applyBorder="1" applyAlignment="1">
      <alignment horizontal="center"/>
    </xf>
    <xf numFmtId="0" fontId="0" fillId="2" borderId="6" xfId="0" applyFill="1" applyBorder="1" applyAlignment="1">
      <alignment horizontal="center"/>
    </xf>
    <xf numFmtId="0" fontId="0" fillId="2" borderId="0" xfId="0" applyFill="1" applyAlignment="1">
      <alignment horizontal="center"/>
    </xf>
    <xf numFmtId="0" fontId="0" fillId="2" borderId="66" xfId="0" applyFill="1" applyBorder="1" applyAlignment="1">
      <alignment horizontal="center"/>
    </xf>
    <xf numFmtId="169" fontId="0" fillId="0" borderId="1" xfId="0" applyNumberFormat="1" applyFill="1" applyBorder="1" applyAlignment="1"/>
    <xf numFmtId="10" fontId="0" fillId="2" borderId="0" xfId="0" applyNumberFormat="1" applyFill="1"/>
    <xf numFmtId="169" fontId="0" fillId="2" borderId="9" xfId="0" applyNumberFormat="1" applyFill="1" applyBorder="1"/>
    <xf numFmtId="0" fontId="0" fillId="2" borderId="8" xfId="0" applyFont="1" applyFill="1" applyBorder="1" applyAlignment="1">
      <alignment horizontal="center"/>
    </xf>
    <xf numFmtId="169" fontId="0" fillId="2" borderId="0" xfId="0" applyNumberFormat="1" applyFill="1" applyBorder="1"/>
    <xf numFmtId="0" fontId="0" fillId="2" borderId="0" xfId="0" applyFont="1" applyFill="1" applyBorder="1" applyAlignment="1">
      <alignment horizontal="center"/>
    </xf>
    <xf numFmtId="166" fontId="0" fillId="2" borderId="10" xfId="0" applyNumberFormat="1" applyFill="1" applyBorder="1"/>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xf>
    <xf numFmtId="168" fontId="0" fillId="2" borderId="0" xfId="0" applyNumberFormat="1" applyFill="1"/>
    <xf numFmtId="0" fontId="20" fillId="2" borderId="0" xfId="0" applyFont="1" applyFill="1" applyBorder="1"/>
    <xf numFmtId="164" fontId="20" fillId="2" borderId="0" xfId="48" applyFont="1" applyFill="1"/>
    <xf numFmtId="166" fontId="0" fillId="5" borderId="0" xfId="0" applyNumberFormat="1" applyFill="1"/>
    <xf numFmtId="166" fontId="0" fillId="5" borderId="9" xfId="0" applyNumberFormat="1" applyFill="1" applyBorder="1"/>
    <xf numFmtId="3" fontId="0" fillId="2" borderId="0" xfId="0" applyNumberFormat="1" applyFill="1" applyAlignment="1">
      <alignment vertical="center"/>
    </xf>
    <xf numFmtId="0" fontId="43" fillId="2" borderId="0" xfId="0" applyFont="1" applyFill="1"/>
    <xf numFmtId="0" fontId="0" fillId="2" borderId="54" xfId="0" applyFill="1" applyBorder="1"/>
    <xf numFmtId="166" fontId="0" fillId="2" borderId="54" xfId="0" applyNumberFormat="1" applyFill="1" applyBorder="1"/>
    <xf numFmtId="166" fontId="0" fillId="2" borderId="24" xfId="0" applyNumberFormat="1" applyFill="1" applyBorder="1"/>
    <xf numFmtId="0" fontId="0" fillId="2" borderId="26" xfId="0" applyFill="1" applyBorder="1"/>
    <xf numFmtId="0" fontId="3" fillId="3" borderId="1" xfId="0" applyFont="1" applyFill="1" applyBorder="1"/>
    <xf numFmtId="0" fontId="38" fillId="2" borderId="0" xfId="0" applyFont="1" applyFill="1"/>
    <xf numFmtId="167" fontId="0" fillId="6" borderId="1" xfId="2" applyNumberFormat="1" applyFont="1" applyFill="1" applyBorder="1" applyAlignment="1">
      <alignment horizontal="right" vertical="center"/>
    </xf>
    <xf numFmtId="0" fontId="43" fillId="2" borderId="0" xfId="0" applyFont="1" applyFill="1" applyAlignment="1">
      <alignment vertical="center"/>
    </xf>
    <xf numFmtId="0" fontId="0" fillId="2" borderId="0" xfId="0" applyFill="1" applyAlignment="1">
      <alignment horizontal="center"/>
    </xf>
    <xf numFmtId="0" fontId="0" fillId="0" borderId="0" xfId="0" applyAlignment="1">
      <alignment horizontal="center"/>
    </xf>
    <xf numFmtId="176" fontId="3" fillId="2" borderId="0" xfId="0" applyNumberFormat="1" applyFont="1" applyFill="1"/>
    <xf numFmtId="0" fontId="3" fillId="2" borderId="0" xfId="0" quotePrefix="1" applyFont="1" applyFill="1" applyAlignment="1">
      <alignment horizontal="center"/>
    </xf>
    <xf numFmtId="0" fontId="3" fillId="2" borderId="0" xfId="0" applyFont="1" applyFill="1" applyAlignment="1">
      <alignment horizontal="center"/>
    </xf>
    <xf numFmtId="0" fontId="0" fillId="0" borderId="1" xfId="0" applyFill="1" applyBorder="1" applyAlignment="1">
      <alignment vertical="center" wrapText="1"/>
    </xf>
    <xf numFmtId="0" fontId="0" fillId="2" borderId="0" xfId="0" applyFill="1" applyAlignment="1">
      <alignment horizontal="center"/>
    </xf>
    <xf numFmtId="174" fontId="0" fillId="2" borderId="8" xfId="48" applyNumberFormat="1" applyFont="1" applyFill="1" applyBorder="1"/>
    <xf numFmtId="174" fontId="0" fillId="2" borderId="8" xfId="0" applyNumberFormat="1" applyFill="1" applyBorder="1"/>
    <xf numFmtId="174" fontId="0" fillId="2" borderId="0" xfId="0" applyNumberFormat="1" applyFill="1" applyBorder="1"/>
    <xf numFmtId="174" fontId="0" fillId="2" borderId="10" xfId="48" applyNumberFormat="1" applyFont="1" applyFill="1" applyBorder="1"/>
    <xf numFmtId="174" fontId="0" fillId="2" borderId="9" xfId="0" applyNumberFormat="1" applyFill="1" applyBorder="1"/>
    <xf numFmtId="174" fontId="0" fillId="2" borderId="10" xfId="0" applyNumberFormat="1" applyFill="1" applyBorder="1"/>
    <xf numFmtId="174" fontId="0" fillId="2" borderId="0" xfId="48" applyNumberFormat="1" applyFont="1" applyFill="1" applyBorder="1"/>
    <xf numFmtId="164" fontId="0" fillId="2" borderId="9" xfId="48" applyFont="1" applyFill="1" applyBorder="1"/>
    <xf numFmtId="174" fontId="0" fillId="2" borderId="0" xfId="2" applyNumberFormat="1" applyFont="1" applyFill="1"/>
    <xf numFmtId="174" fontId="0" fillId="2" borderId="13" xfId="48" applyNumberFormat="1" applyFont="1" applyFill="1" applyBorder="1"/>
    <xf numFmtId="164" fontId="0" fillId="2" borderId="8" xfId="48" applyFont="1" applyFill="1" applyBorder="1"/>
    <xf numFmtId="164" fontId="0" fillId="2" borderId="0" xfId="0" applyNumberFormat="1" applyFill="1"/>
    <xf numFmtId="174" fontId="21" fillId="2" borderId="0" xfId="48" applyNumberFormat="1" applyFont="1" applyFill="1"/>
    <xf numFmtId="174" fontId="21" fillId="2" borderId="8" xfId="48" applyNumberFormat="1" applyFont="1" applyFill="1" applyBorder="1"/>
    <xf numFmtId="174" fontId="21" fillId="2" borderId="0" xfId="0" applyNumberFormat="1" applyFont="1" applyFill="1"/>
    <xf numFmtId="174" fontId="21" fillId="2" borderId="8" xfId="0" applyNumberFormat="1" applyFont="1" applyFill="1" applyBorder="1"/>
    <xf numFmtId="164" fontId="21" fillId="2" borderId="0" xfId="0" applyNumberFormat="1" applyFont="1" applyFill="1"/>
    <xf numFmtId="0" fontId="3" fillId="2" borderId="8" xfId="0" applyFont="1" applyFill="1" applyBorder="1"/>
    <xf numFmtId="176" fontId="0" fillId="2" borderId="0" xfId="0" applyNumberFormat="1" applyFill="1"/>
    <xf numFmtId="174" fontId="21" fillId="2" borderId="14" xfId="0" applyNumberFormat="1" applyFont="1" applyFill="1" applyBorder="1"/>
    <xf numFmtId="174" fontId="21" fillId="2" borderId="67" xfId="0" applyNumberFormat="1" applyFont="1" applyFill="1" applyBorder="1"/>
    <xf numFmtId="0" fontId="0" fillId="2" borderId="67" xfId="0" applyFill="1" applyBorder="1"/>
    <xf numFmtId="176" fontId="0" fillId="2" borderId="0" xfId="48" applyNumberFormat="1" applyFont="1" applyFill="1"/>
    <xf numFmtId="0" fontId="0" fillId="2" borderId="68" xfId="0" applyFill="1" applyBorder="1"/>
    <xf numFmtId="174" fontId="0" fillId="9" borderId="9" xfId="0" applyNumberFormat="1" applyFill="1" applyBorder="1"/>
    <xf numFmtId="174" fontId="0" fillId="9" borderId="10" xfId="0" applyNumberFormat="1" applyFill="1" applyBorder="1"/>
    <xf numFmtId="0" fontId="0" fillId="2" borderId="25" xfId="0" applyFill="1" applyBorder="1" applyAlignment="1">
      <alignment horizontal="center"/>
    </xf>
    <xf numFmtId="0" fontId="0" fillId="2" borderId="46" xfId="0" applyFill="1" applyBorder="1" applyAlignment="1"/>
    <xf numFmtId="10" fontId="0" fillId="2" borderId="0" xfId="0" applyNumberFormat="1" applyFill="1" applyBorder="1"/>
    <xf numFmtId="10" fontId="0" fillId="2" borderId="69" xfId="0" applyNumberFormat="1" applyFill="1" applyBorder="1"/>
    <xf numFmtId="0" fontId="0" fillId="2" borderId="55" xfId="0" applyFill="1" applyBorder="1" applyAlignment="1"/>
    <xf numFmtId="167" fontId="0" fillId="2" borderId="47" xfId="0" applyNumberFormat="1" applyFill="1" applyBorder="1"/>
    <xf numFmtId="167" fontId="0" fillId="2" borderId="59" xfId="0" applyNumberFormat="1" applyFill="1" applyBorder="1"/>
    <xf numFmtId="0" fontId="42" fillId="2" borderId="0" xfId="0" applyFont="1" applyFill="1"/>
    <xf numFmtId="0" fontId="0" fillId="2" borderId="0" xfId="0" applyFill="1" applyAlignment="1">
      <alignment horizontal="center"/>
    </xf>
    <xf numFmtId="0" fontId="0" fillId="2" borderId="53" xfId="0" applyFill="1" applyBorder="1"/>
    <xf numFmtId="0" fontId="0" fillId="2" borderId="10" xfId="0" applyFill="1" applyBorder="1"/>
    <xf numFmtId="0" fontId="0" fillId="2" borderId="24" xfId="0" applyFill="1" applyBorder="1"/>
    <xf numFmtId="0" fontId="0" fillId="2" borderId="5" xfId="0" applyFill="1" applyBorder="1"/>
    <xf numFmtId="0" fontId="0" fillId="2" borderId="7" xfId="0" applyFill="1" applyBorder="1"/>
    <xf numFmtId="170" fontId="0" fillId="2" borderId="0" xfId="0" applyNumberFormat="1" applyFill="1" applyBorder="1"/>
    <xf numFmtId="0" fontId="3" fillId="2" borderId="0" xfId="0" applyFont="1" applyFill="1" applyBorder="1"/>
    <xf numFmtId="3" fontId="3" fillId="2" borderId="0" xfId="0" applyNumberFormat="1" applyFont="1" applyFill="1" applyBorder="1" applyAlignment="1">
      <alignment vertical="center"/>
    </xf>
    <xf numFmtId="0" fontId="38" fillId="2" borderId="0" xfId="0" applyFont="1" applyFill="1" applyAlignment="1">
      <alignment vertical="center"/>
    </xf>
    <xf numFmtId="0" fontId="0" fillId="22" borderId="1" xfId="0" applyFill="1" applyBorder="1"/>
    <xf numFmtId="169" fontId="0" fillId="22" borderId="1" xfId="0" applyNumberFormat="1" applyFill="1" applyBorder="1" applyAlignment="1"/>
    <xf numFmtId="174" fontId="0" fillId="2" borderId="0" xfId="48" applyNumberFormat="1" applyFont="1" applyFill="1" applyAlignment="1">
      <alignment horizontal="center"/>
    </xf>
    <xf numFmtId="0" fontId="3" fillId="2" borderId="0" xfId="0" applyFont="1" applyFill="1" applyBorder="1" applyAlignment="1">
      <alignment horizontal="center"/>
    </xf>
    <xf numFmtId="168" fontId="0" fillId="22" borderId="1" xfId="0" applyNumberFormat="1" applyFill="1" applyBorder="1"/>
    <xf numFmtId="4" fontId="0" fillId="2" borderId="0" xfId="0" applyNumberFormat="1" applyFill="1"/>
    <xf numFmtId="176" fontId="21" fillId="2" borderId="0" xfId="0" applyNumberFormat="1" applyFont="1" applyFill="1"/>
    <xf numFmtId="0" fontId="14" fillId="2" borderId="0" xfId="0" applyFont="1" applyFill="1" applyAlignment="1">
      <alignment horizontal="right"/>
    </xf>
    <xf numFmtId="3" fontId="14" fillId="2" borderId="0" xfId="0" applyNumberFormat="1" applyFont="1" applyFill="1"/>
    <xf numFmtId="167" fontId="5" fillId="0" borderId="1" xfId="2" applyNumberFormat="1" applyFont="1" applyFill="1" applyBorder="1" applyAlignment="1">
      <alignment vertical="center"/>
    </xf>
    <xf numFmtId="0" fontId="0" fillId="0" borderId="1" xfId="0" applyFont="1" applyFill="1" applyBorder="1"/>
    <xf numFmtId="0" fontId="3" fillId="2" borderId="0" xfId="0" applyFont="1" applyFill="1" applyBorder="1" applyAlignment="1">
      <alignment horizontal="center"/>
    </xf>
    <xf numFmtId="10" fontId="0" fillId="2" borderId="0" xfId="0" applyNumberFormat="1" applyFont="1" applyFill="1" applyBorder="1"/>
    <xf numFmtId="176" fontId="3" fillId="2" borderId="0" xfId="48" applyNumberFormat="1" applyFont="1" applyFill="1" applyBorder="1" applyAlignment="1">
      <alignment vertical="center"/>
    </xf>
    <xf numFmtId="176" fontId="3" fillId="2" borderId="0" xfId="48" applyNumberFormat="1" applyFont="1" applyFill="1"/>
    <xf numFmtId="0" fontId="0" fillId="2" borderId="0" xfId="0" applyFill="1" applyAlignment="1">
      <alignment horizontal="center"/>
    </xf>
    <xf numFmtId="0" fontId="0" fillId="2" borderId="0" xfId="0" applyFill="1" applyAlignment="1">
      <alignment horizontal="left" indent="4"/>
    </xf>
    <xf numFmtId="0" fontId="3" fillId="2" borderId="0" xfId="0" applyFont="1" applyFill="1" applyBorder="1" applyAlignment="1">
      <alignment horizontal="center"/>
    </xf>
    <xf numFmtId="0" fontId="0" fillId="2" borderId="1" xfId="0" applyFill="1" applyBorder="1" applyAlignment="1">
      <alignment horizontal="center" wrapText="1"/>
    </xf>
    <xf numFmtId="174" fontId="0" fillId="2" borderId="0" xfId="48" applyNumberFormat="1" applyFont="1" applyFill="1" applyAlignment="1">
      <alignment horizontal="right"/>
    </xf>
    <xf numFmtId="174" fontId="0" fillId="2" borderId="0" xfId="48" applyNumberFormat="1" applyFont="1" applyFill="1" applyBorder="1" applyAlignment="1">
      <alignment horizontal="right"/>
    </xf>
    <xf numFmtId="0" fontId="0" fillId="23" borderId="1" xfId="0" applyFill="1" applyBorder="1"/>
    <xf numFmtId="0" fontId="3" fillId="2" borderId="9" xfId="0" applyFont="1" applyFill="1" applyBorder="1" applyAlignment="1">
      <alignment horizontal="center"/>
    </xf>
    <xf numFmtId="0" fontId="0" fillId="2" borderId="0" xfId="0" applyFill="1" applyAlignment="1">
      <alignment horizontal="center"/>
    </xf>
    <xf numFmtId="17" fontId="3" fillId="2" borderId="1" xfId="0" applyNumberFormat="1" applyFont="1" applyFill="1" applyBorder="1" applyAlignment="1">
      <alignment horizontal="center"/>
    </xf>
    <xf numFmtId="17" fontId="0" fillId="2" borderId="0" xfId="0" applyNumberFormat="1" applyFill="1"/>
    <xf numFmtId="17" fontId="0" fillId="2" borderId="0" xfId="0" applyNumberFormat="1" applyFont="1" applyFill="1" applyAlignment="1">
      <alignment horizontal="center"/>
    </xf>
    <xf numFmtId="17" fontId="0" fillId="2" borderId="11" xfId="0" applyNumberFormat="1" applyFont="1" applyFill="1" applyBorder="1" applyAlignment="1">
      <alignment horizontal="center"/>
    </xf>
    <xf numFmtId="17" fontId="0" fillId="2" borderId="8" xfId="0" applyNumberFormat="1" applyFill="1" applyBorder="1" applyAlignment="1">
      <alignment horizontal="center"/>
    </xf>
    <xf numFmtId="17" fontId="0" fillId="2" borderId="0" xfId="0" applyNumberFormat="1" applyFill="1" applyBorder="1" applyAlignment="1">
      <alignment horizontal="center"/>
    </xf>
    <xf numFmtId="17" fontId="0" fillId="2" borderId="8" xfId="0" applyNumberFormat="1" applyFont="1" applyFill="1" applyBorder="1" applyAlignment="1">
      <alignment horizontal="center"/>
    </xf>
    <xf numFmtId="17" fontId="0" fillId="2" borderId="6" xfId="0" applyNumberFormat="1" applyFill="1" applyBorder="1" applyAlignment="1">
      <alignment horizontal="center"/>
    </xf>
    <xf numFmtId="17" fontId="0" fillId="2" borderId="7" xfId="0" applyNumberFormat="1" applyFill="1" applyBorder="1" applyAlignment="1">
      <alignment horizontal="center"/>
    </xf>
    <xf numFmtId="17" fontId="0" fillId="2" borderId="5" xfId="0" applyNumberFormat="1" applyFill="1" applyBorder="1" applyAlignment="1">
      <alignment horizontal="center"/>
    </xf>
    <xf numFmtId="17" fontId="0" fillId="2" borderId="54" xfId="0" applyNumberFormat="1" applyFill="1" applyBorder="1" applyAlignment="1">
      <alignment horizontal="center"/>
    </xf>
    <xf numFmtId="166" fontId="0" fillId="2" borderId="3" xfId="0" applyNumberFormat="1" applyFill="1" applyBorder="1"/>
    <xf numFmtId="17" fontId="0" fillId="2" borderId="3" xfId="0" applyNumberFormat="1" applyFill="1" applyBorder="1" applyAlignment="1">
      <alignment horizontal="center"/>
    </xf>
    <xf numFmtId="17" fontId="0" fillId="2" borderId="25" xfId="0" applyNumberFormat="1" applyFill="1" applyBorder="1" applyAlignment="1">
      <alignment horizontal="center"/>
    </xf>
    <xf numFmtId="17" fontId="0" fillId="2" borderId="19" xfId="0" applyNumberFormat="1" applyFill="1" applyBorder="1" applyAlignment="1">
      <alignment horizontal="center"/>
    </xf>
    <xf numFmtId="17" fontId="0" fillId="2" borderId="70" xfId="0" applyNumberFormat="1" applyFill="1" applyBorder="1" applyAlignment="1">
      <alignment horizontal="center"/>
    </xf>
    <xf numFmtId="3" fontId="0" fillId="2" borderId="70" xfId="0" applyNumberFormat="1" applyFill="1" applyBorder="1"/>
    <xf numFmtId="0" fontId="0" fillId="2" borderId="70" xfId="0" applyFill="1" applyBorder="1"/>
    <xf numFmtId="174" fontId="0" fillId="2" borderId="70" xfId="48" applyNumberFormat="1" applyFont="1" applyFill="1" applyBorder="1"/>
    <xf numFmtId="174" fontId="0" fillId="2" borderId="71" xfId="48" applyNumberFormat="1" applyFont="1" applyFill="1" applyBorder="1"/>
    <xf numFmtId="2" fontId="0" fillId="3" borderId="1" xfId="0" applyNumberFormat="1" applyFill="1" applyBorder="1"/>
    <xf numFmtId="0" fontId="0" fillId="2" borderId="0" xfId="0" applyFill="1" applyAlignment="1">
      <alignment horizontal="center"/>
    </xf>
    <xf numFmtId="0" fontId="25" fillId="2" borderId="0" xfId="0" applyFont="1" applyFill="1" applyAlignment="1">
      <alignment horizontal="right"/>
    </xf>
    <xf numFmtId="17" fontId="3" fillId="0" borderId="0" xfId="0" applyNumberFormat="1" applyFont="1" applyAlignment="1">
      <alignment horizontal="center"/>
    </xf>
    <xf numFmtId="0" fontId="0" fillId="2" borderId="0" xfId="0" applyFill="1" applyAlignment="1">
      <alignment horizontal="center"/>
    </xf>
    <xf numFmtId="176" fontId="21" fillId="2" borderId="0" xfId="48" applyNumberFormat="1" applyFont="1" applyFill="1"/>
    <xf numFmtId="17" fontId="3" fillId="2" borderId="2" xfId="0" applyNumberFormat="1" applyFont="1" applyFill="1" applyBorder="1" applyAlignment="1">
      <alignment horizontal="center"/>
    </xf>
    <xf numFmtId="0" fontId="0" fillId="2" borderId="0" xfId="0" applyFill="1" applyAlignment="1">
      <alignment horizontal="center"/>
    </xf>
    <xf numFmtId="174" fontId="0" fillId="24" borderId="0" xfId="0" applyNumberFormat="1" applyFill="1"/>
    <xf numFmtId="0" fontId="0" fillId="24" borderId="0" xfId="0" applyNumberFormat="1" applyFill="1"/>
    <xf numFmtId="174" fontId="0" fillId="24" borderId="0" xfId="48" applyNumberFormat="1" applyFont="1" applyFill="1"/>
    <xf numFmtId="0" fontId="0" fillId="20" borderId="0" xfId="0" applyNumberFormat="1" applyFill="1"/>
    <xf numFmtId="166" fontId="0" fillId="24" borderId="0" xfId="0" applyNumberFormat="1" applyFill="1"/>
    <xf numFmtId="166" fontId="0" fillId="24" borderId="9" xfId="0" applyNumberFormat="1" applyFill="1" applyBorder="1"/>
    <xf numFmtId="176" fontId="0" fillId="24" borderId="0" xfId="0" applyNumberFormat="1" applyFill="1"/>
    <xf numFmtId="166" fontId="0" fillId="24" borderId="8" xfId="0" applyNumberFormat="1" applyFill="1" applyBorder="1"/>
    <xf numFmtId="174" fontId="0" fillId="24" borderId="13" xfId="48" applyNumberFormat="1" applyFont="1" applyFill="1" applyBorder="1"/>
    <xf numFmtId="174" fontId="0" fillId="24" borderId="8" xfId="48" applyNumberFormat="1" applyFont="1" applyFill="1" applyBorder="1"/>
    <xf numFmtId="3" fontId="0" fillId="24" borderId="1" xfId="0" applyNumberFormat="1" applyFill="1" applyBorder="1"/>
    <xf numFmtId="176" fontId="21" fillId="24" borderId="0" xfId="0" applyNumberFormat="1" applyFont="1" applyFill="1"/>
    <xf numFmtId="174" fontId="0" fillId="2" borderId="1" xfId="48" applyNumberFormat="1" applyFont="1" applyFill="1" applyBorder="1"/>
    <xf numFmtId="174" fontId="3" fillId="2" borderId="1" xfId="48" applyNumberFormat="1" applyFont="1" applyFill="1" applyBorder="1"/>
    <xf numFmtId="17" fontId="38" fillId="12" borderId="27" xfId="0" applyNumberFormat="1" applyFont="1" applyFill="1" applyBorder="1" applyAlignment="1" applyProtection="1">
      <alignment horizontal="center" vertical="center"/>
    </xf>
    <xf numFmtId="17" fontId="38" fillId="12" borderId="28" xfId="0" applyNumberFormat="1" applyFont="1" applyFill="1" applyBorder="1" applyAlignment="1" applyProtection="1">
      <alignment horizontal="center" vertical="center"/>
    </xf>
    <xf numFmtId="17" fontId="38" fillId="12" borderId="29" xfId="0" applyNumberFormat="1" applyFont="1" applyFill="1" applyBorder="1" applyAlignment="1" applyProtection="1">
      <alignment horizontal="center" vertical="center"/>
    </xf>
    <xf numFmtId="0" fontId="30" fillId="6" borderId="0" xfId="0" applyFont="1" applyFill="1" applyBorder="1" applyAlignment="1" applyProtection="1">
      <alignment horizontal="right" vertical="center" wrapText="1"/>
    </xf>
    <xf numFmtId="0" fontId="31" fillId="0" borderId="72" xfId="0" applyFont="1" applyFill="1" applyBorder="1" applyAlignment="1" applyProtection="1">
      <alignment horizontal="right" vertical="top"/>
    </xf>
    <xf numFmtId="0" fontId="31" fillId="0" borderId="26" xfId="0" applyFont="1" applyFill="1" applyBorder="1" applyAlignment="1" applyProtection="1">
      <alignment horizontal="right" vertical="top"/>
    </xf>
    <xf numFmtId="0" fontId="31" fillId="0" borderId="8" xfId="0" applyFont="1" applyFill="1" applyBorder="1" applyAlignment="1" applyProtection="1">
      <alignment horizontal="right" vertical="top"/>
    </xf>
    <xf numFmtId="0" fontId="31" fillId="0" borderId="10" xfId="0" applyFont="1" applyFill="1" applyBorder="1" applyAlignment="1" applyProtection="1">
      <alignment horizontal="right" vertical="top"/>
    </xf>
    <xf numFmtId="0" fontId="3" fillId="2" borderId="2" xfId="0" applyFont="1" applyFill="1" applyBorder="1" applyAlignment="1">
      <alignment horizontal="center"/>
    </xf>
    <xf numFmtId="0" fontId="30" fillId="6" borderId="1" xfId="0" applyFont="1" applyFill="1" applyBorder="1" applyAlignment="1" applyProtection="1">
      <alignment horizontal="right" vertical="center" wrapText="1"/>
    </xf>
    <xf numFmtId="0" fontId="0" fillId="2" borderId="0" xfId="0" applyFill="1" applyAlignment="1">
      <alignment horizontal="center"/>
    </xf>
    <xf numFmtId="166" fontId="0" fillId="19" borderId="0" xfId="0" applyNumberFormat="1" applyFill="1"/>
    <xf numFmtId="166" fontId="0" fillId="19" borderId="9" xfId="0" applyNumberFormat="1" applyFill="1" applyBorder="1"/>
    <xf numFmtId="0" fontId="0" fillId="2" borderId="0" xfId="0" applyFont="1" applyFill="1" applyAlignment="1">
      <alignment horizontal="left" indent="1"/>
    </xf>
    <xf numFmtId="0" fontId="0" fillId="2" borderId="0" xfId="0" applyFont="1" applyFill="1" applyAlignment="1">
      <alignment horizontal="left"/>
    </xf>
    <xf numFmtId="0" fontId="0" fillId="2" borderId="0" xfId="0" applyFill="1" applyBorder="1" applyAlignment="1">
      <alignment horizontal="left" indent="1"/>
    </xf>
    <xf numFmtId="175" fontId="5" fillId="3" borderId="73" xfId="48" applyNumberFormat="1" applyFont="1" applyFill="1" applyBorder="1" applyAlignment="1" applyProtection="1">
      <alignment horizontal="right" vertical="top"/>
      <protection locked="0"/>
    </xf>
    <xf numFmtId="175" fontId="0" fillId="3" borderId="74" xfId="48" applyNumberFormat="1" applyFont="1" applyFill="1" applyBorder="1" applyAlignment="1" applyProtection="1">
      <alignment horizontal="right" vertical="top" wrapText="1"/>
      <protection locked="0"/>
    </xf>
    <xf numFmtId="175" fontId="0" fillId="3" borderId="75" xfId="48" applyNumberFormat="1" applyFont="1" applyFill="1" applyBorder="1" applyAlignment="1" applyProtection="1">
      <alignment horizontal="right" vertical="top" wrapText="1"/>
      <protection locked="0"/>
    </xf>
    <xf numFmtId="175" fontId="0" fillId="3" borderId="76" xfId="48" applyNumberFormat="1" applyFont="1" applyFill="1" applyBorder="1" applyAlignment="1" applyProtection="1">
      <alignment horizontal="right" vertical="top" wrapText="1"/>
      <protection locked="0"/>
    </xf>
    <xf numFmtId="175" fontId="0" fillId="6" borderId="77" xfId="48" applyNumberFormat="1" applyFont="1" applyFill="1" applyBorder="1" applyAlignment="1" applyProtection="1">
      <alignment horizontal="right" vertical="center"/>
    </xf>
    <xf numFmtId="175" fontId="5" fillId="3" borderId="78" xfId="48" applyNumberFormat="1" applyFont="1" applyFill="1" applyBorder="1" applyAlignment="1" applyProtection="1">
      <alignment horizontal="right" vertical="top"/>
      <protection locked="0"/>
    </xf>
    <xf numFmtId="0" fontId="0" fillId="2" borderId="0" xfId="0" applyFill="1" applyAlignment="1">
      <alignment horizontal="center"/>
    </xf>
    <xf numFmtId="0" fontId="0" fillId="2" borderId="0" xfId="0" applyFont="1" applyFill="1" applyBorder="1" applyAlignment="1">
      <alignment horizontal="left" indent="1"/>
    </xf>
    <xf numFmtId="174" fontId="3" fillId="2" borderId="0" xfId="0" applyNumberFormat="1" applyFont="1" applyFill="1" applyBorder="1"/>
    <xf numFmtId="0" fontId="40" fillId="24" borderId="26" xfId="0" applyFont="1" applyFill="1" applyBorder="1" applyAlignment="1" applyProtection="1"/>
    <xf numFmtId="174" fontId="0" fillId="24" borderId="9" xfId="0" applyNumberFormat="1" applyFill="1" applyBorder="1"/>
    <xf numFmtId="0" fontId="40" fillId="24" borderId="8" xfId="0" applyFont="1" applyFill="1" applyBorder="1" applyAlignment="1" applyProtection="1"/>
    <xf numFmtId="0" fontId="36" fillId="2" borderId="0" xfId="0" applyFont="1" applyFill="1" applyBorder="1" applyAlignment="1" applyProtection="1">
      <alignment horizontal="left"/>
    </xf>
    <xf numFmtId="0" fontId="36" fillId="2" borderId="0" xfId="0" applyFont="1" applyFill="1" applyProtection="1"/>
    <xf numFmtId="169" fontId="3" fillId="2" borderId="0" xfId="0" applyNumberFormat="1" applyFont="1" applyFill="1" applyAlignment="1">
      <alignment horizontal="center"/>
    </xf>
    <xf numFmtId="170" fontId="0" fillId="2" borderId="0" xfId="0" quotePrefix="1" applyNumberFormat="1" applyFill="1"/>
    <xf numFmtId="0" fontId="0" fillId="2" borderId="0" xfId="0" applyFill="1" applyAlignment="1">
      <alignment horizontal="center"/>
    </xf>
    <xf numFmtId="177" fontId="0" fillId="2" borderId="0" xfId="0" applyNumberFormat="1" applyFill="1"/>
    <xf numFmtId="0" fontId="14" fillId="0" borderId="1" xfId="0" applyFont="1" applyFill="1" applyBorder="1"/>
    <xf numFmtId="167" fontId="14" fillId="0" borderId="1" xfId="2" applyNumberFormat="1" applyFont="1" applyFill="1" applyBorder="1" applyAlignment="1">
      <alignment vertical="center"/>
    </xf>
    <xf numFmtId="167" fontId="5" fillId="0" borderId="1" xfId="2" applyNumberFormat="1" applyFont="1" applyFill="1" applyBorder="1" applyAlignment="1">
      <alignment horizontal="right" vertical="center"/>
    </xf>
    <xf numFmtId="174" fontId="5" fillId="2" borderId="1" xfId="48" applyNumberFormat="1" applyFont="1" applyFill="1" applyBorder="1"/>
    <xf numFmtId="0" fontId="38" fillId="2" borderId="1" xfId="0" applyFont="1" applyFill="1" applyBorder="1"/>
    <xf numFmtId="174" fontId="0" fillId="2" borderId="1" xfId="0" applyNumberFormat="1" applyFill="1" applyBorder="1"/>
    <xf numFmtId="174" fontId="3" fillId="2" borderId="1" xfId="0" applyNumberFormat="1" applyFont="1" applyFill="1" applyBorder="1"/>
    <xf numFmtId="0" fontId="3" fillId="2" borderId="5" xfId="0" applyFont="1" applyFill="1" applyBorder="1"/>
    <xf numFmtId="174" fontId="0" fillId="24" borderId="0" xfId="0" applyNumberFormat="1" applyFill="1" applyBorder="1"/>
    <xf numFmtId="0" fontId="16" fillId="2" borderId="15" xfId="0" applyFont="1" applyFill="1" applyBorder="1"/>
    <xf numFmtId="0" fontId="3" fillId="6" borderId="0" xfId="0" applyFont="1" applyFill="1"/>
    <xf numFmtId="3" fontId="0" fillId="6" borderId="0" xfId="0" applyNumberFormat="1" applyFill="1" applyBorder="1"/>
    <xf numFmtId="0" fontId="0" fillId="6" borderId="0" xfId="0" applyFill="1"/>
    <xf numFmtId="0" fontId="3" fillId="2" borderId="0" xfId="0" applyFont="1" applyFill="1" applyAlignment="1">
      <alignment wrapText="1"/>
    </xf>
    <xf numFmtId="167" fontId="0" fillId="2" borderId="21" xfId="2" applyNumberFormat="1" applyFont="1" applyFill="1" applyBorder="1"/>
    <xf numFmtId="17" fontId="0" fillId="2" borderId="21" xfId="0" applyNumberFormat="1" applyFill="1" applyBorder="1" applyAlignment="1">
      <alignment horizontal="center"/>
    </xf>
    <xf numFmtId="17" fontId="0" fillId="2" borderId="79" xfId="0" applyNumberFormat="1" applyFill="1" applyBorder="1" applyAlignment="1">
      <alignment horizontal="center"/>
    </xf>
    <xf numFmtId="17" fontId="0" fillId="2" borderId="53" xfId="0" applyNumberFormat="1" applyFill="1" applyBorder="1" applyAlignment="1">
      <alignment horizontal="center"/>
    </xf>
    <xf numFmtId="174" fontId="0" fillId="2" borderId="54" xfId="48" applyNumberFormat="1" applyFont="1" applyFill="1" applyBorder="1"/>
    <xf numFmtId="174" fontId="0" fillId="2" borderId="24" xfId="48" applyNumberFormat="1" applyFont="1" applyFill="1" applyBorder="1"/>
    <xf numFmtId="174" fontId="0" fillId="2" borderId="71" xfId="0" applyNumberFormat="1" applyFill="1" applyBorder="1"/>
    <xf numFmtId="174" fontId="0" fillId="2" borderId="24" xfId="0" applyNumberFormat="1" applyFill="1" applyBorder="1"/>
    <xf numFmtId="0" fontId="47" fillId="2" borderId="0" xfId="0" quotePrefix="1" applyFont="1" applyFill="1"/>
    <xf numFmtId="0" fontId="14" fillId="2" borderId="0" xfId="0" applyFont="1" applyFill="1" applyAlignment="1">
      <alignment horizontal="left" indent="1"/>
    </xf>
    <xf numFmtId="0" fontId="22" fillId="27" borderId="0" xfId="0" applyFont="1" applyFill="1"/>
    <xf numFmtId="0" fontId="0" fillId="2" borderId="0" xfId="0" applyFill="1" applyBorder="1" applyAlignment="1">
      <alignment horizontal="right"/>
    </xf>
    <xf numFmtId="1" fontId="0" fillId="2" borderId="0" xfId="0" applyNumberFormat="1" applyFill="1" applyBorder="1"/>
    <xf numFmtId="0" fontId="39" fillId="2" borderId="0" xfId="0" applyFont="1" applyFill="1" applyAlignment="1">
      <alignment horizontal="right"/>
    </xf>
    <xf numFmtId="174" fontId="41" fillId="2" borderId="0" xfId="48" applyNumberFormat="1" applyFont="1" applyFill="1"/>
    <xf numFmtId="0" fontId="39" fillId="2" borderId="0" xfId="0" applyFont="1" applyFill="1"/>
    <xf numFmtId="174" fontId="39" fillId="2" borderId="0" xfId="48" applyNumberFormat="1" applyFont="1" applyFill="1"/>
    <xf numFmtId="174" fontId="39" fillId="2" borderId="0" xfId="0" applyNumberFormat="1" applyFont="1" applyFill="1"/>
    <xf numFmtId="0" fontId="39" fillId="2" borderId="0" xfId="0" applyFont="1" applyFill="1" applyAlignment="1">
      <alignment horizontal="center"/>
    </xf>
    <xf numFmtId="174" fontId="41" fillId="2" borderId="0" xfId="0" applyNumberFormat="1" applyFont="1" applyFill="1"/>
    <xf numFmtId="174" fontId="0" fillId="0" borderId="1" xfId="48" applyNumberFormat="1" applyFont="1" applyFill="1" applyBorder="1"/>
    <xf numFmtId="0" fontId="30" fillId="12" borderId="15" xfId="0" applyFont="1" applyFill="1" applyBorder="1" applyAlignment="1">
      <alignment vertical="center" wrapText="1"/>
    </xf>
    <xf numFmtId="0" fontId="30" fillId="12" borderId="25" xfId="0" applyFont="1" applyFill="1" applyBorder="1" applyAlignment="1">
      <alignment vertical="center" wrapText="1"/>
    </xf>
    <xf numFmtId="0" fontId="30" fillId="12" borderId="80" xfId="0" applyFont="1" applyFill="1" applyBorder="1" applyAlignment="1">
      <alignment horizontal="center" vertical="center" wrapText="1"/>
    </xf>
    <xf numFmtId="0" fontId="30" fillId="13" borderId="81" xfId="0" applyFont="1" applyFill="1" applyBorder="1" applyAlignment="1">
      <alignment horizontal="center" vertical="center" wrapText="1"/>
    </xf>
    <xf numFmtId="0" fontId="30" fillId="13" borderId="60" xfId="0" applyFont="1" applyFill="1" applyBorder="1" applyAlignment="1">
      <alignment horizontal="center" vertical="center" wrapText="1"/>
    </xf>
    <xf numFmtId="0" fontId="30" fillId="13" borderId="61" xfId="0" applyFont="1" applyFill="1" applyBorder="1" applyAlignment="1">
      <alignment horizontal="center" vertical="center" wrapText="1"/>
    </xf>
    <xf numFmtId="0" fontId="30" fillId="6" borderId="25" xfId="0" applyFont="1" applyFill="1" applyBorder="1" applyAlignment="1">
      <alignment vertical="center" wrapText="1"/>
    </xf>
    <xf numFmtId="0" fontId="30" fillId="6" borderId="19" xfId="0" applyFont="1" applyFill="1" applyBorder="1" applyAlignment="1">
      <alignment vertical="center" wrapText="1"/>
    </xf>
    <xf numFmtId="174" fontId="0" fillId="24" borderId="1" xfId="48" applyNumberFormat="1"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2" borderId="9" xfId="0" applyFill="1" applyBorder="1" applyAlignment="1">
      <alignment horizontal="center"/>
    </xf>
    <xf numFmtId="0" fontId="3" fillId="0" borderId="0" xfId="0" applyFont="1"/>
    <xf numFmtId="164" fontId="0" fillId="2" borderId="8" xfId="0" applyNumberFormat="1" applyFill="1" applyBorder="1"/>
    <xf numFmtId="164" fontId="0" fillId="2" borderId="54" xfId="0" applyNumberFormat="1" applyFill="1" applyBorder="1"/>
    <xf numFmtId="164" fontId="5" fillId="2" borderId="0" xfId="48" applyFont="1" applyFill="1" applyBorder="1"/>
    <xf numFmtId="164" fontId="0" fillId="2" borderId="0" xfId="48" applyFont="1" applyFill="1" applyBorder="1"/>
    <xf numFmtId="164" fontId="0" fillId="2" borderId="3" xfId="0" applyNumberFormat="1" applyFill="1" applyBorder="1"/>
    <xf numFmtId="176" fontId="3" fillId="2" borderId="0" xfId="0" applyNumberFormat="1" applyFont="1" applyFill="1" applyAlignment="1">
      <alignment horizontal="right"/>
    </xf>
    <xf numFmtId="0" fontId="47" fillId="2" borderId="0" xfId="0" applyFont="1" applyFill="1"/>
    <xf numFmtId="9" fontId="3" fillId="2" borderId="0" xfId="2" applyFont="1" applyFill="1"/>
    <xf numFmtId="164" fontId="47" fillId="2" borderId="0" xfId="0" applyNumberFormat="1" applyFont="1" applyFill="1"/>
    <xf numFmtId="176" fontId="3" fillId="2" borderId="0" xfId="48" applyNumberFormat="1" applyFont="1" applyFill="1" applyAlignment="1">
      <alignment horizontal="center"/>
    </xf>
    <xf numFmtId="0" fontId="0" fillId="2" borderId="10" xfId="0" applyFill="1" applyBorder="1" applyAlignment="1">
      <alignment horizontal="center"/>
    </xf>
    <xf numFmtId="0" fontId="0" fillId="2" borderId="24" xfId="0" applyFill="1" applyBorder="1" applyAlignment="1">
      <alignment horizontal="center"/>
    </xf>
    <xf numFmtId="0" fontId="0" fillId="2" borderId="4" xfId="0" applyFill="1" applyBorder="1" applyAlignment="1">
      <alignment horizontal="center"/>
    </xf>
    <xf numFmtId="176" fontId="0" fillId="2" borderId="53" xfId="48" applyNumberFormat="1" applyFont="1" applyFill="1" applyBorder="1"/>
    <xf numFmtId="176" fontId="0" fillId="2" borderId="8" xfId="0" applyNumberFormat="1" applyFill="1" applyBorder="1"/>
    <xf numFmtId="176" fontId="0" fillId="2" borderId="54" xfId="0" applyNumberFormat="1" applyFill="1" applyBorder="1"/>
    <xf numFmtId="176" fontId="0" fillId="2" borderId="8" xfId="48" applyNumberFormat="1" applyFont="1" applyFill="1" applyBorder="1"/>
    <xf numFmtId="176" fontId="0" fillId="2" borderId="3" xfId="48" applyNumberFormat="1" applyFont="1" applyFill="1" applyBorder="1"/>
    <xf numFmtId="176" fontId="0" fillId="2" borderId="54" xfId="48" applyNumberFormat="1" applyFont="1" applyFill="1" applyBorder="1"/>
    <xf numFmtId="176" fontId="0" fillId="2" borderId="24" xfId="48" applyNumberFormat="1" applyFont="1" applyFill="1" applyBorder="1"/>
    <xf numFmtId="176" fontId="0" fillId="2" borderId="10" xfId="0" applyNumberFormat="1" applyFill="1" applyBorder="1"/>
    <xf numFmtId="176" fontId="0" fillId="2" borderId="9" xfId="0" applyNumberFormat="1" applyFill="1" applyBorder="1"/>
    <xf numFmtId="176" fontId="0" fillId="2" borderId="24" xfId="0" applyNumberFormat="1" applyFill="1" applyBorder="1"/>
    <xf numFmtId="176" fontId="0" fillId="2" borderId="10" xfId="48" applyNumberFormat="1" applyFont="1" applyFill="1" applyBorder="1"/>
    <xf numFmtId="176" fontId="0" fillId="2" borderId="9" xfId="48" applyNumberFormat="1" applyFont="1" applyFill="1" applyBorder="1"/>
    <xf numFmtId="176" fontId="0" fillId="2" borderId="4" xfId="48" applyNumberFormat="1" applyFont="1" applyFill="1" applyBorder="1"/>
    <xf numFmtId="176" fontId="3" fillId="2" borderId="53" xfId="48" applyNumberFormat="1" applyFont="1" applyFill="1" applyBorder="1"/>
    <xf numFmtId="176" fontId="3" fillId="2" borderId="26" xfId="48" applyNumberFormat="1" applyFont="1" applyFill="1" applyBorder="1"/>
    <xf numFmtId="176" fontId="3" fillId="2" borderId="21" xfId="48" applyNumberFormat="1" applyFont="1" applyFill="1" applyBorder="1"/>
    <xf numFmtId="176" fontId="0" fillId="2" borderId="3" xfId="0" applyNumberFormat="1" applyFill="1" applyBorder="1"/>
    <xf numFmtId="176" fontId="0" fillId="2" borderId="0" xfId="48" applyNumberFormat="1" applyFont="1" applyFill="1" applyBorder="1"/>
    <xf numFmtId="164" fontId="0" fillId="2" borderId="1" xfId="48" applyFont="1" applyFill="1" applyBorder="1"/>
    <xf numFmtId="174" fontId="3" fillId="24" borderId="1" xfId="48" applyNumberFormat="1" applyFont="1" applyFill="1" applyBorder="1"/>
    <xf numFmtId="174" fontId="39" fillId="0" borderId="0" xfId="48" applyNumberFormat="1" applyFont="1" applyFill="1"/>
    <xf numFmtId="0" fontId="48" fillId="2" borderId="0" xfId="0" applyFont="1" applyFill="1" applyAlignment="1">
      <alignment horizontal="left" indent="1"/>
    </xf>
    <xf numFmtId="174" fontId="3" fillId="24" borderId="0" xfId="0" applyNumberFormat="1" applyFont="1" applyFill="1" applyBorder="1"/>
    <xf numFmtId="17" fontId="3" fillId="2" borderId="0" xfId="0" applyNumberFormat="1" applyFont="1" applyFill="1" applyBorder="1" applyAlignment="1">
      <alignment horizontal="center"/>
    </xf>
    <xf numFmtId="174" fontId="3" fillId="2" borderId="0" xfId="48" applyNumberFormat="1" applyFont="1" applyFill="1" applyBorder="1"/>
    <xf numFmtId="176" fontId="3" fillId="2" borderId="7" xfId="0" applyNumberFormat="1" applyFont="1" applyFill="1" applyBorder="1"/>
    <xf numFmtId="176" fontId="3" fillId="2" borderId="5" xfId="0" applyNumberFormat="1" applyFont="1" applyFill="1" applyBorder="1"/>
    <xf numFmtId="176" fontId="3" fillId="2" borderId="6" xfId="0" applyNumberFormat="1" applyFont="1" applyFill="1" applyBorder="1"/>
    <xf numFmtId="176" fontId="3" fillId="2" borderId="1" xfId="48" applyNumberFormat="1" applyFont="1" applyFill="1" applyBorder="1"/>
    <xf numFmtId="176" fontId="3" fillId="2" borderId="5" xfId="48" applyNumberFormat="1" applyFont="1" applyFill="1" applyBorder="1"/>
    <xf numFmtId="176" fontId="3" fillId="2" borderId="6" xfId="48" applyNumberFormat="1" applyFont="1" applyFill="1" applyBorder="1"/>
    <xf numFmtId="176" fontId="3" fillId="2" borderId="7" xfId="48" applyNumberFormat="1" applyFont="1" applyFill="1" applyBorder="1"/>
    <xf numFmtId="0" fontId="45" fillId="2" borderId="0" xfId="0" applyFont="1" applyFill="1"/>
    <xf numFmtId="0" fontId="0" fillId="2" borderId="0" xfId="0" quotePrefix="1" applyFill="1" applyAlignment="1">
      <alignment vertical="center"/>
    </xf>
    <xf numFmtId="0" fontId="14" fillId="0" borderId="0" xfId="0" applyFont="1" applyFill="1"/>
    <xf numFmtId="0" fontId="52" fillId="2" borderId="0" xfId="0" applyFont="1" applyFill="1"/>
    <xf numFmtId="0" fontId="6" fillId="18" borderId="0" xfId="0" applyFont="1" applyFill="1"/>
    <xf numFmtId="3" fontId="21" fillId="2" borderId="0" xfId="0" applyNumberFormat="1" applyFont="1" applyFill="1"/>
    <xf numFmtId="17" fontId="21" fillId="2" borderId="0" xfId="0" applyNumberFormat="1" applyFont="1" applyFill="1" applyAlignment="1">
      <alignment horizontal="center"/>
    </xf>
    <xf numFmtId="3" fontId="21" fillId="2" borderId="0" xfId="0" applyNumberFormat="1" applyFont="1" applyFill="1" applyBorder="1"/>
    <xf numFmtId="0" fontId="21" fillId="2" borderId="0" xfId="0" applyFont="1" applyFill="1" applyAlignment="1">
      <alignment horizontal="center"/>
    </xf>
    <xf numFmtId="3" fontId="0" fillId="18" borderId="1" xfId="0" applyNumberFormat="1" applyFill="1" applyBorder="1"/>
    <xf numFmtId="3" fontId="20" fillId="2" borderId="0" xfId="0" applyNumberFormat="1" applyFont="1" applyFill="1" applyBorder="1"/>
    <xf numFmtId="0" fontId="3" fillId="18" borderId="0" xfId="0" applyFont="1" applyFill="1"/>
    <xf numFmtId="17" fontId="0" fillId="0" borderId="0" xfId="0" applyNumberFormat="1" applyAlignment="1">
      <alignment horizontal="center"/>
    </xf>
    <xf numFmtId="0" fontId="27" fillId="5" borderId="0" xfId="0" applyFont="1" applyFill="1"/>
    <xf numFmtId="174" fontId="0" fillId="9" borderId="0" xfId="48" applyNumberFormat="1" applyFont="1" applyFill="1"/>
    <xf numFmtId="174" fontId="0" fillId="9" borderId="8" xfId="48" applyNumberFormat="1" applyFont="1" applyFill="1" applyBorder="1"/>
    <xf numFmtId="3" fontId="3" fillId="18" borderId="1" xfId="0" applyNumberFormat="1" applyFont="1" applyFill="1" applyBorder="1"/>
    <xf numFmtId="0" fontId="53" fillId="2" borderId="0" xfId="0" applyFont="1" applyFill="1"/>
    <xf numFmtId="0" fontId="54" fillId="2" borderId="0" xfId="0" applyFont="1" applyFill="1"/>
    <xf numFmtId="178" fontId="21" fillId="2" borderId="0" xfId="48" applyNumberFormat="1" applyFont="1" applyFill="1"/>
    <xf numFmtId="173" fontId="55" fillId="18" borderId="0" xfId="0" applyNumberFormat="1" applyFont="1" applyFill="1"/>
    <xf numFmtId="10" fontId="42" fillId="2" borderId="0" xfId="2" applyNumberFormat="1" applyFont="1" applyFill="1"/>
    <xf numFmtId="10" fontId="3" fillId="2" borderId="0" xfId="2" applyNumberFormat="1" applyFont="1" applyFill="1"/>
    <xf numFmtId="0" fontId="55" fillId="2" borderId="0" xfId="0" applyFont="1" applyFill="1"/>
    <xf numFmtId="0" fontId="55" fillId="2" borderId="9" xfId="0" applyFont="1" applyFill="1" applyBorder="1"/>
    <xf numFmtId="174" fontId="55" fillId="2" borderId="0" xfId="0" applyNumberFormat="1" applyFont="1" applyFill="1"/>
    <xf numFmtId="174" fontId="55" fillId="2" borderId="9" xfId="0" applyNumberFormat="1" applyFont="1" applyFill="1" applyBorder="1"/>
    <xf numFmtId="166" fontId="42" fillId="3" borderId="8" xfId="0" applyNumberFormat="1" applyFont="1" applyFill="1" applyBorder="1"/>
    <xf numFmtId="166" fontId="42" fillId="3" borderId="0" xfId="0" applyNumberFormat="1" applyFont="1" applyFill="1"/>
    <xf numFmtId="166" fontId="42" fillId="3" borderId="54" xfId="0" applyNumberFormat="1" applyFont="1" applyFill="1" applyBorder="1"/>
    <xf numFmtId="166" fontId="42" fillId="3" borderId="10" xfId="0" applyNumberFormat="1" applyFont="1" applyFill="1" applyBorder="1"/>
    <xf numFmtId="166" fontId="42" fillId="3" borderId="9" xfId="0" applyNumberFormat="1" applyFont="1" applyFill="1" applyBorder="1"/>
    <xf numFmtId="166" fontId="42" fillId="3" borderId="24" xfId="0" applyNumberFormat="1" applyFont="1" applyFill="1" applyBorder="1"/>
    <xf numFmtId="166" fontId="44" fillId="19" borderId="3" xfId="0" applyNumberFormat="1" applyFont="1" applyFill="1" applyBorder="1"/>
    <xf numFmtId="4" fontId="44" fillId="19" borderId="4" xfId="0" applyNumberFormat="1" applyFont="1" applyFill="1" applyBorder="1"/>
    <xf numFmtId="166" fontId="44" fillId="19" borderId="4" xfId="0" applyNumberFormat="1" applyFont="1" applyFill="1" applyBorder="1"/>
    <xf numFmtId="176" fontId="44" fillId="2" borderId="0" xfId="0" applyNumberFormat="1" applyFont="1" applyFill="1"/>
    <xf numFmtId="179" fontId="0" fillId="2" borderId="0" xfId="0" applyNumberFormat="1" applyFill="1"/>
    <xf numFmtId="180" fontId="0" fillId="2" borderId="0" xfId="0" applyNumberFormat="1" applyFill="1"/>
    <xf numFmtId="176" fontId="44" fillId="2" borderId="8" xfId="0" applyNumberFormat="1" applyFont="1" applyFill="1" applyBorder="1"/>
    <xf numFmtId="176" fontId="44" fillId="2" borderId="54" xfId="0" applyNumberFormat="1" applyFont="1" applyFill="1" applyBorder="1"/>
    <xf numFmtId="164" fontId="44" fillId="2" borderId="0" xfId="0" applyNumberFormat="1" applyFont="1" applyFill="1"/>
    <xf numFmtId="164" fontId="44" fillId="2" borderId="54" xfId="0" applyNumberFormat="1" applyFont="1" applyFill="1" applyBorder="1"/>
    <xf numFmtId="3" fontId="44" fillId="2" borderId="0" xfId="0" applyNumberFormat="1" applyFont="1" applyFill="1" applyBorder="1"/>
    <xf numFmtId="181" fontId="0" fillId="2" borderId="0" xfId="0" applyNumberFormat="1" applyFill="1"/>
    <xf numFmtId="182" fontId="0" fillId="2" borderId="0" xfId="0" applyNumberFormat="1" applyFill="1"/>
    <xf numFmtId="183" fontId="0" fillId="2" borderId="0" xfId="0" applyNumberFormat="1" applyFill="1"/>
    <xf numFmtId="1" fontId="0" fillId="2" borderId="0" xfId="0" applyNumberFormat="1" applyFill="1" applyAlignment="1">
      <alignment horizontal="right"/>
    </xf>
    <xf numFmtId="184" fontId="0" fillId="2" borderId="0" xfId="0" applyNumberFormat="1" applyFill="1" applyAlignment="1">
      <alignment horizontal="right"/>
    </xf>
    <xf numFmtId="184" fontId="0" fillId="2" borderId="0" xfId="0" applyNumberFormat="1" applyFill="1"/>
    <xf numFmtId="174" fontId="55" fillId="18" borderId="0" xfId="48" applyNumberFormat="1" applyFont="1" applyFill="1" applyBorder="1"/>
    <xf numFmtId="0" fontId="3" fillId="0" borderId="6" xfId="0" applyFont="1" applyBorder="1" applyAlignment="1">
      <alignment horizontal="center"/>
    </xf>
    <xf numFmtId="0" fontId="42" fillId="18" borderId="0" xfId="0" applyFont="1" applyFill="1"/>
    <xf numFmtId="0" fontId="3" fillId="0" borderId="6" xfId="0" applyFont="1" applyBorder="1"/>
    <xf numFmtId="174" fontId="0" fillId="0" borderId="0" xfId="0" applyNumberFormat="1"/>
    <xf numFmtId="174" fontId="3" fillId="0" borderId="6" xfId="0" applyNumberFormat="1" applyFont="1" applyBorder="1"/>
    <xf numFmtId="17" fontId="3" fillId="0" borderId="6" xfId="0" applyNumberFormat="1" applyFont="1" applyBorder="1"/>
    <xf numFmtId="3" fontId="3" fillId="0" borderId="0" xfId="0" applyNumberFormat="1" applyFont="1"/>
    <xf numFmtId="3" fontId="38" fillId="18" borderId="0" xfId="0" applyNumberFormat="1" applyFont="1" applyFill="1"/>
    <xf numFmtId="17" fontId="3" fillId="0" borderId="9" xfId="0" applyNumberFormat="1" applyFont="1" applyBorder="1"/>
    <xf numFmtId="0" fontId="3" fillId="0" borderId="0" xfId="0" applyFont="1" applyAlignment="1">
      <alignment horizontal="center"/>
    </xf>
    <xf numFmtId="17" fontId="3" fillId="0" borderId="0" xfId="0" applyNumberFormat="1" applyFont="1"/>
    <xf numFmtId="17" fontId="3" fillId="0" borderId="6" xfId="0" applyNumberFormat="1" applyFont="1" applyBorder="1" applyAlignment="1">
      <alignment horizontal="right"/>
    </xf>
    <xf numFmtId="3" fontId="56" fillId="18" borderId="0" xfId="0" applyNumberFormat="1" applyFont="1" applyFill="1"/>
    <xf numFmtId="10" fontId="55" fillId="18" borderId="0" xfId="0" applyNumberFormat="1" applyFont="1" applyFill="1"/>
    <xf numFmtId="17" fontId="0" fillId="0" borderId="6" xfId="0" applyNumberFormat="1" applyBorder="1"/>
    <xf numFmtId="0" fontId="58" fillId="0" borderId="0" xfId="0" applyFont="1"/>
    <xf numFmtId="185" fontId="0" fillId="2" borderId="0" xfId="2" applyNumberFormat="1" applyFont="1" applyFill="1"/>
    <xf numFmtId="186" fontId="14" fillId="2" borderId="0" xfId="0" applyNumberFormat="1" applyFont="1" applyFill="1"/>
    <xf numFmtId="0" fontId="42" fillId="18" borderId="0" xfId="0" applyFont="1" applyFill="1" applyAlignment="1">
      <alignment horizontal="right"/>
    </xf>
    <xf numFmtId="0" fontId="3" fillId="0" borderId="0" xfId="0" quotePrefix="1" applyFont="1"/>
    <xf numFmtId="176" fontId="3" fillId="0" borderId="6" xfId="0" applyNumberFormat="1" applyFont="1" applyBorder="1"/>
    <xf numFmtId="0" fontId="35" fillId="29" borderId="26" xfId="0" applyFont="1" applyFill="1" applyBorder="1"/>
    <xf numFmtId="0" fontId="0" fillId="29" borderId="21" xfId="0" applyFill="1" applyBorder="1"/>
    <xf numFmtId="0" fontId="0" fillId="29" borderId="53" xfId="0" applyFill="1" applyBorder="1"/>
    <xf numFmtId="17" fontId="3" fillId="29" borderId="5" xfId="0" applyNumberFormat="1" applyFont="1" applyFill="1" applyBorder="1"/>
    <xf numFmtId="17" fontId="3" fillId="29" borderId="6" xfId="0" applyNumberFormat="1" applyFont="1" applyFill="1" applyBorder="1"/>
    <xf numFmtId="17" fontId="3" fillId="29" borderId="7" xfId="0" applyNumberFormat="1" applyFont="1" applyFill="1" applyBorder="1"/>
    <xf numFmtId="3" fontId="55" fillId="29" borderId="8" xfId="0" applyNumberFormat="1" applyFont="1" applyFill="1" applyBorder="1"/>
    <xf numFmtId="3" fontId="55" fillId="29" borderId="0" xfId="0" applyNumberFormat="1" applyFont="1" applyFill="1" applyBorder="1"/>
    <xf numFmtId="3" fontId="55" fillId="29" borderId="70" xfId="0" applyNumberFormat="1" applyFont="1" applyFill="1" applyBorder="1"/>
    <xf numFmtId="3" fontId="55" fillId="29" borderId="54" xfId="0" applyNumberFormat="1" applyFont="1" applyFill="1" applyBorder="1"/>
    <xf numFmtId="3" fontId="55" fillId="29" borderId="10" xfId="0" applyNumberFormat="1" applyFont="1" applyFill="1" applyBorder="1"/>
    <xf numFmtId="3" fontId="55" fillId="29" borderId="9" xfId="0" applyNumberFormat="1" applyFont="1" applyFill="1" applyBorder="1"/>
    <xf numFmtId="3" fontId="55" fillId="29" borderId="71" xfId="0" applyNumberFormat="1" applyFont="1" applyFill="1" applyBorder="1"/>
    <xf numFmtId="3" fontId="55" fillId="29" borderId="24" xfId="0" applyNumberFormat="1" applyFont="1" applyFill="1" applyBorder="1"/>
    <xf numFmtId="3" fontId="0" fillId="29" borderId="10" xfId="0" applyNumberFormat="1" applyFill="1" applyBorder="1"/>
    <xf numFmtId="3" fontId="21" fillId="29" borderId="9" xfId="0" applyNumberFormat="1" applyFont="1" applyFill="1" applyBorder="1"/>
    <xf numFmtId="3" fontId="21" fillId="29" borderId="71" xfId="0" applyNumberFormat="1" applyFont="1" applyFill="1" applyBorder="1"/>
    <xf numFmtId="3" fontId="0" fillId="29" borderId="9" xfId="0" applyNumberFormat="1" applyFill="1" applyBorder="1"/>
    <xf numFmtId="3" fontId="0" fillId="29" borderId="24" xfId="0" applyNumberFormat="1" applyFill="1" applyBorder="1"/>
    <xf numFmtId="0" fontId="3" fillId="29" borderId="26" xfId="0" applyFont="1" applyFill="1" applyBorder="1"/>
    <xf numFmtId="164" fontId="0" fillId="24" borderId="0" xfId="0" applyNumberFormat="1" applyFill="1"/>
    <xf numFmtId="164" fontId="0" fillId="2" borderId="0" xfId="48" applyNumberFormat="1" applyFont="1" applyFill="1"/>
    <xf numFmtId="176" fontId="0" fillId="29" borderId="8" xfId="48" applyNumberFormat="1" applyFont="1" applyFill="1" applyBorder="1"/>
    <xf numFmtId="176" fontId="0" fillId="29" borderId="0" xfId="48" applyNumberFormat="1" applyFont="1" applyFill="1"/>
    <xf numFmtId="176" fontId="44" fillId="29" borderId="5" xfId="48" applyNumberFormat="1" applyFont="1" applyFill="1" applyBorder="1"/>
    <xf numFmtId="176" fontId="44" fillId="29" borderId="6" xfId="48" applyNumberFormat="1" applyFont="1" applyFill="1" applyBorder="1"/>
    <xf numFmtId="0" fontId="3" fillId="29" borderId="26" xfId="0" applyFont="1" applyFill="1" applyBorder="1" applyAlignment="1">
      <alignment horizontal="right"/>
    </xf>
    <xf numFmtId="0" fontId="3" fillId="29" borderId="21" xfId="0" applyFont="1" applyFill="1" applyBorder="1" applyAlignment="1">
      <alignment horizontal="right"/>
    </xf>
    <xf numFmtId="0" fontId="3" fillId="29" borderId="53" xfId="0" applyFont="1" applyFill="1" applyBorder="1" applyAlignment="1">
      <alignment horizontal="right"/>
    </xf>
    <xf numFmtId="176" fontId="44" fillId="29" borderId="7" xfId="48" applyNumberFormat="1" applyFont="1" applyFill="1" applyBorder="1"/>
    <xf numFmtId="17" fontId="3" fillId="2" borderId="0" xfId="0" applyNumberFormat="1" applyFont="1" applyFill="1" applyAlignment="1">
      <alignment horizontal="right"/>
    </xf>
    <xf numFmtId="17" fontId="3" fillId="2" borderId="6" xfId="0" applyNumberFormat="1" applyFont="1" applyFill="1" applyBorder="1"/>
    <xf numFmtId="17" fontId="3" fillId="2" borderId="5" xfId="0" applyNumberFormat="1" applyFont="1" applyFill="1" applyBorder="1"/>
    <xf numFmtId="17" fontId="3" fillId="2" borderId="7" xfId="0" applyNumberFormat="1" applyFont="1" applyFill="1" applyBorder="1"/>
    <xf numFmtId="17" fontId="3" fillId="2" borderId="0" xfId="0" applyNumberFormat="1" applyFont="1" applyFill="1" applyBorder="1" applyAlignment="1">
      <alignment horizontal="right"/>
    </xf>
    <xf numFmtId="4" fontId="0" fillId="24" borderId="8" xfId="0" applyNumberFormat="1" applyFill="1" applyBorder="1"/>
    <xf numFmtId="4" fontId="0" fillId="2" borderId="0" xfId="0" applyNumberFormat="1" applyFill="1" applyBorder="1"/>
    <xf numFmtId="4" fontId="0" fillId="2" borderId="54" xfId="0" applyNumberFormat="1" applyFill="1" applyBorder="1"/>
    <xf numFmtId="4" fontId="0" fillId="24" borderId="0" xfId="0" applyNumberFormat="1" applyFill="1"/>
    <xf numFmtId="4" fontId="0" fillId="24" borderId="0" xfId="0" applyNumberFormat="1" applyFill="1" applyBorder="1"/>
    <xf numFmtId="4" fontId="0" fillId="24" borderId="54" xfId="0" applyNumberFormat="1" applyFill="1" applyBorder="1"/>
    <xf numFmtId="4" fontId="44" fillId="2" borderId="0" xfId="0" applyNumberFormat="1" applyFont="1" applyFill="1" applyBorder="1"/>
    <xf numFmtId="4" fontId="44" fillId="2" borderId="54" xfId="0" applyNumberFormat="1" applyFont="1" applyFill="1" applyBorder="1"/>
    <xf numFmtId="4" fontId="44" fillId="2" borderId="8" xfId="0" applyNumberFormat="1" applyFont="1" applyFill="1" applyBorder="1"/>
    <xf numFmtId="4" fontId="0" fillId="24" borderId="10" xfId="0" applyNumberFormat="1" applyFill="1" applyBorder="1"/>
    <xf numFmtId="4" fontId="0" fillId="2" borderId="9" xfId="0" applyNumberFormat="1" applyFill="1" applyBorder="1"/>
    <xf numFmtId="4" fontId="0" fillId="2" borderId="24" xfId="0" applyNumberFormat="1" applyFill="1" applyBorder="1"/>
    <xf numFmtId="4" fontId="0" fillId="24" borderId="9" xfId="0" applyNumberFormat="1" applyFill="1" applyBorder="1"/>
    <xf numFmtId="4" fontId="0" fillId="2" borderId="8" xfId="0" applyNumberFormat="1" applyFill="1" applyBorder="1"/>
    <xf numFmtId="167" fontId="44" fillId="2" borderId="0" xfId="2" applyNumberFormat="1" applyFont="1" applyFill="1" applyBorder="1"/>
    <xf numFmtId="167" fontId="44" fillId="2" borderId="54" xfId="2" applyNumberFormat="1" applyFont="1" applyFill="1" applyBorder="1"/>
    <xf numFmtId="167" fontId="44" fillId="2" borderId="8" xfId="2" applyNumberFormat="1" applyFont="1" applyFill="1" applyBorder="1"/>
    <xf numFmtId="164" fontId="6" fillId="2" borderId="0" xfId="48" applyFont="1" applyFill="1"/>
    <xf numFmtId="164" fontId="6" fillId="2" borderId="8" xfId="48" applyFont="1" applyFill="1" applyBorder="1"/>
    <xf numFmtId="164" fontId="6" fillId="2" borderId="54" xfId="48" applyFont="1" applyFill="1" applyBorder="1"/>
    <xf numFmtId="4" fontId="3" fillId="2" borderId="5" xfId="0" applyNumberFormat="1" applyFont="1" applyFill="1" applyBorder="1"/>
    <xf numFmtId="4" fontId="3" fillId="2" borderId="6" xfId="0" applyNumberFormat="1" applyFont="1" applyFill="1" applyBorder="1"/>
    <xf numFmtId="4" fontId="3" fillId="2" borderId="7" xfId="0" applyNumberFormat="1" applyFont="1" applyFill="1" applyBorder="1"/>
    <xf numFmtId="4" fontId="3" fillId="24" borderId="6" xfId="0" applyNumberFormat="1" applyFont="1" applyFill="1" applyBorder="1"/>
    <xf numFmtId="0" fontId="58" fillId="2" borderId="0" xfId="0" applyFont="1" applyFill="1"/>
    <xf numFmtId="17" fontId="3" fillId="2" borderId="0" xfId="0" applyNumberFormat="1" applyFont="1" applyFill="1" applyBorder="1"/>
    <xf numFmtId="174" fontId="0" fillId="7" borderId="0" xfId="48" applyNumberFormat="1" applyFont="1" applyFill="1" applyBorder="1"/>
    <xf numFmtId="174" fontId="3" fillId="7" borderId="0" xfId="48" applyNumberFormat="1" applyFont="1" applyFill="1" applyBorder="1"/>
    <xf numFmtId="174" fontId="42" fillId="7" borderId="0" xfId="48" applyNumberFormat="1" applyFont="1" applyFill="1" applyBorder="1"/>
    <xf numFmtId="174" fontId="3" fillId="5" borderId="0" xfId="48" applyNumberFormat="1" applyFont="1" applyFill="1" applyBorder="1"/>
    <xf numFmtId="174" fontId="3" fillId="5" borderId="0" xfId="0" applyNumberFormat="1" applyFont="1" applyFill="1" applyBorder="1"/>
    <xf numFmtId="187" fontId="0" fillId="2" borderId="0" xfId="0" applyNumberFormat="1" applyFill="1"/>
    <xf numFmtId="0" fontId="0" fillId="2" borderId="15" xfId="0" applyFill="1" applyBorder="1"/>
    <xf numFmtId="0" fontId="0" fillId="2" borderId="25" xfId="0" applyFill="1" applyBorder="1"/>
    <xf numFmtId="0" fontId="0" fillId="2" borderId="19" xfId="0" applyFill="1" applyBorder="1"/>
    <xf numFmtId="0" fontId="35" fillId="2" borderId="46" xfId="0" applyFont="1" applyFill="1" applyBorder="1"/>
    <xf numFmtId="0" fontId="0" fillId="2" borderId="69" xfId="0" applyFill="1" applyBorder="1"/>
    <xf numFmtId="0" fontId="0" fillId="2" borderId="46" xfId="0" quotePrefix="1" applyFill="1" applyBorder="1"/>
    <xf numFmtId="0" fontId="1" fillId="2" borderId="46" xfId="0" applyFont="1" applyFill="1" applyBorder="1"/>
    <xf numFmtId="167" fontId="60" fillId="2" borderId="0" xfId="0" applyNumberFormat="1" applyFont="1" applyFill="1" applyBorder="1" applyAlignment="1">
      <alignment horizontal="center"/>
    </xf>
    <xf numFmtId="0" fontId="1" fillId="2" borderId="46" xfId="0" quotePrefix="1" applyFont="1" applyFill="1" applyBorder="1"/>
    <xf numFmtId="167" fontId="30" fillId="2" borderId="0" xfId="0" applyNumberFormat="1" applyFont="1" applyFill="1" applyBorder="1" applyAlignment="1">
      <alignment horizontal="center"/>
    </xf>
    <xf numFmtId="0" fontId="59" fillId="30" borderId="46" xfId="0" applyFont="1" applyFill="1" applyBorder="1"/>
    <xf numFmtId="0" fontId="3" fillId="18" borderId="46" xfId="0" quotePrefix="1" applyFont="1" applyFill="1" applyBorder="1"/>
    <xf numFmtId="0" fontId="3" fillId="2" borderId="46" xfId="0" applyFont="1" applyFill="1" applyBorder="1"/>
    <xf numFmtId="0" fontId="0" fillId="2" borderId="46" xfId="0" applyFill="1" applyBorder="1"/>
    <xf numFmtId="0" fontId="14" fillId="2" borderId="46" xfId="0" applyFont="1" applyFill="1" applyBorder="1"/>
    <xf numFmtId="0" fontId="38" fillId="5" borderId="46" xfId="0" applyFont="1" applyFill="1" applyBorder="1"/>
    <xf numFmtId="3" fontId="3" fillId="5" borderId="0" xfId="0" applyNumberFormat="1" applyFont="1" applyFill="1" applyBorder="1"/>
    <xf numFmtId="0" fontId="0" fillId="2" borderId="55" xfId="0" applyFill="1" applyBorder="1"/>
    <xf numFmtId="0" fontId="0" fillId="2" borderId="47" xfId="0" applyFill="1" applyBorder="1"/>
    <xf numFmtId="0" fontId="0" fillId="2" borderId="59" xfId="0" applyFill="1" applyBorder="1"/>
    <xf numFmtId="0" fontId="0" fillId="2" borderId="23" xfId="0" applyFill="1" applyBorder="1"/>
    <xf numFmtId="0" fontId="0" fillId="2" borderId="82" xfId="0" applyFill="1" applyBorder="1"/>
    <xf numFmtId="174" fontId="3" fillId="2" borderId="6" xfId="0" applyNumberFormat="1" applyFont="1" applyFill="1" applyBorder="1"/>
    <xf numFmtId="0" fontId="1" fillId="2" borderId="23" xfId="0" quotePrefix="1" applyFont="1" applyFill="1" applyBorder="1"/>
    <xf numFmtId="167" fontId="30" fillId="2" borderId="9" xfId="0" applyNumberFormat="1" applyFont="1" applyFill="1" applyBorder="1" applyAlignment="1">
      <alignment horizontal="center"/>
    </xf>
    <xf numFmtId="17" fontId="3" fillId="2" borderId="9" xfId="0" applyNumberFormat="1" applyFont="1" applyFill="1" applyBorder="1"/>
    <xf numFmtId="0" fontId="2" fillId="2" borderId="0" xfId="0" applyFont="1" applyFill="1" applyBorder="1"/>
    <xf numFmtId="0" fontId="0" fillId="2" borderId="21" xfId="0" applyFill="1" applyBorder="1"/>
    <xf numFmtId="0" fontId="0" fillId="2" borderId="0" xfId="0" applyFill="1" applyBorder="1" applyAlignment="1">
      <alignment horizontal="left"/>
    </xf>
    <xf numFmtId="164" fontId="0" fillId="2" borderId="0" xfId="0" applyNumberFormat="1" applyFill="1"/>
    <xf numFmtId="188" fontId="0" fillId="2" borderId="0" xfId="48" applyNumberFormat="1" applyFont="1" applyFill="1"/>
    <xf numFmtId="174" fontId="3" fillId="0" borderId="0" xfId="0" applyNumberFormat="1" applyFont="1"/>
    <xf numFmtId="182" fontId="0" fillId="2" borderId="0" xfId="2" applyNumberFormat="1" applyFont="1" applyFill="1"/>
    <xf numFmtId="10" fontId="0" fillId="0" borderId="0" xfId="0" applyNumberFormat="1"/>
    <xf numFmtId="174" fontId="38" fillId="0" borderId="1" xfId="48" applyNumberFormat="1" applyFont="1" applyFill="1" applyBorder="1"/>
    <xf numFmtId="166" fontId="0" fillId="0" borderId="1" xfId="0" applyNumberFormat="1" applyFill="1" applyBorder="1"/>
    <xf numFmtId="3" fontId="3" fillId="0" borderId="1" xfId="0" applyNumberFormat="1" applyFont="1" applyFill="1" applyBorder="1"/>
    <xf numFmtId="167" fontId="0" fillId="0" borderId="0" xfId="2" applyNumberFormat="1" applyFont="1" applyFill="1"/>
    <xf numFmtId="17" fontId="0" fillId="0" borderId="0" xfId="0" applyNumberFormat="1" applyFill="1"/>
    <xf numFmtId="0" fontId="0" fillId="0" borderId="0" xfId="0" applyFill="1" applyAlignment="1">
      <alignment horizontal="right"/>
    </xf>
    <xf numFmtId="174" fontId="0" fillId="0" borderId="0" xfId="48" applyNumberFormat="1" applyFont="1" applyFill="1"/>
    <xf numFmtId="174" fontId="0" fillId="0" borderId="8" xfId="48" applyNumberFormat="1" applyFont="1" applyFill="1" applyBorder="1"/>
    <xf numFmtId="174" fontId="0" fillId="0" borderId="0" xfId="0" applyNumberFormat="1" applyFill="1"/>
    <xf numFmtId="164" fontId="0" fillId="0" borderId="0" xfId="48" applyFont="1" applyFill="1"/>
    <xf numFmtId="164" fontId="0" fillId="0" borderId="8" xfId="48" applyFont="1" applyFill="1" applyBorder="1"/>
    <xf numFmtId="0" fontId="0" fillId="0" borderId="8" xfId="0" applyFill="1" applyBorder="1"/>
    <xf numFmtId="174" fontId="0" fillId="0" borderId="8" xfId="0" applyNumberFormat="1" applyFill="1" applyBorder="1"/>
    <xf numFmtId="17" fontId="0" fillId="0" borderId="0" xfId="0" applyNumberFormat="1" applyFill="1" applyAlignment="1">
      <alignment horizontal="center"/>
    </xf>
    <xf numFmtId="17" fontId="0" fillId="0" borderId="8" xfId="0" applyNumberFormat="1" applyFill="1" applyBorder="1" applyAlignment="1">
      <alignment horizontal="center"/>
    </xf>
    <xf numFmtId="0" fontId="0" fillId="0" borderId="0" xfId="0" applyFill="1" applyAlignment="1">
      <alignment horizontal="center"/>
    </xf>
    <xf numFmtId="174" fontId="0" fillId="0" borderId="0" xfId="48" applyNumberFormat="1" applyFont="1" applyFill="1" applyBorder="1"/>
    <xf numFmtId="174" fontId="0" fillId="0" borderId="9" xfId="48" applyNumberFormat="1" applyFont="1" applyFill="1" applyBorder="1"/>
    <xf numFmtId="174" fontId="0" fillId="0" borderId="10" xfId="48" applyNumberFormat="1" applyFont="1" applyFill="1" applyBorder="1"/>
    <xf numFmtId="174" fontId="3" fillId="0" borderId="0" xfId="0" applyNumberFormat="1" applyFont="1" applyFill="1"/>
    <xf numFmtId="164" fontId="0" fillId="0" borderId="0" xfId="0" applyNumberFormat="1" applyFill="1"/>
    <xf numFmtId="0" fontId="3" fillId="0" borderId="1" xfId="0" applyFont="1" applyFill="1" applyBorder="1"/>
    <xf numFmtId="0" fontId="3" fillId="0" borderId="1" xfId="0" applyFont="1" applyFill="1" applyBorder="1" applyAlignment="1">
      <alignment horizontal="center"/>
    </xf>
    <xf numFmtId="10" fontId="55" fillId="0" borderId="0" xfId="0" applyNumberFormat="1" applyFont="1" applyFill="1"/>
    <xf numFmtId="174" fontId="0" fillId="18" borderId="1" xfId="0" applyNumberFormat="1" applyFill="1" applyBorder="1"/>
    <xf numFmtId="17" fontId="3" fillId="31" borderId="6" xfId="0" applyNumberFormat="1" applyFont="1" applyFill="1" applyBorder="1" applyAlignment="1">
      <alignment horizontal="right"/>
    </xf>
    <xf numFmtId="17" fontId="3" fillId="31" borderId="6" xfId="0" applyNumberFormat="1" applyFont="1" applyFill="1" applyBorder="1"/>
    <xf numFmtId="174" fontId="3" fillId="18" borderId="6" xfId="0" applyNumberFormat="1" applyFont="1" applyFill="1" applyBorder="1"/>
    <xf numFmtId="0" fontId="42" fillId="0" borderId="0" xfId="0" applyFont="1" applyFill="1"/>
    <xf numFmtId="0" fontId="6" fillId="0" borderId="0" xfId="0" applyFont="1" applyFill="1"/>
    <xf numFmtId="174" fontId="55" fillId="0" borderId="0" xfId="48" applyNumberFormat="1" applyFont="1" applyFill="1" applyBorder="1"/>
    <xf numFmtId="176" fontId="55" fillId="0" borderId="0" xfId="48" applyNumberFormat="1" applyFont="1" applyFill="1" applyBorder="1"/>
    <xf numFmtId="169" fontId="0" fillId="31" borderId="1" xfId="0" applyNumberFormat="1" applyFill="1" applyBorder="1" applyAlignment="1"/>
    <xf numFmtId="10" fontId="0" fillId="31" borderId="1" xfId="2" applyNumberFormat="1" applyFont="1" applyFill="1" applyBorder="1"/>
    <xf numFmtId="17" fontId="0" fillId="31" borderId="1" xfId="0" applyNumberFormat="1" applyFill="1" applyBorder="1" applyAlignment="1">
      <alignment horizontal="center"/>
    </xf>
    <xf numFmtId="0" fontId="61" fillId="31" borderId="1" xfId="0" applyFont="1" applyFill="1" applyBorder="1" applyAlignment="1">
      <alignment horizontal="center"/>
    </xf>
    <xf numFmtId="10" fontId="0" fillId="31" borderId="1" xfId="0" applyNumberFormat="1" applyFill="1" applyBorder="1"/>
    <xf numFmtId="0" fontId="21" fillId="0" borderId="1" xfId="0" applyFont="1" applyFill="1" applyBorder="1"/>
    <xf numFmtId="3" fontId="42" fillId="2" borderId="0" xfId="0" applyNumberFormat="1" applyFont="1" applyFill="1"/>
    <xf numFmtId="3" fontId="42" fillId="2" borderId="70" xfId="0" applyNumberFormat="1" applyFont="1" applyFill="1" applyBorder="1"/>
    <xf numFmtId="3" fontId="42" fillId="2" borderId="9" xfId="0" applyNumberFormat="1" applyFont="1" applyFill="1" applyBorder="1"/>
    <xf numFmtId="3" fontId="42" fillId="2" borderId="71" xfId="0" applyNumberFormat="1" applyFont="1" applyFill="1" applyBorder="1"/>
    <xf numFmtId="0" fontId="3" fillId="2" borderId="26" xfId="0" applyFont="1" applyFill="1" applyBorder="1"/>
    <xf numFmtId="3" fontId="0" fillId="2" borderId="21" xfId="0" applyNumberFormat="1" applyFill="1" applyBorder="1"/>
    <xf numFmtId="3" fontId="0" fillId="2" borderId="53" xfId="0" applyNumberFormat="1" applyFill="1" applyBorder="1"/>
    <xf numFmtId="3" fontId="0" fillId="2" borderId="54" xfId="0" applyNumberFormat="1" applyFill="1" applyBorder="1"/>
    <xf numFmtId="0" fontId="3" fillId="2" borderId="10" xfId="0" applyFont="1" applyFill="1" applyBorder="1"/>
    <xf numFmtId="0" fontId="20" fillId="2" borderId="9" xfId="0" applyFont="1" applyFill="1" applyBorder="1"/>
    <xf numFmtId="3" fontId="20" fillId="2" borderId="9" xfId="0" applyNumberFormat="1" applyFont="1" applyFill="1" applyBorder="1"/>
    <xf numFmtId="3" fontId="0" fillId="2" borderId="24" xfId="0" applyNumberFormat="1" applyFill="1" applyBorder="1"/>
    <xf numFmtId="169" fontId="0" fillId="2" borderId="0" xfId="0" applyNumberFormat="1" applyFill="1" applyAlignment="1">
      <alignment horizontal="center"/>
    </xf>
    <xf numFmtId="168" fontId="0" fillId="2" borderId="0" xfId="0" applyNumberFormat="1" applyFill="1" applyAlignment="1">
      <alignment horizontal="center"/>
    </xf>
    <xf numFmtId="188" fontId="0" fillId="2" borderId="0" xfId="0" applyNumberFormat="1" applyFill="1"/>
    <xf numFmtId="174" fontId="3" fillId="24" borderId="0" xfId="0" applyNumberFormat="1" applyFont="1" applyFill="1"/>
    <xf numFmtId="170" fontId="0" fillId="24" borderId="0" xfId="0" applyNumberFormat="1" applyFill="1"/>
    <xf numFmtId="0" fontId="0" fillId="24" borderId="0" xfId="0" applyFill="1"/>
    <xf numFmtId="189" fontId="21" fillId="24" borderId="70" xfId="48" applyNumberFormat="1" applyFont="1" applyFill="1" applyBorder="1"/>
    <xf numFmtId="176" fontId="0" fillId="30" borderId="0" xfId="0" applyNumberFormat="1" applyFill="1"/>
    <xf numFmtId="174" fontId="3" fillId="31" borderId="0" xfId="0" applyNumberFormat="1" applyFont="1" applyFill="1" applyBorder="1"/>
    <xf numFmtId="174" fontId="38" fillId="31" borderId="0" xfId="0" applyNumberFormat="1" applyFont="1" applyFill="1"/>
    <xf numFmtId="174" fontId="38" fillId="31" borderId="9" xfId="0" applyNumberFormat="1" applyFont="1" applyFill="1" applyBorder="1"/>
    <xf numFmtId="189" fontId="6" fillId="24" borderId="0" xfId="48" applyNumberFormat="1" applyFont="1" applyFill="1"/>
    <xf numFmtId="189" fontId="6" fillId="2" borderId="0" xfId="48" applyNumberFormat="1" applyFont="1" applyFill="1"/>
    <xf numFmtId="170" fontId="0" fillId="31" borderId="0" xfId="2" applyNumberFormat="1" applyFont="1" applyFill="1"/>
    <xf numFmtId="14" fontId="0" fillId="2" borderId="0" xfId="0" applyNumberFormat="1" applyFill="1"/>
    <xf numFmtId="0" fontId="3" fillId="2" borderId="0" xfId="0" applyFont="1" applyFill="1" applyAlignment="1">
      <alignment horizontal="right"/>
    </xf>
    <xf numFmtId="0" fontId="11" fillId="2" borderId="0" xfId="0" applyFont="1" applyFill="1" applyBorder="1" applyAlignment="1">
      <alignment horizontal="center"/>
    </xf>
    <xf numFmtId="1" fontId="3" fillId="2" borderId="0" xfId="0" applyNumberFormat="1" applyFont="1" applyFill="1" applyBorder="1" applyAlignment="1"/>
    <xf numFmtId="188" fontId="0" fillId="2" borderId="70" xfId="48" applyNumberFormat="1" applyFont="1" applyFill="1" applyBorder="1"/>
    <xf numFmtId="188" fontId="0" fillId="2" borderId="71" xfId="48" applyNumberFormat="1" applyFont="1" applyFill="1" applyBorder="1"/>
    <xf numFmtId="0" fontId="0" fillId="32" borderId="1" xfId="0" applyFill="1" applyBorder="1"/>
    <xf numFmtId="170" fontId="0" fillId="32" borderId="1" xfId="0" applyNumberFormat="1" applyFill="1" applyBorder="1" applyAlignment="1"/>
    <xf numFmtId="168" fontId="0" fillId="32" borderId="1" xfId="0" applyNumberFormat="1" applyFill="1" applyBorder="1" applyAlignment="1"/>
    <xf numFmtId="168" fontId="0" fillId="32" borderId="1" xfId="0" applyNumberFormat="1" applyFill="1" applyBorder="1"/>
    <xf numFmtId="170" fontId="0" fillId="32" borderId="1" xfId="0" applyNumberFormat="1" applyFill="1" applyBorder="1"/>
    <xf numFmtId="10" fontId="0" fillId="32" borderId="1" xfId="0" applyNumberFormat="1" applyFill="1" applyBorder="1"/>
    <xf numFmtId="3" fontId="0" fillId="32" borderId="1" xfId="0" applyNumberFormat="1" applyFill="1" applyBorder="1"/>
    <xf numFmtId="174" fontId="5" fillId="2" borderId="0" xfId="48" applyNumberFormat="1" applyFont="1" applyFill="1" applyBorder="1"/>
    <xf numFmtId="174" fontId="0" fillId="2" borderId="0" xfId="48" applyNumberFormat="1" applyFont="1" applyFill="1" applyBorder="1" applyAlignment="1">
      <alignment horizontal="center" wrapText="1"/>
    </xf>
    <xf numFmtId="188" fontId="3" fillId="2" borderId="0" xfId="48" applyNumberFormat="1" applyFont="1" applyFill="1"/>
    <xf numFmtId="188" fontId="3" fillId="2" borderId="0" xfId="0" applyNumberFormat="1" applyFont="1" applyFill="1"/>
    <xf numFmtId="188" fontId="0" fillId="2" borderId="1" xfId="48" applyNumberFormat="1" applyFont="1" applyFill="1" applyBorder="1"/>
    <xf numFmtId="188" fontId="0" fillId="2" borderId="1" xfId="0" applyNumberFormat="1" applyFill="1" applyBorder="1"/>
    <xf numFmtId="188" fontId="3" fillId="2" borderId="1" xfId="48" applyNumberFormat="1" applyFont="1" applyFill="1" applyBorder="1"/>
    <xf numFmtId="188" fontId="3" fillId="2" borderId="1" xfId="0" applyNumberFormat="1" applyFont="1" applyFill="1" applyBorder="1"/>
    <xf numFmtId="43" fontId="0" fillId="2" borderId="0" xfId="0" applyNumberFormat="1" applyFill="1"/>
    <xf numFmtId="189" fontId="0" fillId="2" borderId="0" xfId="48" applyNumberFormat="1" applyFont="1" applyFill="1"/>
    <xf numFmtId="189" fontId="0" fillId="2" borderId="0" xfId="0" applyNumberFormat="1" applyFill="1"/>
    <xf numFmtId="174" fontId="12" fillId="2" borderId="0" xfId="48" applyNumberFormat="1" applyFont="1" applyFill="1" applyBorder="1"/>
    <xf numFmtId="168" fontId="0" fillId="24" borderId="1" xfId="0" applyNumberFormat="1" applyFill="1" applyBorder="1"/>
    <xf numFmtId="0" fontId="0" fillId="2" borderId="7" xfId="0" applyFill="1" applyBorder="1" applyAlignment="1">
      <alignment horizontal="center"/>
    </xf>
    <xf numFmtId="189" fontId="0" fillId="2" borderId="2" xfId="48" applyNumberFormat="1" applyFont="1" applyFill="1" applyBorder="1"/>
    <xf numFmtId="189" fontId="0" fillId="2" borderId="21" xfId="48" applyNumberFormat="1" applyFont="1" applyFill="1" applyBorder="1"/>
    <xf numFmtId="189" fontId="0" fillId="2" borderId="53" xfId="48" applyNumberFormat="1" applyFont="1" applyFill="1" applyBorder="1"/>
    <xf numFmtId="189" fontId="0" fillId="2" borderId="3" xfId="48" applyNumberFormat="1" applyFont="1" applyFill="1" applyBorder="1"/>
    <xf numFmtId="189" fontId="0" fillId="2" borderId="0" xfId="48" applyNumberFormat="1" applyFont="1" applyFill="1" applyBorder="1"/>
    <xf numFmtId="189" fontId="0" fillId="2" borderId="54" xfId="48" applyNumberFormat="1" applyFont="1" applyFill="1" applyBorder="1"/>
    <xf numFmtId="189" fontId="0" fillId="2" borderId="4" xfId="48" applyNumberFormat="1" applyFont="1" applyFill="1" applyBorder="1"/>
    <xf numFmtId="189" fontId="0" fillId="2" borderId="9" xfId="48" applyNumberFormat="1" applyFont="1" applyFill="1" applyBorder="1"/>
    <xf numFmtId="189" fontId="0" fillId="2" borderId="24" xfId="48" applyNumberFormat="1" applyFont="1" applyFill="1" applyBorder="1"/>
    <xf numFmtId="189" fontId="0" fillId="2" borderId="1" xfId="48" applyNumberFormat="1" applyFont="1" applyFill="1" applyBorder="1"/>
    <xf numFmtId="189" fontId="0" fillId="2" borderId="6" xfId="48" applyNumberFormat="1" applyFont="1" applyFill="1" applyBorder="1"/>
    <xf numFmtId="189" fontId="0" fillId="2" borderId="7" xfId="48" applyNumberFormat="1" applyFont="1" applyFill="1" applyBorder="1"/>
    <xf numFmtId="0" fontId="3" fillId="2" borderId="6" xfId="0" applyFont="1" applyFill="1" applyBorder="1" applyAlignment="1">
      <alignment horizontal="center"/>
    </xf>
    <xf numFmtId="0" fontId="0" fillId="2" borderId="0" xfId="0" applyFill="1" applyAlignment="1">
      <alignment horizontal="center"/>
    </xf>
    <xf numFmtId="0" fontId="0" fillId="2" borderId="9" xfId="0" applyFill="1" applyBorder="1" applyAlignment="1">
      <alignment horizontal="center"/>
    </xf>
    <xf numFmtId="190" fontId="0" fillId="2" borderId="0" xfId="0" applyNumberFormat="1" applyFill="1"/>
    <xf numFmtId="0" fontId="0" fillId="2" borderId="0" xfId="0" applyFill="1" applyAlignment="1">
      <alignment horizontal="center"/>
    </xf>
    <xf numFmtId="176" fontId="44" fillId="2" borderId="0" xfId="0" applyNumberFormat="1" applyFont="1" applyFill="1" applyBorder="1"/>
    <xf numFmtId="164" fontId="44" fillId="2" borderId="0" xfId="0" applyNumberFormat="1" applyFont="1" applyFill="1" applyBorder="1"/>
    <xf numFmtId="176" fontId="0" fillId="2" borderId="0" xfId="0" applyNumberFormat="1" applyFill="1" applyBorder="1"/>
    <xf numFmtId="0" fontId="3" fillId="2" borderId="6" xfId="0" applyFont="1" applyFill="1" applyBorder="1" applyAlignment="1"/>
    <xf numFmtId="43" fontId="6" fillId="2" borderId="0" xfId="0" applyNumberFormat="1" applyFont="1" applyFill="1"/>
    <xf numFmtId="170" fontId="11" fillId="2" borderId="0" xfId="0" applyNumberFormat="1" applyFont="1" applyFill="1"/>
    <xf numFmtId="174" fontId="44" fillId="2" borderId="0" xfId="48" applyNumberFormat="1" applyFont="1" applyFill="1" applyBorder="1" applyAlignment="1">
      <alignment horizontal="left" indent="1"/>
    </xf>
    <xf numFmtId="174" fontId="44" fillId="2" borderId="0" xfId="48" applyNumberFormat="1" applyFont="1" applyFill="1"/>
    <xf numFmtId="174" fontId="44" fillId="2" borderId="0" xfId="48" applyNumberFormat="1" applyFont="1" applyFill="1" applyBorder="1"/>
    <xf numFmtId="174" fontId="44" fillId="2" borderId="0" xfId="48" applyNumberFormat="1" applyFont="1" applyFill="1" applyAlignment="1">
      <alignment horizontal="left" indent="1"/>
    </xf>
    <xf numFmtId="0" fontId="3" fillId="2" borderId="93" xfId="0" applyFont="1" applyFill="1" applyBorder="1" applyAlignment="1"/>
    <xf numFmtId="164" fontId="0" fillId="2" borderId="0" xfId="0" applyNumberFormat="1" applyFill="1" applyBorder="1"/>
    <xf numFmtId="176" fontId="3" fillId="2" borderId="93" xfId="0" applyNumberFormat="1" applyFont="1" applyFill="1" applyBorder="1"/>
    <xf numFmtId="0" fontId="3" fillId="2" borderId="93" xfId="0" applyFont="1" applyFill="1" applyBorder="1" applyAlignment="1">
      <alignment horizontal="center"/>
    </xf>
    <xf numFmtId="188" fontId="0" fillId="24" borderId="0" xfId="48" applyNumberFormat="1" applyFont="1" applyFill="1"/>
    <xf numFmtId="0" fontId="0" fillId="2" borderId="0" xfId="0" applyFill="1" applyAlignment="1">
      <alignment horizontal="center"/>
    </xf>
    <xf numFmtId="189" fontId="0" fillId="2" borderId="3" xfId="0" applyNumberFormat="1" applyFill="1" applyBorder="1"/>
    <xf numFmtId="0" fontId="0" fillId="2" borderId="93" xfId="0" applyFill="1" applyBorder="1" applyAlignment="1">
      <alignment horizontal="center"/>
    </xf>
    <xf numFmtId="189" fontId="0" fillId="2" borderId="0" xfId="0" applyNumberFormat="1" applyFill="1" applyBorder="1"/>
    <xf numFmtId="0" fontId="0" fillId="2" borderId="92" xfId="0" applyFill="1" applyBorder="1" applyAlignment="1">
      <alignment horizontal="center"/>
    </xf>
    <xf numFmtId="164" fontId="0" fillId="2" borderId="3" xfId="48" applyFont="1" applyFill="1" applyBorder="1"/>
    <xf numFmtId="189" fontId="0" fillId="2" borderId="93" xfId="48" applyNumberFormat="1" applyFont="1" applyFill="1" applyBorder="1"/>
    <xf numFmtId="189" fontId="0" fillId="2" borderId="92" xfId="48" applyNumberFormat="1" applyFont="1" applyFill="1" applyBorder="1"/>
    <xf numFmtId="176" fontId="3" fillId="24" borderId="2" xfId="48" applyNumberFormat="1" applyFont="1" applyFill="1" applyBorder="1"/>
    <xf numFmtId="164" fontId="5" fillId="24" borderId="0" xfId="48" applyFont="1" applyFill="1" applyBorder="1"/>
    <xf numFmtId="164" fontId="0" fillId="0" borderId="3" xfId="48" applyFont="1" applyFill="1" applyBorder="1"/>
    <xf numFmtId="0" fontId="0" fillId="2" borderId="0" xfId="48" applyNumberFormat="1" applyFont="1" applyFill="1" applyAlignment="1">
      <alignment horizontal="center"/>
    </xf>
    <xf numFmtId="164" fontId="0" fillId="2" borderId="54" xfId="48" applyFont="1" applyFill="1" applyBorder="1"/>
    <xf numFmtId="189" fontId="0" fillId="2" borderId="8" xfId="48" applyNumberFormat="1" applyFont="1" applyFill="1" applyBorder="1"/>
    <xf numFmtId="176" fontId="0" fillId="24" borderId="0" xfId="48" applyNumberFormat="1" applyFont="1" applyFill="1"/>
    <xf numFmtId="189" fontId="0" fillId="2" borderId="97" xfId="48" applyNumberFormat="1" applyFont="1" applyFill="1" applyBorder="1"/>
    <xf numFmtId="189" fontId="0" fillId="2" borderId="98" xfId="48" applyNumberFormat="1" applyFont="1" applyFill="1" applyBorder="1"/>
    <xf numFmtId="189" fontId="0" fillId="2" borderId="10" xfId="48" applyNumberFormat="1" applyFont="1" applyFill="1" applyBorder="1"/>
    <xf numFmtId="189" fontId="0" fillId="2" borderId="99" xfId="48" applyNumberFormat="1" applyFont="1" applyFill="1" applyBorder="1"/>
    <xf numFmtId="189" fontId="0" fillId="2" borderId="93" xfId="0" applyNumberFormat="1" applyFill="1" applyBorder="1"/>
    <xf numFmtId="189" fontId="0" fillId="2" borderId="1" xfId="0" applyNumberFormat="1" applyFill="1" applyBorder="1"/>
    <xf numFmtId="189" fontId="0" fillId="2" borderId="92" xfId="48" applyNumberFormat="1" applyFont="1" applyFill="1" applyBorder="1" applyAlignment="1">
      <alignment horizontal="center"/>
    </xf>
    <xf numFmtId="189" fontId="0" fillId="2" borderId="93" xfId="48" applyNumberFormat="1" applyFont="1" applyFill="1" applyBorder="1" applyAlignment="1">
      <alignment horizontal="center"/>
    </xf>
    <xf numFmtId="189" fontId="0" fillId="2" borderId="1" xfId="48" applyNumberFormat="1" applyFont="1" applyFill="1" applyBorder="1" applyAlignment="1">
      <alignment horizontal="center"/>
    </xf>
    <xf numFmtId="189" fontId="0" fillId="2" borderId="67" xfId="48" applyNumberFormat="1" applyFont="1" applyFill="1" applyBorder="1"/>
    <xf numFmtId="189" fontId="0" fillId="2" borderId="14" xfId="48" applyNumberFormat="1" applyFont="1" applyFill="1" applyBorder="1"/>
    <xf numFmtId="189" fontId="0" fillId="2" borderId="100" xfId="48" applyNumberFormat="1" applyFont="1" applyFill="1" applyBorder="1"/>
    <xf numFmtId="189" fontId="0" fillId="2" borderId="68" xfId="48" applyNumberFormat="1" applyFont="1" applyFill="1" applyBorder="1"/>
    <xf numFmtId="189" fontId="0" fillId="2" borderId="13" xfId="48" applyNumberFormat="1" applyFont="1" applyFill="1" applyBorder="1"/>
    <xf numFmtId="189" fontId="0" fillId="2" borderId="101" xfId="48" applyNumberFormat="1" applyFont="1" applyFill="1" applyBorder="1"/>
    <xf numFmtId="164" fontId="0" fillId="2" borderId="7" xfId="48" applyNumberFormat="1" applyFont="1" applyFill="1" applyBorder="1"/>
    <xf numFmtId="164" fontId="0" fillId="2" borderId="6" xfId="48" applyNumberFormat="1" applyFont="1" applyFill="1" applyBorder="1"/>
    <xf numFmtId="10" fontId="0" fillId="2" borderId="47" xfId="0" applyNumberFormat="1" applyFill="1" applyBorder="1"/>
    <xf numFmtId="189" fontId="3" fillId="2" borderId="0" xfId="0" applyNumberFormat="1" applyFont="1" applyFill="1"/>
    <xf numFmtId="189" fontId="3" fillId="2" borderId="0" xfId="48" applyNumberFormat="1" applyFont="1" applyFill="1"/>
    <xf numFmtId="176" fontId="44" fillId="2" borderId="10" xfId="0" applyNumberFormat="1" applyFont="1" applyFill="1" applyBorder="1"/>
    <xf numFmtId="176" fontId="44" fillId="2" borderId="9" xfId="0" applyNumberFormat="1" applyFont="1" applyFill="1" applyBorder="1"/>
    <xf numFmtId="176" fontId="44" fillId="2" borderId="24" xfId="0" applyNumberFormat="1" applyFont="1" applyFill="1" applyBorder="1"/>
    <xf numFmtId="164" fontId="0" fillId="2" borderId="9" xfId="48" applyNumberFormat="1" applyFont="1" applyFill="1" applyBorder="1"/>
    <xf numFmtId="189" fontId="21" fillId="2" borderId="0" xfId="48" applyNumberFormat="1" applyFont="1" applyFill="1" applyBorder="1"/>
    <xf numFmtId="189" fontId="21" fillId="2" borderId="54" xfId="48" applyNumberFormat="1" applyFont="1" applyFill="1" applyBorder="1"/>
    <xf numFmtId="164" fontId="21" fillId="2" borderId="0" xfId="48" applyNumberFormat="1" applyFont="1" applyFill="1" applyBorder="1"/>
    <xf numFmtId="188" fontId="0" fillId="0" borderId="0" xfId="48" applyNumberFormat="1" applyFont="1" applyFill="1" applyAlignment="1">
      <alignment horizontal="center"/>
    </xf>
    <xf numFmtId="0" fontId="119" fillId="2" borderId="0" xfId="0" applyFont="1" applyFill="1"/>
    <xf numFmtId="0" fontId="62" fillId="2" borderId="0" xfId="0" applyFont="1" applyFill="1" applyBorder="1"/>
    <xf numFmtId="174" fontId="0" fillId="2" borderId="0" xfId="48" applyNumberFormat="1" applyFont="1" applyFill="1" applyBorder="1" applyAlignment="1">
      <alignment horizontal="center"/>
    </xf>
    <xf numFmtId="174" fontId="5" fillId="2" borderId="0" xfId="48" applyNumberFormat="1" applyFont="1" applyFill="1" applyBorder="1" applyAlignment="1">
      <alignment horizontal="center"/>
    </xf>
    <xf numFmtId="0" fontId="14" fillId="2" borderId="0" xfId="0" applyFont="1" applyFill="1" applyBorder="1"/>
    <xf numFmtId="0" fontId="0" fillId="69" borderId="1" xfId="0" applyFill="1" applyBorder="1"/>
    <xf numFmtId="188" fontId="0" fillId="69" borderId="1" xfId="48" applyNumberFormat="1" applyFont="1" applyFill="1" applyBorder="1"/>
    <xf numFmtId="0" fontId="0" fillId="69" borderId="0" xfId="0" applyFill="1"/>
    <xf numFmtId="188" fontId="0" fillId="69" borderId="1" xfId="0" applyNumberFormat="1" applyFill="1" applyBorder="1"/>
    <xf numFmtId="176" fontId="44" fillId="24" borderId="0" xfId="0" applyNumberFormat="1" applyFont="1" applyFill="1" applyBorder="1"/>
    <xf numFmtId="176" fontId="44" fillId="24" borderId="54" xfId="0" applyNumberFormat="1" applyFont="1" applyFill="1" applyBorder="1"/>
    <xf numFmtId="0" fontId="0" fillId="2" borderId="0" xfId="0" applyFill="1" applyAlignment="1">
      <alignment horizontal="center"/>
    </xf>
    <xf numFmtId="189" fontId="3" fillId="24" borderId="0" xfId="0" applyNumberFormat="1" applyFont="1" applyFill="1"/>
    <xf numFmtId="189" fontId="0" fillId="24" borderId="0" xfId="48" applyNumberFormat="1" applyFont="1" applyFill="1"/>
    <xf numFmtId="174" fontId="44" fillId="24" borderId="0" xfId="48" applyNumberFormat="1" applyFont="1" applyFill="1" applyAlignment="1">
      <alignment horizontal="left" indent="1"/>
    </xf>
    <xf numFmtId="0" fontId="0" fillId="2" borderId="0" xfId="0" applyFill="1" applyAlignment="1">
      <alignment horizontal="center"/>
    </xf>
    <xf numFmtId="0" fontId="3" fillId="0" borderId="0" xfId="0" applyFont="1" applyAlignment="1">
      <alignment horizontal="left" indent="1"/>
    </xf>
    <xf numFmtId="0" fontId="0" fillId="2" borderId="0" xfId="0" applyFill="1" applyAlignment="1">
      <alignment horizontal="center"/>
    </xf>
    <xf numFmtId="0" fontId="12" fillId="2" borderId="0" xfId="0" applyFont="1" applyFill="1" applyAlignment="1">
      <alignment horizontal="center"/>
    </xf>
    <xf numFmtId="188" fontId="0" fillId="2" borderId="0" xfId="48" applyNumberFormat="1" applyFont="1" applyFill="1" applyBorder="1"/>
    <xf numFmtId="188" fontId="0" fillId="2" borderId="0" xfId="0" applyNumberFormat="1" applyFill="1" applyBorder="1"/>
    <xf numFmtId="0" fontId="0" fillId="2" borderId="0" xfId="0" applyFill="1" applyAlignment="1">
      <alignment horizontal="center"/>
    </xf>
    <xf numFmtId="189" fontId="44" fillId="2" borderId="8" xfId="0" applyNumberFormat="1" applyFont="1" applyFill="1" applyBorder="1"/>
    <xf numFmtId="189" fontId="44" fillId="2" borderId="0" xfId="0" applyNumberFormat="1" applyFont="1" applyFill="1"/>
    <xf numFmtId="189" fontId="44" fillId="2" borderId="0" xfId="0" applyNumberFormat="1" applyFont="1" applyFill="1" applyBorder="1"/>
    <xf numFmtId="174" fontId="0" fillId="10" borderId="0" xfId="48" applyNumberFormat="1" applyFont="1" applyFill="1"/>
    <xf numFmtId="174" fontId="0" fillId="10" borderId="8" xfId="48" applyNumberFormat="1" applyFont="1" applyFill="1" applyBorder="1"/>
    <xf numFmtId="0" fontId="0" fillId="10" borderId="0" xfId="0" applyFill="1"/>
    <xf numFmtId="0" fontId="0" fillId="10" borderId="8" xfId="0" applyFill="1" applyBorder="1"/>
    <xf numFmtId="164" fontId="0" fillId="10" borderId="0" xfId="48" applyFont="1" applyFill="1"/>
    <xf numFmtId="3" fontId="0" fillId="10" borderId="8" xfId="0" applyNumberFormat="1" applyFill="1" applyBorder="1"/>
    <xf numFmtId="3" fontId="0" fillId="10" borderId="0" xfId="0" applyNumberFormat="1" applyFill="1"/>
    <xf numFmtId="164" fontId="0" fillId="10" borderId="8" xfId="48" applyFont="1" applyFill="1" applyBorder="1"/>
    <xf numFmtId="174" fontId="0" fillId="10" borderId="0" xfId="48" applyNumberFormat="1" applyFont="1" applyFill="1" applyBorder="1"/>
    <xf numFmtId="174" fontId="0" fillId="10" borderId="9" xfId="48" applyNumberFormat="1" applyFont="1" applyFill="1" applyBorder="1"/>
    <xf numFmtId="174" fontId="0" fillId="10" borderId="10" xfId="48" applyNumberFormat="1" applyFont="1" applyFill="1" applyBorder="1"/>
    <xf numFmtId="174" fontId="0" fillId="10" borderId="0" xfId="0" applyNumberFormat="1" applyFill="1"/>
    <xf numFmtId="174" fontId="0" fillId="10" borderId="8" xfId="0" applyNumberFormat="1" applyFill="1" applyBorder="1"/>
    <xf numFmtId="174" fontId="3" fillId="10" borderId="0" xfId="0" applyNumberFormat="1" applyFont="1" applyFill="1"/>
    <xf numFmtId="0" fontId="3" fillId="2" borderId="1" xfId="0" applyFont="1" applyFill="1" applyBorder="1" applyAlignment="1">
      <alignment horizontal="center"/>
    </xf>
    <xf numFmtId="3" fontId="0" fillId="2" borderId="0" xfId="0" applyNumberFormat="1" applyFill="1" applyAlignment="1">
      <alignment horizontal="center"/>
    </xf>
    <xf numFmtId="3" fontId="42" fillId="10" borderId="0" xfId="0" applyNumberFormat="1" applyFont="1" applyFill="1"/>
    <xf numFmtId="3" fontId="42" fillId="10" borderId="70" xfId="0" applyNumberFormat="1" applyFont="1" applyFill="1" applyBorder="1"/>
    <xf numFmtId="3" fontId="42" fillId="10" borderId="9" xfId="0" applyNumberFormat="1" applyFont="1" applyFill="1" applyBorder="1"/>
    <xf numFmtId="3" fontId="42" fillId="10" borderId="71" xfId="0" applyNumberFormat="1" applyFont="1" applyFill="1" applyBorder="1"/>
    <xf numFmtId="3" fontId="0" fillId="10" borderId="9" xfId="0" applyNumberFormat="1" applyFill="1" applyBorder="1"/>
    <xf numFmtId="3" fontId="0" fillId="10" borderId="70" xfId="0" applyNumberFormat="1" applyFill="1" applyBorder="1"/>
    <xf numFmtId="3" fontId="0" fillId="10" borderId="0" xfId="0" applyNumberFormat="1" applyFont="1" applyFill="1"/>
    <xf numFmtId="3" fontId="0" fillId="10" borderId="70" xfId="0" applyNumberFormat="1" applyFont="1" applyFill="1" applyBorder="1"/>
    <xf numFmtId="3" fontId="57" fillId="10" borderId="0" xfId="0" applyNumberFormat="1" applyFont="1" applyFill="1"/>
    <xf numFmtId="3" fontId="57" fillId="10" borderId="70" xfId="0" applyNumberFormat="1" applyFont="1" applyFill="1" applyBorder="1"/>
    <xf numFmtId="3" fontId="0" fillId="10" borderId="71" xfId="0" applyNumberFormat="1" applyFill="1" applyBorder="1"/>
    <xf numFmtId="9" fontId="0" fillId="10" borderId="0" xfId="2" applyFont="1" applyFill="1"/>
    <xf numFmtId="9" fontId="0" fillId="10" borderId="0" xfId="2" applyNumberFormat="1" applyFont="1" applyFill="1"/>
    <xf numFmtId="3" fontId="0" fillId="10" borderId="12" xfId="0" applyNumberFormat="1" applyFill="1" applyBorder="1"/>
    <xf numFmtId="3" fontId="0" fillId="10" borderId="11" xfId="0" applyNumberFormat="1" applyFill="1" applyBorder="1"/>
    <xf numFmtId="3" fontId="38" fillId="10" borderId="11" xfId="0" applyNumberFormat="1" applyFont="1" applyFill="1" applyBorder="1"/>
    <xf numFmtId="3" fontId="38" fillId="10" borderId="21" xfId="0" applyNumberFormat="1" applyFont="1" applyFill="1" applyBorder="1"/>
    <xf numFmtId="3" fontId="0" fillId="10" borderId="0" xfId="0" applyNumberFormat="1" applyFill="1" applyBorder="1"/>
    <xf numFmtId="3" fontId="42" fillId="10" borderId="11" xfId="0" applyNumberFormat="1" applyFont="1" applyFill="1" applyBorder="1"/>
    <xf numFmtId="3" fontId="42" fillId="10" borderId="0" xfId="0" applyNumberFormat="1" applyFont="1" applyFill="1" applyBorder="1"/>
    <xf numFmtId="3" fontId="3" fillId="10" borderId="0" xfId="0" applyNumberFormat="1" applyFont="1" applyFill="1"/>
    <xf numFmtId="3" fontId="3" fillId="10" borderId="11" xfId="0" applyNumberFormat="1" applyFont="1" applyFill="1" applyBorder="1"/>
    <xf numFmtId="174" fontId="0" fillId="10" borderId="9" xfId="0" applyNumberFormat="1" applyFill="1" applyBorder="1"/>
    <xf numFmtId="174" fontId="0" fillId="10" borderId="10" xfId="0" applyNumberFormat="1" applyFill="1" applyBorder="1"/>
    <xf numFmtId="164" fontId="0" fillId="10" borderId="9" xfId="48" applyFont="1" applyFill="1" applyBorder="1"/>
    <xf numFmtId="164" fontId="0" fillId="10" borderId="10" xfId="48" applyFont="1" applyFill="1" applyBorder="1"/>
    <xf numFmtId="174" fontId="0" fillId="10" borderId="0" xfId="0" applyNumberFormat="1" applyFill="1" applyBorder="1"/>
    <xf numFmtId="0" fontId="0" fillId="10" borderId="0" xfId="0" applyFill="1" applyBorder="1"/>
    <xf numFmtId="174" fontId="42" fillId="10" borderId="10" xfId="48" applyNumberFormat="1" applyFont="1" applyFill="1" applyBorder="1"/>
    <xf numFmtId="174" fontId="42" fillId="10" borderId="9" xfId="48" applyNumberFormat="1" applyFont="1" applyFill="1" applyBorder="1"/>
    <xf numFmtId="174" fontId="21" fillId="10" borderId="9" xfId="0" applyNumberFormat="1" applyFont="1" applyFill="1" applyBorder="1"/>
    <xf numFmtId="174" fontId="0" fillId="10" borderId="13" xfId="48" applyNumberFormat="1" applyFont="1" applyFill="1" applyBorder="1"/>
    <xf numFmtId="174" fontId="21" fillId="10" borderId="0" xfId="48" applyNumberFormat="1" applyFont="1" applyFill="1"/>
    <xf numFmtId="174" fontId="21" fillId="10" borderId="8" xfId="48" applyNumberFormat="1" applyFont="1" applyFill="1" applyBorder="1"/>
    <xf numFmtId="174" fontId="3" fillId="10" borderId="0" xfId="48" applyNumberFormat="1" applyFont="1" applyFill="1"/>
    <xf numFmtId="174" fontId="3" fillId="10" borderId="8" xfId="48" applyNumberFormat="1" applyFont="1" applyFill="1" applyBorder="1"/>
    <xf numFmtId="0" fontId="21" fillId="10" borderId="0" xfId="0" applyFont="1" applyFill="1"/>
    <xf numFmtId="0" fontId="21" fillId="10" borderId="8" xfId="0" applyFont="1" applyFill="1" applyBorder="1"/>
    <xf numFmtId="0" fontId="3" fillId="10" borderId="0" xfId="0" applyFont="1" applyFill="1"/>
    <xf numFmtId="0" fontId="3" fillId="10" borderId="8" xfId="0" applyFont="1" applyFill="1" applyBorder="1"/>
    <xf numFmtId="173" fontId="55" fillId="10" borderId="0" xfId="0" applyNumberFormat="1" applyFont="1" applyFill="1"/>
    <xf numFmtId="173" fontId="0" fillId="10" borderId="0" xfId="0" applyNumberFormat="1" applyFill="1"/>
    <xf numFmtId="3" fontId="55" fillId="10" borderId="0" xfId="0" applyNumberFormat="1" applyFont="1" applyFill="1"/>
    <xf numFmtId="3" fontId="21" fillId="10" borderId="0" xfId="0" applyNumberFormat="1" applyFont="1" applyFill="1"/>
    <xf numFmtId="0" fontId="0" fillId="10" borderId="9" xfId="0" applyFill="1" applyBorder="1"/>
    <xf numFmtId="0" fontId="0" fillId="10" borderId="9" xfId="0" applyFill="1" applyBorder="1" applyAlignment="1">
      <alignment horizontal="center"/>
    </xf>
    <xf numFmtId="3" fontId="21" fillId="10" borderId="0" xfId="0" applyNumberFormat="1" applyFont="1" applyFill="1" applyBorder="1"/>
    <xf numFmtId="3" fontId="21" fillId="10" borderId="9" xfId="0" applyNumberFormat="1" applyFont="1" applyFill="1" applyBorder="1"/>
    <xf numFmtId="0" fontId="21" fillId="10" borderId="9" xfId="0" applyFont="1" applyFill="1" applyBorder="1"/>
    <xf numFmtId="0" fontId="21" fillId="10" borderId="9" xfId="0" applyFont="1" applyFill="1" applyBorder="1" applyAlignment="1"/>
    <xf numFmtId="10" fontId="42" fillId="2" borderId="0" xfId="2" applyNumberFormat="1" applyFont="1" applyFill="1" applyAlignment="1">
      <alignment horizontal="center"/>
    </xf>
    <xf numFmtId="3" fontId="38" fillId="10" borderId="0" xfId="0" applyNumberFormat="1" applyFont="1" applyFill="1"/>
    <xf numFmtId="1" fontId="38" fillId="10" borderId="0" xfId="0" applyNumberFormat="1" applyFont="1" applyFill="1"/>
    <xf numFmtId="0" fontId="21" fillId="10" borderId="0" xfId="0" applyFont="1" applyFill="1" applyBorder="1"/>
    <xf numFmtId="3" fontId="3" fillId="10" borderId="1" xfId="0" applyNumberFormat="1" applyFont="1" applyFill="1" applyBorder="1"/>
    <xf numFmtId="166" fontId="0" fillId="10" borderId="1" xfId="0" applyNumberFormat="1" applyFill="1" applyBorder="1"/>
    <xf numFmtId="3" fontId="0" fillId="10" borderId="1" xfId="0" applyNumberFormat="1" applyFill="1" applyBorder="1"/>
    <xf numFmtId="0" fontId="6" fillId="10" borderId="0" xfId="0" applyFont="1" applyFill="1"/>
    <xf numFmtId="0" fontId="0" fillId="10" borderId="1" xfId="0" applyFill="1" applyBorder="1"/>
    <xf numFmtId="2" fontId="0" fillId="10" borderId="1" xfId="0" applyNumberFormat="1" applyFill="1" applyBorder="1"/>
    <xf numFmtId="174" fontId="9" fillId="0" borderId="1" xfId="48" applyNumberFormat="1" applyFont="1" applyFill="1" applyBorder="1"/>
    <xf numFmtId="188" fontId="9" fillId="2" borderId="1" xfId="0" applyNumberFormat="1" applyFont="1" applyFill="1" applyBorder="1"/>
    <xf numFmtId="0" fontId="9" fillId="0" borderId="1" xfId="0" applyFont="1" applyFill="1" applyBorder="1"/>
    <xf numFmtId="174" fontId="9" fillId="2" borderId="1" xfId="48" applyNumberFormat="1" applyFont="1" applyFill="1" applyBorder="1"/>
    <xf numFmtId="174" fontId="9" fillId="0" borderId="1" xfId="0" applyNumberFormat="1" applyFont="1" applyFill="1" applyBorder="1"/>
    <xf numFmtId="4" fontId="0" fillId="10" borderId="8" xfId="0" applyNumberFormat="1" applyFill="1" applyBorder="1"/>
    <xf numFmtId="4" fontId="0" fillId="10" borderId="0" xfId="0" applyNumberFormat="1" applyFill="1" applyBorder="1"/>
    <xf numFmtId="4" fontId="0" fillId="10" borderId="54" xfId="0" applyNumberFormat="1" applyFill="1" applyBorder="1"/>
    <xf numFmtId="4" fontId="0" fillId="10" borderId="0" xfId="0" applyNumberFormat="1" applyFill="1"/>
    <xf numFmtId="4" fontId="44" fillId="10" borderId="8" xfId="0" applyNumberFormat="1" applyFont="1" applyFill="1" applyBorder="1"/>
    <xf numFmtId="4" fontId="44" fillId="10" borderId="0" xfId="0" applyNumberFormat="1" applyFont="1" applyFill="1" applyBorder="1"/>
    <xf numFmtId="4" fontId="44" fillId="10" borderId="54" xfId="0" applyNumberFormat="1" applyFont="1" applyFill="1" applyBorder="1"/>
    <xf numFmtId="4" fontId="21" fillId="10" borderId="8" xfId="0" applyNumberFormat="1" applyFont="1" applyFill="1" applyBorder="1"/>
    <xf numFmtId="4" fontId="21" fillId="10" borderId="0" xfId="0" applyNumberFormat="1" applyFont="1" applyFill="1" applyBorder="1"/>
    <xf numFmtId="4" fontId="21" fillId="10" borderId="54" xfId="0" applyNumberFormat="1" applyFont="1" applyFill="1" applyBorder="1"/>
    <xf numFmtId="4" fontId="3" fillId="10" borderId="5" xfId="0" applyNumberFormat="1" applyFont="1" applyFill="1" applyBorder="1"/>
    <xf numFmtId="4" fontId="3" fillId="10" borderId="6" xfId="0" applyNumberFormat="1" applyFont="1" applyFill="1" applyBorder="1"/>
    <xf numFmtId="4" fontId="3" fillId="10" borderId="7" xfId="0" applyNumberFormat="1" applyFont="1" applyFill="1" applyBorder="1"/>
    <xf numFmtId="0" fontId="0" fillId="2" borderId="0" xfId="0" applyFill="1" applyAlignment="1">
      <alignment horizontal="center"/>
    </xf>
    <xf numFmtId="0" fontId="22" fillId="18" borderId="0" xfId="0" applyFont="1" applyFill="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18" borderId="0" xfId="0" applyFill="1" applyAlignment="1">
      <alignment horizontal="center"/>
    </xf>
    <xf numFmtId="0" fontId="22" fillId="10" borderId="0" xfId="0" applyFont="1" applyFill="1" applyAlignment="1">
      <alignment horizontal="center"/>
    </xf>
    <xf numFmtId="0" fontId="0" fillId="2" borderId="0" xfId="0" applyFill="1" applyAlignment="1">
      <alignment wrapText="1"/>
    </xf>
    <xf numFmtId="0" fontId="34" fillId="28" borderId="0" xfId="0" applyFont="1" applyFill="1" applyAlignment="1">
      <alignment horizontal="center"/>
    </xf>
    <xf numFmtId="0" fontId="22" fillId="27" borderId="0" xfId="0" applyFont="1" applyFill="1" applyAlignment="1">
      <alignment horizontal="center"/>
    </xf>
    <xf numFmtId="0" fontId="46" fillId="26" borderId="0" xfId="0" applyFont="1" applyFill="1" applyAlignment="1">
      <alignment horizontal="center"/>
    </xf>
    <xf numFmtId="0" fontId="22" fillId="26" borderId="0" xfId="0" applyFont="1" applyFill="1" applyAlignment="1">
      <alignment horizontal="center"/>
    </xf>
    <xf numFmtId="0" fontId="22" fillId="25" borderId="0" xfId="0" applyFont="1" applyFill="1" applyAlignment="1">
      <alignment horizontal="center"/>
    </xf>
    <xf numFmtId="0" fontId="46" fillId="25" borderId="0" xfId="0" applyFont="1" applyFill="1" applyAlignment="1">
      <alignment horizontal="center"/>
    </xf>
    <xf numFmtId="3" fontId="0" fillId="2" borderId="102" xfId="0" applyNumberFormat="1" applyFill="1" applyBorder="1" applyAlignment="1">
      <alignment horizontal="center"/>
    </xf>
    <xf numFmtId="3" fontId="0" fillId="2" borderId="93" xfId="0" applyNumberFormat="1" applyFill="1" applyBorder="1" applyAlignment="1">
      <alignment horizontal="center"/>
    </xf>
    <xf numFmtId="3" fontId="0" fillId="2" borderId="103" xfId="0" applyNumberFormat="1" applyFill="1" applyBorder="1" applyAlignment="1">
      <alignment horizontal="center"/>
    </xf>
    <xf numFmtId="0" fontId="38" fillId="21" borderId="5" xfId="0" applyFont="1" applyFill="1" applyBorder="1" applyAlignment="1">
      <alignment horizontal="center"/>
    </xf>
    <xf numFmtId="0" fontId="38" fillId="21" borderId="6" xfId="0" applyFont="1" applyFill="1" applyBorder="1" applyAlignment="1">
      <alignment horizontal="center"/>
    </xf>
    <xf numFmtId="0" fontId="38" fillId="21" borderId="7"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2" borderId="92" xfId="0" applyFill="1" applyBorder="1" applyAlignment="1">
      <alignment horizontal="center"/>
    </xf>
    <xf numFmtId="0" fontId="0" fillId="2" borderId="93" xfId="0" applyFill="1" applyBorder="1" applyAlignment="1">
      <alignment horizontal="center"/>
    </xf>
    <xf numFmtId="0" fontId="0" fillId="2" borderId="94" xfId="0" applyFill="1" applyBorder="1" applyAlignment="1">
      <alignment horizontal="center"/>
    </xf>
    <xf numFmtId="0" fontId="3" fillId="21" borderId="5" xfId="0" applyFont="1" applyFill="1" applyBorder="1" applyAlignment="1">
      <alignment horizontal="center"/>
    </xf>
    <xf numFmtId="0" fontId="3" fillId="21" borderId="6" xfId="0" applyFont="1" applyFill="1" applyBorder="1" applyAlignment="1">
      <alignment horizontal="center"/>
    </xf>
    <xf numFmtId="0" fontId="3" fillId="21" borderId="7"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2" borderId="93" xfId="0" applyFont="1" applyFill="1" applyBorder="1" applyAlignment="1">
      <alignment horizontal="center"/>
    </xf>
    <xf numFmtId="0" fontId="3" fillId="0" borderId="7" xfId="0" applyFont="1" applyBorder="1" applyAlignment="1">
      <alignment horizontal="center"/>
    </xf>
    <xf numFmtId="0" fontId="3" fillId="2" borderId="92" xfId="0" applyFont="1" applyFill="1" applyBorder="1" applyAlignment="1">
      <alignment horizontal="center"/>
    </xf>
    <xf numFmtId="0" fontId="3" fillId="2" borderId="94" xfId="0" applyFont="1" applyFill="1" applyBorder="1" applyAlignment="1">
      <alignment horizontal="center"/>
    </xf>
    <xf numFmtId="0" fontId="3" fillId="2" borderId="1" xfId="0" applyFont="1" applyFill="1" applyBorder="1" applyAlignment="1">
      <alignment horizontal="center"/>
    </xf>
    <xf numFmtId="0" fontId="3" fillId="2" borderId="102" xfId="0" applyFont="1" applyFill="1" applyBorder="1" applyAlignment="1">
      <alignment horizontal="center"/>
    </xf>
    <xf numFmtId="0" fontId="3" fillId="2" borderId="103" xfId="0" applyFont="1" applyFill="1" applyBorder="1" applyAlignment="1">
      <alignment horizontal="center"/>
    </xf>
    <xf numFmtId="0" fontId="30" fillId="12" borderId="5" xfId="0" applyFont="1" applyFill="1" applyBorder="1" applyAlignment="1" applyProtection="1">
      <alignment horizontal="center" vertical="center" wrapText="1"/>
    </xf>
    <xf numFmtId="0" fontId="30" fillId="12" borderId="6" xfId="0" applyFont="1" applyFill="1" applyBorder="1" applyAlignment="1" applyProtection="1">
      <alignment horizontal="center" vertical="center" wrapText="1"/>
    </xf>
    <xf numFmtId="0" fontId="30" fillId="12" borderId="7" xfId="0" applyFont="1" applyFill="1" applyBorder="1" applyAlignment="1" applyProtection="1">
      <alignment horizontal="center" vertical="center" wrapText="1"/>
    </xf>
    <xf numFmtId="169" fontId="3" fillId="2" borderId="0" xfId="0" applyNumberFormat="1" applyFont="1" applyFill="1" applyAlignment="1">
      <alignment horizontal="center"/>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42" xfId="0" applyFont="1" applyFill="1" applyBorder="1" applyAlignment="1" applyProtection="1">
      <alignment horizontal="center" vertical="center" wrapText="1"/>
    </xf>
    <xf numFmtId="0" fontId="0" fillId="2" borderId="9" xfId="0" applyFill="1" applyBorder="1" applyAlignment="1">
      <alignment horizontal="center"/>
    </xf>
    <xf numFmtId="0" fontId="33" fillId="11" borderId="17" xfId="0" applyFont="1" applyFill="1" applyBorder="1" applyAlignment="1">
      <alignment horizontal="right" vertical="center"/>
    </xf>
    <xf numFmtId="0" fontId="33" fillId="11" borderId="42" xfId="0" applyFont="1" applyFill="1" applyBorder="1" applyAlignment="1">
      <alignment horizontal="right" vertical="center"/>
    </xf>
    <xf numFmtId="0" fontId="29" fillId="2" borderId="15"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30" fillId="11" borderId="20"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13" borderId="42"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8" xfId="0" applyFont="1" applyFill="1" applyBorder="1" applyAlignment="1">
      <alignment horizontal="center" vertical="center" wrapText="1"/>
    </xf>
  </cellXfs>
  <cellStyles count="678">
    <cellStyle name=" 1" xfId="68" xr:uid="{6B4E56A7-3331-4F25-91AC-6F3FF338BA37}"/>
    <cellStyle name=" 1 2" xfId="69" xr:uid="{BDCA0A77-99AF-40ED-BDC7-8F21E02BAA30}"/>
    <cellStyle name=" 1 2 2" xfId="70" xr:uid="{2F087448-B612-4878-9535-C8CFF188719B}"/>
    <cellStyle name=" 1 2 3" xfId="95" xr:uid="{392D05F0-DE6E-4091-B8FC-449F815781E0}"/>
    <cellStyle name=" 1 3" xfId="71" xr:uid="{6BE46216-9B20-4C76-8F55-7D518EF5AEDC}"/>
    <cellStyle name=" 1 3 2" xfId="72" xr:uid="{25D87B89-BB6E-4526-BF3C-BAC9A0CA0C30}"/>
    <cellStyle name=" 1 4" xfId="73" xr:uid="{390BB5FF-9CE1-4DA9-AA91-BF49D31F852B}"/>
    <cellStyle name=" 1_29(d) - Gas extensions -tariffs" xfId="74" xr:uid="{C0B3300C-69E5-4687-AFBF-E237603FE229}"/>
    <cellStyle name="_3GIS model v2.77_Distribution Business_Retail Fin Perform " xfId="75" xr:uid="{6E70F1A3-8E8E-48D6-97DE-C8746851A23D}"/>
    <cellStyle name="_3GIS model v2.77_Fleet Overhead Costs 2_Retail Fin Perform " xfId="76" xr:uid="{EC632EEB-F554-4C89-8458-0F66871FDDAD}"/>
    <cellStyle name="_3GIS model v2.77_Fleet Overhead Costs_Retail Fin Perform " xfId="77" xr:uid="{D519ED90-3E53-4785-BA26-4F30DA42E6C2}"/>
    <cellStyle name="_3GIS model v2.77_Forecast 2_Retail Fin Perform " xfId="78" xr:uid="{612B86A8-E52A-4A77-A5D6-5ECCF843FD77}"/>
    <cellStyle name="_3GIS model v2.77_Forecast_Retail Fin Perform " xfId="79" xr:uid="{489C911C-D13D-4C46-856B-C95A0CE30E94}"/>
    <cellStyle name="_3GIS model v2.77_Funding &amp; Cashflow_1_Retail Fin Perform " xfId="80" xr:uid="{118CD1A7-D457-4937-A227-7342E81DEE20}"/>
    <cellStyle name="_3GIS model v2.77_Funding &amp; Cashflow_Retail Fin Perform " xfId="81" xr:uid="{831E4189-E761-40F1-92EC-E6BE04D3FEB3}"/>
    <cellStyle name="_3GIS model v2.77_Group P&amp;L_1_Retail Fin Perform " xfId="82" xr:uid="{44612A1B-6DBA-4B09-9BC0-717209431F2D}"/>
    <cellStyle name="_3GIS model v2.77_Group P&amp;L_Retail Fin Perform " xfId="83" xr:uid="{73E58BD0-055A-4389-A17B-84BBDE19CB52}"/>
    <cellStyle name="_3GIS model v2.77_Opening  Detailed BS_Retail Fin Perform " xfId="84" xr:uid="{B1D8F949-DEB9-459B-ACB3-FB30424B5D1D}"/>
    <cellStyle name="_3GIS model v2.77_OUTPUT DB_Retail Fin Perform " xfId="85" xr:uid="{7F1A2148-673A-4BFD-9270-E5BD85C28A3F}"/>
    <cellStyle name="_3GIS model v2.77_OUTPUT EB_Retail Fin Perform " xfId="86" xr:uid="{21CC6973-A1B6-4DA0-994A-774EFA50A7D0}"/>
    <cellStyle name="_3GIS model v2.77_Report_Retail Fin Perform " xfId="87" xr:uid="{6B599950-5D21-4FFD-AA68-22A00E6CBDE6}"/>
    <cellStyle name="_3GIS model v2.77_Retail Fin Perform " xfId="88" xr:uid="{E24840D3-A91A-4E95-B791-8AB724D60813}"/>
    <cellStyle name="_3GIS model v2.77_Sheet2 2_Retail Fin Perform " xfId="89" xr:uid="{136040E3-8534-483A-9CED-D0CE4FCF3723}"/>
    <cellStyle name="_3GIS model v2.77_Sheet2_Retail Fin Perform " xfId="90" xr:uid="{1087DC77-2353-4A00-9B38-53C1053F1943}"/>
    <cellStyle name="_Capex" xfId="194" xr:uid="{55295B56-CBAC-4483-BA99-B8C51C6547EF}"/>
    <cellStyle name="_Capex 2" xfId="195" xr:uid="{A86B675E-3B22-4C36-8A19-98644E4F6F85}"/>
    <cellStyle name="_Capex_29(d) - Gas extensions -tariffs" xfId="196" xr:uid="{F364E273-4DBC-4DEB-B5DF-FB48CC650DF5}"/>
    <cellStyle name="_UED AMP 2009-14 Final 250309 Less PU" xfId="197" xr:uid="{9E02B486-78D0-4E2C-9027-2CDA86457036}"/>
    <cellStyle name="_UED AMP 2009-14 Final 250309 Less PU_1011 monthly" xfId="198" xr:uid="{DB069966-0E87-4E58-A359-324A5B564901}"/>
    <cellStyle name="20% - Accent1 2" xfId="102" xr:uid="{127F652E-F604-4C77-ADA3-59EDD675CD27}"/>
    <cellStyle name="20% - Accent1 3" xfId="625" xr:uid="{F9B5311A-C356-4DD5-850D-01DF5A207A59}"/>
    <cellStyle name="20% - Accent1 4" xfId="101" xr:uid="{01F03BB6-AADD-4E20-B502-12257AE56902}"/>
    <cellStyle name="20% - Accent2 2" xfId="104" xr:uid="{62250DB7-BDEF-40A1-B018-778C2343A81C}"/>
    <cellStyle name="20% - Accent2 3" xfId="103" xr:uid="{FF389337-0692-40CB-A91B-680785D04C7E}"/>
    <cellStyle name="20% - Accent3 2" xfId="106" xr:uid="{891360AD-6BEC-4730-BDD5-40E878258F31}"/>
    <cellStyle name="20% - Accent3 3" xfId="105" xr:uid="{AFD337A9-E546-4A92-B7AD-99FF56A1BCAE}"/>
    <cellStyle name="20% - Accent4 2" xfId="108" xr:uid="{B854AB95-4838-4284-B6CA-5DA0F6B2A901}"/>
    <cellStyle name="20% - Accent4 3" xfId="107" xr:uid="{85A16049-69C6-433B-BBB9-6E58939BB3A2}"/>
    <cellStyle name="20% - Accent5 2" xfId="110" xr:uid="{DFD702DD-F6D3-4964-B5FA-F0463F12C508}"/>
    <cellStyle name="20% - Accent5 3" xfId="109" xr:uid="{B85A4E3A-FF62-4991-9150-CFD76805C53B}"/>
    <cellStyle name="20% - Accent6 2" xfId="112" xr:uid="{665C51A2-566E-4B4F-A486-F4763ED5451F}"/>
    <cellStyle name="20% - Accent6 3" xfId="111" xr:uid="{80388DB4-01FB-41A7-9EE1-DE44E20F0834}"/>
    <cellStyle name="40% - Accent1 2" xfId="114" xr:uid="{3A37E101-6731-4CD1-8516-9D7F1B1CA9A4}"/>
    <cellStyle name="40% - Accent1 3" xfId="626" xr:uid="{18F774E5-F3C8-48B0-BDB1-30D119680839}"/>
    <cellStyle name="40% - Accent1 4" xfId="113" xr:uid="{361DCFD8-4664-4849-8184-2F61A3343EF3}"/>
    <cellStyle name="40% - Accent2 2" xfId="116" xr:uid="{9F622159-898F-4275-A6D2-63A1921442F3}"/>
    <cellStyle name="40% - Accent2 3" xfId="115" xr:uid="{BF040CFB-95B9-42EA-ACA6-23466DEAD658}"/>
    <cellStyle name="40% - Accent3 2" xfId="118" xr:uid="{8B7270BF-AD32-4CCF-8990-9BC9D047081D}"/>
    <cellStyle name="40% - Accent3 3" xfId="117" xr:uid="{902DAB41-9AA4-4DF1-9944-55BDF9EBB3F6}"/>
    <cellStyle name="40% - Accent4 2" xfId="120" xr:uid="{68BF2982-5B74-455F-9922-471E755145C7}"/>
    <cellStyle name="40% - Accent4 3" xfId="119" xr:uid="{3AA2AD9D-1DA0-4C19-8B93-AA17A16367E8}"/>
    <cellStyle name="40% - Accent5 2" xfId="122" xr:uid="{DEA33A2E-506B-4388-96D6-AB3B9E05E432}"/>
    <cellStyle name="40% - Accent5 3" xfId="121" xr:uid="{ECB29AEA-AE70-47A0-9AD0-21942C147C17}"/>
    <cellStyle name="40% - Accent6 2" xfId="124" xr:uid="{5D350FE9-9439-4A75-8AB3-A25BF4A41726}"/>
    <cellStyle name="40% - Accent6 3" xfId="123" xr:uid="{AB6989ED-E88D-4FEB-A082-B81488485C63}"/>
    <cellStyle name="60% - Accent1 2" xfId="199" xr:uid="{04B463A5-29D0-4DFE-8656-7488EA271F58}"/>
    <cellStyle name="60% - Accent1 3" xfId="125" xr:uid="{EEBF6E8E-D6C4-4D38-A930-D88A8C75D4A4}"/>
    <cellStyle name="60% - Accent2 2" xfId="200" xr:uid="{E5A0998A-9A1B-48EB-984B-999F07B12DEA}"/>
    <cellStyle name="60% - Accent2 3" xfId="126" xr:uid="{CC3601CE-E655-408C-8CC1-ABEE52B81598}"/>
    <cellStyle name="60% - Accent3 2" xfId="201" xr:uid="{4327D3AD-401D-44B4-906B-59D47E1875CF}"/>
    <cellStyle name="60% - Accent3 3" xfId="127" xr:uid="{F4CD9C78-0DA9-46FB-8D6E-18B948ABEF24}"/>
    <cellStyle name="60% - Accent4 2" xfId="202" xr:uid="{C887C735-98AC-4453-99DA-E375A39C5721}"/>
    <cellStyle name="60% - Accent4 3" xfId="128" xr:uid="{07FC47C0-072E-4E85-B549-A81C8AC30900}"/>
    <cellStyle name="60% - Accent5 2" xfId="203" xr:uid="{80739FE6-027A-4FBE-8F6A-0483C4576753}"/>
    <cellStyle name="60% - Accent5 3" xfId="129" xr:uid="{9A3EFB4C-63D1-46C7-9A4F-C73F83213619}"/>
    <cellStyle name="60% - Accent6 2" xfId="204" xr:uid="{9F8CE9EE-71BD-4365-B366-8EA9691D573A}"/>
    <cellStyle name="60% - Accent6 3" xfId="130" xr:uid="{1CAA2698-A95B-4194-AE5B-5481E00B93CD}"/>
    <cellStyle name="Accent1 - 20%" xfId="205" xr:uid="{4BB2CFC1-AD83-4EA1-A884-E1FABD571D21}"/>
    <cellStyle name="Accent1 - 40%" xfId="206" xr:uid="{705D59F1-0F99-4196-94BC-6D888FF03384}"/>
    <cellStyle name="Accent1 - 60%" xfId="207" xr:uid="{C4752B89-6894-4D90-9ADB-9F671F1E5FF7}"/>
    <cellStyle name="Accent1 2" xfId="208" xr:uid="{19813453-19E3-4E7B-9D0F-F2D3EA9E30C7}"/>
    <cellStyle name="Accent1 3" xfId="631" xr:uid="{3962A75D-5183-4FE1-B889-0450E2184462}"/>
    <cellStyle name="Accent1 4" xfId="632" xr:uid="{C17ED847-EA94-4A5B-8EDB-40D7FFBD0895}"/>
    <cellStyle name="Accent1 5" xfId="633" xr:uid="{45980472-6510-42F5-973A-37D99CB68698}"/>
    <cellStyle name="Accent1 6" xfId="131" xr:uid="{FC3C15C4-D3E7-4EF8-ADF9-92FC65785409}"/>
    <cellStyle name="Accent2 - 20%" xfId="209" xr:uid="{AAEE4B43-29A1-451C-BC83-B104E6A1D6C5}"/>
    <cellStyle name="Accent2 - 40%" xfId="210" xr:uid="{124D1380-0E4A-4583-B9F4-6C2E22C349F4}"/>
    <cellStyle name="Accent2 - 60%" xfId="211" xr:uid="{9FCCF34C-497F-490C-8A20-C42E267A448B}"/>
    <cellStyle name="Accent2 2" xfId="212" xr:uid="{FA381732-FF88-48C1-BB5E-20EADD15E07B}"/>
    <cellStyle name="Accent2 3" xfId="634" xr:uid="{DED1E8BF-74D1-4B18-A154-1C711E13720B}"/>
    <cellStyle name="Accent2 4" xfId="635" xr:uid="{A78C6BD0-387D-4B38-A059-91B2F11E6FA4}"/>
    <cellStyle name="Accent2 5" xfId="636" xr:uid="{D8480C82-B942-43D7-9A3A-84B554CD672A}"/>
    <cellStyle name="Accent2 6" xfId="132" xr:uid="{5928D4AD-3C7C-47D4-BB58-E00D4EC76A50}"/>
    <cellStyle name="Accent3 - 20%" xfId="213" xr:uid="{E6A9B2C4-88EE-4C70-AF6F-DB8993571238}"/>
    <cellStyle name="Accent3 - 40%" xfId="214" xr:uid="{23BF91AC-49CF-48AF-839E-6A55E074C434}"/>
    <cellStyle name="Accent3 - 60%" xfId="215" xr:uid="{D51ADE8C-1A2C-49E3-BE3E-88F599126719}"/>
    <cellStyle name="Accent3 2" xfId="216" xr:uid="{78E11473-5B14-4B76-87D6-F130D2D6D6CA}"/>
    <cellStyle name="Accent3 3" xfId="637" xr:uid="{AEF7CA34-A237-48ED-B7FF-423CEE520F77}"/>
    <cellStyle name="Accent3 4" xfId="638" xr:uid="{ECD9320E-8829-4E3F-93D7-317657479A55}"/>
    <cellStyle name="Accent3 5" xfId="639" xr:uid="{6EA470F6-60B3-4494-A843-FE7835167B88}"/>
    <cellStyle name="Accent3 6" xfId="133" xr:uid="{28E47ABE-E116-40D9-AE4C-CB4218046AFE}"/>
    <cellStyle name="Accent4 - 20%" xfId="217" xr:uid="{9D46CB78-1060-4FD6-B624-CB5A91DDEE56}"/>
    <cellStyle name="Accent4 - 40%" xfId="218" xr:uid="{F042F23B-C1EF-45DD-BBFD-B35277A80E7C}"/>
    <cellStyle name="Accent4 - 60%" xfId="219" xr:uid="{3CC54242-7405-4EDC-A219-DB3EFEB17AF5}"/>
    <cellStyle name="Accent4 2" xfId="220" xr:uid="{39F7BFA0-7134-475E-BC2A-A3B493F684E4}"/>
    <cellStyle name="Accent4 3" xfId="640" xr:uid="{9D2CF56A-AA54-4B04-8B25-FDCB6D7FB8DC}"/>
    <cellStyle name="Accent4 4" xfId="641" xr:uid="{657C778F-86AB-4D08-B989-0CC807F35B88}"/>
    <cellStyle name="Accent4 5" xfId="642" xr:uid="{EF6313B6-B267-4896-9B18-CAA3F8EE6CBA}"/>
    <cellStyle name="Accent4 6" xfId="134" xr:uid="{7AA3CCB4-098F-4351-9485-D3C2E0AE453F}"/>
    <cellStyle name="Accent5 - 20%" xfId="221" xr:uid="{323B5003-A0A8-480F-AEE0-C9E30A624A49}"/>
    <cellStyle name="Accent5 - 40%" xfId="222" xr:uid="{939675E9-0DEB-4C5E-A563-5330244A8BC1}"/>
    <cellStyle name="Accent5 - 60%" xfId="223" xr:uid="{3E3060A1-A5E9-45C9-BDFF-01E8515ADDAE}"/>
    <cellStyle name="Accent5 2" xfId="224" xr:uid="{5358AB2E-AD12-40A4-868F-A93086F3A6F3}"/>
    <cellStyle name="Accent5 3" xfId="643" xr:uid="{F3C6D73D-EC6C-4F7C-A7CB-F2973DF9E6D0}"/>
    <cellStyle name="Accent5 4" xfId="644" xr:uid="{B0A5FCEC-9A24-4537-B7C4-7D530396386E}"/>
    <cellStyle name="Accent5 5" xfId="645" xr:uid="{1BE7DBD6-08C0-409A-B008-6CDB2BD65970}"/>
    <cellStyle name="Accent5 6" xfId="135" xr:uid="{CAFE66C2-AC40-4C9F-BAD5-9FE7EA17DA45}"/>
    <cellStyle name="Accent6 - 20%" xfId="225" xr:uid="{AD567DA5-1D2B-40EA-955E-E1F579B838BE}"/>
    <cellStyle name="Accent6 - 40%" xfId="226" xr:uid="{D0025C2F-8AD0-4ECE-9F3F-76A9206A76E0}"/>
    <cellStyle name="Accent6 - 60%" xfId="227" xr:uid="{D657C0DD-C1B5-4086-8EB2-FAF7F3A42072}"/>
    <cellStyle name="Accent6 2" xfId="228" xr:uid="{94FB7097-1A2E-40E0-9EFB-688FDAB1AD57}"/>
    <cellStyle name="Accent6 3" xfId="646" xr:uid="{8C659B81-FAF4-474D-BF98-062872097430}"/>
    <cellStyle name="Accent6 4" xfId="647" xr:uid="{7B7D039D-6B2F-4CC5-9276-9873C73F7365}"/>
    <cellStyle name="Accent6 5" xfId="648" xr:uid="{1C660B61-33D1-45E8-9E3D-05857783D71F}"/>
    <cellStyle name="Accent6 6" xfId="136" xr:uid="{37FB5BDE-DFB1-45FA-B584-46AAC20696B2}"/>
    <cellStyle name="Agara" xfId="229" xr:uid="{AEFA5A51-F44E-45D0-BB08-250BD16AF336}"/>
    <cellStyle name="B79812_.wvu.PrintTitlest" xfId="230" xr:uid="{8D11E8B9-48B7-4164-8BEC-9064BEFA821E}"/>
    <cellStyle name="Bad 2" xfId="231" xr:uid="{25D9903B-20B7-4D3E-9C0E-BEB187CCB7D9}"/>
    <cellStyle name="Bad 3" xfId="137" xr:uid="{3086F833-EAF4-4A72-BFD8-8EDE01BC3281}"/>
    <cellStyle name="Black" xfId="232" xr:uid="{D2DF8F5F-EB5B-42F0-B40D-879D0A209AA2}"/>
    <cellStyle name="Blockout" xfId="138" xr:uid="{21FEFB74-DC2F-44BA-9602-AFCCF7F8EEB2}"/>
    <cellStyle name="Blockout 2" xfId="60" xr:uid="{6FBCD359-31B4-4DF9-AD1B-54405AB51E5E}"/>
    <cellStyle name="Blockout 3" xfId="395" xr:uid="{B77611F6-53F8-4412-991B-0762EC0C30FB}"/>
    <cellStyle name="Blue" xfId="233" xr:uid="{8BEAAB92-324F-4E56-8622-D9A0F82256B8}"/>
    <cellStyle name="Calculation 2" xfId="234" xr:uid="{DB0EBABE-F6FE-484C-8B9B-7E751B4E38CA}"/>
    <cellStyle name="Calculation 2 2" xfId="475" xr:uid="{5CC836AC-C703-4CCC-AB67-7B181D382BFF}"/>
    <cellStyle name="Calculation 2 3" xfId="605" xr:uid="{82874EF3-DD23-4E39-B571-644980ADB966}"/>
    <cellStyle name="Calculation 3" xfId="139" xr:uid="{E4A8A757-3FEA-4184-8C3F-3B7B1EB9C560}"/>
    <cellStyle name="Check Cell 2" xfId="235" xr:uid="{94DDEF6E-ED8E-4531-96AE-5402AB0AD91A}"/>
    <cellStyle name="Check Cell 2 2 2 2" xfId="428" xr:uid="{33DC52FD-9C8E-432A-A93B-B2CEC00FDE5E}"/>
    <cellStyle name="Check Cell 3" xfId="140" xr:uid="{2864A28D-EAAE-4882-AE63-A41CEA5DF660}"/>
    <cellStyle name="Comma" xfId="48" builtinId="3"/>
    <cellStyle name="Comma [0]7Z_87C" xfId="236" xr:uid="{3E672EB5-578A-4C46-B7EC-E6AD13027FA8}"/>
    <cellStyle name="Comma 0" xfId="237" xr:uid="{618767B8-5C6D-4CAA-AD35-17C158687568}"/>
    <cellStyle name="Comma 1" xfId="238" xr:uid="{8C6705CA-F5FC-4B1E-8C22-65D7BF868713}"/>
    <cellStyle name="Comma 1 2" xfId="239" xr:uid="{27D90EEF-1F28-4982-B93A-6B4B3A6C589D}"/>
    <cellStyle name="Comma 10" xfId="537" xr:uid="{B040C501-2273-4A33-9785-C4EA36E9A62A}"/>
    <cellStyle name="Comma 11" xfId="649" xr:uid="{13682B6D-071E-449B-95F3-0324049620AE}"/>
    <cellStyle name="Comma 12" xfId="676" xr:uid="{3891EB4A-699A-4E7C-8E55-D67545E9C731}"/>
    <cellStyle name="Comma 2" xfId="141" xr:uid="{10AAEBE0-3011-4E8A-84DB-98D94D751432}"/>
    <cellStyle name="Comma 2 2" xfId="58" xr:uid="{940798C1-BFF3-4865-AF7C-406EF960DEBD}"/>
    <cellStyle name="Comma 2 2 2" xfId="142" xr:uid="{36175FFB-9ADD-4491-82DC-7F0DA5274845}"/>
    <cellStyle name="Comma 2 2 3" xfId="240" xr:uid="{9B6450B0-46E8-4D3B-90A7-F2443A8A2B96}"/>
    <cellStyle name="Comma 2 3" xfId="143" xr:uid="{ABA2B673-BBDA-4CDB-86BB-3A2DBD9D10BB}"/>
    <cellStyle name="Comma 2 3 2" xfId="241" xr:uid="{6707EFE4-09C5-4C56-86DE-5E5DC5FCCF9A}"/>
    <cellStyle name="Comma 2 4" xfId="242" xr:uid="{CF335E02-7CE1-4857-9915-E7CDF394AE23}"/>
    <cellStyle name="Comma 2 5" xfId="243" xr:uid="{920E67B2-F23F-4782-BBBD-3894A6395F2B}"/>
    <cellStyle name="Comma 2 6" xfId="650" xr:uid="{473ABF0F-A338-4F89-A052-CA46B79CC183}"/>
    <cellStyle name="Comma 3" xfId="54" xr:uid="{5863BB84-B2EF-4F26-92E3-4FC0A114E94B}"/>
    <cellStyle name="Comma 3 2" xfId="145" xr:uid="{9943F156-4D3A-4737-8522-A3044D90F5EF}"/>
    <cellStyle name="Comma 3 2 2" xfId="245" xr:uid="{1A84DC90-44E5-4B44-B1EB-12667D05235B}"/>
    <cellStyle name="Comma 3 3" xfId="144" xr:uid="{B0A1C584-0E3F-4730-BE35-F0283A338EB7}"/>
    <cellStyle name="Comma 3 3 2" xfId="246" xr:uid="{84398F42-A371-4559-8C28-2CE6DB2F2D68}"/>
    <cellStyle name="Comma 3 4" xfId="184" xr:uid="{96F9F90B-40A6-450A-807C-0732E5B7FFE3}"/>
    <cellStyle name="Comma 3 5" xfId="244" xr:uid="{496EDB62-0122-4E42-B901-CB5A46028B7C}"/>
    <cellStyle name="Comma 3 6" xfId="624" xr:uid="{0E3C64E2-2D7B-4FE1-9CD9-03209169B828}"/>
    <cellStyle name="Comma 4" xfId="247" xr:uid="{F62259B6-6F3F-4808-939D-B6DAA269D862}"/>
    <cellStyle name="Comma 4 2" xfId="623" xr:uid="{EBA1E027-5F53-42C8-BA62-C669A982BCBB}"/>
    <cellStyle name="Comma 5" xfId="248" xr:uid="{4B06728B-D7DA-4FB0-B151-99082678F458}"/>
    <cellStyle name="Comma 6" xfId="249" xr:uid="{2EDA9692-0377-4D4B-B45D-ACEFFFE4037B}"/>
    <cellStyle name="Comma 7" xfId="250" xr:uid="{CCE93DEC-182E-4B8F-AA2C-B5831ABAA408}"/>
    <cellStyle name="Comma 8" xfId="251" xr:uid="{D7AE8B1F-616C-49F2-B4F5-199F40F08918}"/>
    <cellStyle name="Comma 9" xfId="427" xr:uid="{D01A415B-D853-4238-88B0-F0D7B272968A}"/>
    <cellStyle name="Comma 9 2" xfId="578" xr:uid="{A54F7570-80AA-43F5-9DF8-BB885B333A4A}"/>
    <cellStyle name="Comma 9 3" xfId="509" xr:uid="{22459FFD-AFC1-4D27-A15B-441B866DA76B}"/>
    <cellStyle name="Comma0" xfId="252" xr:uid="{E4C5FD00-6E8C-44E7-9D8B-B3665BE16EA4}"/>
    <cellStyle name="Currency 11" xfId="253" xr:uid="{1DCC3A97-A8C8-4458-933C-F8422770A9EE}"/>
    <cellStyle name="Currency 11 2" xfId="254" xr:uid="{22CBBADE-6D7A-489D-B9DD-60570CF52145}"/>
    <cellStyle name="Currency 2" xfId="255" xr:uid="{EF36B88C-38FA-4F96-AA06-E2C31ED6E2EF}"/>
    <cellStyle name="Currency 2 2" xfId="256" xr:uid="{9324BC93-051F-4D60-A040-0A81508E35EC}"/>
    <cellStyle name="Currency 2 3" xfId="651" xr:uid="{18DDDA7D-13E5-4C7F-B54E-FD2B4C98F8CF}"/>
    <cellStyle name="Currency 3" xfId="257" xr:uid="{D0D18AEE-C988-437D-B888-E2B47E776EBA}"/>
    <cellStyle name="Currency 3 2" xfId="258" xr:uid="{4120A365-74DD-4D3B-AB9F-063AA2D0D141}"/>
    <cellStyle name="Currency 4" xfId="259" xr:uid="{ECC2E59B-0660-46DE-B0DD-AA70F28EE376}"/>
    <cellStyle name="Currency 4 2" xfId="260" xr:uid="{BDF8A1CF-8CF0-4E20-BFE5-BC46160547E3}"/>
    <cellStyle name="Currency 5" xfId="93" xr:uid="{1D39E946-81CB-43C8-8836-6B6DC8541E71}"/>
    <cellStyle name="Currency 6" xfId="426" xr:uid="{B336D52E-7C26-4D7C-9F72-1AD86744367C}"/>
    <cellStyle name="Currency 6 2" xfId="577" xr:uid="{835CEBEB-4BD1-4425-9B94-01A5C65A7F24}"/>
    <cellStyle name="Currency 6 3" xfId="508" xr:uid="{3E01CEE3-4CD3-4FF4-BD6F-2C0855707660}"/>
    <cellStyle name="Currency 7" xfId="536" xr:uid="{85877316-9528-47FA-A91D-B485A606D427}"/>
    <cellStyle name="D4_B8B1_005004B79812_.wvu.PrintTitlest" xfId="261" xr:uid="{F09CE8BD-A55D-4454-9DF5-BA64912F16C2}"/>
    <cellStyle name="Date" xfId="262" xr:uid="{14283E18-F1AC-4717-A729-EB314E7974B6}"/>
    <cellStyle name="Date 2" xfId="263" xr:uid="{13DE577B-9547-49D5-B7FA-584C7E91DC49}"/>
    <cellStyle name="dms_1" xfId="677" xr:uid="{49828F62-6E1E-4630-BCB4-CBFB8A909690}"/>
    <cellStyle name="Emphasis 1" xfId="264" xr:uid="{2D67E464-FBB5-4F7D-9D3F-8250912EB1AB}"/>
    <cellStyle name="Emphasis 2" xfId="265" xr:uid="{A8C161CE-6ADA-4415-A08A-DBADBF00D8E5}"/>
    <cellStyle name="Emphasis 3" xfId="266" xr:uid="{EA2C3E6B-EC1F-4087-BAD9-60600FD4AF4E}"/>
    <cellStyle name="Euro" xfId="267" xr:uid="{D3F2BE22-D4FE-48C9-A1BB-F3A9CE816089}"/>
    <cellStyle name="Explanatory Text 2" xfId="268" xr:uid="{44402024-3653-43AD-B441-F20B942BE8BC}"/>
    <cellStyle name="Explanatory Text 3" xfId="146" xr:uid="{9CDBEFDA-8428-4235-B479-BA9E41C5F630}"/>
    <cellStyle name="Fixed" xfId="269" xr:uid="{8101C3DE-1FCB-4351-930E-BCD72BBAB6FC}"/>
    <cellStyle name="Fixed 2" xfId="270" xr:uid="{D8248CD5-8222-4A9D-B9E4-8CBB993D779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Gilsans" xfId="271" xr:uid="{81F1BB46-7C43-4C2B-9628-5D0B323678F4}"/>
    <cellStyle name="Gilsansl" xfId="272" xr:uid="{D13A91CC-B9D9-454A-AC51-722E9C390787}"/>
    <cellStyle name="Good 2" xfId="273" xr:uid="{2BE1F5C0-669A-4EA5-A613-A094C1EBF87D}"/>
    <cellStyle name="Good 3" xfId="147" xr:uid="{40E4136D-E883-4BFF-9D90-38D9E884C544}"/>
    <cellStyle name="Heading 1 2" xfId="274" xr:uid="{5082351A-4E57-48ED-B03D-60845895C387}"/>
    <cellStyle name="Heading 1 2 2" xfId="275" xr:uid="{C1CECE4E-B0BF-4765-B085-6A4982F80DEC}"/>
    <cellStyle name="Heading 1 3" xfId="276" xr:uid="{4DC23CF3-53A5-467C-9B20-89AA92E84077}"/>
    <cellStyle name="Heading 1 4" xfId="148" xr:uid="{DF1C4FCB-1EC8-429E-B50B-1EBB99236A5E}"/>
    <cellStyle name="Heading 2 2" xfId="277" xr:uid="{8F4FC6D9-D4A2-4205-986E-A04EACB13D53}"/>
    <cellStyle name="Heading 2 2 2" xfId="278" xr:uid="{8EA0E78D-1E10-4467-81F6-940DD03DB4F4}"/>
    <cellStyle name="Heading 2 3" xfId="279" xr:uid="{426F50E2-FDB5-4C68-AE54-E3483D166E98}"/>
    <cellStyle name="Heading 2 4" xfId="149" xr:uid="{774424F4-5954-4EB1-BE84-84F1FD229A3B}"/>
    <cellStyle name="Heading 3 2" xfId="280" xr:uid="{AF3FF1EF-477C-47C3-9543-D9056FE9DC8B}"/>
    <cellStyle name="Heading 3 2 2" xfId="281" xr:uid="{D190CD28-A321-4B20-812B-27F72C7BA666}"/>
    <cellStyle name="Heading 3 2 2 2" xfId="453" xr:uid="{9056D4D1-1FB2-41ED-AD06-4AD842F09340}"/>
    <cellStyle name="Heading 3 2 2 2 2" xfId="470" xr:uid="{84ECA1D9-EF75-49AC-A715-276C13DB73AB}"/>
    <cellStyle name="Heading 3 2 2 2 2 2" xfId="597" xr:uid="{E2F69374-DE58-4397-A5EC-A21746EAB59C}"/>
    <cellStyle name="Heading 3 2 2 2 2 3" xfId="618" xr:uid="{336813DB-54CA-4AB9-8F98-0B5DA65F1482}"/>
    <cellStyle name="Heading 3 2 2 2 2 4" xfId="566" xr:uid="{476AE601-44E7-4C6C-A513-45C69C97F872}"/>
    <cellStyle name="Heading 3 2 2 2 3" xfId="591" xr:uid="{5B701FCD-59B2-47F6-BD76-9B3F1D006B9E}"/>
    <cellStyle name="Heading 3 2 2 2 4" xfId="612" xr:uid="{F9830DD3-A303-4F27-B16C-D9D1ADD73276}"/>
    <cellStyle name="Heading 3 2 2 2 5" xfId="558" xr:uid="{DB9E0397-882B-42AC-8FC7-BE2730B93804}"/>
    <cellStyle name="Heading 3 2 2 3" xfId="454" xr:uid="{875955F0-7D6A-441B-BB66-BEE970F8D279}"/>
    <cellStyle name="Heading 3 2 2 3 2" xfId="471" xr:uid="{D7DF9BDC-8108-469F-AE91-6A320BE65AEE}"/>
    <cellStyle name="Heading 3 2 2 3 2 2" xfId="598" xr:uid="{0A55FB5C-C353-477C-8B5E-B26B68B99034}"/>
    <cellStyle name="Heading 3 2 2 3 2 3" xfId="619" xr:uid="{731CD1F2-E54C-49D9-91DE-C7D6072BD37A}"/>
    <cellStyle name="Heading 3 2 2 3 2 4" xfId="567" xr:uid="{E570F3B2-1380-4932-9217-1C71F5EFBD05}"/>
    <cellStyle name="Heading 3 2 2 3 3" xfId="592" xr:uid="{8C5CF94A-7526-4BC6-BCEA-DBFEE7E842C1}"/>
    <cellStyle name="Heading 3 2 2 3 4" xfId="613" xr:uid="{D280CCA8-1977-48B8-ABEA-7DF489A6255A}"/>
    <cellStyle name="Heading 3 2 2 3 5" xfId="559" xr:uid="{C9A5763D-78A5-4CFA-82C3-9ADA2FB731D5}"/>
    <cellStyle name="Heading 3 2 2 4" xfId="469" xr:uid="{0D9BEFCE-9A0D-49A3-BABA-ACA08F4FB80B}"/>
    <cellStyle name="Heading 3 2 2 4 2" xfId="596" xr:uid="{C15FD839-E29F-4C9D-B596-003CF0CF2402}"/>
    <cellStyle name="Heading 3 2 2 4 3" xfId="617" xr:uid="{9856BD39-17A8-4C8B-ADD8-76023B681250}"/>
    <cellStyle name="Heading 3 2 2 4 4" xfId="565" xr:uid="{C03377CB-237B-4EFB-A7F4-03BDC1239D20}"/>
    <cellStyle name="Heading 3 2 2 5" xfId="477" xr:uid="{07201511-2581-46A0-9FBB-9ECF1AE2F08F}"/>
    <cellStyle name="Heading 3 2 2 5 2" xfId="602" xr:uid="{8F8446C1-F627-4312-9A9D-295C3E6B4566}"/>
    <cellStyle name="Heading 3 2 2 5 3" xfId="571" xr:uid="{5F672129-23EC-4187-822D-071C241B611A}"/>
    <cellStyle name="Heading 3 2 3" xfId="282" xr:uid="{787F1CCE-00F4-41EB-BF47-D046D753A3FE}"/>
    <cellStyle name="Heading 3 2 4" xfId="455" xr:uid="{0BF746E2-055C-4DB0-9C07-57D5A6A793D2}"/>
    <cellStyle name="Heading 3 2 4 2" xfId="472" xr:uid="{AF97E3C6-68DF-4D35-B658-371F9A442270}"/>
    <cellStyle name="Heading 3 2 4 2 2" xfId="599" xr:uid="{2D979D5D-EB64-4179-88C1-B0D70EC0651C}"/>
    <cellStyle name="Heading 3 2 4 2 3" xfId="620" xr:uid="{25644AE1-DCF1-43AE-81F2-AB03CD06ECD6}"/>
    <cellStyle name="Heading 3 2 4 2 4" xfId="568" xr:uid="{630D7357-9E2E-4F02-8B2D-C74C169C8F54}"/>
    <cellStyle name="Heading 3 2 4 3" xfId="593" xr:uid="{364CE420-4942-4E6D-8C6E-4015255F4741}"/>
    <cellStyle name="Heading 3 2 4 4" xfId="614" xr:uid="{1BC2390E-8AB5-4A97-92F0-A50A07AEC01D}"/>
    <cellStyle name="Heading 3 2 4 5" xfId="560" xr:uid="{B2A13BA2-7A46-46E4-8FBD-30B17705969D}"/>
    <cellStyle name="Heading 3 2 5" xfId="456" xr:uid="{53E8E9C5-FF65-4526-9C58-EC07000AF971}"/>
    <cellStyle name="Heading 3 2 5 2" xfId="473" xr:uid="{EC308C9D-0262-4610-886E-0FDD0B0BC7E0}"/>
    <cellStyle name="Heading 3 2 5 2 2" xfId="600" xr:uid="{F00866C4-EF7B-4417-ACA3-2F41137DCBE5}"/>
    <cellStyle name="Heading 3 2 5 2 3" xfId="621" xr:uid="{CB1E8CB4-2A42-47D0-A831-E4F69AF0C0D3}"/>
    <cellStyle name="Heading 3 2 5 2 4" xfId="569" xr:uid="{E6AB6EB0-942D-4E8E-93C5-0DF903AEE575}"/>
    <cellStyle name="Heading 3 2 5 3" xfId="594" xr:uid="{F39BCFA6-A99B-4E54-95A8-F3DEE3D6C089}"/>
    <cellStyle name="Heading 3 2 5 4" xfId="615" xr:uid="{7C1A7C55-506E-4649-B9D5-1EEBAD70A5E5}"/>
    <cellStyle name="Heading 3 2 5 5" xfId="561" xr:uid="{564B0930-7B5A-4F8F-861B-2CB684F3813E}"/>
    <cellStyle name="Heading 3 2 6" xfId="468" xr:uid="{C64F6B1A-9CB7-4A77-8D2E-5FFC3FDDBC28}"/>
    <cellStyle name="Heading 3 2 6 2" xfId="595" xr:uid="{A1846096-66DD-4259-8874-55F64174B0EB}"/>
    <cellStyle name="Heading 3 2 6 3" xfId="616" xr:uid="{FAF343A4-1A4A-42A2-B1C6-E7E515F9079B}"/>
    <cellStyle name="Heading 3 2 6 4" xfId="564" xr:uid="{EC61B549-8723-42F0-A5DB-CCA8613EB81B}"/>
    <cellStyle name="Heading 3 2 7" xfId="476" xr:uid="{17554FD4-46F2-4125-B596-9F6CD5F4DABD}"/>
    <cellStyle name="Heading 3 2 7 2" xfId="601" xr:uid="{C4F93954-66FD-4F8B-BE80-F6A69DD36343}"/>
    <cellStyle name="Heading 3 2 7 3" xfId="570" xr:uid="{87FA22ED-2763-470D-9CEA-E8B58DB28F07}"/>
    <cellStyle name="Heading 3 3" xfId="283" xr:uid="{56891F0E-715A-4BB3-A9EA-31D443811AAC}"/>
    <cellStyle name="Heading 3 4" xfId="150" xr:uid="{456C8D79-3C72-45A9-A257-4BD0239C4678}"/>
    <cellStyle name="Heading 4 2" xfId="284" xr:uid="{07BB97FC-D28E-40A1-A4D2-DABFC2FA34D4}"/>
    <cellStyle name="Heading 4 2 2" xfId="285" xr:uid="{F338C8DF-9643-4DB2-B7E7-7FD5B0813FC4}"/>
    <cellStyle name="Heading 4 3" xfId="286" xr:uid="{1777BEAA-C818-4084-96A6-C6061BA32C8D}"/>
    <cellStyle name="Heading 4 4" xfId="151" xr:uid="{CD04A025-343E-40EC-AA11-D2809D3966B9}"/>
    <cellStyle name="Heading(4)" xfId="287" xr:uid="{8567814D-07A3-479E-82A1-8BE7F8BB6305}"/>
    <cellStyle name="Hyperlink" xfId="1" builtinId="8"/>
    <cellStyle name="Hyperlink 2" xfId="152" xr:uid="{2EDC2621-79FD-427C-B7FF-AD21E40AC10C}"/>
    <cellStyle name="Hyperlink 2 2" xfId="153" xr:uid="{B14129C9-1AB0-47E5-AC53-124324564875}"/>
    <cellStyle name="Hyperlink 2 3" xfId="288" xr:uid="{E100F34A-AA82-47EC-92E7-1FB2C66D46B4}"/>
    <cellStyle name="Hyperlink 3" xfId="396" xr:uid="{BEF2FCFC-1102-43C9-9B19-4600E3390BEC}"/>
    <cellStyle name="Hyperlink 4" xfId="604" xr:uid="{6057EFB2-2F8D-496E-8644-0C99555F395E}"/>
    <cellStyle name="Hyperlink 5" xfId="51" xr:uid="{C970B6B4-DDFB-4C48-BBFB-2373C4784078}"/>
    <cellStyle name="Hyperlink Arrow" xfId="289" xr:uid="{4871577C-58FC-40C5-98D8-4CABAC72F643}"/>
    <cellStyle name="Hyperlink Text" xfId="290" xr:uid="{0344F70C-7815-4750-96AA-0C017E9B9910}"/>
    <cellStyle name="import" xfId="457" xr:uid="{FA05470A-6DAF-41A5-97A5-E01295D1DCA8}"/>
    <cellStyle name="import%" xfId="458" xr:uid="{75231FB1-FAA8-44B9-99A9-344E7E505E7D}"/>
    <cellStyle name="import_ICRC Electricity model 1-1  (1 Feb 2003) " xfId="91" xr:uid="{8392EC75-FDA0-43E1-9406-F6163CD7949D}"/>
    <cellStyle name="Input 2" xfId="291" xr:uid="{C570B14E-E30F-4221-A84D-2D866E1D804D}"/>
    <cellStyle name="Input 2 2" xfId="478" xr:uid="{4C100F46-5E98-4BA2-AE81-F36298030355}"/>
    <cellStyle name="Input 2 3" xfId="606" xr:uid="{046AB3BC-8E1E-43BA-9E48-9FB0794E4664}"/>
    <cellStyle name="Input 3" xfId="154" xr:uid="{0CC827FF-EA53-4AAA-A20C-C57695808CA9}"/>
    <cellStyle name="Input1" xfId="52" xr:uid="{4351212E-526D-4FA1-AA83-67A2C24B6C6A}"/>
    <cellStyle name="Input1 2" xfId="155" xr:uid="{9880E3A1-AE49-44FF-ACDD-2FD59134D7F0}"/>
    <cellStyle name="Input1 2 2" xfId="156" xr:uid="{058F72D9-15CD-4B1E-86E2-5B4C73962A35}"/>
    <cellStyle name="Input1 3" xfId="157" xr:uid="{810411DF-6726-4A10-90EE-50C169EE1433}"/>
    <cellStyle name="Input1 3 2" xfId="158" xr:uid="{44AD1BCF-9822-4505-A82F-8F4FF17263F7}"/>
    <cellStyle name="Input1 4" xfId="652" xr:uid="{F3DDC633-3D4A-484B-B05F-0C9D1B0B1385}"/>
    <cellStyle name="Input1 5" xfId="653" xr:uid="{9F0591A9-5DCD-4018-BC42-3FDA048BC6F6}"/>
    <cellStyle name="Input1%" xfId="459" xr:uid="{D84EBEB3-C305-4CB5-B4BE-E185783EF3A2}"/>
    <cellStyle name="Input1_ICRC Electricity model 1-1  (1 Feb 2003) " xfId="292" xr:uid="{92BD1EF3-FFB8-4902-A428-A32908975DE2}"/>
    <cellStyle name="Input1default" xfId="460" xr:uid="{BE116BF8-9100-4A3D-96D2-4ECB0965C759}"/>
    <cellStyle name="Input1default%" xfId="461" xr:uid="{BA6F10AF-6F98-41EF-8538-45B63BC55764}"/>
    <cellStyle name="Input2" xfId="159" xr:uid="{719D94D0-D77C-4874-BB36-6AA3AD5D4C59}"/>
    <cellStyle name="Input2 2" xfId="160" xr:uid="{4EDE0312-7693-45EA-8E2A-236848E12F13}"/>
    <cellStyle name="Input2 3" xfId="397" xr:uid="{92CB4D15-DFAE-4D7E-975B-541EE2ED1E1C}"/>
    <cellStyle name="Input3" xfId="161" xr:uid="{B9A491DE-DE08-45BF-8FA0-C9703215B1D2}"/>
    <cellStyle name="Input3 2" xfId="162" xr:uid="{7C659DA6-CE8A-462F-BE4F-330DFF0F7ED6}"/>
    <cellStyle name="Input3 3" xfId="398" xr:uid="{ECA43E6E-9F5B-4C0C-BC31-ABE38E169D86}"/>
    <cellStyle name="InputCell" xfId="433" xr:uid="{4D95087A-71EA-4A8D-9A9D-653026C212A8}"/>
    <cellStyle name="InputCell 2" xfId="540" xr:uid="{26AABBAE-1C73-4456-8138-B9E0D212922A}"/>
    <cellStyle name="InputCell 3" xfId="512" xr:uid="{4A35B399-E4E1-467F-823A-5044966109A7}"/>
    <cellStyle name="InputCellText" xfId="435" xr:uid="{D549C061-FD23-4C56-B3BA-E75A1F7EDC7B}"/>
    <cellStyle name="InputCellText 2" xfId="542" xr:uid="{7BC15EB7-548B-45A6-A6A1-99106ECBC283}"/>
    <cellStyle name="InputCellText 3" xfId="514" xr:uid="{879C9742-C117-4379-828B-A9D477B2741B}"/>
    <cellStyle name="key result" xfId="462" xr:uid="{E55EB182-C3E7-4B01-B2DE-1EA9BDF5F544}"/>
    <cellStyle name="Lines" xfId="293" xr:uid="{3C9B16A1-EADB-4BCC-859A-DBCBEFC26AE2}"/>
    <cellStyle name="Linked Cell 2" xfId="294" xr:uid="{E329A890-6A52-43EE-AF7D-8EDC9AE57554}"/>
    <cellStyle name="Linked Cell 3" xfId="163" xr:uid="{DEBB4CDE-49CE-405F-83EB-0ED46535DDA4}"/>
    <cellStyle name="Local import" xfId="463" xr:uid="{FFAE05C2-8038-4722-A64E-DE8BF66CD8A5}"/>
    <cellStyle name="Local import %" xfId="464" xr:uid="{D03C231E-B2A9-4B64-8588-67CE5A0ACB22}"/>
    <cellStyle name="Mine" xfId="295" xr:uid="{7DEB2C48-32E9-4F30-AF42-81298A4E900C}"/>
    <cellStyle name="Model Name" xfId="296" xr:uid="{807E2B51-922F-4D98-83CD-5788B3A33124}"/>
    <cellStyle name="Neutral 2" xfId="297" xr:uid="{8DBCD1A8-251E-4C37-8C21-0CE06B256029}"/>
    <cellStyle name="Neutral 3" xfId="164" xr:uid="{74D88A72-4839-405F-8786-83BC4A36D87E}"/>
    <cellStyle name="NonInputCell" xfId="434" xr:uid="{D52C0A0D-744D-46FE-934E-DA3B3179564B}"/>
    <cellStyle name="NonInputCell 2" xfId="541" xr:uid="{46EA39F1-167B-438B-8323-6FEA8ACB38A1}"/>
    <cellStyle name="NonInputCell 3" xfId="513" xr:uid="{4ED6B35A-D244-4D8C-A5EE-B2202B0CEE00}"/>
    <cellStyle name="Normal" xfId="0" builtinId="0"/>
    <cellStyle name="Normal - Style1" xfId="298" xr:uid="{57F8C30C-FAB0-4F3F-ACF3-2517E807B485}"/>
    <cellStyle name="Normal 10" xfId="63" xr:uid="{741D1AFC-F8A2-493A-8E24-0B12C087C0B7}"/>
    <cellStyle name="Normal 10 2" xfId="399" xr:uid="{38CF0C94-3983-4D20-92AA-372B70DA63F0}"/>
    <cellStyle name="Normal 11" xfId="394" xr:uid="{FD092732-BFAA-4523-903B-B87280BFDF05}"/>
    <cellStyle name="Normal 11 2" xfId="400" xr:uid="{20E70703-4DC8-467B-B30D-CC3CC0559379}"/>
    <cellStyle name="Normal 11 3" xfId="485" xr:uid="{C3172CA0-4AFF-40A2-B603-3313051E4818}"/>
    <cellStyle name="Normal 11 4" xfId="654" xr:uid="{5DBF58AC-88E7-45C8-A434-249FC3BB80F6}"/>
    <cellStyle name="Normal 114" xfId="67" xr:uid="{192E47D8-BDEA-4ECF-A1B6-EA2116901148}"/>
    <cellStyle name="Normal 114 2" xfId="655" xr:uid="{AA0D3A6F-9C6C-49F4-96E9-FD0791AFDFB7}"/>
    <cellStyle name="Normal 12" xfId="401" xr:uid="{19F459D4-DD45-4026-8DFE-75A23A31DCBA}"/>
    <cellStyle name="Normal 12 2" xfId="402" xr:uid="{1350F97F-7E75-48C8-93A4-39C48750A02F}"/>
    <cellStyle name="Normal 13" xfId="65" xr:uid="{D9B581E0-2940-4D2E-8A21-6D75FE4CD1AC}"/>
    <cellStyle name="Normal 13 2" xfId="66" xr:uid="{2CE096BC-050C-417D-BC81-5BBF668218C4}"/>
    <cellStyle name="Normal 13_29(d) - Gas extensions -tariffs" xfId="299" xr:uid="{90E39207-9F93-499A-B8E1-9D4D6655E406}"/>
    <cellStyle name="Normal 14" xfId="403" xr:uid="{D2A4C735-0FCC-4DEA-88C7-89C55CE740D9}"/>
    <cellStyle name="Normal 14 2" xfId="404" xr:uid="{1EB08979-4EA9-43B6-907A-D665E89F67F2}"/>
    <cellStyle name="Normal 14 3" xfId="422" xr:uid="{89EBDD04-E586-43B6-90FC-1CDBBAA9F525}"/>
    <cellStyle name="Normal 14 3 2" xfId="575" xr:uid="{E127A6DB-B881-4130-B011-15D22DFC7BE0}"/>
    <cellStyle name="Normal 14 3 3" xfId="506" xr:uid="{4EC771FD-B82D-494E-8345-34286FA79B74}"/>
    <cellStyle name="Normal 14 4" xfId="534" xr:uid="{A84A7557-79F5-469E-B0EF-B45BF2CF4073}"/>
    <cellStyle name="Normal 14 5" xfId="630" xr:uid="{92EE166B-F616-421F-9B43-24D81071DDFD}"/>
    <cellStyle name="Normal 14 6" xfId="675" xr:uid="{396991AC-5FB7-4531-8B68-FC8507AF48F3}"/>
    <cellStyle name="Normal 15" xfId="300" xr:uid="{E0DE2B04-7165-4CC7-BE77-C9A2A11CCB95}"/>
    <cellStyle name="Normal 15 2" xfId="405" xr:uid="{801350A2-B8D6-4D4F-9E98-0F73DFEC53B8}"/>
    <cellStyle name="Normal 16" xfId="62" xr:uid="{45079AAE-110C-43B6-81B0-A32E856CCCAA}"/>
    <cellStyle name="Normal 16 2" xfId="301" xr:uid="{C5B32724-E9F1-4393-B81E-46A3B0411934}"/>
    <cellStyle name="Normal 17" xfId="406" xr:uid="{0245F5AB-1A00-46A5-BFFC-63A0EE009068}"/>
    <cellStyle name="Normal 17 2" xfId="407" xr:uid="{D3B42B4C-06B5-47A1-B212-17836015AA44}"/>
    <cellStyle name="Normal 17 2 2" xfId="438" xr:uid="{B1036444-D07D-4320-93D4-264985B9B76B}"/>
    <cellStyle name="Normal 17 2 2 2" xfId="583" xr:uid="{363667AA-9BFE-4127-8536-6E2E0837A52C}"/>
    <cellStyle name="Normal 17 2 2 3" xfId="516" xr:uid="{87B777C0-C7CB-47A2-A399-90C5690DED4E}"/>
    <cellStyle name="Normal 17 2 3" xfId="544" xr:uid="{414FCB14-176D-4EF1-8982-00B6C9F67462}"/>
    <cellStyle name="Normal 17 2 4" xfId="496" xr:uid="{6579BCD9-0DEA-410A-BAFE-C3FED09D0A33}"/>
    <cellStyle name="Normal 17 3" xfId="408" xr:uid="{9C848048-590B-4C2B-968C-0C6F364D4F9F}"/>
    <cellStyle name="Normal 17 3 2" xfId="439" xr:uid="{1BAE8C85-E791-4C79-8D34-2774303EAFB2}"/>
    <cellStyle name="Normal 17 3 2 2" xfId="584" xr:uid="{248EB1D0-B6EA-4F5F-A8D9-EE0022AD78F2}"/>
    <cellStyle name="Normal 17 3 2 3" xfId="517" xr:uid="{9FCDFC13-BCCE-40D3-AD32-9DFE09433B4E}"/>
    <cellStyle name="Normal 17 3 3" xfId="545" xr:uid="{DFC6B818-4E28-4B1F-9258-7D5B953A553E}"/>
    <cellStyle name="Normal 17 3 4" xfId="497" xr:uid="{725CEFD3-9097-4D47-8FDC-A64A359C5C8C}"/>
    <cellStyle name="Normal 17 4" xfId="437" xr:uid="{8CE526EA-C1E4-43EB-9D1E-255A630C2EF6}"/>
    <cellStyle name="Normal 17 4 2" xfId="582" xr:uid="{874B28A2-FD6A-4829-BC2B-D9E10C2C8797}"/>
    <cellStyle name="Normal 17 4 3" xfId="515" xr:uid="{82F4FE3F-608C-4CD8-B8FF-03AF0F599C32}"/>
    <cellStyle name="Normal 17 5" xfId="543" xr:uid="{4FE49867-94A8-4376-BD84-6F632BEC58DC}"/>
    <cellStyle name="Normal 17 6" xfId="495" xr:uid="{A05F0422-85D9-4D1F-99CA-191636B29EBB}"/>
    <cellStyle name="Normal 18" xfId="446" xr:uid="{4EAFFA45-A842-41BF-A898-6CEBECD4E64D}"/>
    <cellStyle name="Normal 18 2" xfId="465" xr:uid="{4134E8E2-7FC6-44F5-BC72-CAB19B68D7A7}"/>
    <cellStyle name="Normal 19" xfId="474" xr:uid="{07CC4DAF-1CE0-4C00-9D8A-E966E0BE835E}"/>
    <cellStyle name="Normal 2" xfId="53" xr:uid="{D41CEFB7-F0F5-40CF-9BBB-6FBE1D2B397C}"/>
    <cellStyle name="Normal 2 2" xfId="55" xr:uid="{E8B31ABF-E198-49FA-96E0-079445DCEF1B}"/>
    <cellStyle name="Normal 2 2 2" xfId="165" xr:uid="{77FC9827-0214-46A0-AA9C-8AA1BE0701E9}"/>
    <cellStyle name="Normal 2 2 3" xfId="166" xr:uid="{069B072D-346E-4F0E-9DD3-C3C23CEE3770}"/>
    <cellStyle name="Normal 2 2 4" xfId="479" xr:uid="{2461B4FC-B07E-4655-A15C-DE6E8CA72D52}"/>
    <cellStyle name="Normal 2 2 5" xfId="302" xr:uid="{74AEEE57-23B8-48EA-A23C-C46806D7F74B}"/>
    <cellStyle name="Normal 2 3" xfId="303" xr:uid="{3F3C9EA4-75E3-42CB-83F3-4ACE8FB6C0BB}"/>
    <cellStyle name="Normal 2 3 2" xfId="304" xr:uid="{459B4531-600B-43B2-AC89-13B5873C7FFE}"/>
    <cellStyle name="Normal 2 3_29(d) - Gas extensions -tariffs" xfId="305" xr:uid="{E8123053-FB47-4D38-A2A8-012D5E4933AF}"/>
    <cellStyle name="Normal 2 4" xfId="306" xr:uid="{6BB8851C-2BC2-42E0-AD95-67389421E0F8}"/>
    <cellStyle name="Normal 2 4 2" xfId="480" xr:uid="{C6512FE3-370B-4989-AD55-590FD040E088}"/>
    <cellStyle name="Normal 2 4 3" xfId="425" xr:uid="{8A9F3C8B-219E-43B0-AC7B-766D28426113}"/>
    <cellStyle name="Normal 2 5" xfId="307" xr:uid="{4C833351-6085-49BF-A7F4-930492B8DC47}"/>
    <cellStyle name="Normal 2_29(d) - Gas extensions -tariffs" xfId="308" xr:uid="{FE0ECE3A-4C4F-4348-B466-4DD7C0A6318B}"/>
    <cellStyle name="Normal 20" xfId="94" xr:uid="{35411614-4334-48E5-92D4-CE268E96C6C0}"/>
    <cellStyle name="Normal 20 2" xfId="186" xr:uid="{6C562E45-888D-4458-936C-5D1C62497457}"/>
    <cellStyle name="Normal 20 2 2" xfId="552" xr:uid="{0308369E-1118-4D71-B0BB-1990FEA69CB6}"/>
    <cellStyle name="Normal 20 3" xfId="447" xr:uid="{5307ABF5-78F0-4637-9B8F-0224A086521C}"/>
    <cellStyle name="Normal 20 4" xfId="524" xr:uid="{0D52B326-CB0A-4CA4-BA9D-C5DCA1D0471A}"/>
    <cellStyle name="Normal 21" xfId="420" xr:uid="{2CA0BCC0-61E7-444B-AEAC-112447FC255D}"/>
    <cellStyle name="Normal 21 2" xfId="573" xr:uid="{EA6CFEF8-6CB6-467A-A88B-6FBEB13B85BE}"/>
    <cellStyle name="Normal 21 3" xfId="504" xr:uid="{97694D34-0A17-4E8C-974E-A8919F01C7D3}"/>
    <cellStyle name="Normal 22" xfId="432" xr:uid="{89884A0F-F297-468B-B31A-C17697D83ACF}"/>
    <cellStyle name="Normal 23" xfId="97" xr:uid="{43E8D7F5-0C4C-4671-A3DF-FE41AE732727}"/>
    <cellStyle name="Normal 23 2" xfId="188" xr:uid="{61743B5B-ADB8-4D08-946D-7FDAEE1C1953}"/>
    <cellStyle name="Normal 23 2 2" xfId="553" xr:uid="{278ADEDD-89B9-4EF5-82B1-D693E9891602}"/>
    <cellStyle name="Normal 23 3" xfId="448" xr:uid="{F4D1BB13-2743-48EE-8C17-0DD1C1E290C1}"/>
    <cellStyle name="Normal 23 4" xfId="525" xr:uid="{8F137C1B-5543-45C8-94C4-DAAF31F6E670}"/>
    <cellStyle name="Normal 24" xfId="96" xr:uid="{7219D127-1010-487B-B3EC-724EBDC8025C}"/>
    <cellStyle name="Normal 24 2" xfId="187" xr:uid="{B4D10121-4F4E-4FAE-A813-B75BBADF762F}"/>
    <cellStyle name="Normal 24 2 2" xfId="554" xr:uid="{0E4AC48A-9384-4DB3-8F66-F7A311E5045F}"/>
    <cellStyle name="Normal 24 3" xfId="449" xr:uid="{07523E31-5009-4231-B44A-F24BE539DA5E}"/>
    <cellStyle name="Normal 24 4" xfId="526" xr:uid="{348E6FB7-96A6-4622-9BDD-EE3FBEC4AA62}"/>
    <cellStyle name="Normal 25" xfId="98" xr:uid="{0645694F-3725-4D04-8473-D25C83B9423D}"/>
    <cellStyle name="Normal 25 2" xfId="189" xr:uid="{CAAB5818-EBDB-4E74-B451-AA0FFE98186D}"/>
    <cellStyle name="Normal 25 2 2" xfId="555" xr:uid="{5544D177-04C9-43D5-BA48-AE74A4396825}"/>
    <cellStyle name="Normal 25 3" xfId="450" xr:uid="{6D115621-75ED-4AD3-ABBF-EFBD55ABA9C5}"/>
    <cellStyle name="Normal 25 4" xfId="527" xr:uid="{0EB86661-828D-4A79-87B3-822C577064F7}"/>
    <cellStyle name="Normal 26" xfId="100" xr:uid="{04A2EEA9-7C09-41AC-BF54-862E2FD9D10A}"/>
    <cellStyle name="Normal 26 2" xfId="191" xr:uid="{C2C7342B-80EA-4139-A512-F135C49DA729}"/>
    <cellStyle name="Normal 26 2 2" xfId="556" xr:uid="{93C8F578-AF97-4F52-BADA-C327CF8A1E73}"/>
    <cellStyle name="Normal 26 3" xfId="451" xr:uid="{65875EB7-5816-49C2-9832-2B9BBF058A33}"/>
    <cellStyle name="Normal 26 4" xfId="528" xr:uid="{B0876405-BCB1-4829-9F1F-707ABFA9B646}"/>
    <cellStyle name="Normal 27" xfId="489" xr:uid="{7DEFCE76-44D1-4500-A310-7857016EC6E6}"/>
    <cellStyle name="Normal 28" xfId="532" xr:uid="{795D46EC-F800-44C9-BE39-34EFA7DDE008}"/>
    <cellStyle name="Normal 28 2" xfId="629" xr:uid="{A2619B04-D8D0-4670-922E-B45C8C4A56FB}"/>
    <cellStyle name="Normal 29" xfId="490" xr:uid="{CD5BC4D2-2185-4020-966D-78B24457D1B6}"/>
    <cellStyle name="Normal 3" xfId="57" xr:uid="{3D2EEC3C-4743-451F-93C1-691F95E6C805}"/>
    <cellStyle name="Normal 3 2" xfId="167" xr:uid="{DC767411-7C0A-4EE9-B85A-114C72F5E42A}"/>
    <cellStyle name="Normal 3 3" xfId="168" xr:uid="{F66EE76E-5767-488D-9127-27956B74F62D}"/>
    <cellStyle name="Normal 3 3 2" xfId="92" xr:uid="{74FEDCF2-AB89-4E00-BF06-2789EEB4120A}"/>
    <cellStyle name="Normal 3 3 3" xfId="409" xr:uid="{6B37E522-E552-46BE-B7F5-4765D9D9EE90}"/>
    <cellStyle name="Normal 3 4" xfId="59" xr:uid="{3B3DDECA-34DB-4483-A77B-58A89FAB9655}"/>
    <cellStyle name="Normal 3 5" xfId="466" xr:uid="{491A9D10-51AA-4075-9EE3-14CCF6AA33AC}"/>
    <cellStyle name="Normal 3 5 2" xfId="562" xr:uid="{D73DEBF1-0ABF-4128-8521-6225320130D2}"/>
    <cellStyle name="Normal 3 5 3" xfId="530" xr:uid="{9150A152-51BE-4A1D-97B0-0AB6083F58A1}"/>
    <cellStyle name="Normal 3_29(d) - Gas extensions -tariffs" xfId="309" xr:uid="{DA5B5CC4-5985-46CD-BCD2-8ED0832579E0}"/>
    <cellStyle name="Normal 30" xfId="493" xr:uid="{D029C148-9B01-4E9E-AF97-BAFFC1367366}"/>
    <cellStyle name="Normal 31" xfId="494" xr:uid="{CC80C968-4FA9-4645-95B7-A7685F68956C}"/>
    <cellStyle name="Normal 32" xfId="622" xr:uid="{5A69B8F0-DC48-475B-A40C-F1631D18575A}"/>
    <cellStyle name="Normal 32 2" xfId="628" xr:uid="{595F3411-DE7E-4531-9E3D-6DE9494BE957}"/>
    <cellStyle name="Normal 33" xfId="627" xr:uid="{F3B72F46-48C6-43E2-887E-2EDDE9BDF476}"/>
    <cellStyle name="Normal 34" xfId="656" xr:uid="{5BB156D0-9C62-402D-96EC-0F597DF3BA2E}"/>
    <cellStyle name="Normal 35" xfId="657" xr:uid="{F2A2EFCC-B806-4F51-AF26-C2093DE709F8}"/>
    <cellStyle name="Normal 36" xfId="658" xr:uid="{A87DA2AA-F427-4726-96D7-C1423FAA4A33}"/>
    <cellStyle name="Normal 37" xfId="659" xr:uid="{CA59ADCC-E5C5-4CF8-BC2A-626A53A8355C}"/>
    <cellStyle name="Normal 38" xfId="310" xr:uid="{8D74F855-001F-48DC-8605-EB0285ADC4F3}"/>
    <cellStyle name="Normal 38 2" xfId="311" xr:uid="{27779CFE-CAAB-4FA7-8A72-B46FE7B62873}"/>
    <cellStyle name="Normal 38_29(d) - Gas extensions -tariffs" xfId="312" xr:uid="{5B4BBE84-0F92-41B3-BE75-141CA0FF5736}"/>
    <cellStyle name="Normal 39" xfId="50" xr:uid="{8F300511-2D6F-4E76-A333-A114AD0DDE6E}"/>
    <cellStyle name="Normal 4" xfId="169" xr:uid="{E0EA7C57-9F0E-4C45-9C06-0C7224474C33}"/>
    <cellStyle name="Normal 4 2" xfId="170" xr:uid="{94DC83A4-7C18-4266-80DF-8606C3EB636F}"/>
    <cellStyle name="Normal 4 2 2" xfId="410" xr:uid="{1DF71834-06E2-4DF9-89BF-7336549562F5}"/>
    <cellStyle name="Normal 4 2 2 2" xfId="440" xr:uid="{53365A25-C263-4315-AF5D-C2FED43D2E5F}"/>
    <cellStyle name="Normal 4 2 2 2 2" xfId="585" xr:uid="{8E5FCAF2-747C-475D-A3C6-32CB392FBEBD}"/>
    <cellStyle name="Normal 4 2 2 2 3" xfId="518" xr:uid="{A09EC843-409B-47CD-A745-C63B6B5F1327}"/>
    <cellStyle name="Normal 4 2 2 3" xfId="546" xr:uid="{E2744BE0-E7F4-402E-BBEB-23ED9D438964}"/>
    <cellStyle name="Normal 4 2 2 4" xfId="498" xr:uid="{F0F23D36-5C09-4990-AD37-3CBF27709431}"/>
    <cellStyle name="Normal 4 2 3" xfId="411" xr:uid="{CB808FFA-3C36-42B8-ABC7-160757828DF3}"/>
    <cellStyle name="Normal 4 2 3 2" xfId="441" xr:uid="{FF9246FE-1208-4752-8F85-C6DED9774BB9}"/>
    <cellStyle name="Normal 4 2 3 2 2" xfId="586" xr:uid="{DDBDC5B2-F263-435B-9BA2-3397F30F2068}"/>
    <cellStyle name="Normal 4 2 3 2 3" xfId="519" xr:uid="{FF72B5A0-D4F1-4385-B5D2-76D900378C71}"/>
    <cellStyle name="Normal 4 2 3 3" xfId="547" xr:uid="{E5AB137A-2924-429A-8B38-C021592DE537}"/>
    <cellStyle name="Normal 4 2 3 4" xfId="499" xr:uid="{26D85AE5-01D8-44B3-923B-CAA0B4757EB8}"/>
    <cellStyle name="Normal 4 3" xfId="192" xr:uid="{80174781-8D6B-4F15-A6A2-1A2905E9C9A5}"/>
    <cellStyle name="Normal 4 3 2" xfId="429" xr:uid="{1609AFC8-585A-4784-A2C7-C550ACB495FF}"/>
    <cellStyle name="Normal 4 3 2 2" xfId="579" xr:uid="{E62036DE-B1E5-42C2-A10D-F1B8E9974D2B}"/>
    <cellStyle name="Normal 4 3 2 3" xfId="510" xr:uid="{3C14D597-ADB4-4711-83B7-F7EE10F09DD3}"/>
    <cellStyle name="Normal 4 3 3" xfId="313" xr:uid="{858C6D0F-B805-496E-A83D-C45F4B897E67}"/>
    <cellStyle name="Normal 4 3 3 2" xfId="538" xr:uid="{3BE44FCB-D80A-424B-B9A0-D0C63E2BA5C7}"/>
    <cellStyle name="Normal 4 3 4" xfId="491" xr:uid="{8A11D06A-7B3A-4819-8C84-AF0061003A75}"/>
    <cellStyle name="Normal 4 4" xfId="423" xr:uid="{4C505752-D9A3-4647-989A-4725C948FB38}"/>
    <cellStyle name="Normal 4 5" xfId="660" xr:uid="{DD15EBC2-4D60-4883-9075-C5E18DB03E39}"/>
    <cellStyle name="Normal 4 6" xfId="661" xr:uid="{123B3EDD-55E3-419F-9525-E318F5DDFD06}"/>
    <cellStyle name="Normal 4_29(d) - Gas extensions -tariffs" xfId="314" xr:uid="{71B33B55-4166-45B1-9FEA-708FFB14048A}"/>
    <cellStyle name="Normal 40" xfId="315" xr:uid="{FB2BF4B0-5679-41F5-9004-89EE17D0790F}"/>
    <cellStyle name="Normal 40 2" xfId="316" xr:uid="{2BF5DBE1-3925-4336-B086-3D06756E6F08}"/>
    <cellStyle name="Normal 40_29(d) - Gas extensions -tariffs" xfId="317" xr:uid="{FB6616BD-530E-45C3-ABCD-F12362C3D924}"/>
    <cellStyle name="Normal 5" xfId="56" xr:uid="{106F8CAD-0874-4B57-BE17-F1CCB809926F}"/>
    <cellStyle name="Normal 5 2" xfId="319" xr:uid="{980EC7D8-3325-45BC-A714-8AEDFCD3171E}"/>
    <cellStyle name="Normal 5 3" xfId="318" xr:uid="{E06D5D7D-A5A0-4471-8B25-5F6B9B2C5C71}"/>
    <cellStyle name="Normal 6" xfId="320" xr:uid="{36FB7E8E-BAE6-478E-869E-1E5FF456DA19}"/>
    <cellStyle name="Normal 6 2" xfId="61" xr:uid="{C7EEE776-2BF8-4203-B087-856D33FDF7FC}"/>
    <cellStyle name="Normal 6 2 2" xfId="321" xr:uid="{F27271E9-6545-475C-BBC3-F18E30824851}"/>
    <cellStyle name="Normal 7" xfId="322" xr:uid="{657444CB-79B5-4E4A-AD78-C52C782B5910}"/>
    <cellStyle name="Normal 7 2" xfId="323" xr:uid="{88C2A8DD-D83A-4AB1-B5F7-7B9A0E318592}"/>
    <cellStyle name="Normal 7 2 2" xfId="430" xr:uid="{99A847B7-F968-47DE-AD07-9DE5EB377AB0}"/>
    <cellStyle name="Normal 7 2 2 2" xfId="580" xr:uid="{73AD2324-16EB-416F-B03C-CFB70311A5DC}"/>
    <cellStyle name="Normal 7 2 2 3" xfId="511" xr:uid="{2C8A320A-DB1D-4AE2-8236-0F8EDBEBF2CD}"/>
    <cellStyle name="Normal 7 2 3" xfId="539" xr:uid="{4A969DC7-4CFA-4561-A194-79287391B341}"/>
    <cellStyle name="Normal 7 2 4" xfId="492" xr:uid="{8C818D94-E847-452F-8A0A-4A1371C0E514}"/>
    <cellStyle name="Normal 8" xfId="324" xr:uid="{3A384D74-CD2A-4B76-A222-04A4B5CB20C5}"/>
    <cellStyle name="Normal 8 2" xfId="412" xr:uid="{0CAC85E5-934F-42D7-BFA6-58BC5B670A34}"/>
    <cellStyle name="Normal 8 2 2" xfId="486" xr:uid="{1BF83CD7-0563-4BAB-BEB5-FDFE83A7C79D}"/>
    <cellStyle name="Normal 8 2 3" xfId="421" xr:uid="{C8D38A55-AC6C-4812-B2AE-3B886BE20203}"/>
    <cellStyle name="Normal 8 2 3 2" xfId="574" xr:uid="{A8F19A6A-BCC0-4F59-8FFA-6BF2FDB4DE58}"/>
    <cellStyle name="Normal 8 2 3 3" xfId="505" xr:uid="{1EAAAB95-3C11-4BB3-B66E-D859D84AA197}"/>
    <cellStyle name="Normal 8 2 4" xfId="533" xr:uid="{AA54763B-789F-44A0-8007-AB586E808B63}"/>
    <cellStyle name="Normal 88" xfId="3" xr:uid="{00000000-0005-0000-0000-00002F000000}"/>
    <cellStyle name="Normal 9" xfId="325" xr:uid="{D965E4FC-59FF-43AA-9B7D-5BA286060E49}"/>
    <cellStyle name="Normal 9 2" xfId="413" xr:uid="{4E5174A1-DAAE-4DFF-8FD3-8DD88A979E04}"/>
    <cellStyle name="Note 2" xfId="172" xr:uid="{C8638641-89A5-44F5-9642-C4F4C2C89972}"/>
    <cellStyle name="Note 2 2" xfId="481" xr:uid="{FCE559F7-24FC-4ED2-B764-11E3D7FE7A5C}"/>
    <cellStyle name="Note 2 3" xfId="607" xr:uid="{82259AA5-43F9-4958-9FFD-AF5BDB16234F}"/>
    <cellStyle name="Note 3" xfId="414" xr:uid="{AA4AB75E-0B54-4D3F-9933-C33DFE64FEC6}"/>
    <cellStyle name="Note 3 2" xfId="487" xr:uid="{06E30931-3EB0-407B-9A2A-11CF60E095EB}"/>
    <cellStyle name="Note 3 3" xfId="610" xr:uid="{2FFA90AD-B83B-4C22-8FAF-FD6FBD84F26E}"/>
    <cellStyle name="Note 4" xfId="415" xr:uid="{8C02933B-907A-41AE-A7D3-2E87D81BE7B8}"/>
    <cellStyle name="Note 4 2" xfId="488" xr:uid="{70FB07DC-185F-4F6C-96B2-9BAF591873BF}"/>
    <cellStyle name="Note 4 3" xfId="611" xr:uid="{A087596D-B3EC-4BB5-A969-7EA3970C3671}"/>
    <cellStyle name="Note 5" xfId="171" xr:uid="{759E671B-D76C-447D-91D7-402D94156236}"/>
    <cellStyle name="Output 2" xfId="326" xr:uid="{20EFC726-DBD4-4D72-AA80-4491BD85D8D3}"/>
    <cellStyle name="Output 2 2" xfId="482" xr:uid="{98BDEE66-BF9E-43CB-AEE9-FCF46E73936D}"/>
    <cellStyle name="Output 2 3" xfId="608" xr:uid="{A17B595D-C782-4061-B501-2E7053109DF5}"/>
    <cellStyle name="Output 3" xfId="173" xr:uid="{025E5A63-D75F-4691-AAD6-345269A048AA}"/>
    <cellStyle name="Percent" xfId="2" builtinId="5"/>
    <cellStyle name="Percent [2]" xfId="327" xr:uid="{C84C2E7A-68DE-45DD-9A8F-1DCDE919536B}"/>
    <cellStyle name="Percent [2] 2" xfId="328" xr:uid="{8AFC364B-7BE9-423B-94C3-6806E6CC0445}"/>
    <cellStyle name="Percent [2]_29(d) - Gas extensions -tariffs" xfId="329" xr:uid="{432018E1-82E9-42EB-BC7D-63332947A8F6}"/>
    <cellStyle name="Percent 10" xfId="662" xr:uid="{4865216D-249B-4EA7-8055-487BA7C5B089}"/>
    <cellStyle name="Percent 11" xfId="663" xr:uid="{D3644C61-7474-4A86-8BD7-90A1FB360022}"/>
    <cellStyle name="Percent 12" xfId="99" xr:uid="{6D562833-AA76-4D7E-9025-60BD26CB99BA}"/>
    <cellStyle name="Percent 12 2" xfId="190" xr:uid="{BA38DF4C-78CC-4E4A-9328-D2F90F3E003E}"/>
    <cellStyle name="Percent 12 2 2" xfId="557" xr:uid="{CC98094F-AF83-4FFA-AB72-C08E6B2A87FF}"/>
    <cellStyle name="Percent 12 3" xfId="452" xr:uid="{00E4AAA9-DCAD-4522-B2CD-56C3E1C96EC6}"/>
    <cellStyle name="Percent 12 4" xfId="529" xr:uid="{50789C26-9275-4E77-8953-21BDFEDED0BF}"/>
    <cellStyle name="Percent 13" xfId="64" xr:uid="{A61C003D-5B33-4CDA-B71C-880B60A8E213}"/>
    <cellStyle name="Percent 2" xfId="185" xr:uid="{D1B2CB55-786B-4803-BF9E-F639C055318E}"/>
    <cellStyle name="Percent 2 2" xfId="330" xr:uid="{39846AE9-3813-441B-B74F-9D27CB4BF9C6}"/>
    <cellStyle name="Percent 2 2 2" xfId="416" xr:uid="{12B92BD3-1073-4631-9E15-35A37D4C2C75}"/>
    <cellStyle name="Percent 2 2 2 2" xfId="442" xr:uid="{CCEF0E75-4335-43BA-BB30-449B17782FB5}"/>
    <cellStyle name="Percent 2 2 2 2 2" xfId="587" xr:uid="{5FBACC9F-E1BA-4DE6-ABA3-8F9F14A5A7BA}"/>
    <cellStyle name="Percent 2 2 2 2 3" xfId="520" xr:uid="{E9072CF6-9592-4D1F-9D5E-8F68D57A7545}"/>
    <cellStyle name="Percent 2 2 2 3" xfId="548" xr:uid="{64936636-FC59-442B-BD84-668FE514E07A}"/>
    <cellStyle name="Percent 2 2 2 4" xfId="500" xr:uid="{7E0E5115-0CD2-4373-A597-F365132E8F95}"/>
    <cellStyle name="Percent 2 2 3" xfId="417" xr:uid="{8ADE9641-A566-4488-A4A1-E3BCFE5A388A}"/>
    <cellStyle name="Percent 2 2 3 2" xfId="443" xr:uid="{9506C021-A44E-418D-A21A-13A607B16694}"/>
    <cellStyle name="Percent 2 2 3 2 2" xfId="588" xr:uid="{4580989E-A9B7-4F61-96F4-000069C9C9A6}"/>
    <cellStyle name="Percent 2 2 3 2 3" xfId="521" xr:uid="{F7C1E928-72EE-40A0-9807-8C8B8A0E8DF2}"/>
    <cellStyle name="Percent 2 2 3 3" xfId="549" xr:uid="{BEC3D71E-A592-4027-B7F1-DF5218A56B42}"/>
    <cellStyle name="Percent 2 2 3 4" xfId="501" xr:uid="{ECFB05D0-DE3F-4F11-B9BA-E8C25D24B1C4}"/>
    <cellStyle name="Percent 2 3" xfId="418" xr:uid="{C820E657-F7AA-43E8-924F-4DF67CF96A2D}"/>
    <cellStyle name="Percent 2 3 2" xfId="444" xr:uid="{FBA6467A-8849-4601-BD5F-6A37EAEC42ED}"/>
    <cellStyle name="Percent 2 3 2 2" xfId="589" xr:uid="{7F77856D-9CF9-4B36-9A4F-BF1626815232}"/>
    <cellStyle name="Percent 2 3 2 3" xfId="522" xr:uid="{0870E293-E1EC-4512-8B63-7520CA447C37}"/>
    <cellStyle name="Percent 2 3 3" xfId="550" xr:uid="{B892E25E-304C-440B-956F-93432E75AC1E}"/>
    <cellStyle name="Percent 2 3 4" xfId="502" xr:uid="{50CFC62E-1CBB-4777-AF8D-9E1D7E63796C}"/>
    <cellStyle name="Percent 2 4" xfId="419" xr:uid="{0E07A734-67F4-4899-B792-317841D2375E}"/>
    <cellStyle name="Percent 2 4 2" xfId="445" xr:uid="{05494DDC-C6FD-420B-A858-57B225CA9F12}"/>
    <cellStyle name="Percent 2 4 2 2" xfId="590" xr:uid="{FE1BA48B-8236-49F5-A358-35F93D515658}"/>
    <cellStyle name="Percent 2 4 2 3" xfId="523" xr:uid="{08FC435F-4FBD-4E10-BF19-C1F1E26ABCE8}"/>
    <cellStyle name="Percent 2 4 3" xfId="551" xr:uid="{8522857C-3DD2-4DAB-9208-FAFEC1D166B4}"/>
    <cellStyle name="Percent 2 4 4" xfId="503" xr:uid="{F5DDAF71-BD27-4D44-85B6-928D517668C1}"/>
    <cellStyle name="Percent 3" xfId="331" xr:uid="{5B8A1097-BA3B-4B5F-B46E-51C7FC580CED}"/>
    <cellStyle name="Percent 3 2" xfId="332" xr:uid="{E2E34F45-7014-4A10-BE8F-33F6048D7637}"/>
    <cellStyle name="Percent 3 4" xfId="467" xr:uid="{90F42EFA-FA40-4C09-9CF2-9A475D079E73}"/>
    <cellStyle name="Percent 3 4 2" xfId="563" xr:uid="{FF984BA3-4882-498E-9928-EA4EA4E3E818}"/>
    <cellStyle name="Percent 3 4 3" xfId="531" xr:uid="{E55E8318-3B20-493B-AE31-8649F812FF71}"/>
    <cellStyle name="Percent 4" xfId="333" xr:uid="{702E41EF-98C3-4FC2-859C-6C50680B1B2E}"/>
    <cellStyle name="Percent 5" xfId="424" xr:uid="{D017C3BB-01B1-4D18-8889-0868DF7DE65B}"/>
    <cellStyle name="Percent 5 2" xfId="576" xr:uid="{E9AF0C8C-6BD1-4E2D-AC93-5A59E4D454C4}"/>
    <cellStyle name="Percent 5 3" xfId="507" xr:uid="{625AAC7B-5599-4795-8059-954BC91332BF}"/>
    <cellStyle name="Percent 6" xfId="535" xr:uid="{775B1E79-DAEF-48B8-9909-BA25138A298F}"/>
    <cellStyle name="Percent 7" xfId="334" xr:uid="{3AE467F9-35F7-40C4-A00F-31E1A95E51E7}"/>
    <cellStyle name="Percent 8" xfId="664" xr:uid="{9996D4C1-E36E-47F3-9DBD-2CED21DA6AC7}"/>
    <cellStyle name="Percent 9" xfId="665" xr:uid="{839DC141-30F0-4DDA-9F0B-FBAB6EB30F3D}"/>
    <cellStyle name="Percentage" xfId="335" xr:uid="{4F37F9A7-AAC3-430E-8D18-5566DD0AD05B}"/>
    <cellStyle name="Period Title" xfId="336" xr:uid="{357919E0-2249-47B1-A0B4-E4FE5E997B42}"/>
    <cellStyle name="PSChar" xfId="337" xr:uid="{C09ED76B-D777-4A59-A0F9-C52DBCFE96DF}"/>
    <cellStyle name="PSDate" xfId="338" xr:uid="{FB9577CC-8ECD-4459-8FC7-4DD372E5FB6A}"/>
    <cellStyle name="PSDec" xfId="339" xr:uid="{42377122-40A8-4CB5-85AD-0F6CB4578A3A}"/>
    <cellStyle name="PSDetail" xfId="340" xr:uid="{5A5C9661-F91A-4D5E-8360-46ABA072BC29}"/>
    <cellStyle name="PSHeading" xfId="341" xr:uid="{6D9B5397-29DE-4B6D-8A36-C723F3CE4584}"/>
    <cellStyle name="PSHeading 2" xfId="483" xr:uid="{08DA4E3A-0E72-4473-B9FA-67BF11C191D7}"/>
    <cellStyle name="PSHeading 2 2" xfId="603" xr:uid="{E110F52F-7880-4F15-A0DF-5CE08F0BB6EB}"/>
    <cellStyle name="PSHeading 2 2 2" xfId="666" xr:uid="{D8C3F8A9-A797-41C9-B839-94F775D6335F}"/>
    <cellStyle name="PSHeading 2 3" xfId="667" xr:uid="{6499C06B-BDC1-4808-B9F8-C36C662004AC}"/>
    <cellStyle name="PSHeading 3" xfId="431" xr:uid="{841D54D6-B4DA-41A3-A267-F28FEF0D9DCC}"/>
    <cellStyle name="PSHeading 3 2" xfId="193" xr:uid="{5165B9E4-3993-41C4-B484-432F6EC6EC47}"/>
    <cellStyle name="PSHeading 3 2 2" xfId="581" xr:uid="{0F0B3837-87B3-404C-9767-E6A4C4200B59}"/>
    <cellStyle name="PSHeading 3 2 2 2" xfId="668" xr:uid="{6A4C2D52-B315-46F7-BEAB-8F2C78F344ED}"/>
    <cellStyle name="PSHeading 3 2 3" xfId="669" xr:uid="{56246FE0-C18F-4F0D-8400-5EEFEF0FA043}"/>
    <cellStyle name="PSHeading 3 3" xfId="670" xr:uid="{E233D8D9-5583-497D-A6C8-304BC6481D6A}"/>
    <cellStyle name="PSHeading 4" xfId="572" xr:uid="{537C70C7-1314-42DA-86B4-5C53B2A40738}"/>
    <cellStyle name="PSHeading 4 2" xfId="671" xr:uid="{34A7CBB6-D268-4AF6-8DAB-68F262FDA95C}"/>
    <cellStyle name="PSHeading 5" xfId="672" xr:uid="{41235349-B017-431C-ACFF-4353A36B86F5}"/>
    <cellStyle name="PSInt" xfId="342" xr:uid="{D38B61F3-F7A6-490A-B148-7AB7EEF2FE5D}"/>
    <cellStyle name="PSSpacer" xfId="343" xr:uid="{0DD0C6CC-F3BF-4EF2-A259-762F03334728}"/>
    <cellStyle name="Ratio" xfId="344" xr:uid="{6A5A30F3-D791-4605-B1BB-F774E6B0D152}"/>
    <cellStyle name="Ratio 2" xfId="345" xr:uid="{A322F0E2-D826-4AE0-A385-AFC43BC52649}"/>
    <cellStyle name="Ratio_29(d) - Gas extensions -tariffs" xfId="346" xr:uid="{A4CFC28F-E747-4544-B8B8-28C196FB1162}"/>
    <cellStyle name="Right Date" xfId="347" xr:uid="{47224994-E2C0-4FD2-A1BC-EED040202AA3}"/>
    <cellStyle name="Right Number" xfId="348" xr:uid="{F3F5DA71-83AD-4293-A219-AF86CBD52FA6}"/>
    <cellStyle name="Right Year" xfId="349" xr:uid="{1BAE4A3D-929D-4D0C-88F5-DA01DD2BFDEB}"/>
    <cellStyle name="RIN_Input$_3dp" xfId="673" xr:uid="{678DF2FE-DC6A-4068-A25D-0F6A777BD386}"/>
    <cellStyle name="SAPError" xfId="350" xr:uid="{85B65956-2ED2-4CD2-8B2E-58D740F34465}"/>
    <cellStyle name="SAPError 2" xfId="351" xr:uid="{49D5F20E-FD2C-4466-AA05-03A792EA117C}"/>
    <cellStyle name="SAPKey" xfId="352" xr:uid="{5C15854D-83F1-430F-A96A-9E73DF77F367}"/>
    <cellStyle name="SAPKey 2" xfId="353" xr:uid="{1F46DB84-6087-470D-AD8F-DA4D8DA5EBDA}"/>
    <cellStyle name="SAPLocked" xfId="354" xr:uid="{C9F88E04-EFC7-4961-B50C-896C34F38476}"/>
    <cellStyle name="SAPLocked 2" xfId="355" xr:uid="{C0B89968-4D8F-4AF3-B570-2A11D336D849}"/>
    <cellStyle name="SAPOutput" xfId="356" xr:uid="{744B36A0-091D-4EFD-B644-C0B449F4636E}"/>
    <cellStyle name="SAPOutput 2" xfId="357" xr:uid="{93D49B51-C275-4A6F-A63F-0CBA24F537CF}"/>
    <cellStyle name="SAPSpace" xfId="358" xr:uid="{6CD04C23-5EC2-46A9-A05C-D1E03B7FF336}"/>
    <cellStyle name="SAPSpace 2" xfId="359" xr:uid="{543E25B1-C030-4961-A2D0-793A2B13DD17}"/>
    <cellStyle name="SAPText" xfId="360" xr:uid="{863AF685-2205-4702-9C7D-FC248708CCF6}"/>
    <cellStyle name="SAPText 2" xfId="361" xr:uid="{D4C3AF6C-7A55-41BF-9C8C-E38A84F3E6DF}"/>
    <cellStyle name="SAPUnLocked" xfId="362" xr:uid="{B240135A-5FA2-4962-B71F-727E56D98A1A}"/>
    <cellStyle name="SAPUnLocked 2" xfId="363" xr:uid="{36EB3266-BC31-4E53-82D6-2FF0FE8C5F3D}"/>
    <cellStyle name="Sheet Title" xfId="364" xr:uid="{6F3E485C-31F2-4765-ABB1-06C1E42C36BE}"/>
    <cellStyle name="SheetHeader1" xfId="674" xr:uid="{3712DCA5-DDA6-4F72-ACD1-28EFAF74A2B9}"/>
    <cellStyle name="Style 1" xfId="174" xr:uid="{23B57378-B30A-4CB4-8C18-372549FF47D0}"/>
    <cellStyle name="Style 1 2" xfId="175" xr:uid="{D3780B83-4002-4EDD-82F2-CB560E49DD2D}"/>
    <cellStyle name="Style 1 2 2" xfId="176" xr:uid="{BDA798DB-7AB0-43C2-ABE4-8D39A1215C0C}"/>
    <cellStyle name="Style 1 3" xfId="177" xr:uid="{84C27112-6DBC-4977-8A69-DAE8A1DA9ED3}"/>
    <cellStyle name="Style 1 3 2" xfId="178" xr:uid="{A3C37DCA-201D-482D-856D-FD919E21FBF3}"/>
    <cellStyle name="Style 1 3 3" xfId="179" xr:uid="{2627D760-439B-4D0A-89D0-F76E77751DFB}"/>
    <cellStyle name="Style 1 4" xfId="180" xr:uid="{30662A81-CE99-4E6F-A357-EC0F932D141C}"/>
    <cellStyle name="Style 1_29(d) - Gas extensions -tariffs" xfId="365" xr:uid="{BD9E0884-E7A1-4616-8419-FCAEE8F60AAA}"/>
    <cellStyle name="Style2" xfId="366" xr:uid="{3CBE9F26-6481-4BE4-835B-A62FEAD9BEE0}"/>
    <cellStyle name="Style3" xfId="367" xr:uid="{1AD1948E-A8BE-4AA7-9D44-D4C4F6CDE76B}"/>
    <cellStyle name="Style4" xfId="368" xr:uid="{668E1E49-4EA9-4631-ACAB-FA0D37129D13}"/>
    <cellStyle name="Style4 2" xfId="369" xr:uid="{60E77864-C6CA-46C5-98A8-6A5D0956F53C}"/>
    <cellStyle name="Style4_29(d) - Gas extensions -tariffs" xfId="370" xr:uid="{607D3553-2707-4B21-8739-8E71E73DBFD2}"/>
    <cellStyle name="Style5" xfId="371" xr:uid="{A67E49BF-42E5-444A-B002-2F48B6599C62}"/>
    <cellStyle name="Style5 2" xfId="372" xr:uid="{479AB3C3-3241-49E0-B24A-EFA3D5D61136}"/>
    <cellStyle name="Style5_29(d) - Gas extensions -tariffs" xfId="373" xr:uid="{C2848B82-3D12-4F12-BF08-49482D592727}"/>
    <cellStyle name="Table Head Green" xfId="374" xr:uid="{FACDD24E-FA6A-4394-8E77-FE479747EBF5}"/>
    <cellStyle name="Table Head_pldt" xfId="375" xr:uid="{C422B0D7-2FFE-4FB4-BE29-CA29042772DC}"/>
    <cellStyle name="Table Source" xfId="376" xr:uid="{217765C8-3891-4BFE-A963-45F7B111C4F1}"/>
    <cellStyle name="Table Units" xfId="377" xr:uid="{4B4863A2-EEA3-4DD2-86BC-35065D151A23}"/>
    <cellStyle name="TableLvl2" xfId="436" xr:uid="{B892426C-B1A1-4C57-A2C9-682648FD8569}"/>
    <cellStyle name="TableLvl3" xfId="49" xr:uid="{00000000-0005-0000-0000-000031000000}"/>
    <cellStyle name="Text" xfId="378" xr:uid="{FDA0B40C-7F08-48B9-9BD4-E372B999C904}"/>
    <cellStyle name="Text 2" xfId="379" xr:uid="{7EAFD75B-7A6E-4E27-ADC5-7C68B77046EB}"/>
    <cellStyle name="Text 3" xfId="380" xr:uid="{8F165724-FDD4-46E9-A6EA-3E3791B56A26}"/>
    <cellStyle name="Text Head 1" xfId="381" xr:uid="{5847B09A-AE68-4BDC-B1FD-D6AAF2927C7D}"/>
    <cellStyle name="Text Head 2" xfId="382" xr:uid="{DD331AA0-7C28-4CD9-A846-02E20FFB8524}"/>
    <cellStyle name="Text Indent 2" xfId="383" xr:uid="{111B5C50-75CB-477D-93ED-3784C5676373}"/>
    <cellStyle name="Theirs" xfId="384" xr:uid="{5A4B9809-EFF5-4AB6-BCC6-4243BD4D0FA2}"/>
    <cellStyle name="Title 2" xfId="385" xr:uid="{5386A362-2C18-4A0E-A394-2C2A4C765DCD}"/>
    <cellStyle name="Title 3" xfId="181" xr:uid="{8A2A083A-EAD8-45DE-9A02-42E1F546B34A}"/>
    <cellStyle name="TOC 1" xfId="386" xr:uid="{31B473E0-2A9C-4743-B9FA-C09F07FEDFBD}"/>
    <cellStyle name="TOC 2" xfId="387" xr:uid="{58C1DEB7-C185-45AC-862C-F29CBA9D3935}"/>
    <cellStyle name="TOC 3" xfId="388" xr:uid="{B96CC026-246E-476D-9B72-91381D7FE3CE}"/>
    <cellStyle name="Total 2" xfId="389" xr:uid="{1853EC03-97AF-42CA-8175-46786F8CF6F6}"/>
    <cellStyle name="Total 2 2" xfId="484" xr:uid="{3E5165EC-DDCA-4F53-9894-9F941FDAF2C5}"/>
    <cellStyle name="Total 2 3" xfId="609" xr:uid="{43616459-C1EC-46B4-8B0E-41DEE06B6293}"/>
    <cellStyle name="Total 3" xfId="182" xr:uid="{3407320A-A354-4BF5-A0D9-9D12B12903BB}"/>
    <cellStyle name="Warning Text 2" xfId="390" xr:uid="{72B5F896-0A46-4DC5-B1CD-2A52F8FDF324}"/>
    <cellStyle name="Warning Text 3" xfId="183" xr:uid="{8A83D702-DA4A-4A0A-BA62-4879D0CA1899}"/>
    <cellStyle name="year" xfId="391" xr:uid="{B79DB7F9-E0AF-4673-8C12-EEA2AEC69C4F}"/>
    <cellStyle name="year 2" xfId="392" xr:uid="{C484BBAC-DA91-4784-AD09-446A8F3AEA42}"/>
    <cellStyle name="year_29(d) - Gas extensions -tariffs" xfId="393" xr:uid="{B0E4E576-8C47-4EC6-8393-B2A8794684D7}"/>
  </cellStyles>
  <dxfs count="0"/>
  <tableStyles count="0" defaultTableStyle="TableStyleMedium2" defaultPivotStyle="PivotStyleLight16"/>
  <colors>
    <mruColors>
      <color rgb="FFFFFFCC"/>
      <color rgb="FF66FF99"/>
      <color rgb="FF00FFFF"/>
      <color rgb="FF00FF00"/>
      <color rgb="FFCCFFFF"/>
      <color rgb="FF0000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a:t>Standard Control Capitalised Overheads </a:t>
            </a:r>
            <a:r>
              <a:rPr lang="en-AU" sz="1200" baseline="0"/>
              <a:t>- $m, $Jun 2021</a:t>
            </a:r>
            <a:endParaRPr lang="en-AU" sz="1200"/>
          </a:p>
        </c:rich>
      </c:tx>
      <c:layout>
        <c:manualLayout>
          <c:xMode val="edge"/>
          <c:yMode val="edge"/>
          <c:x val="0.25755382849686265"/>
          <c:y val="4.4543696620233102E-2"/>
        </c:manualLayout>
      </c:layout>
      <c:overlay val="1"/>
    </c:title>
    <c:autoTitleDeleted val="0"/>
    <c:plotArea>
      <c:layout/>
      <c:barChart>
        <c:barDir val="col"/>
        <c:grouping val="clustered"/>
        <c:varyColors val="0"/>
        <c:ser>
          <c:idx val="0"/>
          <c:order val="0"/>
          <c:tx>
            <c:v>Actual / Forecast Overheads</c:v>
          </c:tx>
          <c:invertIfNegative val="0"/>
          <c:dPt>
            <c:idx val="0"/>
            <c:invertIfNegative val="0"/>
            <c:bubble3D val="0"/>
            <c:spPr>
              <a:solidFill>
                <a:schemeClr val="accent5">
                  <a:lumMod val="60000"/>
                  <a:lumOff val="40000"/>
                </a:schemeClr>
              </a:solidFill>
            </c:spPr>
            <c:extLst>
              <c:ext xmlns:c16="http://schemas.microsoft.com/office/drawing/2014/chart" uri="{C3380CC4-5D6E-409C-BE32-E72D297353CC}">
                <c16:uniqueId val="{00000001-3BD1-4647-ADA8-543413145A55}"/>
              </c:ext>
            </c:extLst>
          </c:dPt>
          <c:dPt>
            <c:idx val="1"/>
            <c:invertIfNegative val="0"/>
            <c:bubble3D val="0"/>
            <c:spPr>
              <a:solidFill>
                <a:schemeClr val="accent5">
                  <a:lumMod val="60000"/>
                  <a:lumOff val="40000"/>
                </a:schemeClr>
              </a:solidFill>
            </c:spPr>
            <c:extLst>
              <c:ext xmlns:c16="http://schemas.microsoft.com/office/drawing/2014/chart" uri="{C3380CC4-5D6E-409C-BE32-E72D297353CC}">
                <c16:uniqueId val="{00000003-3BD1-4647-ADA8-543413145A55}"/>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5-3BD1-4647-ADA8-543413145A55}"/>
              </c:ext>
            </c:extLst>
          </c:dPt>
          <c:dPt>
            <c:idx val="3"/>
            <c:invertIfNegative val="0"/>
            <c:bubble3D val="0"/>
            <c:spPr>
              <a:solidFill>
                <a:schemeClr val="accent5">
                  <a:lumMod val="60000"/>
                  <a:lumOff val="40000"/>
                </a:schemeClr>
              </a:solidFill>
            </c:spPr>
            <c:extLst>
              <c:ext xmlns:c16="http://schemas.microsoft.com/office/drawing/2014/chart" uri="{C3380CC4-5D6E-409C-BE32-E72D297353CC}">
                <c16:uniqueId val="{00000007-693A-4792-9ED8-6E1ED7ABFF36}"/>
              </c:ext>
            </c:extLst>
          </c:dPt>
          <c:cat>
            <c:strRef>
              <c:f>AusNet_Overheads!$S$7:$AC$7</c:f>
              <c:strCache>
                <c:ptCount val="11"/>
                <c:pt idx="0">
                  <c:v>CY16</c:v>
                </c:pt>
                <c:pt idx="1">
                  <c:v>CY17</c:v>
                </c:pt>
                <c:pt idx="2">
                  <c:v>CY18</c:v>
                </c:pt>
                <c:pt idx="3">
                  <c:v>CY19</c:v>
                </c:pt>
                <c:pt idx="4">
                  <c:v>CY20</c:v>
                </c:pt>
                <c:pt idx="5">
                  <c:v>Stub</c:v>
                </c:pt>
                <c:pt idx="6">
                  <c:v>FY22</c:v>
                </c:pt>
                <c:pt idx="7">
                  <c:v>FY23</c:v>
                </c:pt>
                <c:pt idx="8">
                  <c:v>FY24</c:v>
                </c:pt>
                <c:pt idx="9">
                  <c:v>FY25</c:v>
                </c:pt>
                <c:pt idx="10">
                  <c:v>FY26</c:v>
                </c:pt>
              </c:strCache>
            </c:strRef>
          </c:cat>
          <c:val>
            <c:numRef>
              <c:f>AusNet_Overheads!$S$8:$AC$8</c:f>
              <c:numCache>
                <c:formatCode>_-* #,##0.0_-;\-* #,##0.0_-;_-* "-"??_-;_-@_-</c:formatCode>
                <c:ptCount val="11"/>
                <c:pt idx="0">
                  <c:v>34.241301717499539</c:v>
                </c:pt>
                <c:pt idx="1">
                  <c:v>37.831586066818709</c:v>
                </c:pt>
                <c:pt idx="2">
                  <c:v>35.814974708847323</c:v>
                </c:pt>
                <c:pt idx="3">
                  <c:v>31.204913412429637</c:v>
                </c:pt>
                <c:pt idx="4">
                  <c:v>26.825663035125778</c:v>
                </c:pt>
                <c:pt idx="5">
                  <c:v>15.092491611615888</c:v>
                </c:pt>
                <c:pt idx="6">
                  <c:v>30.109440114215023</c:v>
                </c:pt>
                <c:pt idx="7">
                  <c:v>30.175752667281611</c:v>
                </c:pt>
                <c:pt idx="8">
                  <c:v>28.895471299424131</c:v>
                </c:pt>
                <c:pt idx="9">
                  <c:v>28.509793964210356</c:v>
                </c:pt>
                <c:pt idx="10">
                  <c:v>28.381216985382164</c:v>
                </c:pt>
              </c:numCache>
            </c:numRef>
          </c:val>
          <c:extLst>
            <c:ext xmlns:c16="http://schemas.microsoft.com/office/drawing/2014/chart" uri="{C3380CC4-5D6E-409C-BE32-E72D297353CC}">
              <c16:uniqueId val="{00000006-3BD1-4647-ADA8-543413145A55}"/>
            </c:ext>
          </c:extLst>
        </c:ser>
        <c:dLbls>
          <c:showLegendKey val="0"/>
          <c:showVal val="0"/>
          <c:showCatName val="0"/>
          <c:showSerName val="0"/>
          <c:showPercent val="0"/>
          <c:showBubbleSize val="0"/>
        </c:dLbls>
        <c:gapWidth val="150"/>
        <c:axId val="498873088"/>
        <c:axId val="498875008"/>
      </c:barChart>
      <c:catAx>
        <c:axId val="498873088"/>
        <c:scaling>
          <c:orientation val="minMax"/>
        </c:scaling>
        <c:delete val="0"/>
        <c:axPos val="b"/>
        <c:numFmt formatCode="General" sourceLinked="0"/>
        <c:majorTickMark val="out"/>
        <c:minorTickMark val="none"/>
        <c:tickLblPos val="nextTo"/>
        <c:crossAx val="498875008"/>
        <c:crosses val="autoZero"/>
        <c:auto val="1"/>
        <c:lblAlgn val="ctr"/>
        <c:lblOffset val="100"/>
        <c:noMultiLvlLbl val="0"/>
      </c:catAx>
      <c:valAx>
        <c:axId val="498875008"/>
        <c:scaling>
          <c:orientation val="minMax"/>
        </c:scaling>
        <c:delete val="0"/>
        <c:axPos val="l"/>
        <c:majorGridlines/>
        <c:numFmt formatCode="_-* #,##0.0_-;\-* #,##0.0_-;_-* &quot;-&quot;??_-;_-@_-" sourceLinked="1"/>
        <c:majorTickMark val="out"/>
        <c:minorTickMark val="none"/>
        <c:tickLblPos val="nextTo"/>
        <c:crossAx val="4988730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1666875</xdr:colOff>
      <xdr:row>0</xdr:row>
      <xdr:rowOff>0</xdr:rowOff>
    </xdr:from>
    <xdr:to>
      <xdr:col>3</xdr:col>
      <xdr:colOff>2898374</xdr:colOff>
      <xdr:row>4</xdr:row>
      <xdr:rowOff>11120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543175" y="0"/>
          <a:ext cx="1231499"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89535</xdr:colOff>
      <xdr:row>34</xdr:row>
      <xdr:rowOff>47625</xdr:rowOff>
    </xdr:from>
    <xdr:to>
      <xdr:col>21</xdr:col>
      <xdr:colOff>546735</xdr:colOff>
      <xdr:row>40</xdr:row>
      <xdr:rowOff>152400</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11580495" y="5564505"/>
          <a:ext cx="457200" cy="1209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2089354</xdr:colOff>
      <xdr:row>9</xdr:row>
      <xdr:rowOff>139290</xdr:rowOff>
    </xdr:from>
    <xdr:to>
      <xdr:col>26</xdr:col>
      <xdr:colOff>393291</xdr:colOff>
      <xdr:row>27</xdr:row>
      <xdr:rowOff>12341</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726143</xdr:colOff>
      <xdr:row>15</xdr:row>
      <xdr:rowOff>0</xdr:rowOff>
    </xdr:from>
    <xdr:to>
      <xdr:col>21</xdr:col>
      <xdr:colOff>179295</xdr:colOff>
      <xdr:row>27</xdr:row>
      <xdr:rowOff>53788</xdr:rowOff>
    </xdr:to>
    <xdr:sp macro="" textlink="">
      <xdr:nvSpPr>
        <xdr:cNvPr id="2" name="TextBox 1">
          <a:extLst>
            <a:ext uri="{FF2B5EF4-FFF2-40B4-BE49-F238E27FC236}">
              <a16:creationId xmlns:a16="http://schemas.microsoft.com/office/drawing/2014/main" id="{CE8E1C1E-3F33-4314-98B8-543E0F916126}"/>
            </a:ext>
          </a:extLst>
        </xdr:cNvPr>
        <xdr:cNvSpPr txBox="1"/>
      </xdr:nvSpPr>
      <xdr:spPr>
        <a:xfrm>
          <a:off x="10569390" y="2743200"/>
          <a:ext cx="3845858" cy="2205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our Tranche 3 (T3) forecasts for FY22 and FY23 are set to the direct capital</a:t>
          </a:r>
          <a:r>
            <a:rPr lang="en-AU" sz="1100" baseline="0"/>
            <a:t> expenditure </a:t>
          </a:r>
          <a:r>
            <a:rPr lang="en-AU" sz="1100"/>
            <a:t>allowances in the CPA3 AER final decision, escalated to real $Jun 2021.</a:t>
          </a:r>
        </a:p>
        <a:p>
          <a:endParaRPr lang="en-AU" sz="1100"/>
        </a:p>
        <a:p>
          <a:r>
            <a:rPr lang="en-AU" sz="1100"/>
            <a:t>The 'KLO adjustment' removes the CPA3 approved allowances for</a:t>
          </a:r>
          <a:r>
            <a:rPr lang="en-AU" sz="1100" baseline="0"/>
            <a:t> Kalkallo for FY22 and FY23 (in $Jun-21) that are contained in 'REFCL T3' values in Tables 1A and 1B.</a:t>
          </a:r>
        </a:p>
        <a:p>
          <a:endParaRPr lang="en-AU" sz="1100" baseline="0"/>
        </a:p>
        <a:p>
          <a:r>
            <a:rPr lang="en-AU" sz="1100" baseline="0"/>
            <a:t>Our revised KLO solution sought for approval is $40.6m ($Jun-21), which is $10.5m higher than the CPA3 allowance of $30.1m (Direct costs, escalated).  Refer to chapter 3 of our Revised EDPR Proposal for further details.</a:t>
          </a:r>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22</xdr:row>
      <xdr:rowOff>171451</xdr:rowOff>
    </xdr:from>
    <xdr:to>
      <xdr:col>8</xdr:col>
      <xdr:colOff>76200</xdr:colOff>
      <xdr:row>28</xdr:row>
      <xdr:rowOff>17931</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684679" y="4115922"/>
          <a:ext cx="7728697" cy="922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Note: -</a:t>
          </a:r>
          <a:endParaRPr lang="en-AU" sz="1100" b="1"/>
        </a:p>
        <a:p>
          <a:r>
            <a:rPr lang="en-AU" sz="1100"/>
            <a:t>The forecasts provided in</a:t>
          </a:r>
          <a:r>
            <a:rPr lang="en-AU" sz="1100" baseline="0"/>
            <a:t> the above tables reflects AusNet Services' </a:t>
          </a:r>
          <a:r>
            <a:rPr lang="en-AU" sz="1100" baseline="0">
              <a:solidFill>
                <a:schemeClr val="dk1"/>
              </a:solidFill>
              <a:effectLst/>
              <a:latin typeface="+mn-lt"/>
              <a:ea typeface="+mn-ea"/>
              <a:cs typeface="+mn-cs"/>
            </a:rPr>
            <a:t>approach used</a:t>
          </a:r>
          <a:r>
            <a:rPr lang="en-AU" sz="1100"/>
            <a:t> in preparing</a:t>
          </a:r>
          <a:r>
            <a:rPr lang="en-AU" sz="1100" baseline="0"/>
            <a:t> </a:t>
          </a:r>
          <a:r>
            <a:rPr lang="en-AU" sz="1100"/>
            <a:t>the annual reporting RIN -</a:t>
          </a:r>
          <a:r>
            <a:rPr lang="en-AU" sz="1100" baseline="0"/>
            <a:t> 2.11 Labour </a:t>
          </a:r>
          <a:r>
            <a:rPr lang="en-AU" sz="1100"/>
            <a:t>for capitalised labour costs</a:t>
          </a:r>
          <a:r>
            <a:rPr lang="en-AU" sz="1100" baseline="0"/>
            <a:t> (including direct and indirect labour).</a:t>
          </a:r>
          <a:endParaRPr lang="en-AU" sz="1100"/>
        </a:p>
        <a:p>
          <a:endParaRPr lang="en-AU" sz="1100"/>
        </a:p>
        <a:p>
          <a:endParaRPr lang="en-AU"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Y:\Price%20Review\2021-25%20EDPR\19.0%202021%20EDPR%20-%20Revised%20proposal%20submission%203%20Dec'20\_Documents%20provided%20to%20AER%20post%20submission\Final\Docs%20sent%20141220\ASD%20-%20EDPR%202022-26%20Revised%20Proposal%20-%20Connections%20Capex%20Forecast%20Model%20(2021-26)%20-%20031220%20-%20PUBLIC.xlsx?E75BCCC4" TargetMode="External"/><Relationship Id="rId1" Type="http://schemas.openxmlformats.org/officeDocument/2006/relationships/externalLinkPath" Target="file:///\\E75BCCC4\ASD%20-%20EDPR%202022-26%20Revised%20Proposal%20-%20Connections%20Capex%20Forecast%20Model%20(2021-26)%20-%20031220%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ice%20Review\2021-25%20EDPR\13.0%202021%20EDPR%20-%20Revised%20Proposal%20Preparation\Supporting%20documents\4%20Opex\Final\ASD%20-%20EDPR%202022-26%20Revised%20Proposal%20-%20Labour%20Price%20Escalation%20calculation%20-%20031220%20-%20PUBL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rice%20Review\2021-25%20EDPR\13.0%202021%20EDPR%20-%20Revised%20Proposal%20Preparation\Supporting%20models\ASD%20&#8211;%20EDPR%202022-26%20Revised%20Proposal%20&#8211;%20Updated%20REFCL%20Augmentation%20Total%20Cost%20Model%20(2021-26)%20&#8211;%20031220%20&#8211;%20PUBLIC.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Y:\Price%20Review\2021-25%20EDPR\19.0%202021%20EDPR%20-%20Revised%20proposal%20submission%203%20Dec'20\_Documents%20provided%20to%20AER%20post%20submission\Final\Docs%20sent%20141220\ASD%20&#8211;%20EDPR%202022-26%20Revised%20Proposal%20&#8211;%20REFCL%20KLO%20Total%20Cost%20Model%20(2021-26)%20&#8211;%20031220%20&#8211;%20PUBLIC.xlsx?E75BCCC4" TargetMode="External"/><Relationship Id="rId1" Type="http://schemas.openxmlformats.org/officeDocument/2006/relationships/externalLinkPath" Target="file:///\\E75BCCC4\ASD%20&#8211;%20EDPR%202022-26%20Revised%20Proposal%20&#8211;%20REFCL%20KLO%20Total%20Cost%20Model%20(2021-26)%20&#8211;%20031220%20&#8211;%20PUBLIC.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Y:\Price%20Review\2021-25%20EDPR\19.0%202021%20EDPR%20-%20Revised%20proposal%20submission%203%20Dec'20\_Documents%20provided%20to%20AER%20post%20submission\Final\Docs%20sent%20141220\ASD%20&#8211;%20EDPR%202022-26%20Revised%20Proposal%20&#8211;%20KLO%20Cost%20Comparison%20&#8211;%20031220%20&#8211;%20PUBLIC.xlsx?E75BCCC4" TargetMode="External"/><Relationship Id="rId1" Type="http://schemas.openxmlformats.org/officeDocument/2006/relationships/externalLinkPath" Target="file:///\\E75BCCC4\ASD%20&#8211;%20EDPR%202022-26%20Revised%20Proposal%20&#8211;%20KLO%20Cost%20Comparison%20&#8211;%20031220%20&#8211;%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Price%20Review\2021-25%20EDPR\13.0%202021%20EDPR%20-%20Revised%20Proposal%20Preparation\Supporting%20models\ASD%20-%20EDPR%202022-26%20Revised%20Proposal%20-%20Metering%20Reallocations%20Calculations%20-%20031220%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Price%20Review\2016-20%20EDPR\TEAM%20WORKING%20FOLDERS\Steve%20M\EDPR%202021-25\AER%20info%20requests\IR%23004%20-%20REFCL%20Capex%20forecasts\ASD%20-%20REFCL%20tranches%20capex%20actual%20forecast%20vs%20allowance_IR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scalation"/>
      <sheetName val="Assumptions"/>
      <sheetName val="Allocations"/>
      <sheetName val="Connections"/>
      <sheetName val="2015-19_Actuals"/>
      <sheetName val="Capex_ActualCY18"/>
      <sheetName val="Capex_ActualCY19"/>
      <sheetName val="Co-Gen F'cast"/>
      <sheetName val="Capex_Fcast_Direct"/>
      <sheetName val="Other_codes"/>
      <sheetName val="Downer Support"/>
      <sheetName val="Capex_Fcast_Total"/>
      <sheetName val="Cost_Recovery"/>
      <sheetName val="Contr_Fcast"/>
      <sheetName val="Summary_Output"/>
      <sheetName val="RFM_PTRM Input"/>
      <sheetName val="Charts--&gt;"/>
      <sheetName val="SCS_Total"/>
      <sheetName val="SCS_excl Gifted+Co Gen"/>
      <sheetName val="Gifted I&amp;C"/>
      <sheetName val="Large Co Gen"/>
      <sheetName val="RIN_Outputs"/>
      <sheetName val="2.17-2.18 CapCons"/>
      <sheetName val="2.5 Connections"/>
      <sheetName val="Direct_view"/>
      <sheetName val="CapCon_view"/>
      <sheetName val="Historical_CY"/>
      <sheetName val="2.5.3 Volumes"/>
      <sheetName val="4.3 Conn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5">
          <cell r="G75">
            <v>4379.6069938448891</v>
          </cell>
          <cell r="H75">
            <v>7246.527721294482</v>
          </cell>
          <cell r="I75">
            <v>4535.1018259498778</v>
          </cell>
          <cell r="J75">
            <v>16429.034914362579</v>
          </cell>
          <cell r="K75">
            <v>16555.250606240839</v>
          </cell>
          <cell r="L75">
            <v>16580.859886778362</v>
          </cell>
          <cell r="M75">
            <v>16618.553772494266</v>
          </cell>
          <cell r="N75">
            <v>16667.518078447029</v>
          </cell>
        </row>
        <row r="76">
          <cell r="G76">
            <v>60081.782071849993</v>
          </cell>
          <cell r="H76">
            <v>57990.50280896965</v>
          </cell>
          <cell r="I76">
            <v>28069.604536035749</v>
          </cell>
          <cell r="J76">
            <v>32699.336646401829</v>
          </cell>
          <cell r="K76">
            <v>56063.578274361003</v>
          </cell>
          <cell r="L76">
            <v>55888.350971509019</v>
          </cell>
          <cell r="M76">
            <v>56087.649476608422</v>
          </cell>
          <cell r="N76">
            <v>56404.39993408107</v>
          </cell>
        </row>
      </sheetData>
      <sheetData sheetId="13"/>
      <sheetData sheetId="14"/>
      <sheetData sheetId="15"/>
      <sheetData sheetId="16">
        <row r="21">
          <cell r="G21">
            <v>19026.545942562323</v>
          </cell>
          <cell r="H21">
            <v>18996.932056083922</v>
          </cell>
          <cell r="I21">
            <v>19244.929281259709</v>
          </cell>
          <cell r="J21">
            <v>19411.859516163233</v>
          </cell>
          <cell r="K21">
            <v>19525.933421264908</v>
          </cell>
        </row>
        <row r="22">
          <cell r="G22">
            <v>28282.103025093169</v>
          </cell>
          <cell r="H22">
            <v>48818.732082679635</v>
          </cell>
          <cell r="I22">
            <v>49093.589983067097</v>
          </cell>
          <cell r="J22">
            <v>49564.968091086812</v>
          </cell>
          <cell r="K22">
            <v>49970.964755452369</v>
          </cell>
        </row>
        <row r="23">
          <cell r="H23">
            <v>0</v>
          </cell>
          <cell r="I23">
            <v>0</v>
          </cell>
          <cell r="J23">
            <v>0</v>
          </cell>
          <cell r="K23">
            <v>0</v>
          </cell>
        </row>
        <row r="24">
          <cell r="H24">
            <v>0</v>
          </cell>
          <cell r="I24">
            <v>0</v>
          </cell>
          <cell r="J24">
            <v>0</v>
          </cell>
          <cell r="K24">
            <v>0</v>
          </cell>
        </row>
        <row r="25">
          <cell r="H25">
            <v>0</v>
          </cell>
          <cell r="I25">
            <v>0</v>
          </cell>
          <cell r="J25">
            <v>0</v>
          </cell>
          <cell r="K25">
            <v>0</v>
          </cell>
        </row>
        <row r="26">
          <cell r="H26">
            <v>0</v>
          </cell>
          <cell r="I26">
            <v>0</v>
          </cell>
          <cell r="J26">
            <v>0</v>
          </cell>
          <cell r="K26">
            <v>0</v>
          </cell>
        </row>
        <row r="27">
          <cell r="H27">
            <v>0</v>
          </cell>
          <cell r="I27">
            <v>0</v>
          </cell>
          <cell r="J27">
            <v>0</v>
          </cell>
          <cell r="K27">
            <v>0</v>
          </cell>
        </row>
        <row r="28">
          <cell r="H28">
            <v>0</v>
          </cell>
          <cell r="I28">
            <v>0</v>
          </cell>
          <cell r="J28">
            <v>0</v>
          </cell>
          <cell r="K2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I - revised"/>
      <sheetName val="DAE"/>
      <sheetName val="BIS Oxford"/>
    </sheetNames>
    <sheetDataSet>
      <sheetData sheetId="0">
        <row r="9">
          <cell r="F9">
            <v>1.4783312854971253E-3</v>
          </cell>
          <cell r="G9">
            <v>7.762137192630263E-3</v>
          </cell>
          <cell r="H9">
            <v>4.9608934391037352E-3</v>
          </cell>
          <cell r="I9">
            <v>6.5125776994591012E-3</v>
          </cell>
          <cell r="J9">
            <v>9.9346404822831889E-3</v>
          </cell>
          <cell r="K9">
            <v>1.307542378220742E-2</v>
          </cell>
        </row>
      </sheetData>
      <sheetData sheetId="1">
        <row r="26">
          <cell r="N26">
            <v>1.3390814877839108E-2</v>
          </cell>
          <cell r="O26">
            <v>4.4984499524759469E-3</v>
          </cell>
        </row>
      </sheetData>
      <sheetData sheetId="2">
        <row r="33">
          <cell r="G33">
            <v>1.3555423588042181</v>
          </cell>
          <cell r="H33">
            <v>1.9290280459986375</v>
          </cell>
          <cell r="I33">
            <v>0.75050233963260826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works"/>
      <sheetName val="Summary"/>
      <sheetName val="Phasing"/>
      <sheetName val="Spare_Det"/>
      <sheetName val="WOTS_Det"/>
      <sheetName val="BDL_Det"/>
      <sheetName val="ELM_Det"/>
      <sheetName val="RWN_Det"/>
      <sheetName val="KMS_Det"/>
      <sheetName val="WGI_Det"/>
      <sheetName val="BGE_Det"/>
      <sheetName val="LDL_Det"/>
      <sheetName val="Single GFN costs"/>
      <sheetName val="Unit_Rates"/>
      <sheetName val="Unit_Rates - $2015"/>
      <sheetName val="Escalators"/>
      <sheetName val="Lab_Rates"/>
      <sheetName val="Rpt_Cat"/>
    </sheetNames>
    <sheetDataSet>
      <sheetData sheetId="0">
        <row r="16">
          <cell r="D16">
            <v>17402.343537048775</v>
          </cell>
          <cell r="E16">
            <v>21190.838065814103</v>
          </cell>
          <cell r="F16">
            <v>4715.8358106729183</v>
          </cell>
          <cell r="G16">
            <v>1639.7471160808075</v>
          </cell>
          <cell r="H16">
            <v>1229.8103370606057</v>
          </cell>
        </row>
        <row r="17">
          <cell r="D17">
            <v>1656.1487870125679</v>
          </cell>
          <cell r="E17">
            <v>2870.6764674521351</v>
          </cell>
          <cell r="F17">
            <v>177.71851597235522</v>
          </cell>
          <cell r="G17">
            <v>0</v>
          </cell>
          <cell r="H17">
            <v>0</v>
          </cell>
        </row>
        <row r="18">
          <cell r="D18">
            <v>5975.8980585589106</v>
          </cell>
          <cell r="E18">
            <v>6206.3919114607052</v>
          </cell>
          <cell r="F18">
            <v>1413.7705808343699</v>
          </cell>
          <cell r="G18">
            <v>1065.0934463920253</v>
          </cell>
          <cell r="H18">
            <v>798.82008479401895</v>
          </cell>
        </row>
        <row r="19">
          <cell r="D19">
            <v>890.78722813936156</v>
          </cell>
          <cell r="E19">
            <v>0</v>
          </cell>
          <cell r="F19">
            <v>0</v>
          </cell>
          <cell r="G19">
            <v>0</v>
          </cell>
          <cell r="H1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works"/>
      <sheetName val="Summary"/>
      <sheetName val="Phasing"/>
      <sheetName val="KLO_Det"/>
      <sheetName val="Spare_Det"/>
      <sheetName val="#IR004A &amp; CY2020"/>
      <sheetName val="Unit_Rates"/>
      <sheetName val="Unit_Rates - $2015"/>
      <sheetName val="Escalators"/>
      <sheetName val="Lab_Rates"/>
      <sheetName val="Rpt_Cat"/>
    </sheetNames>
    <sheetDataSet>
      <sheetData sheetId="0">
        <row r="19">
          <cell r="I19">
            <v>38026.468919121318</v>
          </cell>
        </row>
      </sheetData>
      <sheetData sheetId="1">
        <row r="5">
          <cell r="E5">
            <v>1032.9741003652593</v>
          </cell>
          <cell r="F5">
            <v>3817.8550645500522</v>
          </cell>
          <cell r="G5">
            <v>5338.1774317349673</v>
          </cell>
          <cell r="H5">
            <v>6858.4997989198837</v>
          </cell>
          <cell r="I5">
            <v>3446.5873292158622</v>
          </cell>
        </row>
        <row r="6">
          <cell r="E6">
            <v>467.79356342636294</v>
          </cell>
          <cell r="F6">
            <v>1728.9572165069173</v>
          </cell>
          <cell r="G6">
            <v>2417.451746476987</v>
          </cell>
          <cell r="H6">
            <v>3105.9462764470572</v>
          </cell>
          <cell r="I6">
            <v>1560.8245819754179</v>
          </cell>
        </row>
        <row r="7">
          <cell r="E7">
            <v>288.01670193090825</v>
          </cell>
          <cell r="F7">
            <v>1064.5049316852189</v>
          </cell>
          <cell r="G7">
            <v>1488.405428235478</v>
          </cell>
          <cell r="H7">
            <v>1912.3059247857375</v>
          </cell>
          <cell r="I7">
            <v>960.98703261446792</v>
          </cell>
        </row>
        <row r="8">
          <cell r="E8">
            <v>0</v>
          </cell>
          <cell r="F8">
            <v>650.08733717518714</v>
          </cell>
          <cell r="G8">
            <v>0</v>
          </cell>
          <cell r="H8">
            <v>0</v>
          </cell>
          <cell r="I8">
            <v>0</v>
          </cell>
        </row>
        <row r="13">
          <cell r="E13">
            <v>134.93852366029878</v>
          </cell>
          <cell r="F13">
            <v>498.73053523531013</v>
          </cell>
          <cell r="G13">
            <v>697.33188994800048</v>
          </cell>
          <cell r="H13">
            <v>895.933244660691</v>
          </cell>
          <cell r="I13">
            <v>450.23142952589939</v>
          </cell>
        </row>
        <row r="14">
          <cell r="E14">
            <v>0</v>
          </cell>
          <cell r="F14">
            <v>0</v>
          </cell>
          <cell r="G14">
            <v>0</v>
          </cell>
          <cell r="H14">
            <v>0</v>
          </cell>
          <cell r="I14">
            <v>0</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tual KLO RAB"/>
      <sheetName val="SL Depn_Act_Capex"/>
      <sheetName val="KLO - Direct_(IR004A)"/>
      <sheetName val="KLO - Total_(IR004A)"/>
      <sheetName val="Forecast KLO RAB"/>
      <sheetName val="SL Depn_Fcst_Capex"/>
      <sheetName val="Capex_Allowance"/>
      <sheetName val="CPA3 - $2015"/>
      <sheetName val="Capex by Asset class"/>
      <sheetName val="1. Allowances (IR004)"/>
      <sheetName val="CPA3 labour esc"/>
      <sheetName val="CPI - Draft decision"/>
    </sheetNames>
    <sheetDataSet>
      <sheetData sheetId="0">
        <row r="6">
          <cell r="P6">
            <v>374.61111569128809</v>
          </cell>
        </row>
      </sheetData>
      <sheetData sheetId="1" refreshError="1"/>
      <sheetData sheetId="2" refreshError="1"/>
      <sheetData sheetId="3" refreshError="1"/>
      <sheetData sheetId="4">
        <row r="16">
          <cell r="I16">
            <v>407660.30687679106</v>
          </cell>
        </row>
      </sheetData>
      <sheetData sheetId="5" refreshError="1"/>
      <sheetData sheetId="6" refreshError="1"/>
      <sheetData sheetId="7" refreshError="1">
        <row r="20">
          <cell r="E20">
            <v>0</v>
          </cell>
          <cell r="F20">
            <v>550.67442833345353</v>
          </cell>
          <cell r="G20">
            <v>8059.5938532384389</v>
          </cell>
          <cell r="H20">
            <v>4029.7969266192194</v>
          </cell>
          <cell r="I20">
            <v>5949.5946123381555</v>
          </cell>
          <cell r="J20">
            <v>1772.4391138326785</v>
          </cell>
        </row>
        <row r="21">
          <cell r="E21">
            <v>0</v>
          </cell>
          <cell r="F21">
            <v>378.26357738630577</v>
          </cell>
          <cell r="G21">
            <v>13557.214730086729</v>
          </cell>
          <cell r="H21">
            <v>6778.6073650433646</v>
          </cell>
          <cell r="I21">
            <v>4858.0028833359293</v>
          </cell>
          <cell r="J21">
            <v>2775.1097403213889</v>
          </cell>
        </row>
        <row r="22">
          <cell r="E22">
            <v>0</v>
          </cell>
          <cell r="F22">
            <v>376.7775447501499</v>
          </cell>
          <cell r="G22">
            <v>3274.9409186643725</v>
          </cell>
          <cell r="H22">
            <v>1637.4704593321862</v>
          </cell>
          <cell r="I22">
            <v>4613.87392541792</v>
          </cell>
          <cell r="J22">
            <v>949.20013856352307</v>
          </cell>
        </row>
        <row r="23">
          <cell r="E23">
            <v>236.21247840936343</v>
          </cell>
          <cell r="F23">
            <v>7463.0129283016986</v>
          </cell>
          <cell r="G23">
            <v>4431.7875248536102</v>
          </cell>
          <cell r="H23">
            <v>2215.8937624268051</v>
          </cell>
          <cell r="I23">
            <v>0</v>
          </cell>
          <cell r="J23">
            <v>0</v>
          </cell>
        </row>
        <row r="24">
          <cell r="E24">
            <v>0</v>
          </cell>
          <cell r="F24">
            <v>662.51272961823815</v>
          </cell>
          <cell r="G24">
            <v>6091.2503401539188</v>
          </cell>
          <cell r="H24">
            <v>3045.6251700769594</v>
          </cell>
          <cell r="I24">
            <v>5110.4885533667866</v>
          </cell>
          <cell r="J24">
            <v>1590.7653112332723</v>
          </cell>
        </row>
        <row r="25">
          <cell r="E25">
            <v>0</v>
          </cell>
          <cell r="F25">
            <v>0</v>
          </cell>
          <cell r="G25">
            <v>0</v>
          </cell>
          <cell r="H25">
            <v>0</v>
          </cell>
          <cell r="I25">
            <v>0</v>
          </cell>
          <cell r="J25">
            <v>0</v>
          </cell>
        </row>
        <row r="26">
          <cell r="E26">
            <v>0</v>
          </cell>
          <cell r="F26">
            <v>226.18935463892777</v>
          </cell>
          <cell r="G26">
            <v>511.49684108970411</v>
          </cell>
          <cell r="H26">
            <v>255.74842054485205</v>
          </cell>
          <cell r="I26">
            <v>4949.7434731908443</v>
          </cell>
          <cell r="J26">
            <v>2277.8244910925173</v>
          </cell>
        </row>
      </sheetData>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Change"/>
      <sheetName val="AusNet revised allocations"/>
      <sheetName val="Allocation as per current perio"/>
      <sheetName val="Escalators"/>
    </sheetNames>
    <sheetDataSet>
      <sheetData sheetId="0" refreshError="1"/>
      <sheetData sheetId="1">
        <row r="9">
          <cell r="BJ9">
            <v>6250000</v>
          </cell>
          <cell r="BK9">
            <v>542883</v>
          </cell>
          <cell r="BL9">
            <v>542883</v>
          </cell>
          <cell r="BM9">
            <v>542883</v>
          </cell>
          <cell r="BN9">
            <v>0</v>
          </cell>
        </row>
        <row r="10">
          <cell r="BJ10">
            <v>37500</v>
          </cell>
          <cell r="BK10">
            <v>1187500</v>
          </cell>
          <cell r="BL10">
            <v>37500</v>
          </cell>
          <cell r="BM10">
            <v>37500</v>
          </cell>
          <cell r="BN10">
            <v>37500</v>
          </cell>
          <cell r="BO10">
            <v>37500</v>
          </cell>
          <cell r="BP10">
            <v>37500</v>
          </cell>
          <cell r="BQ10">
            <v>37500</v>
          </cell>
          <cell r="BR10">
            <v>37500</v>
          </cell>
          <cell r="BS10">
            <v>37500</v>
          </cell>
          <cell r="BT10">
            <v>37500</v>
          </cell>
        </row>
        <row r="11">
          <cell r="BJ11">
            <v>535529.48056209157</v>
          </cell>
          <cell r="BK11">
            <v>529919.10947712418</v>
          </cell>
          <cell r="BL11">
            <v>552749.40202614374</v>
          </cell>
          <cell r="BM11">
            <v>540064.18301960779</v>
          </cell>
          <cell r="BN11">
            <v>563344.90235294111</v>
          </cell>
          <cell r="BO11">
            <v>551691.79623529408</v>
          </cell>
          <cell r="BP11">
            <v>570079.19474509801</v>
          </cell>
          <cell r="BQ11">
            <v>555054.62666666671</v>
          </cell>
          <cell r="BR11">
            <v>627816.7425490194</v>
          </cell>
          <cell r="BS11">
            <v>613374.20918954234</v>
          </cell>
          <cell r="BT11">
            <v>546254.24593464041</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1. Allowances"/>
      <sheetName val="2a. Direct Capex by Tranche"/>
      <sheetName val="2b. Total Capex by Tranche"/>
      <sheetName val="3. Tranche 3 Capex"/>
    </sheetNames>
    <sheetDataSet>
      <sheetData sheetId="0" refreshError="1"/>
      <sheetData sheetId="1" refreshError="1"/>
      <sheetData sheetId="2">
        <row r="9">
          <cell r="C9">
            <v>1020092.2599732564</v>
          </cell>
          <cell r="D9">
            <v>32129343.550026741</v>
          </cell>
          <cell r="E9">
            <v>51614328.549999997</v>
          </cell>
        </row>
        <row r="10">
          <cell r="C10">
            <v>45816.57</v>
          </cell>
          <cell r="D10">
            <v>807948.75000000012</v>
          </cell>
          <cell r="E10">
            <v>10246497.979999997</v>
          </cell>
        </row>
        <row r="11">
          <cell r="C11">
            <v>14214.53</v>
          </cell>
          <cell r="D11">
            <v>3894.61</v>
          </cell>
          <cell r="E11">
            <v>255735.75</v>
          </cell>
        </row>
      </sheetData>
      <sheetData sheetId="3" refreshError="1"/>
      <sheetData sheetId="4">
        <row r="10">
          <cell r="D10">
            <v>15330.842222265801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2:J23"/>
  <sheetViews>
    <sheetView zoomScale="90" zoomScaleNormal="90" workbookViewId="0">
      <selection activeCell="E20" sqref="E20"/>
    </sheetView>
  </sheetViews>
  <sheetFormatPr defaultRowHeight="15"/>
  <cols>
    <col min="1" max="1" width="32.42578125" customWidth="1"/>
    <col min="2" max="2" width="32" customWidth="1"/>
  </cols>
  <sheetData>
    <row r="2" spans="1:10">
      <c r="A2" s="567" t="s">
        <v>143</v>
      </c>
    </row>
    <row r="3" spans="1:10">
      <c r="A3" s="567"/>
    </row>
    <row r="4" spans="1:10">
      <c r="A4" s="554" t="s">
        <v>767</v>
      </c>
      <c r="B4" s="552" t="s">
        <v>24</v>
      </c>
    </row>
    <row r="5" spans="1:10">
      <c r="A5" s="455"/>
      <c r="B5" s="561"/>
    </row>
    <row r="6" spans="1:10">
      <c r="A6" s="567"/>
      <c r="B6" s="702" t="s">
        <v>760</v>
      </c>
    </row>
    <row r="7" spans="1:10">
      <c r="B7" s="455" t="s">
        <v>761</v>
      </c>
      <c r="E7" s="557">
        <f>Escalators!P6</f>
        <v>43983</v>
      </c>
      <c r="F7" s="566">
        <f>Escalators!Q6</f>
        <v>44348</v>
      </c>
      <c r="G7" s="566">
        <f>Escalators!R6</f>
        <v>44713</v>
      </c>
      <c r="H7" s="566">
        <f>Escalators!S6</f>
        <v>45078</v>
      </c>
      <c r="I7" s="566">
        <f>Escalators!T6</f>
        <v>45444</v>
      </c>
      <c r="J7" s="566">
        <f>Escalators!U6</f>
        <v>45809</v>
      </c>
    </row>
    <row r="8" spans="1:10">
      <c r="B8" s="455" t="str">
        <f>Escalators!C8</f>
        <v>Applies to year</v>
      </c>
      <c r="E8" s="554" t="str">
        <f>Escalators!P8</f>
        <v>Jan21-Jun21</v>
      </c>
      <c r="F8" s="554" t="str">
        <f>Escalators!Q8</f>
        <v>2021/22</v>
      </c>
      <c r="G8" s="554" t="str">
        <f>Escalators!R8</f>
        <v>2022/23</v>
      </c>
      <c r="H8" s="554" t="str">
        <f>Escalators!S8</f>
        <v>2023/24</v>
      </c>
      <c r="I8" s="554" t="str">
        <f>Escalators!T8</f>
        <v>2024/25</v>
      </c>
      <c r="J8" s="554" t="str">
        <f>Escalators!U8</f>
        <v>2025/26</v>
      </c>
    </row>
    <row r="9" spans="1:10">
      <c r="A9" s="455" t="s">
        <v>762</v>
      </c>
      <c r="B9" t="str">
        <f>Escalators!C12</f>
        <v>CPI movement - 8 Capital Cities</v>
      </c>
      <c r="E9" s="697">
        <f>Escalators!P12</f>
        <v>1.2195121951219523E-2</v>
      </c>
      <c r="F9" s="697">
        <f>Escalators!Q12</f>
        <v>2.3743086789108414E-2</v>
      </c>
      <c r="G9" s="697">
        <f>Escalators!R12</f>
        <v>2.3743086789108414E-2</v>
      </c>
      <c r="H9" s="697">
        <f>Escalators!S12</f>
        <v>2.3743086789108414E-2</v>
      </c>
      <c r="I9" s="697">
        <f>Escalators!T12</f>
        <v>2.3743086789108414E-2</v>
      </c>
      <c r="J9" s="697">
        <f>Escalators!U12</f>
        <v>2.3743086789108414E-2</v>
      </c>
    </row>
    <row r="10" spans="1:10">
      <c r="A10" s="455"/>
    </row>
    <row r="11" spans="1:10">
      <c r="A11" s="455"/>
    </row>
    <row r="12" spans="1:10">
      <c r="A12" s="455"/>
      <c r="B12" s="702" t="str">
        <f>Escalators!B23</f>
        <v>Labour Escalation</v>
      </c>
      <c r="C12" s="557">
        <f>Escalators!N25</f>
        <v>43800</v>
      </c>
      <c r="D12" s="557">
        <f>Escalators!O25</f>
        <v>44166</v>
      </c>
      <c r="E12" s="557">
        <f>Escalators!P25</f>
        <v>44377</v>
      </c>
      <c r="F12" s="557">
        <f>Escalators!Q25</f>
        <v>44742</v>
      </c>
      <c r="G12" s="557">
        <f>Escalators!R25</f>
        <v>45107</v>
      </c>
      <c r="H12" s="557">
        <f>Escalators!S25</f>
        <v>45473</v>
      </c>
      <c r="I12" s="557">
        <f>Escalators!T25</f>
        <v>45838</v>
      </c>
      <c r="J12" s="557">
        <f>Escalators!U25</f>
        <v>46203</v>
      </c>
    </row>
    <row r="13" spans="1:10">
      <c r="A13" s="455" t="s">
        <v>763</v>
      </c>
      <c r="B13" t="str">
        <f>Escalators!C26</f>
        <v>Internal labour real rate</v>
      </c>
      <c r="C13" s="697">
        <f>Escalators!N26</f>
        <v>1.4906833450926693E-2</v>
      </c>
      <c r="D13" s="697">
        <f>Escalators!O26</f>
        <v>8.9480509403160879E-3</v>
      </c>
      <c r="E13" s="697">
        <f>Escalators!P26</f>
        <v>7.3916564274856267E-4</v>
      </c>
      <c r="F13" s="697">
        <f>Escalators!Q26</f>
        <v>7.762137192630263E-3</v>
      </c>
      <c r="G13" s="697">
        <f>Escalators!R26</f>
        <v>4.9608934391037352E-3</v>
      </c>
      <c r="H13" s="697">
        <f>Escalators!S26</f>
        <v>6.5125776994591012E-3</v>
      </c>
      <c r="I13" s="697">
        <f>Escalators!T26</f>
        <v>9.9346404822831889E-3</v>
      </c>
      <c r="J13" s="697">
        <f>Escalators!U26</f>
        <v>1.307542378220742E-2</v>
      </c>
    </row>
    <row r="14" spans="1:10">
      <c r="A14" s="455" t="s">
        <v>764</v>
      </c>
      <c r="B14" t="str">
        <f>Escalators!C29</f>
        <v>External labour real rate</v>
      </c>
      <c r="C14" s="697">
        <f>Escalators!N29</f>
        <v>0</v>
      </c>
      <c r="D14" s="697">
        <f>Escalators!O29</f>
        <v>0</v>
      </c>
      <c r="E14" s="697">
        <f>Escalators!P29</f>
        <v>0</v>
      </c>
      <c r="F14" s="697">
        <f>Escalators!Q29</f>
        <v>0</v>
      </c>
      <c r="G14" s="697">
        <f>Escalators!R29</f>
        <v>0</v>
      </c>
      <c r="H14" s="697">
        <f>Escalators!S29</f>
        <v>0</v>
      </c>
      <c r="I14" s="697">
        <f>Escalators!T29</f>
        <v>0</v>
      </c>
      <c r="J14" s="697">
        <f>Escalators!U29</f>
        <v>0</v>
      </c>
    </row>
    <row r="15" spans="1:10">
      <c r="A15" s="455"/>
    </row>
    <row r="16" spans="1:10">
      <c r="A16" s="455"/>
    </row>
    <row r="17" spans="1:10">
      <c r="A17" s="512"/>
      <c r="B17" s="570" t="str">
        <f>Downer_Contract!B1</f>
        <v>Downer Electricity Contract - Support Costs forecast</v>
      </c>
      <c r="C17" s="557">
        <f>Downer_Contract!L2</f>
        <v>43800</v>
      </c>
      <c r="D17" s="557">
        <f>Downer_Contract!M2</f>
        <v>44166</v>
      </c>
      <c r="E17" s="557">
        <f>Downer_Contract!N2</f>
        <v>44377</v>
      </c>
      <c r="F17" s="557">
        <f>Downer_Contract!O2</f>
        <v>44742</v>
      </c>
      <c r="G17" s="557">
        <f>Downer_Contract!P2</f>
        <v>45107</v>
      </c>
      <c r="H17" s="557">
        <f>Downer_Contract!Q2</f>
        <v>45473</v>
      </c>
      <c r="I17" s="557">
        <f>Downer_Contract!R2</f>
        <v>45838</v>
      </c>
      <c r="J17" s="557">
        <f>Downer_Contract!S2</f>
        <v>46203</v>
      </c>
    </row>
    <row r="18" spans="1:10">
      <c r="A18" s="571" t="s">
        <v>766</v>
      </c>
      <c r="B18" t="str">
        <f>Downer_Contract!K3</f>
        <v>Downer Contract inflation</v>
      </c>
      <c r="C18" s="565"/>
      <c r="D18" s="565"/>
      <c r="E18" s="565"/>
      <c r="F18" s="565"/>
      <c r="G18" s="565"/>
      <c r="H18" s="565"/>
      <c r="I18" s="565"/>
      <c r="J18" s="565"/>
    </row>
    <row r="19" spans="1:10">
      <c r="A19" s="571" t="s">
        <v>765</v>
      </c>
      <c r="B19" t="str">
        <f>Downer_Contract!K4</f>
        <v>CPI - $2018 to nominal</v>
      </c>
      <c r="C19" s="521"/>
      <c r="D19" s="521"/>
    </row>
    <row r="23" spans="1:10">
      <c r="C23" s="673"/>
      <c r="D23" s="673"/>
      <c r="E23" s="673"/>
      <c r="F23" s="673"/>
      <c r="G23" s="673"/>
      <c r="H23" s="673"/>
      <c r="I23" s="673"/>
      <c r="J23" s="67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61"/>
  <sheetViews>
    <sheetView topLeftCell="B1" zoomScale="85" zoomScaleNormal="85" workbookViewId="0">
      <selection activeCell="I3" sqref="I3"/>
    </sheetView>
  </sheetViews>
  <sheetFormatPr defaultRowHeight="15"/>
  <cols>
    <col min="1" max="1" width="33.7109375" customWidth="1"/>
    <col min="2" max="2" width="36.85546875" customWidth="1"/>
    <col min="3" max="3" width="28.5703125" customWidth="1"/>
    <col min="4" max="8" width="10.7109375" customWidth="1"/>
    <col min="9" max="9" width="9.5703125" customWidth="1"/>
    <col min="10" max="10" width="10.140625" customWidth="1"/>
    <col min="11" max="11" width="10.85546875" customWidth="1"/>
    <col min="12" max="12" width="13.5703125" customWidth="1"/>
    <col min="13" max="17" width="10.42578125" customWidth="1"/>
  </cols>
  <sheetData>
    <row r="1" spans="1:17">
      <c r="G1" s="455" t="s">
        <v>791</v>
      </c>
    </row>
    <row r="2" spans="1:17">
      <c r="A2" s="553" t="s">
        <v>759</v>
      </c>
      <c r="G2" s="129">
        <v>1</v>
      </c>
    </row>
    <row r="4" spans="1:17">
      <c r="A4" s="554" t="s">
        <v>768</v>
      </c>
      <c r="B4" s="552" t="s">
        <v>76</v>
      </c>
      <c r="C4" s="552" t="s">
        <v>24</v>
      </c>
    </row>
    <row r="5" spans="1:17">
      <c r="A5" s="455"/>
      <c r="B5" s="561"/>
      <c r="C5" s="257"/>
      <c r="D5" s="562"/>
      <c r="E5" s="562"/>
      <c r="G5" s="562"/>
      <c r="H5" s="562"/>
      <c r="I5" s="562"/>
      <c r="J5" s="562"/>
      <c r="K5" s="562"/>
    </row>
    <row r="6" spans="1:17">
      <c r="B6" s="553" t="str">
        <f>Downer_Contract!U7</f>
        <v>Downer Cost Allocation ($2018) - Customer Portion Only</v>
      </c>
      <c r="C6" s="505"/>
      <c r="D6" s="563">
        <f>Downer_Contract!U9</f>
        <v>43800</v>
      </c>
      <c r="E6" s="563">
        <f>Downer_Contract!V9</f>
        <v>44166</v>
      </c>
      <c r="F6" s="563">
        <f>Downer_Contract!W9</f>
        <v>44377</v>
      </c>
      <c r="G6" s="699">
        <f>Downer_Contract!X9</f>
        <v>44742</v>
      </c>
      <c r="H6" s="563">
        <f>Downer_Contract!Y9</f>
        <v>45107</v>
      </c>
      <c r="I6" s="563">
        <f>Downer_Contract!Z9</f>
        <v>45473</v>
      </c>
      <c r="J6" s="563">
        <f>Downer_Contract!AA9</f>
        <v>45838</v>
      </c>
      <c r="K6" s="563">
        <f>Downer_Contract!AB9</f>
        <v>46203</v>
      </c>
    </row>
    <row r="7" spans="1:17">
      <c r="A7" s="455" t="s">
        <v>752</v>
      </c>
      <c r="B7" s="455" t="str">
        <f>B24</f>
        <v>Subtransmission</v>
      </c>
      <c r="C7" t="s">
        <v>800</v>
      </c>
      <c r="D7" s="551"/>
      <c r="E7" s="551"/>
      <c r="F7" s="551"/>
      <c r="G7" s="551"/>
      <c r="H7" s="551"/>
      <c r="I7" s="551"/>
      <c r="J7" s="551"/>
      <c r="K7" s="551"/>
    </row>
    <row r="8" spans="1:17">
      <c r="B8" s="455" t="str">
        <f>B25</f>
        <v>Distribution system assets</v>
      </c>
      <c r="D8" s="555">
        <f>D9-D7</f>
        <v>0</v>
      </c>
      <c r="E8" s="555"/>
      <c r="F8" s="555"/>
      <c r="H8" s="555"/>
      <c r="I8" s="555"/>
      <c r="J8" s="555"/>
      <c r="K8" s="555"/>
    </row>
    <row r="9" spans="1:17">
      <c r="A9" s="455" t="s">
        <v>751</v>
      </c>
      <c r="B9" s="455" t="s">
        <v>146</v>
      </c>
      <c r="D9" s="551"/>
    </row>
    <row r="10" spans="1:17">
      <c r="A10" s="455"/>
      <c r="B10" s="561"/>
      <c r="C10" s="257"/>
      <c r="D10" s="671"/>
      <c r="E10" s="562"/>
      <c r="G10" s="698"/>
      <c r="H10" s="562"/>
      <c r="I10" s="562"/>
      <c r="J10" s="562"/>
      <c r="K10" s="562"/>
    </row>
    <row r="11" spans="1:17">
      <c r="A11" s="455"/>
      <c r="B11" s="561"/>
      <c r="C11" s="257"/>
      <c r="D11" s="671"/>
      <c r="E11" s="562"/>
      <c r="G11" s="562"/>
      <c r="H11" s="562"/>
      <c r="I11" s="562"/>
      <c r="J11" s="562"/>
      <c r="K11" s="562"/>
    </row>
    <row r="12" spans="1:17">
      <c r="A12" s="455"/>
      <c r="B12" s="561"/>
      <c r="C12" s="257"/>
      <c r="D12" s="562"/>
      <c r="E12" s="562"/>
      <c r="G12" s="455" t="str">
        <f>Base_Forecast!C4</f>
        <v>P50 Direct Expenditure Forecast ($2018) - excluding Downer Contracts</v>
      </c>
      <c r="H12" s="455"/>
      <c r="I12" s="455"/>
      <c r="J12" s="455"/>
      <c r="K12" s="455"/>
      <c r="M12" s="455" t="str">
        <f>Base_Forecast!O4</f>
        <v>P50 Direct Expenditure Forecast ($2018) - excluding Downer Contracts</v>
      </c>
    </row>
    <row r="13" spans="1:17">
      <c r="A13" s="455"/>
      <c r="C13" s="124"/>
      <c r="D13" s="562"/>
      <c r="E13" s="562"/>
      <c r="G13" s="455" t="str">
        <f>Base_Forecast!C5</f>
        <v>(Excluding escalators)</v>
      </c>
      <c r="M13" s="560" t="str">
        <f>Base_Forecast!O5</f>
        <v>(Including real cost escalators)</v>
      </c>
    </row>
    <row r="14" spans="1:17">
      <c r="A14" s="455"/>
      <c r="B14" s="553" t="str">
        <f>Base_Forecast!D13</f>
        <v>Contributions</v>
      </c>
      <c r="C14" s="124"/>
      <c r="D14" s="562"/>
      <c r="E14" s="562"/>
      <c r="G14" s="699">
        <f>Base_Forecast!H5</f>
        <v>44742</v>
      </c>
      <c r="H14" s="563">
        <f>Base_Forecast!I5</f>
        <v>45107</v>
      </c>
      <c r="I14" s="563">
        <f>Base_Forecast!J5</f>
        <v>45473</v>
      </c>
      <c r="J14" s="563">
        <f>Base_Forecast!K5</f>
        <v>45838</v>
      </c>
      <c r="K14" s="563">
        <f>Base_Forecast!L5</f>
        <v>46203</v>
      </c>
      <c r="M14" s="699">
        <f>Base_Forecast!T5</f>
        <v>44742</v>
      </c>
      <c r="N14" s="563">
        <f>Base_Forecast!U5</f>
        <v>45107</v>
      </c>
      <c r="O14" s="563">
        <f>Base_Forecast!V5</f>
        <v>45473</v>
      </c>
      <c r="P14" s="563">
        <f>Base_Forecast!W5</f>
        <v>45838</v>
      </c>
      <c r="Q14" s="563">
        <f>Base_Forecast!X5</f>
        <v>46203</v>
      </c>
    </row>
    <row r="15" spans="1:17">
      <c r="A15" s="455"/>
      <c r="B15" s="455" t="str">
        <f>B32</f>
        <v>Distribution system assets</v>
      </c>
      <c r="C15" s="219" t="s">
        <v>800</v>
      </c>
      <c r="D15" s="562"/>
      <c r="E15" s="562"/>
      <c r="G15" s="564"/>
      <c r="H15" s="564"/>
      <c r="I15" s="564"/>
      <c r="J15" s="564"/>
      <c r="K15" s="564"/>
      <c r="M15" s="559"/>
      <c r="N15" s="559"/>
      <c r="O15" s="559"/>
      <c r="P15" s="559"/>
      <c r="Q15" s="559"/>
    </row>
    <row r="16" spans="1:17">
      <c r="A16" s="455" t="s">
        <v>757</v>
      </c>
      <c r="B16" s="455" t="str">
        <f>B33</f>
        <v>Total Connections - Including Gifted Assets</v>
      </c>
      <c r="C16" s="124"/>
      <c r="D16" s="562"/>
      <c r="E16" s="562"/>
      <c r="G16" s="564"/>
      <c r="H16" s="564"/>
      <c r="I16" s="564"/>
      <c r="J16" s="564"/>
      <c r="K16" s="564"/>
      <c r="M16" s="559"/>
      <c r="N16" s="559"/>
      <c r="O16" s="559"/>
      <c r="P16" s="559"/>
      <c r="Q16" s="559"/>
    </row>
    <row r="17" spans="1:17">
      <c r="A17" s="455"/>
      <c r="B17" s="455" t="s">
        <v>146</v>
      </c>
      <c r="C17" s="124"/>
      <c r="D17" s="562"/>
      <c r="E17" s="562"/>
      <c r="G17" s="701"/>
      <c r="H17" s="701"/>
      <c r="I17" s="701"/>
      <c r="J17" s="701"/>
      <c r="K17" s="701"/>
      <c r="M17" s="701"/>
      <c r="N17" s="701"/>
      <c r="O17" s="701"/>
      <c r="P17" s="701"/>
      <c r="Q17" s="701"/>
    </row>
    <row r="18" spans="1:17">
      <c r="A18" s="455"/>
      <c r="C18" s="124"/>
      <c r="D18" s="562"/>
      <c r="E18" s="562"/>
      <c r="G18" s="510"/>
      <c r="H18" s="564"/>
      <c r="I18" s="564"/>
      <c r="J18" s="564"/>
      <c r="K18" s="564"/>
      <c r="M18" s="510"/>
      <c r="N18" s="559"/>
      <c r="O18" s="559"/>
      <c r="P18" s="559"/>
      <c r="Q18" s="559"/>
    </row>
    <row r="19" spans="1:17">
      <c r="G19" s="510"/>
      <c r="M19" s="510"/>
    </row>
    <row r="21" spans="1:17">
      <c r="A21" s="455"/>
      <c r="B21" s="561"/>
      <c r="C21" s="257"/>
      <c r="G21" s="455" t="str">
        <f>Reg_Forecast!M2</f>
        <v>(before Downer support cost allocation)</v>
      </c>
      <c r="M21" s="455" t="str">
        <f>Reg_Forecast!D2</f>
        <v>(before Downer support cost allocation)</v>
      </c>
      <c r="N21" s="455"/>
      <c r="O21" s="455"/>
      <c r="P21" s="455"/>
      <c r="Q21" s="455"/>
    </row>
    <row r="22" spans="1:17">
      <c r="A22" s="455"/>
      <c r="B22" s="561"/>
      <c r="C22" s="257"/>
      <c r="G22" s="455" t="str">
        <f>Reg_Forecast!M3</f>
        <v>P50 Direct Expenditure excluding Labour escalation, $2018</v>
      </c>
      <c r="M22" s="455" t="str">
        <f>Reg_Forecast!D3</f>
        <v>P50 Direct Expenditure including Labour escalation, $2018</v>
      </c>
    </row>
    <row r="23" spans="1:17">
      <c r="A23" s="455"/>
      <c r="B23" s="553" t="str">
        <f>Reg_Forecast!C8</f>
        <v>Connections</v>
      </c>
      <c r="C23" s="257"/>
      <c r="G23" s="700">
        <f>Reg_Forecast!Q4</f>
        <v>44742</v>
      </c>
      <c r="H23" s="557">
        <f>Reg_Forecast!R4</f>
        <v>45107</v>
      </c>
      <c r="I23" s="557">
        <f>Reg_Forecast!S4</f>
        <v>45473</v>
      </c>
      <c r="J23" s="557">
        <f>Reg_Forecast!T4</f>
        <v>45838</v>
      </c>
      <c r="K23" s="557">
        <f>Reg_Forecast!U4</f>
        <v>46203</v>
      </c>
      <c r="M23" s="700">
        <f>Reg_Forecast!G4</f>
        <v>44742</v>
      </c>
      <c r="N23" s="557">
        <f>Reg_Forecast!H4</f>
        <v>45107</v>
      </c>
      <c r="O23" s="557">
        <f>Reg_Forecast!I4</f>
        <v>45473</v>
      </c>
      <c r="P23" s="557">
        <f>Reg_Forecast!J4</f>
        <v>45838</v>
      </c>
      <c r="Q23" s="557">
        <f>Reg_Forecast!K4</f>
        <v>46203</v>
      </c>
    </row>
    <row r="24" spans="1:17">
      <c r="A24" s="455" t="s">
        <v>749</v>
      </c>
      <c r="B24" s="455" t="str">
        <f>Reg_Forecast!B5</f>
        <v>Subtransmission</v>
      </c>
      <c r="C24" t="s">
        <v>800</v>
      </c>
      <c r="G24" s="551"/>
      <c r="H24" s="551"/>
      <c r="I24" s="551"/>
      <c r="J24" s="551"/>
      <c r="K24" s="551"/>
      <c r="M24" s="551"/>
      <c r="N24" s="551"/>
      <c r="O24" s="551"/>
      <c r="P24" s="551"/>
      <c r="Q24" s="551"/>
    </row>
    <row r="25" spans="1:17">
      <c r="A25" s="455" t="s">
        <v>750</v>
      </c>
      <c r="B25" s="455" t="str">
        <f>Reg_Forecast!B10</f>
        <v>Distribution system assets</v>
      </c>
      <c r="G25" s="551"/>
      <c r="H25" s="551"/>
      <c r="I25" s="551"/>
      <c r="J25" s="551"/>
      <c r="K25" s="551"/>
      <c r="M25" s="551"/>
      <c r="N25" s="551"/>
      <c r="O25" s="551"/>
      <c r="P25" s="551"/>
      <c r="Q25" s="551"/>
    </row>
    <row r="26" spans="1:17">
      <c r="B26" s="455" t="s">
        <v>146</v>
      </c>
      <c r="G26" s="701"/>
      <c r="H26" s="701"/>
      <c r="I26" s="701"/>
      <c r="J26" s="701"/>
      <c r="K26" s="701"/>
      <c r="M26" s="701"/>
      <c r="N26" s="701"/>
      <c r="O26" s="701"/>
      <c r="P26" s="701"/>
      <c r="Q26" s="701"/>
    </row>
    <row r="27" spans="1:17">
      <c r="G27" s="510"/>
      <c r="M27" s="510"/>
    </row>
    <row r="28" spans="1:17">
      <c r="G28" s="510"/>
      <c r="M28" s="510"/>
    </row>
    <row r="29" spans="1:17">
      <c r="D29" s="455" t="str">
        <f>AusNet_Overheads!B40</f>
        <v>Direct cost composition - New Connections ($2018)</v>
      </c>
    </row>
    <row r="30" spans="1:17">
      <c r="B30" s="553" t="str">
        <f>AusNet_Overheads!B39</f>
        <v>Connections Only</v>
      </c>
      <c r="C30" s="124"/>
      <c r="D30" s="563">
        <f>AusNet_Overheads!H40</f>
        <v>43800</v>
      </c>
      <c r="E30" s="563">
        <f>AusNet_Overheads!I40</f>
        <v>44166</v>
      </c>
      <c r="F30" s="563">
        <f>AusNet_Overheads!J40</f>
        <v>44377</v>
      </c>
    </row>
    <row r="31" spans="1:17">
      <c r="A31" s="558" t="s">
        <v>756</v>
      </c>
      <c r="B31" s="455" t="str">
        <f>AusNet_Overheads!B41</f>
        <v>Subtransmission</v>
      </c>
      <c r="C31" t="s">
        <v>800</v>
      </c>
      <c r="D31" s="551"/>
      <c r="E31" s="551"/>
      <c r="F31" s="551"/>
    </row>
    <row r="32" spans="1:17">
      <c r="A32" s="558" t="s">
        <v>756</v>
      </c>
      <c r="B32" s="455" t="str">
        <f>AusNet_Overheads!B42</f>
        <v>Distribution system assets</v>
      </c>
      <c r="D32" s="551"/>
      <c r="E32" s="551"/>
      <c r="F32" s="551"/>
    </row>
    <row r="33" spans="1:11">
      <c r="B33" s="455" t="str">
        <f>AusNet_Overheads!B43</f>
        <v>Total Connections - Including Gifted Assets</v>
      </c>
      <c r="D33" s="701"/>
      <c r="E33" s="701"/>
      <c r="F33" s="701"/>
    </row>
    <row r="34" spans="1:11">
      <c r="D34" s="562"/>
      <c r="E34" s="562"/>
      <c r="F34" s="562"/>
      <c r="G34" s="562"/>
      <c r="H34" s="562"/>
      <c r="I34" s="562"/>
      <c r="J34" s="562"/>
      <c r="K34" s="562"/>
    </row>
    <row r="35" spans="1:11">
      <c r="D35" s="562"/>
      <c r="E35" s="562"/>
      <c r="F35" s="562"/>
      <c r="G35" s="562"/>
      <c r="H35" s="562"/>
      <c r="I35" s="562"/>
      <c r="J35" s="562"/>
      <c r="K35" s="562"/>
    </row>
    <row r="36" spans="1:11">
      <c r="B36" s="702" t="str">
        <f>AusNet_Overheads!B45</f>
        <v>New Connections Direct costs subject to Overheads (Incl Downer)</v>
      </c>
      <c r="C36" s="703"/>
      <c r="D36" s="563">
        <f>AusNet_Overheads!H40</f>
        <v>43800</v>
      </c>
      <c r="E36" s="563">
        <f>AusNet_Overheads!I40</f>
        <v>44166</v>
      </c>
      <c r="F36" s="563">
        <f>AusNet_Overheads!J40</f>
        <v>44377</v>
      </c>
      <c r="G36" s="699">
        <f>AusNet_Overheads!K40</f>
        <v>44742</v>
      </c>
      <c r="H36" s="563">
        <f>AusNet_Overheads!L40</f>
        <v>45107</v>
      </c>
      <c r="I36" s="563">
        <f>AusNet_Overheads!M40</f>
        <v>45473</v>
      </c>
      <c r="J36" s="563">
        <f>AusNet_Overheads!N40</f>
        <v>45838</v>
      </c>
      <c r="K36" s="563">
        <f>AusNet_Overheads!O40</f>
        <v>46203</v>
      </c>
    </row>
    <row r="37" spans="1:11">
      <c r="A37" s="558" t="s">
        <v>754</v>
      </c>
      <c r="B37" s="455" t="str">
        <f>AusNet_Overheads!B46</f>
        <v>Subtransmission</v>
      </c>
      <c r="C37" t="s">
        <v>800</v>
      </c>
      <c r="D37" s="704">
        <f>[1]Capex_Fcast_Total!G75</f>
        <v>4379.6069938448891</v>
      </c>
      <c r="E37" s="704">
        <f>[1]Capex_Fcast_Total!H75</f>
        <v>7246.527721294482</v>
      </c>
      <c r="F37" s="704">
        <f>[1]Capex_Fcast_Total!I75</f>
        <v>4535.1018259498778</v>
      </c>
      <c r="G37" s="704">
        <f>G40</f>
        <v>16429.034914362579</v>
      </c>
      <c r="H37" s="704">
        <f>[1]Capex_Fcast_Total!K75</f>
        <v>16555.250606240839</v>
      </c>
      <c r="I37" s="704">
        <f>[1]Capex_Fcast_Total!L75</f>
        <v>16580.859886778362</v>
      </c>
      <c r="J37" s="704">
        <f>[1]Capex_Fcast_Total!M75</f>
        <v>16618.553772494266</v>
      </c>
      <c r="K37" s="704">
        <f>[1]Capex_Fcast_Total!N75</f>
        <v>16667.518078447029</v>
      </c>
    </row>
    <row r="38" spans="1:11">
      <c r="A38" s="455" t="s">
        <v>755</v>
      </c>
      <c r="B38" s="455" t="str">
        <f>AusNet_Overheads!B47</f>
        <v>Distribution system assets</v>
      </c>
      <c r="D38" s="704">
        <f>[1]Capex_Fcast_Total!G76</f>
        <v>60081.782071849993</v>
      </c>
      <c r="E38" s="704">
        <f>[1]Capex_Fcast_Total!H76</f>
        <v>57990.50280896965</v>
      </c>
      <c r="F38" s="704">
        <f>[1]Capex_Fcast_Total!I76</f>
        <v>28069.604536035749</v>
      </c>
      <c r="G38" s="704">
        <f>G$2*G41</f>
        <v>32699.336646401829</v>
      </c>
      <c r="H38" s="704">
        <f>[1]Capex_Fcast_Total!K76</f>
        <v>56063.578274361003</v>
      </c>
      <c r="I38" s="704">
        <f>[1]Capex_Fcast_Total!L76</f>
        <v>55888.350971509019</v>
      </c>
      <c r="J38" s="704">
        <f>[1]Capex_Fcast_Total!M76</f>
        <v>56087.649476608422</v>
      </c>
      <c r="K38" s="704">
        <f>[1]Capex_Fcast_Total!N76</f>
        <v>56404.39993408107</v>
      </c>
    </row>
    <row r="39" spans="1:11">
      <c r="B39" s="455" t="str">
        <f>AusNet_Overheads!B48</f>
        <v>Total Connections - Excluding Gifted Assets</v>
      </c>
      <c r="D39" s="556">
        <f t="shared" ref="D39" si="0">SUM(D37:D38)</f>
        <v>64461.389065694879</v>
      </c>
      <c r="E39" s="556">
        <f t="shared" ref="E39" si="1">SUM(E37:E38)</f>
        <v>65237.030530264135</v>
      </c>
      <c r="F39" s="556">
        <f t="shared" ref="F39" si="2">SUM(F37:F38)</f>
        <v>32604.706361985627</v>
      </c>
      <c r="G39" s="556">
        <f t="shared" ref="G39:K39" si="3">SUM(G37:G38)</f>
        <v>49128.371560764412</v>
      </c>
      <c r="H39" s="556">
        <f t="shared" si="3"/>
        <v>72618.828880601839</v>
      </c>
      <c r="I39" s="556">
        <f t="shared" si="3"/>
        <v>72469.210858287377</v>
      </c>
      <c r="J39" s="556">
        <f t="shared" si="3"/>
        <v>72706.203249102691</v>
      </c>
      <c r="K39" s="556">
        <f t="shared" si="3"/>
        <v>73071.918012528098</v>
      </c>
    </row>
    <row r="40" spans="1:11">
      <c r="G40" s="128">
        <f>[1]Capex_Fcast_Total!J75</f>
        <v>16429.034914362579</v>
      </c>
    </row>
    <row r="41" spans="1:11">
      <c r="G41" s="128">
        <f>[1]Capex_Fcast_Total!J76</f>
        <v>32699.336646401829</v>
      </c>
    </row>
    <row r="42" spans="1:11">
      <c r="B42" s="553" t="str">
        <f>AusNet_Overheads!B62</f>
        <v>Connections - Gifted</v>
      </c>
      <c r="D42" s="563">
        <f>AusNet_Overheads!H60</f>
        <v>43800</v>
      </c>
      <c r="E42" s="563">
        <f>AusNet_Overheads!I60</f>
        <v>44166</v>
      </c>
      <c r="F42" s="563">
        <f>AusNet_Overheads!J60</f>
        <v>44377</v>
      </c>
      <c r="G42" s="699">
        <f>AusNet_Overheads!K60</f>
        <v>44742</v>
      </c>
      <c r="H42" s="563">
        <f>AusNet_Overheads!L60</f>
        <v>45107</v>
      </c>
      <c r="I42" s="563">
        <f>AusNet_Overheads!M60</f>
        <v>45473</v>
      </c>
      <c r="J42" s="563">
        <f>AusNet_Overheads!N60</f>
        <v>45838</v>
      </c>
      <c r="K42" s="563">
        <f>AusNet_Overheads!O60</f>
        <v>46203</v>
      </c>
    </row>
    <row r="43" spans="1:11">
      <c r="A43" s="455" t="s">
        <v>753</v>
      </c>
      <c r="B43" s="455" t="str">
        <f>B8</f>
        <v>Distribution system assets</v>
      </c>
      <c r="C43" t="s">
        <v>801</v>
      </c>
      <c r="D43" s="551"/>
      <c r="E43" s="551"/>
      <c r="F43" s="551"/>
      <c r="G43" s="551"/>
      <c r="H43" s="551"/>
      <c r="I43" s="551"/>
      <c r="J43" s="551"/>
      <c r="K43" s="551"/>
    </row>
    <row r="44" spans="1:11">
      <c r="G44" s="510"/>
    </row>
    <row r="47" spans="1:11">
      <c r="A47" s="553" t="s">
        <v>770</v>
      </c>
    </row>
    <row r="49" spans="1:11">
      <c r="B49" s="553" t="str">
        <f>RFM_PTRM!C19</f>
        <v>Customer Contributions ($m)</v>
      </c>
      <c r="G49" s="699">
        <f>RFM_PTRM!O19</f>
        <v>44742</v>
      </c>
      <c r="H49" s="563">
        <f>RFM_PTRM!P19</f>
        <v>45107</v>
      </c>
      <c r="I49" s="563">
        <f>RFM_PTRM!Q19</f>
        <v>45473</v>
      </c>
      <c r="J49" s="563">
        <f>RFM_PTRM!R19</f>
        <v>45838</v>
      </c>
      <c r="K49" s="563">
        <f>RFM_PTRM!S19</f>
        <v>46203</v>
      </c>
    </row>
    <row r="50" spans="1:11">
      <c r="A50" s="455" t="s">
        <v>769</v>
      </c>
      <c r="B50" t="str">
        <f>RFM_PTRM!C21</f>
        <v>Subtransmission</v>
      </c>
      <c r="G50" s="705">
        <f>G60</f>
        <v>19.026545942562322</v>
      </c>
      <c r="H50" s="705">
        <f>'[1]RFM_PTRM Input'!H21/1000</f>
        <v>18.996932056083921</v>
      </c>
      <c r="I50" s="705">
        <f>'[1]RFM_PTRM Input'!I21/1000</f>
        <v>19.244929281259708</v>
      </c>
      <c r="J50" s="705">
        <f>'[1]RFM_PTRM Input'!J21/1000</f>
        <v>19.411859516163233</v>
      </c>
      <c r="K50" s="705">
        <f>'[1]RFM_PTRM Input'!K21/1000</f>
        <v>19.525933421264909</v>
      </c>
    </row>
    <row r="51" spans="1:11">
      <c r="A51" s="455"/>
      <c r="B51" t="str">
        <f>RFM_PTRM!C22</f>
        <v>Distribution system assets</v>
      </c>
      <c r="G51" s="705">
        <f>G61*G2</f>
        <v>28.282103025093168</v>
      </c>
      <c r="H51" s="705">
        <f>'[1]RFM_PTRM Input'!H22/1000</f>
        <v>48.818732082679638</v>
      </c>
      <c r="I51" s="705">
        <f>'[1]RFM_PTRM Input'!I22/1000</f>
        <v>49.093589983067098</v>
      </c>
      <c r="J51" s="705">
        <f>'[1]RFM_PTRM Input'!J22/1000</f>
        <v>49.564968091086811</v>
      </c>
      <c r="K51" s="705">
        <f>'[1]RFM_PTRM Input'!K22/1000</f>
        <v>49.970964755452371</v>
      </c>
    </row>
    <row r="52" spans="1:11">
      <c r="A52" s="455"/>
      <c r="B52" t="str">
        <f>RFM_PTRM!C23</f>
        <v>SCADA/Network control</v>
      </c>
      <c r="G52" s="705">
        <v>0</v>
      </c>
      <c r="H52" s="705">
        <f>'[1]RFM_PTRM Input'!H23/1000</f>
        <v>0</v>
      </c>
      <c r="I52" s="705">
        <f>'[1]RFM_PTRM Input'!I23/1000</f>
        <v>0</v>
      </c>
      <c r="J52" s="705">
        <f>'[1]RFM_PTRM Input'!J23/1000</f>
        <v>0</v>
      </c>
      <c r="K52" s="705">
        <f>'[1]RFM_PTRM Input'!K23/1000</f>
        <v>0</v>
      </c>
    </row>
    <row r="53" spans="1:11">
      <c r="A53" s="455"/>
      <c r="B53" t="str">
        <f>RFM_PTRM!C24</f>
        <v>Non-network general assets - IT</v>
      </c>
      <c r="G53" s="705">
        <v>0</v>
      </c>
      <c r="H53" s="705">
        <f>'[1]RFM_PTRM Input'!H24/1000</f>
        <v>0</v>
      </c>
      <c r="I53" s="705">
        <f>'[1]RFM_PTRM Input'!I24/1000</f>
        <v>0</v>
      </c>
      <c r="J53" s="705">
        <f>'[1]RFM_PTRM Input'!J24/1000</f>
        <v>0</v>
      </c>
      <c r="K53" s="705">
        <f>'[1]RFM_PTRM Input'!K24/1000</f>
        <v>0</v>
      </c>
    </row>
    <row r="54" spans="1:11">
      <c r="A54" s="455"/>
      <c r="B54" t="str">
        <f>RFM_PTRM!C25</f>
        <v>Non-network - Metering related IT</v>
      </c>
      <c r="G54" s="705">
        <v>0</v>
      </c>
      <c r="H54" s="705">
        <f>'[1]RFM_PTRM Input'!H25/1000</f>
        <v>0</v>
      </c>
      <c r="I54" s="705">
        <f>'[1]RFM_PTRM Input'!I25/1000</f>
        <v>0</v>
      </c>
      <c r="J54" s="705">
        <f>'[1]RFM_PTRM Input'!J25/1000</f>
        <v>0</v>
      </c>
      <c r="K54" s="705">
        <f>'[1]RFM_PTRM Input'!K25/1000</f>
        <v>0</v>
      </c>
    </row>
    <row r="55" spans="1:11">
      <c r="A55" s="455"/>
      <c r="B55" t="str">
        <f>RFM_PTRM!C26</f>
        <v>Non-network general assets - Other</v>
      </c>
      <c r="G55" s="705">
        <v>0</v>
      </c>
      <c r="H55" s="705">
        <f>'[1]RFM_PTRM Input'!H26/1000</f>
        <v>0</v>
      </c>
      <c r="I55" s="705">
        <f>'[1]RFM_PTRM Input'!I26/1000</f>
        <v>0</v>
      </c>
      <c r="J55" s="705">
        <f>'[1]RFM_PTRM Input'!J26/1000</f>
        <v>0</v>
      </c>
      <c r="K55" s="705">
        <f>'[1]RFM_PTRM Input'!K26/1000</f>
        <v>0</v>
      </c>
    </row>
    <row r="56" spans="1:11">
      <c r="A56" s="455"/>
      <c r="B56" t="str">
        <f>RFM_PTRM!C27</f>
        <v>Non-Network Leasehold Land &amp; Buildings</v>
      </c>
      <c r="G56" s="705">
        <v>0</v>
      </c>
      <c r="H56" s="705">
        <f>'[1]RFM_PTRM Input'!H27/1000</f>
        <v>0</v>
      </c>
      <c r="I56" s="705">
        <f>'[1]RFM_PTRM Input'!I27/1000</f>
        <v>0</v>
      </c>
      <c r="J56" s="705">
        <f>'[1]RFM_PTRM Input'!J27/1000</f>
        <v>0</v>
      </c>
      <c r="K56" s="705">
        <f>'[1]RFM_PTRM Input'!K27/1000</f>
        <v>0</v>
      </c>
    </row>
    <row r="57" spans="1:11">
      <c r="A57" s="455"/>
      <c r="B57" t="str">
        <f>RFM_PTRM!C28</f>
        <v>Land</v>
      </c>
      <c r="G57" s="705">
        <v>0</v>
      </c>
      <c r="H57" s="705">
        <f>'[1]RFM_PTRM Input'!H28/1000</f>
        <v>0</v>
      </c>
      <c r="I57" s="705">
        <f>'[1]RFM_PTRM Input'!I28/1000</f>
        <v>0</v>
      </c>
      <c r="J57" s="705">
        <f>'[1]RFM_PTRM Input'!J28/1000</f>
        <v>0</v>
      </c>
      <c r="K57" s="705">
        <f>'[1]RFM_PTRM Input'!K28/1000</f>
        <v>0</v>
      </c>
    </row>
    <row r="58" spans="1:11">
      <c r="B58" t="str">
        <f>RFM_PTRM!C29</f>
        <v>Total</v>
      </c>
      <c r="G58" s="572">
        <f>SUM(G50:G57)</f>
        <v>47.308648967655486</v>
      </c>
      <c r="H58" s="572">
        <f t="shared" ref="H58:K58" si="4">SUM(H50:H57)</f>
        <v>67.815664138763566</v>
      </c>
      <c r="I58" s="572">
        <f t="shared" si="4"/>
        <v>68.338519264326806</v>
      </c>
      <c r="J58" s="572">
        <f t="shared" si="4"/>
        <v>68.976827607250044</v>
      </c>
      <c r="K58" s="572">
        <f t="shared" si="4"/>
        <v>69.496898176717281</v>
      </c>
    </row>
    <row r="60" spans="1:11">
      <c r="G60" s="675">
        <f>'[1]RFM_PTRM Input'!$G21/1000</f>
        <v>19.026545942562322</v>
      </c>
    </row>
    <row r="61" spans="1:11">
      <c r="G61" s="675">
        <f>'[1]RFM_PTRM Input'!$G22/1000</f>
        <v>28.282103025093168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I69"/>
  <sheetViews>
    <sheetView tabSelected="1" zoomScale="85" zoomScaleNormal="85" zoomScaleSheetLayoutView="85" zoomScalePageLayoutView="125" workbookViewId="0"/>
  </sheetViews>
  <sheetFormatPr defaultColWidth="8.85546875" defaultRowHeight="15"/>
  <cols>
    <col min="1" max="1" width="5.85546875" style="1" customWidth="1"/>
    <col min="2" max="2" width="2.85546875" style="2" customWidth="1"/>
    <col min="3" max="3" width="4.42578125" style="1" customWidth="1"/>
    <col min="4" max="4" width="47.85546875" style="1" customWidth="1"/>
    <col min="5" max="5" width="24" style="1" customWidth="1"/>
    <col min="6" max="6" width="4.28515625" style="1" customWidth="1"/>
    <col min="7" max="7" width="3.85546875" style="1" customWidth="1"/>
    <col min="8" max="8" width="47.140625" style="1" customWidth="1"/>
    <col min="9" max="9" width="10.140625" style="1" customWidth="1"/>
    <col min="10" max="16384" width="8.85546875" style="1"/>
  </cols>
  <sheetData>
    <row r="1" spans="2:9" ht="16.5" customHeight="1">
      <c r="B1" s="519" t="s">
        <v>878</v>
      </c>
    </row>
    <row r="2" spans="2:9" ht="21">
      <c r="B2" s="11" t="s">
        <v>6</v>
      </c>
    </row>
    <row r="3" spans="2:9" ht="15.75">
      <c r="B3" s="504"/>
    </row>
    <row r="4" spans="2:9" ht="9.75" customHeight="1">
      <c r="B4" s="16"/>
    </row>
    <row r="5" spans="2:9">
      <c r="B5" s="73" t="s">
        <v>15</v>
      </c>
      <c r="E5" s="35" t="s">
        <v>140</v>
      </c>
      <c r="F5" s="73" t="s">
        <v>293</v>
      </c>
      <c r="G5" s="15"/>
    </row>
    <row r="6" spans="2:9" ht="6.75" customHeight="1">
      <c r="B6" s="12"/>
      <c r="C6" s="15"/>
      <c r="E6" s="34"/>
      <c r="F6" s="20"/>
      <c r="G6" s="15"/>
    </row>
    <row r="7" spans="2:9">
      <c r="B7" s="73" t="s">
        <v>217</v>
      </c>
      <c r="C7" s="15"/>
      <c r="E7" s="34"/>
      <c r="F7" s="12"/>
      <c r="G7" s="14" t="s">
        <v>16</v>
      </c>
      <c r="H7" s="3" t="str">
        <f>Base_Forecast!B1</f>
        <v>Base Forecast Summary - Direct Expenditure</v>
      </c>
    </row>
    <row r="8" spans="2:9">
      <c r="B8" s="12"/>
      <c r="C8" s="14" t="s">
        <v>16</v>
      </c>
      <c r="D8" s="3" t="str">
        <f>Escalators!B1</f>
        <v>Escalators</v>
      </c>
      <c r="E8" s="34"/>
      <c r="F8" s="12"/>
      <c r="G8" s="14" t="s">
        <v>17</v>
      </c>
      <c r="H8" s="3" t="str">
        <f>Reg_Forecast!B1</f>
        <v>Regulatory Forecast Expenditure</v>
      </c>
      <c r="I8" s="129"/>
    </row>
    <row r="9" spans="2:9">
      <c r="B9" s="12"/>
      <c r="C9" s="14" t="s">
        <v>17</v>
      </c>
      <c r="D9" s="3" t="str">
        <f>Lab_Mat!B1</f>
        <v>Labour &amp; Non-Labour Category Splits</v>
      </c>
      <c r="E9" s="34"/>
      <c r="G9" s="14" t="s">
        <v>18</v>
      </c>
      <c r="H9" s="3" t="s">
        <v>505</v>
      </c>
    </row>
    <row r="10" spans="2:9">
      <c r="B10" s="12"/>
      <c r="C10" s="14" t="s">
        <v>18</v>
      </c>
      <c r="D10" s="3" t="s">
        <v>21</v>
      </c>
      <c r="E10" s="34"/>
      <c r="F10" s="12"/>
      <c r="G10" s="14" t="s">
        <v>19</v>
      </c>
      <c r="H10" s="3" t="s">
        <v>341</v>
      </c>
    </row>
    <row r="11" spans="2:9" ht="14.25" customHeight="1">
      <c r="B11" s="15"/>
      <c r="F11" s="12"/>
      <c r="G11" s="14" t="s">
        <v>20</v>
      </c>
      <c r="H11" s="3" t="s">
        <v>503</v>
      </c>
    </row>
    <row r="12" spans="2:9">
      <c r="B12" s="73" t="s">
        <v>224</v>
      </c>
      <c r="E12" s="34"/>
      <c r="F12" s="12"/>
      <c r="G12" s="14" t="s">
        <v>41</v>
      </c>
      <c r="H12" s="3" t="str">
        <f>Safety!B1</f>
        <v>Safety Expenditure</v>
      </c>
      <c r="I12" s="129"/>
    </row>
    <row r="13" spans="2:9">
      <c r="B13" s="12"/>
      <c r="E13" s="34"/>
      <c r="G13" s="14" t="s">
        <v>524</v>
      </c>
      <c r="H13" s="3" t="s">
        <v>364</v>
      </c>
    </row>
    <row r="14" spans="2:9">
      <c r="B14" s="12"/>
      <c r="C14" s="12" t="s">
        <v>218</v>
      </c>
      <c r="E14" s="34"/>
      <c r="G14" s="15"/>
      <c r="I14" s="34"/>
    </row>
    <row r="15" spans="2:9">
      <c r="B15" s="12"/>
      <c r="C15" s="30" t="s">
        <v>16</v>
      </c>
      <c r="D15" s="3" t="str">
        <f>Augmentation!B1</f>
        <v>Augmentation</v>
      </c>
      <c r="E15" s="54"/>
      <c r="F15" s="73" t="s">
        <v>221</v>
      </c>
      <c r="G15" s="15"/>
      <c r="I15" s="34"/>
    </row>
    <row r="16" spans="2:9">
      <c r="B16" s="12"/>
      <c r="C16" s="13"/>
      <c r="E16" s="54"/>
      <c r="F16" s="20"/>
      <c r="G16" s="12" t="s">
        <v>222</v>
      </c>
      <c r="I16" s="34"/>
    </row>
    <row r="17" spans="2:9">
      <c r="B17" s="12"/>
      <c r="C17" s="12" t="s">
        <v>342</v>
      </c>
      <c r="E17" s="54"/>
      <c r="F17" s="12"/>
      <c r="G17" s="14" t="s">
        <v>16</v>
      </c>
      <c r="H17" s="3" t="str">
        <f>RFM_PTRM!B1</f>
        <v>PTRM output - Standard Control Services</v>
      </c>
      <c r="I17" s="34"/>
    </row>
    <row r="18" spans="2:9">
      <c r="B18" s="12"/>
      <c r="C18" s="14" t="s">
        <v>16</v>
      </c>
      <c r="D18" s="3" t="s">
        <v>292</v>
      </c>
      <c r="E18" s="54"/>
      <c r="F18" s="12"/>
      <c r="G18" s="14" t="s">
        <v>17</v>
      </c>
      <c r="H18" s="3" t="s">
        <v>732</v>
      </c>
      <c r="I18" s="34"/>
    </row>
    <row r="19" spans="2:9">
      <c r="B19" s="12"/>
      <c r="C19" s="14" t="s">
        <v>17</v>
      </c>
      <c r="D19" s="3" t="s">
        <v>73</v>
      </c>
      <c r="E19" s="54"/>
      <c r="F19" s="12"/>
      <c r="G19" s="14"/>
      <c r="I19" s="34"/>
    </row>
    <row r="20" spans="2:9" ht="13.5" customHeight="1">
      <c r="B20" s="12"/>
      <c r="C20" s="14"/>
      <c r="D20" s="3"/>
      <c r="E20" s="54"/>
      <c r="F20" s="12"/>
      <c r="G20" s="19" t="s">
        <v>684</v>
      </c>
      <c r="I20" s="34"/>
    </row>
    <row r="21" spans="2:9">
      <c r="B21" s="12"/>
      <c r="C21" s="12" t="s">
        <v>219</v>
      </c>
      <c r="E21" s="54"/>
      <c r="F21" s="12"/>
      <c r="G21" s="14" t="s">
        <v>16</v>
      </c>
      <c r="H21" s="3" t="s">
        <v>685</v>
      </c>
      <c r="I21" s="34"/>
    </row>
    <row r="22" spans="2:9">
      <c r="B22" s="12"/>
      <c r="C22" s="14" t="s">
        <v>16</v>
      </c>
      <c r="D22" s="3" t="str">
        <f>Major_Rebuilds!B1</f>
        <v>Major Rebuilds</v>
      </c>
      <c r="E22" s="54"/>
      <c r="F22" s="12"/>
      <c r="G22" s="14" t="s">
        <v>17</v>
      </c>
      <c r="H22" s="3" t="s">
        <v>686</v>
      </c>
      <c r="I22" s="34"/>
    </row>
    <row r="23" spans="2:9">
      <c r="B23" s="12"/>
      <c r="C23" s="14" t="s">
        <v>17</v>
      </c>
      <c r="D23" s="3" t="str">
        <f>Stations!B1</f>
        <v>Stations</v>
      </c>
      <c r="E23" s="54"/>
      <c r="F23" s="12"/>
    </row>
    <row r="24" spans="2:9">
      <c r="B24" s="12"/>
      <c r="C24" s="14" t="s">
        <v>18</v>
      </c>
      <c r="D24" s="3" t="str">
        <f>Lines!B1</f>
        <v>Lines</v>
      </c>
      <c r="E24" s="54"/>
      <c r="F24" s="12"/>
      <c r="G24" s="19" t="s">
        <v>223</v>
      </c>
      <c r="I24" s="34"/>
    </row>
    <row r="25" spans="2:9">
      <c r="B25" s="12"/>
      <c r="C25" s="14" t="s">
        <v>19</v>
      </c>
      <c r="D25" s="3" t="str">
        <f>'PC&amp;A'!B1</f>
        <v>Protection, Control &amp; Automation</v>
      </c>
      <c r="E25" s="54"/>
      <c r="F25" s="12"/>
      <c r="G25" s="14" t="s">
        <v>16</v>
      </c>
      <c r="H25" s="3" t="s">
        <v>39</v>
      </c>
      <c r="I25" s="34"/>
    </row>
    <row r="26" spans="2:9">
      <c r="B26" s="12"/>
      <c r="C26" s="14" t="s">
        <v>20</v>
      </c>
      <c r="D26" s="3" t="str">
        <f>'SCADA&amp;Comms'!B1</f>
        <v>SCADA &amp; Network Communications</v>
      </c>
      <c r="E26" s="54"/>
      <c r="F26" s="12"/>
      <c r="G26" s="14" t="s">
        <v>17</v>
      </c>
      <c r="H26" s="3" t="s">
        <v>40</v>
      </c>
      <c r="I26" s="52"/>
    </row>
    <row r="27" spans="2:9">
      <c r="B27" s="12"/>
      <c r="C27" s="14" t="s">
        <v>41</v>
      </c>
      <c r="D27" s="3" t="str">
        <f>Metering_SCS!B1</f>
        <v>Metering SCS</v>
      </c>
      <c r="E27" s="54"/>
      <c r="F27" s="12"/>
      <c r="G27" s="14" t="s">
        <v>18</v>
      </c>
      <c r="H27" s="3" t="s">
        <v>682</v>
      </c>
      <c r="I27" s="52"/>
    </row>
    <row r="28" spans="2:9">
      <c r="B28" s="12"/>
      <c r="C28" s="15"/>
      <c r="F28" s="12"/>
      <c r="G28" s="14" t="s">
        <v>19</v>
      </c>
      <c r="H28" s="3" t="s">
        <v>683</v>
      </c>
      <c r="I28" s="52"/>
    </row>
    <row r="29" spans="2:9">
      <c r="B29" s="12"/>
      <c r="C29" s="12" t="s">
        <v>220</v>
      </c>
      <c r="E29" s="54"/>
      <c r="F29" s="12"/>
      <c r="G29" s="14" t="s">
        <v>20</v>
      </c>
      <c r="H29" s="3" t="s">
        <v>316</v>
      </c>
    </row>
    <row r="30" spans="2:9">
      <c r="B30" s="12"/>
      <c r="C30" s="14" t="s">
        <v>16</v>
      </c>
      <c r="D30" s="3" t="str">
        <f>ESL_1!B1</f>
        <v>Environmental, Safety &amp; Legal - Part A</v>
      </c>
      <c r="E30" s="54"/>
      <c r="F30" s="12"/>
    </row>
    <row r="31" spans="2:9">
      <c r="B31" s="12"/>
      <c r="C31" s="14" t="s">
        <v>17</v>
      </c>
      <c r="D31" s="3" t="str">
        <f>ESL_2!B1</f>
        <v>Environmental, Safety &amp; Legal - Part B</v>
      </c>
      <c r="E31" s="54"/>
      <c r="F31" s="12"/>
      <c r="G31" s="19" t="s">
        <v>346</v>
      </c>
    </row>
    <row r="32" spans="2:9">
      <c r="B32" s="12"/>
      <c r="C32" s="14" t="s">
        <v>18</v>
      </c>
      <c r="D32" s="3" t="s">
        <v>311</v>
      </c>
      <c r="E32" s="54"/>
      <c r="F32" s="12"/>
      <c r="G32" s="14" t="s">
        <v>16</v>
      </c>
      <c r="H32" s="3" t="s">
        <v>348</v>
      </c>
    </row>
    <row r="33" spans="2:9">
      <c r="B33" s="12"/>
      <c r="C33" s="14" t="s">
        <v>19</v>
      </c>
      <c r="D33" s="3" t="s">
        <v>406</v>
      </c>
      <c r="E33" s="54"/>
      <c r="F33" s="12"/>
      <c r="G33" s="14"/>
      <c r="I33" s="34"/>
    </row>
    <row r="34" spans="2:9">
      <c r="B34" s="12"/>
      <c r="C34" s="14"/>
      <c r="D34" s="3"/>
      <c r="E34" s="54"/>
      <c r="F34" s="23"/>
      <c r="G34" s="24"/>
      <c r="I34" s="34"/>
    </row>
    <row r="35" spans="2:9">
      <c r="B35" s="12"/>
      <c r="C35" s="12" t="s">
        <v>872</v>
      </c>
      <c r="E35" s="54"/>
    </row>
    <row r="36" spans="2:9">
      <c r="B36" s="12"/>
      <c r="C36" s="14" t="s">
        <v>16</v>
      </c>
      <c r="D36" s="3" t="str">
        <f>ICT!B1</f>
        <v>ICT Infrastructure</v>
      </c>
      <c r="E36" s="54"/>
    </row>
    <row r="37" spans="2:9">
      <c r="B37" s="12"/>
      <c r="C37" s="14" t="s">
        <v>17</v>
      </c>
      <c r="D37" s="3" t="str">
        <f>Metering_SCS!B1</f>
        <v>Metering SCS</v>
      </c>
      <c r="E37" s="54"/>
    </row>
    <row r="38" spans="2:9">
      <c r="B38" s="12"/>
      <c r="C38" s="14" t="s">
        <v>18</v>
      </c>
      <c r="D38" s="3" t="str">
        <f>Other_NN!B1</f>
        <v>Other Non Network</v>
      </c>
      <c r="E38" s="54"/>
    </row>
    <row r="39" spans="2:9" ht="6" customHeight="1">
      <c r="B39" s="12"/>
      <c r="C39" s="15"/>
      <c r="E39" s="34"/>
    </row>
    <row r="40" spans="2:9">
      <c r="E40" s="34"/>
    </row>
    <row r="41" spans="2:9" ht="6" customHeight="1">
      <c r="E41" s="34"/>
    </row>
    <row r="42" spans="2:9">
      <c r="E42" s="34"/>
    </row>
    <row r="43" spans="2:9">
      <c r="E43" s="34"/>
    </row>
    <row r="44" spans="2:9">
      <c r="E44" s="34"/>
    </row>
    <row r="45" spans="2:9">
      <c r="E45" s="34"/>
    </row>
    <row r="46" spans="2:9">
      <c r="B46" s="12"/>
      <c r="C46" s="15"/>
      <c r="E46" s="34"/>
    </row>
    <row r="47" spans="2:9">
      <c r="B47" s="12"/>
      <c r="C47" s="15"/>
      <c r="E47" s="34"/>
    </row>
    <row r="49" ht="5.25" customHeight="1"/>
    <row r="53" ht="6" customHeight="1"/>
    <row r="56" ht="6" customHeight="1"/>
    <row r="67" spans="2:2">
      <c r="B67" s="12"/>
    </row>
    <row r="68" spans="2:2">
      <c r="B68" s="12"/>
    </row>
    <row r="69" spans="2:2">
      <c r="B69" s="12"/>
    </row>
  </sheetData>
  <hyperlinks>
    <hyperlink ref="B5" location="Assumptions!A1" display="Assumptions" xr:uid="{00000000-0004-0000-0200-000000000000}"/>
    <hyperlink ref="B12" location="'Inputs -&gt;'!A1" display="2. Inputs" xr:uid="{00000000-0004-0000-0200-000001000000}"/>
    <hyperlink ref="D15" location="Augmentation!A1" display="Augmentation Capex" xr:uid="{00000000-0004-0000-0200-000002000000}"/>
    <hyperlink ref="D22" location="'Major_Rebuilds'!A1" display="'Major_Rebuilds'!A1" xr:uid="{00000000-0004-0000-0200-000003000000}"/>
    <hyperlink ref="D23" location="Stations!A1" display="Stations" xr:uid="{00000000-0004-0000-0200-000004000000}"/>
    <hyperlink ref="D24" location="Lines!A1" display="Lines" xr:uid="{00000000-0004-0000-0200-000005000000}"/>
    <hyperlink ref="D25" location="'PC&amp;A'!A1" display="Protection, Control &amp; Automation" xr:uid="{00000000-0004-0000-0200-000006000000}"/>
    <hyperlink ref="D26" location="'SCADA&amp;Comms'!A1" display="'SCADA&amp;Comms'!A1" xr:uid="{00000000-0004-0000-0200-000007000000}"/>
    <hyperlink ref="D30" location="ESL_1!A1" display="ESL_1!A1" xr:uid="{00000000-0004-0000-0200-000009000000}"/>
    <hyperlink ref="D18" location="Connections!B5" display="Customer Capex" xr:uid="{00000000-0004-0000-0200-00000A000000}"/>
    <hyperlink ref="D36" location="'ICT'!A1" display="'ICT'!A1" xr:uid="{00000000-0004-0000-0200-00000B000000}"/>
    <hyperlink ref="D38" location="Other_NN!A1" display="Other_NN!A1" xr:uid="{00000000-0004-0000-0200-00000C000000}"/>
    <hyperlink ref="F5" location="'Aggregations &amp; Alloc -&gt;'!A1" display="4. Aggregations &amp; Allocations" xr:uid="{00000000-0004-0000-0200-00000D000000}"/>
    <hyperlink ref="F15" location="'Outputs -&gt;'!A1" display="4. Outputs" xr:uid="{00000000-0004-0000-0200-00000E000000}"/>
    <hyperlink ref="B7" location="'Lookups -&gt;'!A1" display="5. Lookup Tables" xr:uid="{00000000-0004-0000-0200-00000F000000}"/>
    <hyperlink ref="D8" location="Escalators!A1" display="CPI index" xr:uid="{00000000-0004-0000-0200-000010000000}"/>
    <hyperlink ref="D9" location="Lab_Mat!A1" display="Labour &amp; Material Escalators" xr:uid="{00000000-0004-0000-0200-000011000000}"/>
    <hyperlink ref="D10" location="Lookups!A1" display="Reporting Categories" xr:uid="{00000000-0004-0000-0200-000012000000}"/>
    <hyperlink ref="H17" location="RFM_PTRM!A1" display="RFM_PTRM!A1" xr:uid="{00000000-0004-0000-0200-000013000000}"/>
    <hyperlink ref="H21" location="DER!A1" display="DER related Capex" xr:uid="{00000000-0004-0000-0200-000014000000}"/>
    <hyperlink ref="H25" location="'2.1 Exp Summary'!A1" display="2.1 Expenditure Summary" xr:uid="{00000000-0004-0000-0200-000015000000}"/>
    <hyperlink ref="H26" location="'2.6 Non-Network'!A1" display="2.6 Non-Network" xr:uid="{00000000-0004-0000-0200-000016000000}"/>
    <hyperlink ref="H27" location="'2.1.8 Cap Overheads'!A1" display="2.1.8 Overheads" xr:uid="{00000000-0004-0000-0200-000017000000}"/>
    <hyperlink ref="H28" location="'2.11 Labour'!A1" display="2.11 Labour" xr:uid="{00000000-0004-0000-0200-000018000000}"/>
    <hyperlink ref="H7" location="Base_Forecast!A1" display="Base_Forecast!A1" xr:uid="{00000000-0004-0000-0200-000019000000}"/>
    <hyperlink ref="H8" location="Reg_Forecast!A1" display="Reg_Forecast!A1" xr:uid="{00000000-0004-0000-0200-00001A000000}"/>
    <hyperlink ref="D31" location="ESL_2!A1" display="ESL_2!A1" xr:uid="{00000000-0004-0000-0200-00001B000000}"/>
    <hyperlink ref="H13" location="AusNet_Overheads!A1" display="AusNet Overhead allocations" xr:uid="{00000000-0004-0000-0200-00001C000000}"/>
    <hyperlink ref="D19" location="Connections!B43" display="Customer Contributions" xr:uid="{00000000-0004-0000-0200-00001D000000}"/>
    <hyperlink ref="D32" location="ESL_2!A40" display="Govt. Funded Safety Programs" xr:uid="{00000000-0004-0000-0200-00001E000000}"/>
    <hyperlink ref="H29" location="'2.17 Step Changes'!A1" display="2.17 Step Changes" xr:uid="{00000000-0004-0000-0200-00001F000000}"/>
    <hyperlink ref="H9" location="Downer_Contract!A1" display="Downer Support Costs" xr:uid="{00000000-0004-0000-0200-000020000000}"/>
    <hyperlink ref="H10" location="RIN_Direct_Forecast!A1" display="RIN Expenditure Summary - Direct Expenditure" xr:uid="{00000000-0004-0000-0200-000021000000}"/>
    <hyperlink ref="H32" location="Repex_Analysis!A1" display="Repex Volumes Analysis" xr:uid="{00000000-0004-0000-0200-000022000000}"/>
    <hyperlink ref="H22" location="REFCL_view!A1" display="REFCL Capex" xr:uid="{00000000-0004-0000-0200-000023000000}"/>
    <hyperlink ref="D27" location="Metering_SCS!A1" display="Metering_SCS!A1" xr:uid="{00000000-0004-0000-0200-000024000000}"/>
    <hyperlink ref="D33" location="REFCL!A1" display="REFCL Program" xr:uid="{00000000-0004-0000-0200-000025000000}"/>
    <hyperlink ref="H12" location="Safety!A1" display="Safety!A1" xr:uid="{00000000-0004-0000-0200-000026000000}"/>
    <hyperlink ref="D37" location="Metering_SCS!A1" display="Metering_SCS!A1" xr:uid="{00000000-0004-0000-0200-000027000000}"/>
    <hyperlink ref="H11" location="Capex_by_Driver!A1" display="Capex by Driver" xr:uid="{00000000-0004-0000-0200-000028000000}"/>
    <hyperlink ref="H18" location="'Capex_2016-2026'!A1" display="Capex 2016-2026" xr:uid="{00000000-0004-0000-0200-000029000000}"/>
  </hyperlinks>
  <pageMargins left="0.25" right="0.25" top="0.75" bottom="0.75" header="0.3" footer="0.3"/>
  <pageSetup paperSize="9" scale="86"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D17"/>
  <sheetViews>
    <sheetView zoomScale="85" zoomScaleNormal="85" zoomScalePageLayoutView="125" workbookViewId="0"/>
  </sheetViews>
  <sheetFormatPr defaultColWidth="8.85546875" defaultRowHeight="15"/>
  <cols>
    <col min="1" max="1" width="6.28515625" style="1" customWidth="1"/>
    <col min="2" max="2" width="4.28515625" style="1" customWidth="1"/>
    <col min="3" max="3" width="94.85546875" style="1" customWidth="1"/>
    <col min="4" max="16384" width="8.85546875" style="1"/>
  </cols>
  <sheetData>
    <row r="1" spans="2:4" ht="18.75">
      <c r="B1" s="10" t="s">
        <v>7</v>
      </c>
    </row>
    <row r="2" spans="2:4">
      <c r="B2" s="25" t="s">
        <v>6</v>
      </c>
    </row>
    <row r="4" spans="2:4" ht="30">
      <c r="B4" s="4">
        <v>1</v>
      </c>
      <c r="C4" s="5" t="s">
        <v>8</v>
      </c>
    </row>
    <row r="5" spans="2:4">
      <c r="B5" s="4">
        <v>2</v>
      </c>
      <c r="C5" s="5" t="s">
        <v>255</v>
      </c>
    </row>
    <row r="6" spans="2:4" ht="45">
      <c r="B6" s="4">
        <v>3</v>
      </c>
      <c r="C6" s="261" t="s">
        <v>491</v>
      </c>
      <c r="D6" s="255"/>
    </row>
    <row r="7" spans="2:4" ht="30">
      <c r="B7" s="4">
        <v>4</v>
      </c>
      <c r="C7" s="5" t="s">
        <v>673</v>
      </c>
    </row>
    <row r="8" spans="2:4">
      <c r="B8" s="4">
        <v>5</v>
      </c>
      <c r="C8" s="261"/>
      <c r="D8" s="255"/>
    </row>
    <row r="9" spans="2:4">
      <c r="B9" s="4">
        <v>6</v>
      </c>
      <c r="C9" s="5"/>
    </row>
    <row r="10" spans="2:4">
      <c r="B10" s="4">
        <v>7</v>
      </c>
      <c r="C10" s="5"/>
    </row>
    <row r="11" spans="2:4">
      <c r="B11" s="4">
        <v>8</v>
      </c>
      <c r="C11" s="5"/>
    </row>
    <row r="12" spans="2:4">
      <c r="B12" s="4">
        <v>9</v>
      </c>
      <c r="C12" s="5"/>
    </row>
    <row r="13" spans="2:4">
      <c r="B13" s="4">
        <v>10</v>
      </c>
      <c r="C13" s="5"/>
    </row>
    <row r="14" spans="2:4">
      <c r="B14" s="4">
        <v>11</v>
      </c>
      <c r="C14" s="5"/>
    </row>
    <row r="15" spans="2:4">
      <c r="B15" s="4">
        <v>12</v>
      </c>
      <c r="C15" s="5"/>
    </row>
    <row r="16" spans="2:4">
      <c r="B16" s="4">
        <v>13</v>
      </c>
      <c r="C16" s="5"/>
    </row>
    <row r="17" spans="2:3">
      <c r="B17" s="4">
        <v>14</v>
      </c>
      <c r="C17" s="5"/>
    </row>
  </sheetData>
  <hyperlinks>
    <hyperlink ref="B2" location="Contents!A1" display="Table of Contents" xr:uid="{00000000-0004-0000-03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499984740745262"/>
  </sheetPr>
  <dimension ref="C3:C4"/>
  <sheetViews>
    <sheetView zoomScaleNormal="100" zoomScalePageLayoutView="125" workbookViewId="0">
      <selection activeCell="O34" sqref="O34"/>
    </sheetView>
  </sheetViews>
  <sheetFormatPr defaultColWidth="8.85546875" defaultRowHeight="15"/>
  <cols>
    <col min="1" max="16384" width="8.85546875" style="22"/>
  </cols>
  <sheetData>
    <row r="3" spans="3:3" ht="18.75">
      <c r="C3" s="21" t="s">
        <v>22</v>
      </c>
    </row>
    <row r="4" spans="3:3">
      <c r="C4" s="26" t="s">
        <v>6</v>
      </c>
    </row>
  </sheetData>
  <hyperlinks>
    <hyperlink ref="C4" location="Contents!A1" display="Table of Contents" xr:uid="{00000000-0004-0000-04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Z99"/>
  <sheetViews>
    <sheetView zoomScale="85" zoomScaleNormal="85" zoomScalePageLayoutView="125" workbookViewId="0">
      <pane ySplit="2" topLeftCell="A3" activePane="bottomLeft" state="frozen"/>
      <selection activeCell="V33" sqref="V33"/>
      <selection pane="bottomLeft" activeCell="B2" sqref="B2"/>
    </sheetView>
  </sheetViews>
  <sheetFormatPr defaultColWidth="8.85546875" defaultRowHeight="15" outlineLevelRow="1"/>
  <cols>
    <col min="1" max="1" width="4.42578125" style="1" customWidth="1"/>
    <col min="2" max="2" width="35" style="1" customWidth="1"/>
    <col min="3" max="3" width="40" style="1" customWidth="1"/>
    <col min="4" max="4" width="10.7109375" style="1" customWidth="1"/>
    <col min="5" max="8" width="10.42578125" style="1" customWidth="1"/>
    <col min="9" max="9" width="11" style="1" customWidth="1"/>
    <col min="10" max="10" width="26.7109375" style="1" customWidth="1"/>
    <col min="11" max="14" width="10.85546875" style="1" customWidth="1"/>
    <col min="15" max="15" width="11.28515625" style="1" customWidth="1"/>
    <col min="16" max="16" width="9.7109375" style="1" customWidth="1"/>
    <col min="17" max="17" width="10.28515625" style="1" customWidth="1"/>
    <col min="18" max="18" width="10.140625" style="1" customWidth="1"/>
    <col min="19" max="16384" width="8.85546875" style="1"/>
  </cols>
  <sheetData>
    <row r="1" spans="2:26" ht="21">
      <c r="B1" s="11" t="s">
        <v>168</v>
      </c>
    </row>
    <row r="2" spans="2:26">
      <c r="B2" s="25" t="s">
        <v>6</v>
      </c>
    </row>
    <row r="3" spans="2:26">
      <c r="B3" s="25"/>
      <c r="D3" s="52"/>
    </row>
    <row r="4" spans="2:26">
      <c r="B4" s="2" t="s">
        <v>184</v>
      </c>
      <c r="J4" s="2" t="s">
        <v>594</v>
      </c>
    </row>
    <row r="5" spans="2:26" ht="60" customHeight="1">
      <c r="B5" s="71" t="s">
        <v>178</v>
      </c>
      <c r="C5" s="71" t="s">
        <v>212</v>
      </c>
      <c r="D5" s="72" t="s">
        <v>174</v>
      </c>
      <c r="E5" s="72" t="s">
        <v>173</v>
      </c>
      <c r="F5" s="72" t="s">
        <v>297</v>
      </c>
      <c r="G5" s="72" t="s">
        <v>175</v>
      </c>
      <c r="H5" s="72" t="s">
        <v>146</v>
      </c>
      <c r="J5" s="6" t="s">
        <v>406</v>
      </c>
      <c r="K5" s="325" t="s">
        <v>174</v>
      </c>
      <c r="L5" s="325" t="s">
        <v>173</v>
      </c>
      <c r="M5" s="325" t="s">
        <v>297</v>
      </c>
      <c r="N5" s="325" t="s">
        <v>175</v>
      </c>
      <c r="R5" s="178"/>
      <c r="S5" s="178"/>
      <c r="T5" s="178"/>
      <c r="U5" s="178"/>
      <c r="W5" s="178"/>
      <c r="X5" s="178"/>
      <c r="Y5" s="178"/>
      <c r="Z5" s="178"/>
    </row>
    <row r="6" spans="2:26" ht="30">
      <c r="B6" s="58" t="s">
        <v>10</v>
      </c>
      <c r="C6" s="5" t="s">
        <v>152</v>
      </c>
      <c r="D6" s="59">
        <v>0.15489332451817117</v>
      </c>
      <c r="E6" s="59">
        <v>0.30881909755197362</v>
      </c>
      <c r="F6" s="59">
        <v>0.42070477820427504</v>
      </c>
      <c r="G6" s="59">
        <v>0.11558279972558014</v>
      </c>
      <c r="H6" s="59">
        <f t="shared" ref="H6:H28" si="0">SUBTOTAL(9,D6:G6)</f>
        <v>1</v>
      </c>
      <c r="J6" s="6" t="s">
        <v>741</v>
      </c>
      <c r="K6" s="62">
        <v>0.18390347645903971</v>
      </c>
      <c r="L6" s="62">
        <v>0.54136896366650211</v>
      </c>
      <c r="M6" s="62">
        <v>0.19655206348634541</v>
      </c>
      <c r="N6" s="62">
        <v>7.8175496388112831E-2</v>
      </c>
      <c r="O6" s="1" t="s">
        <v>457</v>
      </c>
      <c r="R6" s="179"/>
      <c r="S6" s="179"/>
      <c r="T6" s="179"/>
      <c r="U6" s="179"/>
      <c r="W6" s="179"/>
      <c r="X6" s="179"/>
      <c r="Y6" s="179"/>
      <c r="Z6" s="179"/>
    </row>
    <row r="7" spans="2:26">
      <c r="B7" s="60" t="s">
        <v>10</v>
      </c>
      <c r="C7" s="6" t="s">
        <v>153</v>
      </c>
      <c r="D7" s="59">
        <v>0.15489332451817117</v>
      </c>
      <c r="E7" s="59">
        <v>0.30881909755197368</v>
      </c>
      <c r="F7" s="59">
        <v>0.42070477820427504</v>
      </c>
      <c r="G7" s="59">
        <v>0.11558279972558012</v>
      </c>
      <c r="H7" s="59">
        <f t="shared" si="0"/>
        <v>1</v>
      </c>
      <c r="J7" s="6" t="s">
        <v>555</v>
      </c>
      <c r="K7" s="62">
        <v>0.15966178025819389</v>
      </c>
      <c r="L7" s="62">
        <v>0.33308159907257306</v>
      </c>
      <c r="M7" s="62">
        <v>0.37756140141055267</v>
      </c>
      <c r="N7" s="62">
        <v>0.12969521925868047</v>
      </c>
      <c r="O7" s="1" t="s">
        <v>457</v>
      </c>
      <c r="R7" s="179"/>
      <c r="S7" s="179"/>
      <c r="T7" s="179"/>
      <c r="U7" s="179"/>
      <c r="W7" s="179"/>
      <c r="X7" s="179"/>
      <c r="Y7" s="179"/>
      <c r="Z7" s="179"/>
    </row>
    <row r="8" spans="2:26">
      <c r="B8" s="60" t="s">
        <v>10</v>
      </c>
      <c r="C8" s="6" t="s">
        <v>164</v>
      </c>
      <c r="D8" s="59">
        <v>0.1548933245181712</v>
      </c>
      <c r="E8" s="59">
        <v>0.30881909755197368</v>
      </c>
      <c r="F8" s="59">
        <v>0.4207047782042751</v>
      </c>
      <c r="G8" s="59">
        <v>0.11558279972558015</v>
      </c>
      <c r="H8" s="59">
        <f t="shared" si="0"/>
        <v>1</v>
      </c>
      <c r="J8" s="6" t="s">
        <v>556</v>
      </c>
      <c r="K8" s="62">
        <v>0.17471625775831814</v>
      </c>
      <c r="L8" s="62">
        <v>0.13041032128525792</v>
      </c>
      <c r="M8" s="62">
        <v>0.51973031692602212</v>
      </c>
      <c r="N8" s="62">
        <v>0.17514310403040181</v>
      </c>
      <c r="O8" s="1" t="s">
        <v>458</v>
      </c>
      <c r="R8" s="179"/>
      <c r="S8" s="179"/>
      <c r="T8" s="179"/>
      <c r="U8" s="179"/>
      <c r="W8" s="179"/>
      <c r="X8" s="179"/>
      <c r="Y8" s="179"/>
      <c r="Z8" s="179"/>
    </row>
    <row r="9" spans="2:26">
      <c r="B9" s="60" t="s">
        <v>10</v>
      </c>
      <c r="C9" s="6" t="s">
        <v>154</v>
      </c>
      <c r="D9" s="59">
        <v>0.15489332451817117</v>
      </c>
      <c r="E9" s="59">
        <v>0.30881909755197368</v>
      </c>
      <c r="F9" s="59">
        <v>0.42070477820427504</v>
      </c>
      <c r="G9" s="59">
        <v>0.11558279972558014</v>
      </c>
      <c r="H9" s="59">
        <f t="shared" si="0"/>
        <v>1</v>
      </c>
      <c r="J9" s="6" t="s">
        <v>557</v>
      </c>
      <c r="K9" s="62">
        <v>0</v>
      </c>
      <c r="L9" s="62">
        <v>1</v>
      </c>
      <c r="M9" s="62">
        <v>0</v>
      </c>
      <c r="N9" s="62">
        <v>0</v>
      </c>
      <c r="O9" s="1" t="s">
        <v>558</v>
      </c>
      <c r="R9" s="179"/>
      <c r="S9" s="179"/>
      <c r="T9" s="179"/>
      <c r="U9" s="179"/>
      <c r="W9" s="179"/>
      <c r="X9" s="179"/>
      <c r="Y9" s="179"/>
      <c r="Z9" s="179"/>
    </row>
    <row r="10" spans="2:26">
      <c r="B10" s="60" t="s">
        <v>10</v>
      </c>
      <c r="C10" s="6" t="s">
        <v>165</v>
      </c>
      <c r="D10" s="59">
        <v>0.15489332451817114</v>
      </c>
      <c r="E10" s="59">
        <v>0.30881909755197362</v>
      </c>
      <c r="F10" s="59">
        <v>0.42070477820427499</v>
      </c>
      <c r="G10" s="59">
        <v>0.11558279972558014</v>
      </c>
      <c r="H10" s="59">
        <f t="shared" si="0"/>
        <v>0.99999999999999989</v>
      </c>
      <c r="J10" s="462" t="s">
        <v>735</v>
      </c>
      <c r="R10" s="179"/>
      <c r="S10" s="179"/>
      <c r="T10" s="179"/>
      <c r="U10" s="179"/>
      <c r="W10" s="179"/>
      <c r="X10" s="179"/>
      <c r="Y10" s="179"/>
      <c r="Z10" s="179"/>
    </row>
    <row r="11" spans="2:26">
      <c r="B11" s="61" t="s">
        <v>10</v>
      </c>
      <c r="C11" s="6" t="s">
        <v>155</v>
      </c>
      <c r="D11" s="254">
        <v>0</v>
      </c>
      <c r="E11" s="254">
        <v>0</v>
      </c>
      <c r="F11" s="254">
        <v>0</v>
      </c>
      <c r="G11" s="254">
        <v>0</v>
      </c>
      <c r="H11" s="177">
        <f t="shared" si="0"/>
        <v>0</v>
      </c>
      <c r="R11" s="179"/>
      <c r="S11" s="179"/>
      <c r="T11" s="179"/>
      <c r="U11" s="179"/>
      <c r="W11" s="179"/>
      <c r="X11" s="179"/>
      <c r="Y11" s="179"/>
      <c r="Z11" s="179"/>
    </row>
    <row r="12" spans="2:26">
      <c r="B12" s="6" t="s">
        <v>32</v>
      </c>
      <c r="C12" s="6" t="s">
        <v>167</v>
      </c>
      <c r="D12" s="59">
        <v>0.1083177090788157</v>
      </c>
      <c r="E12" s="59">
        <v>0.12215934118391332</v>
      </c>
      <c r="F12" s="59">
        <v>0.7027694645437822</v>
      </c>
      <c r="G12" s="59">
        <v>6.6753485193488837E-2</v>
      </c>
      <c r="H12" s="59">
        <f t="shared" si="0"/>
        <v>1</v>
      </c>
      <c r="I12" s="1" t="s">
        <v>745</v>
      </c>
      <c r="R12" s="179"/>
      <c r="S12" s="179"/>
      <c r="T12" s="179"/>
      <c r="U12" s="179"/>
      <c r="W12" s="179"/>
      <c r="X12" s="179"/>
      <c r="Y12" s="179"/>
      <c r="Z12" s="179"/>
    </row>
    <row r="13" spans="2:26">
      <c r="B13" s="31" t="s">
        <v>150</v>
      </c>
      <c r="C13" s="6" t="s">
        <v>102</v>
      </c>
      <c r="D13" s="59">
        <v>9.9857183765051566E-2</v>
      </c>
      <c r="E13" s="59">
        <v>0.21989912164615855</v>
      </c>
      <c r="F13" s="59">
        <v>0.58908054274122468</v>
      </c>
      <c r="G13" s="59">
        <v>9.1163151847565252E-2</v>
      </c>
      <c r="H13" s="59">
        <f t="shared" si="0"/>
        <v>1</v>
      </c>
      <c r="R13" s="179"/>
      <c r="S13" s="179"/>
      <c r="T13" s="179"/>
      <c r="U13" s="179"/>
      <c r="W13" s="179"/>
      <c r="X13" s="179"/>
      <c r="Y13" s="179"/>
      <c r="Z13" s="179"/>
    </row>
    <row r="14" spans="2:26">
      <c r="B14" s="60" t="s">
        <v>150</v>
      </c>
      <c r="C14" s="6" t="s">
        <v>156</v>
      </c>
      <c r="D14" s="59">
        <v>9.9857183765051566E-2</v>
      </c>
      <c r="E14" s="59">
        <v>0.21989912164615852</v>
      </c>
      <c r="F14" s="59">
        <v>0.58908054274122468</v>
      </c>
      <c r="G14" s="59">
        <v>9.1163151847565266E-2</v>
      </c>
      <c r="H14" s="59">
        <f t="shared" si="0"/>
        <v>1</v>
      </c>
      <c r="R14" s="179"/>
      <c r="S14" s="179"/>
      <c r="T14" s="179"/>
      <c r="U14" s="179"/>
      <c r="W14" s="179"/>
      <c r="X14" s="179"/>
      <c r="Y14" s="179"/>
      <c r="Z14" s="179"/>
    </row>
    <row r="15" spans="2:26">
      <c r="B15" s="60" t="s">
        <v>150</v>
      </c>
      <c r="C15" s="6" t="s">
        <v>157</v>
      </c>
      <c r="D15" s="59">
        <v>9.985718376505158E-2</v>
      </c>
      <c r="E15" s="59">
        <v>0.21989912164615855</v>
      </c>
      <c r="F15" s="59">
        <v>0.58908054274122468</v>
      </c>
      <c r="G15" s="59">
        <v>9.1163151847565266E-2</v>
      </c>
      <c r="H15" s="59">
        <f t="shared" si="0"/>
        <v>1</v>
      </c>
      <c r="R15" s="179"/>
      <c r="S15" s="179"/>
      <c r="T15" s="179"/>
      <c r="U15" s="179"/>
      <c r="W15" s="179"/>
      <c r="X15" s="179"/>
      <c r="Y15" s="179"/>
      <c r="Z15" s="179"/>
    </row>
    <row r="16" spans="2:26">
      <c r="B16" s="60" t="s">
        <v>150</v>
      </c>
      <c r="C16" s="6" t="s">
        <v>158</v>
      </c>
      <c r="D16" s="59">
        <v>9.985718376505158E-2</v>
      </c>
      <c r="E16" s="59">
        <v>0.21989912164615857</v>
      </c>
      <c r="F16" s="59">
        <v>0.58908054274122468</v>
      </c>
      <c r="G16" s="59">
        <v>9.1163151847565266E-2</v>
      </c>
      <c r="H16" s="59">
        <f t="shared" si="0"/>
        <v>1</v>
      </c>
      <c r="R16" s="179"/>
      <c r="S16" s="179"/>
      <c r="T16" s="179"/>
      <c r="U16" s="179"/>
      <c r="W16" s="179"/>
      <c r="X16" s="179"/>
      <c r="Y16" s="179"/>
      <c r="Z16" s="179"/>
    </row>
    <row r="17" spans="2:26">
      <c r="B17" s="60" t="s">
        <v>150</v>
      </c>
      <c r="C17" s="6" t="s">
        <v>159</v>
      </c>
      <c r="D17" s="59">
        <v>9.9857183765051566E-2</v>
      </c>
      <c r="E17" s="59">
        <v>0.21989912164615852</v>
      </c>
      <c r="F17" s="59">
        <v>0.58908054274122457</v>
      </c>
      <c r="G17" s="59">
        <v>9.1163151847565252E-2</v>
      </c>
      <c r="H17" s="59">
        <f t="shared" si="0"/>
        <v>1</v>
      </c>
      <c r="R17" s="179"/>
      <c r="S17" s="179"/>
      <c r="T17" s="179"/>
      <c r="U17" s="179"/>
      <c r="W17" s="179"/>
      <c r="X17" s="179"/>
      <c r="Y17" s="179"/>
      <c r="Z17" s="179"/>
    </row>
    <row r="18" spans="2:26">
      <c r="B18" s="60" t="s">
        <v>150</v>
      </c>
      <c r="C18" s="6" t="s">
        <v>160</v>
      </c>
      <c r="D18" s="59">
        <v>9.9857183765051566E-2</v>
      </c>
      <c r="E18" s="59">
        <v>0.21989912164615855</v>
      </c>
      <c r="F18" s="59">
        <v>0.58908054274122468</v>
      </c>
      <c r="G18" s="59">
        <v>9.1163151847565266E-2</v>
      </c>
      <c r="H18" s="59">
        <f t="shared" si="0"/>
        <v>1</v>
      </c>
      <c r="R18" s="179"/>
      <c r="S18" s="179"/>
      <c r="T18" s="179"/>
      <c r="U18" s="179"/>
      <c r="W18" s="179"/>
      <c r="X18" s="179"/>
      <c r="Y18" s="179"/>
      <c r="Z18" s="179"/>
    </row>
    <row r="19" spans="2:26">
      <c r="B19" s="60" t="s">
        <v>150</v>
      </c>
      <c r="C19" s="6" t="s">
        <v>161</v>
      </c>
      <c r="D19" s="59">
        <v>9.9857183765051566E-2</v>
      </c>
      <c r="E19" s="59">
        <v>0.21989912164615855</v>
      </c>
      <c r="F19" s="59">
        <v>0.58908054274122468</v>
      </c>
      <c r="G19" s="59">
        <v>9.1163151847565266E-2</v>
      </c>
      <c r="H19" s="59">
        <f t="shared" si="0"/>
        <v>1</v>
      </c>
      <c r="R19" s="179"/>
      <c r="S19" s="179"/>
      <c r="T19" s="179"/>
      <c r="U19" s="179"/>
      <c r="W19" s="179"/>
      <c r="X19" s="179"/>
      <c r="Y19" s="179"/>
      <c r="Z19" s="179"/>
    </row>
    <row r="20" spans="2:26">
      <c r="B20" s="60" t="s">
        <v>150</v>
      </c>
      <c r="C20" s="407" t="s">
        <v>176</v>
      </c>
      <c r="D20" s="408">
        <f>AVERAGE(D18:D19)</f>
        <v>9.9857183765051566E-2</v>
      </c>
      <c r="E20" s="408">
        <f t="shared" ref="E20:G20" si="1">AVERAGE(E18:E19)</f>
        <v>0.21989912164615855</v>
      </c>
      <c r="F20" s="408">
        <f t="shared" si="1"/>
        <v>0.58908054274122468</v>
      </c>
      <c r="G20" s="408">
        <f t="shared" si="1"/>
        <v>9.1163151847565266E-2</v>
      </c>
      <c r="H20" s="408">
        <f t="shared" si="0"/>
        <v>1</v>
      </c>
      <c r="R20" s="179"/>
      <c r="S20" s="179"/>
      <c r="T20" s="179"/>
      <c r="U20" s="179"/>
      <c r="W20" s="179"/>
      <c r="X20" s="179"/>
      <c r="Y20" s="179"/>
      <c r="Z20" s="179"/>
    </row>
    <row r="21" spans="2:26">
      <c r="B21" s="60" t="s">
        <v>150</v>
      </c>
      <c r="C21" s="6" t="s">
        <v>323</v>
      </c>
      <c r="D21" s="74">
        <v>9.9857183765051566E-2</v>
      </c>
      <c r="E21" s="74">
        <v>0.21989912164615855</v>
      </c>
      <c r="F21" s="74">
        <v>0.58908054274122468</v>
      </c>
      <c r="G21" s="74">
        <v>9.1163151847565266E-2</v>
      </c>
      <c r="H21" s="59">
        <f t="shared" si="0"/>
        <v>1</v>
      </c>
      <c r="R21" s="179"/>
      <c r="S21" s="179"/>
      <c r="T21" s="179"/>
      <c r="U21" s="179"/>
      <c r="W21" s="179"/>
      <c r="X21" s="179"/>
      <c r="Y21" s="179"/>
      <c r="Z21" s="179"/>
    </row>
    <row r="22" spans="2:26">
      <c r="B22" s="60" t="s">
        <v>150</v>
      </c>
      <c r="C22" s="6" t="s">
        <v>5</v>
      </c>
      <c r="D22" s="74">
        <v>9.9857183765051566E-2</v>
      </c>
      <c r="E22" s="74">
        <v>0.21989912164615852</v>
      </c>
      <c r="F22" s="74">
        <v>0.58908054274122468</v>
      </c>
      <c r="G22" s="74">
        <v>9.1163151847565266E-2</v>
      </c>
      <c r="H22" s="59">
        <f t="shared" si="0"/>
        <v>1</v>
      </c>
      <c r="R22" s="179"/>
      <c r="S22" s="179"/>
      <c r="T22" s="179"/>
      <c r="U22" s="179"/>
      <c r="W22" s="179"/>
      <c r="X22" s="179"/>
      <c r="Y22" s="179"/>
      <c r="Z22" s="179"/>
    </row>
    <row r="23" spans="2:26">
      <c r="B23" s="60"/>
      <c r="C23" s="317" t="s">
        <v>544</v>
      </c>
      <c r="D23" s="409">
        <v>0.2</v>
      </c>
      <c r="E23" s="409">
        <v>0.8</v>
      </c>
      <c r="F23" s="409">
        <v>0</v>
      </c>
      <c r="G23" s="409">
        <v>0</v>
      </c>
      <c r="H23" s="316">
        <f t="shared" si="0"/>
        <v>1</v>
      </c>
      <c r="R23" s="179"/>
      <c r="S23" s="179"/>
      <c r="T23" s="179"/>
      <c r="U23" s="179"/>
      <c r="W23" s="179"/>
      <c r="X23" s="179"/>
      <c r="Y23" s="179"/>
      <c r="Z23" s="179"/>
    </row>
    <row r="24" spans="2:26">
      <c r="B24" s="60"/>
      <c r="C24" s="6" t="s">
        <v>543</v>
      </c>
      <c r="D24" s="180">
        <v>0.19</v>
      </c>
      <c r="E24" s="180">
        <v>0.81</v>
      </c>
      <c r="F24" s="180">
        <v>0</v>
      </c>
      <c r="G24" s="180">
        <v>0</v>
      </c>
      <c r="H24" s="59">
        <f t="shared" ref="H24" si="2">SUBTOTAL(9,D24:G24)</f>
        <v>1</v>
      </c>
      <c r="R24" s="179"/>
      <c r="S24" s="179"/>
      <c r="T24" s="179"/>
      <c r="U24" s="179"/>
      <c r="W24" s="179"/>
      <c r="X24" s="179"/>
      <c r="Y24" s="179"/>
      <c r="Z24" s="179"/>
    </row>
    <row r="25" spans="2:26">
      <c r="B25" s="31" t="s">
        <v>151</v>
      </c>
      <c r="C25" s="6" t="s">
        <v>166</v>
      </c>
      <c r="D25" s="59">
        <v>0.18059595131155939</v>
      </c>
      <c r="E25" s="59">
        <v>0.3444349339228841</v>
      </c>
      <c r="F25" s="59">
        <v>0.47496911476555648</v>
      </c>
      <c r="G25" s="59">
        <v>0</v>
      </c>
      <c r="H25" s="59">
        <f t="shared" si="0"/>
        <v>1</v>
      </c>
      <c r="I25" s="54" t="s">
        <v>595</v>
      </c>
      <c r="R25" s="179"/>
      <c r="S25" s="179"/>
      <c r="T25" s="179"/>
      <c r="U25" s="179"/>
      <c r="W25" s="179"/>
      <c r="X25" s="179"/>
      <c r="Y25" s="179"/>
      <c r="Z25" s="179"/>
    </row>
    <row r="26" spans="2:26">
      <c r="B26" s="60" t="s">
        <v>151</v>
      </c>
      <c r="C26" s="75" t="s">
        <v>162</v>
      </c>
      <c r="D26" s="180">
        <v>7.5602248903352409E-5</v>
      </c>
      <c r="E26" s="180">
        <v>0.31234844765683267</v>
      </c>
      <c r="F26" s="180">
        <v>-1.5861030210103227E-5</v>
      </c>
      <c r="G26" s="180">
        <v>0.68759181112447409</v>
      </c>
      <c r="H26" s="180">
        <f t="shared" si="0"/>
        <v>1</v>
      </c>
      <c r="I26" s="1" t="s">
        <v>324</v>
      </c>
      <c r="K26" s="406"/>
      <c r="L26" s="406"/>
      <c r="M26" s="406"/>
      <c r="R26" s="179"/>
      <c r="S26" s="179"/>
      <c r="T26" s="179"/>
      <c r="U26" s="179"/>
      <c r="W26" s="179"/>
      <c r="X26" s="179"/>
      <c r="Y26" s="179"/>
      <c r="Z26" s="179"/>
    </row>
    <row r="27" spans="2:26">
      <c r="B27" s="60" t="s">
        <v>151</v>
      </c>
      <c r="C27" s="75" t="s">
        <v>163</v>
      </c>
      <c r="D27" s="180">
        <v>0</v>
      </c>
      <c r="E27" s="180">
        <v>0.1234599702833751</v>
      </c>
      <c r="F27" s="180">
        <v>0.71805459816941353</v>
      </c>
      <c r="G27" s="180">
        <v>0.15848543154721134</v>
      </c>
      <c r="H27" s="180">
        <f t="shared" si="0"/>
        <v>1</v>
      </c>
      <c r="I27" s="1" t="s">
        <v>324</v>
      </c>
      <c r="R27" s="179"/>
      <c r="S27" s="179"/>
      <c r="T27" s="179"/>
      <c r="U27" s="179"/>
      <c r="W27" s="179"/>
      <c r="X27" s="179"/>
      <c r="Y27" s="179"/>
      <c r="Z27" s="179"/>
    </row>
    <row r="28" spans="2:26">
      <c r="B28" s="61" t="s">
        <v>151</v>
      </c>
      <c r="C28" s="75" t="s">
        <v>5</v>
      </c>
      <c r="D28" s="180">
        <v>4.1516835164001557E-2</v>
      </c>
      <c r="E28" s="180">
        <v>0.54643647744316437</v>
      </c>
      <c r="F28" s="180">
        <v>0.18816542802266789</v>
      </c>
      <c r="G28" s="180">
        <v>0.22388125937016617</v>
      </c>
      <c r="H28" s="180">
        <f t="shared" si="0"/>
        <v>1</v>
      </c>
      <c r="I28" s="1" t="s">
        <v>324</v>
      </c>
      <c r="R28" s="179"/>
      <c r="S28" s="179"/>
      <c r="T28" s="179"/>
      <c r="U28" s="179"/>
      <c r="W28" s="179"/>
      <c r="X28" s="179"/>
      <c r="Y28" s="179"/>
      <c r="Z28" s="179"/>
    </row>
    <row r="29" spans="2:26">
      <c r="B29" s="24" t="s">
        <v>650</v>
      </c>
    </row>
    <row r="31" spans="2:26">
      <c r="B31" s="2" t="s">
        <v>179</v>
      </c>
    </row>
    <row r="32" spans="2:26">
      <c r="B32" s="64" t="s">
        <v>210</v>
      </c>
      <c r="C32" s="6" t="s">
        <v>177</v>
      </c>
      <c r="D32" s="28" t="s">
        <v>180</v>
      </c>
      <c r="E32" s="28" t="s">
        <v>181</v>
      </c>
      <c r="F32" s="28" t="s">
        <v>182</v>
      </c>
      <c r="G32" s="28" t="s">
        <v>183</v>
      </c>
      <c r="H32" s="28" t="s">
        <v>5</v>
      </c>
      <c r="I32" s="28" t="s">
        <v>146</v>
      </c>
      <c r="J32" s="36"/>
    </row>
    <row r="33" spans="2:10">
      <c r="B33" s="67" t="s">
        <v>10</v>
      </c>
      <c r="C33" s="6" t="s">
        <v>213</v>
      </c>
      <c r="D33" s="62">
        <v>0.05</v>
      </c>
      <c r="E33" s="62">
        <v>0.15</v>
      </c>
      <c r="F33" s="62">
        <v>0.4</v>
      </c>
      <c r="G33" s="62">
        <v>0.05</v>
      </c>
      <c r="H33" s="62">
        <v>0.35</v>
      </c>
      <c r="I33" s="65">
        <f t="shared" ref="I33:I65" si="3">SUM(D33:H33)</f>
        <v>1</v>
      </c>
    </row>
    <row r="34" spans="2:10">
      <c r="B34" s="68"/>
      <c r="C34" s="75" t="s">
        <v>186</v>
      </c>
      <c r="D34" s="76">
        <v>0.05</v>
      </c>
      <c r="E34" s="76">
        <v>0.2</v>
      </c>
      <c r="F34" s="76">
        <v>0.35</v>
      </c>
      <c r="G34" s="76">
        <v>0.05</v>
      </c>
      <c r="H34" s="76">
        <v>0.35</v>
      </c>
      <c r="I34" s="65">
        <f t="shared" si="3"/>
        <v>1</v>
      </c>
      <c r="J34" s="34"/>
    </row>
    <row r="35" spans="2:10">
      <c r="B35" s="68"/>
      <c r="C35" s="75" t="s">
        <v>250</v>
      </c>
      <c r="D35" s="76">
        <v>0.67</v>
      </c>
      <c r="E35" s="76">
        <v>0</v>
      </c>
      <c r="F35" s="76">
        <v>0.13</v>
      </c>
      <c r="G35" s="76">
        <v>0</v>
      </c>
      <c r="H35" s="76">
        <v>0.2</v>
      </c>
      <c r="I35" s="65">
        <f t="shared" si="3"/>
        <v>1</v>
      </c>
      <c r="J35" s="34"/>
    </row>
    <row r="36" spans="2:10">
      <c r="B36" s="68"/>
      <c r="C36" s="6" t="s">
        <v>188</v>
      </c>
      <c r="D36" s="62">
        <v>0.17</v>
      </c>
      <c r="E36" s="62">
        <v>0.17</v>
      </c>
      <c r="F36" s="62">
        <v>0.42</v>
      </c>
      <c r="G36" s="62">
        <v>0.17</v>
      </c>
      <c r="H36" s="62">
        <v>7.0000000000000007E-2</v>
      </c>
      <c r="I36" s="65">
        <f t="shared" si="3"/>
        <v>1</v>
      </c>
    </row>
    <row r="37" spans="2:10">
      <c r="B37" s="68"/>
      <c r="C37" s="6" t="s">
        <v>571</v>
      </c>
      <c r="D37" s="76">
        <v>0.05</v>
      </c>
      <c r="E37" s="76">
        <v>0.2</v>
      </c>
      <c r="F37" s="76">
        <v>0.35</v>
      </c>
      <c r="G37" s="76">
        <v>0.05</v>
      </c>
      <c r="H37" s="76">
        <v>0.35</v>
      </c>
      <c r="I37" s="65">
        <f t="shared" si="3"/>
        <v>1</v>
      </c>
      <c r="J37" s="34"/>
    </row>
    <row r="38" spans="2:10">
      <c r="B38" s="68"/>
      <c r="C38" s="6" t="s">
        <v>189</v>
      </c>
      <c r="D38" s="62">
        <v>0.2</v>
      </c>
      <c r="E38" s="62">
        <v>0.1</v>
      </c>
      <c r="F38" s="62">
        <v>0.3</v>
      </c>
      <c r="G38" s="62">
        <v>0.05</v>
      </c>
      <c r="H38" s="62">
        <v>0.35</v>
      </c>
      <c r="I38" s="65">
        <f t="shared" si="3"/>
        <v>1</v>
      </c>
    </row>
    <row r="39" spans="2:10">
      <c r="B39" s="68"/>
      <c r="C39" s="6" t="s">
        <v>215</v>
      </c>
      <c r="D39" s="62">
        <v>0.67</v>
      </c>
      <c r="E39" s="62">
        <v>0</v>
      </c>
      <c r="F39" s="62">
        <v>0.13</v>
      </c>
      <c r="G39" s="62">
        <v>0</v>
      </c>
      <c r="H39" s="62">
        <v>0.2</v>
      </c>
      <c r="I39" s="65">
        <f t="shared" ref="I39:I61" si="4">SUM(D39:H39)</f>
        <v>1</v>
      </c>
    </row>
    <row r="40" spans="2:10">
      <c r="B40" s="68"/>
      <c r="C40" s="6" t="s">
        <v>216</v>
      </c>
      <c r="D40" s="62">
        <v>0.67</v>
      </c>
      <c r="E40" s="62">
        <v>0</v>
      </c>
      <c r="F40" s="62">
        <v>0.13</v>
      </c>
      <c r="G40" s="62">
        <v>0</v>
      </c>
      <c r="H40" s="62">
        <v>0.2</v>
      </c>
      <c r="I40" s="65">
        <f t="shared" si="4"/>
        <v>1</v>
      </c>
    </row>
    <row r="41" spans="2:10">
      <c r="B41" s="68"/>
      <c r="C41" s="75" t="s">
        <v>214</v>
      </c>
      <c r="D41" s="76">
        <f>(D39+D40)/2</f>
        <v>0.67</v>
      </c>
      <c r="E41" s="76">
        <f>(E39+E40)/2</f>
        <v>0</v>
      </c>
      <c r="F41" s="76">
        <f>(F39+F40)/2</f>
        <v>0.13</v>
      </c>
      <c r="G41" s="76">
        <f>(G39+G40)/2</f>
        <v>0</v>
      </c>
      <c r="H41" s="76">
        <f>(H39+H40)/2</f>
        <v>0.2</v>
      </c>
      <c r="I41" s="65">
        <f t="shared" si="4"/>
        <v>1</v>
      </c>
    </row>
    <row r="42" spans="2:10">
      <c r="B42" s="68"/>
      <c r="C42" s="6" t="s">
        <v>207</v>
      </c>
      <c r="D42" s="62">
        <v>0.67</v>
      </c>
      <c r="E42" s="62">
        <v>0</v>
      </c>
      <c r="F42" s="62">
        <v>0.13</v>
      </c>
      <c r="G42" s="62">
        <v>0</v>
      </c>
      <c r="H42" s="62">
        <v>0.2</v>
      </c>
      <c r="I42" s="65">
        <f t="shared" si="4"/>
        <v>1</v>
      </c>
    </row>
    <row r="43" spans="2:10">
      <c r="B43" s="68"/>
      <c r="C43" s="6" t="s">
        <v>208</v>
      </c>
      <c r="D43" s="62">
        <v>0.67</v>
      </c>
      <c r="E43" s="62">
        <v>0</v>
      </c>
      <c r="F43" s="62">
        <v>0.13</v>
      </c>
      <c r="G43" s="62">
        <v>0</v>
      </c>
      <c r="H43" s="62">
        <v>0.2</v>
      </c>
      <c r="I43" s="65">
        <f t="shared" si="4"/>
        <v>1</v>
      </c>
    </row>
    <row r="44" spans="2:10">
      <c r="B44" s="68"/>
      <c r="C44" s="6" t="s">
        <v>246</v>
      </c>
      <c r="D44" s="62">
        <v>0.05</v>
      </c>
      <c r="E44" s="62">
        <v>0.15</v>
      </c>
      <c r="F44" s="62">
        <v>0.4</v>
      </c>
      <c r="G44" s="62">
        <v>0</v>
      </c>
      <c r="H44" s="62">
        <v>0.4</v>
      </c>
      <c r="I44" s="65">
        <v>1</v>
      </c>
    </row>
    <row r="45" spans="2:10">
      <c r="B45" s="68"/>
      <c r="C45" s="6" t="s">
        <v>238</v>
      </c>
      <c r="D45" s="62">
        <v>0.75</v>
      </c>
      <c r="E45" s="62">
        <v>0</v>
      </c>
      <c r="F45" s="62">
        <v>0</v>
      </c>
      <c r="G45" s="62">
        <v>0.05</v>
      </c>
      <c r="H45" s="62">
        <v>0.2</v>
      </c>
      <c r="I45" s="65">
        <v>1</v>
      </c>
    </row>
    <row r="46" spans="2:10">
      <c r="B46" s="68"/>
      <c r="C46" s="6" t="s">
        <v>251</v>
      </c>
      <c r="D46" s="62">
        <v>0</v>
      </c>
      <c r="E46" s="62">
        <v>0</v>
      </c>
      <c r="F46" s="62">
        <v>1</v>
      </c>
      <c r="G46" s="62">
        <v>0</v>
      </c>
      <c r="H46" s="62">
        <v>0</v>
      </c>
      <c r="I46" s="65">
        <v>1</v>
      </c>
    </row>
    <row r="47" spans="2:10">
      <c r="B47" s="68"/>
      <c r="C47" s="6" t="s">
        <v>252</v>
      </c>
      <c r="D47" s="62">
        <v>0</v>
      </c>
      <c r="E47" s="62">
        <v>0</v>
      </c>
      <c r="F47" s="62">
        <v>1</v>
      </c>
      <c r="G47" s="62">
        <v>0</v>
      </c>
      <c r="H47" s="62">
        <v>0</v>
      </c>
      <c r="I47" s="65">
        <v>1</v>
      </c>
    </row>
    <row r="48" spans="2:10">
      <c r="B48" s="68"/>
      <c r="C48" s="6" t="s">
        <v>5</v>
      </c>
      <c r="D48" s="62">
        <v>0.1</v>
      </c>
      <c r="E48" s="62">
        <v>0.1</v>
      </c>
      <c r="F48" s="62">
        <v>0.1</v>
      </c>
      <c r="G48" s="62">
        <v>0</v>
      </c>
      <c r="H48" s="62">
        <v>0.7</v>
      </c>
      <c r="I48" s="65">
        <f t="shared" ref="I48" si="5">SUM(D48:H48)</f>
        <v>1</v>
      </c>
    </row>
    <row r="49" spans="2:10">
      <c r="B49" s="69"/>
      <c r="C49" s="6" t="s">
        <v>355</v>
      </c>
      <c r="D49" s="62">
        <v>0</v>
      </c>
      <c r="E49" s="62">
        <v>0</v>
      </c>
      <c r="F49" s="62">
        <v>0</v>
      </c>
      <c r="G49" s="62">
        <v>0</v>
      </c>
      <c r="H49" s="62">
        <v>0</v>
      </c>
      <c r="I49" s="65">
        <f t="shared" si="3"/>
        <v>0</v>
      </c>
      <c r="J49" s="1" t="s">
        <v>745</v>
      </c>
    </row>
    <row r="50" spans="2:10" hidden="1" outlineLevel="1">
      <c r="B50" s="70" t="s">
        <v>32</v>
      </c>
      <c r="C50" s="75" t="s">
        <v>651</v>
      </c>
      <c r="D50" s="62"/>
      <c r="E50" s="62"/>
      <c r="F50" s="62"/>
      <c r="G50" s="62"/>
      <c r="H50" s="62"/>
      <c r="I50" s="65">
        <f t="shared" si="4"/>
        <v>0</v>
      </c>
      <c r="J50" s="1" t="s">
        <v>745</v>
      </c>
    </row>
    <row r="51" spans="2:10" hidden="1" outlineLevel="1">
      <c r="B51" s="68"/>
      <c r="C51" s="75" t="s">
        <v>652</v>
      </c>
      <c r="D51" s="62"/>
      <c r="E51" s="62"/>
      <c r="F51" s="62"/>
      <c r="G51" s="62"/>
      <c r="H51" s="62"/>
      <c r="I51" s="65">
        <f t="shared" si="4"/>
        <v>0</v>
      </c>
      <c r="J51" s="1" t="s">
        <v>745</v>
      </c>
    </row>
    <row r="52" spans="2:10" hidden="1" outlineLevel="1">
      <c r="B52" s="68"/>
      <c r="C52" s="75" t="s">
        <v>653</v>
      </c>
      <c r="D52" s="62"/>
      <c r="E52" s="62"/>
      <c r="F52" s="62"/>
      <c r="G52" s="62"/>
      <c r="H52" s="62"/>
      <c r="I52" s="65">
        <f t="shared" si="4"/>
        <v>0</v>
      </c>
      <c r="J52" s="1" t="s">
        <v>745</v>
      </c>
    </row>
    <row r="53" spans="2:10" hidden="1" outlineLevel="1">
      <c r="B53" s="68"/>
      <c r="C53" s="75" t="s">
        <v>654</v>
      </c>
      <c r="D53" s="62"/>
      <c r="E53" s="62"/>
      <c r="F53" s="62"/>
      <c r="G53" s="62"/>
      <c r="H53" s="62"/>
      <c r="I53" s="65">
        <f t="shared" si="4"/>
        <v>0</v>
      </c>
      <c r="J53" s="1" t="s">
        <v>745</v>
      </c>
    </row>
    <row r="54" spans="2:10" hidden="1" outlineLevel="1">
      <c r="B54" s="68"/>
      <c r="C54" s="75" t="s">
        <v>655</v>
      </c>
      <c r="D54" s="62"/>
      <c r="E54" s="62"/>
      <c r="F54" s="62"/>
      <c r="G54" s="62"/>
      <c r="H54" s="62"/>
      <c r="I54" s="65">
        <f t="shared" si="4"/>
        <v>0</v>
      </c>
      <c r="J54" s="1" t="s">
        <v>745</v>
      </c>
    </row>
    <row r="55" spans="2:10" hidden="1" outlineLevel="1">
      <c r="B55" s="68"/>
      <c r="C55" s="75" t="s">
        <v>661</v>
      </c>
      <c r="D55" s="62"/>
      <c r="E55" s="62"/>
      <c r="F55" s="62"/>
      <c r="G55" s="62"/>
      <c r="H55" s="62"/>
      <c r="I55" s="65">
        <f t="shared" si="4"/>
        <v>0</v>
      </c>
      <c r="J55" s="1" t="s">
        <v>745</v>
      </c>
    </row>
    <row r="56" spans="2:10" hidden="1" outlineLevel="1">
      <c r="B56" s="68"/>
      <c r="C56" s="75" t="s">
        <v>656</v>
      </c>
      <c r="D56" s="62"/>
      <c r="E56" s="62"/>
      <c r="F56" s="62"/>
      <c r="G56" s="62"/>
      <c r="H56" s="62"/>
      <c r="I56" s="65">
        <f t="shared" si="4"/>
        <v>0</v>
      </c>
      <c r="J56" s="1" t="s">
        <v>745</v>
      </c>
    </row>
    <row r="57" spans="2:10" hidden="1" outlineLevel="1">
      <c r="B57" s="68"/>
      <c r="C57" s="75" t="s">
        <v>657</v>
      </c>
      <c r="D57" s="62"/>
      <c r="E57" s="62"/>
      <c r="F57" s="62"/>
      <c r="G57" s="62"/>
      <c r="H57" s="62"/>
      <c r="I57" s="65">
        <f t="shared" si="4"/>
        <v>0</v>
      </c>
      <c r="J57" s="1" t="s">
        <v>745</v>
      </c>
    </row>
    <row r="58" spans="2:10" hidden="1" outlineLevel="1">
      <c r="B58" s="68"/>
      <c r="C58" s="75" t="s">
        <v>658</v>
      </c>
      <c r="D58" s="62"/>
      <c r="E58" s="62"/>
      <c r="F58" s="62"/>
      <c r="G58" s="62"/>
      <c r="H58" s="62"/>
      <c r="I58" s="65">
        <f t="shared" si="4"/>
        <v>0</v>
      </c>
      <c r="J58" s="1" t="s">
        <v>745</v>
      </c>
    </row>
    <row r="59" spans="2:10" hidden="1" outlineLevel="1">
      <c r="B59" s="68"/>
      <c r="C59" s="75" t="s">
        <v>659</v>
      </c>
      <c r="D59" s="62"/>
      <c r="E59" s="62"/>
      <c r="F59" s="62"/>
      <c r="G59" s="62"/>
      <c r="H59" s="62"/>
      <c r="I59" s="65">
        <f t="shared" si="4"/>
        <v>0</v>
      </c>
      <c r="J59" s="1" t="s">
        <v>745</v>
      </c>
    </row>
    <row r="60" spans="2:10" hidden="1" outlineLevel="1">
      <c r="B60" s="68"/>
      <c r="C60" s="75" t="s">
        <v>660</v>
      </c>
      <c r="D60" s="62"/>
      <c r="E60" s="62"/>
      <c r="F60" s="62"/>
      <c r="G60" s="62"/>
      <c r="H60" s="62"/>
      <c r="I60" s="65">
        <f t="shared" si="4"/>
        <v>0</v>
      </c>
      <c r="J60" s="1" t="s">
        <v>745</v>
      </c>
    </row>
    <row r="61" spans="2:10" hidden="1" outlineLevel="1">
      <c r="B61" s="68"/>
      <c r="C61" s="6" t="s">
        <v>355</v>
      </c>
      <c r="D61" s="62">
        <v>0</v>
      </c>
      <c r="E61" s="62">
        <v>0</v>
      </c>
      <c r="F61" s="62">
        <v>0</v>
      </c>
      <c r="G61" s="62">
        <v>0</v>
      </c>
      <c r="H61" s="62">
        <v>0</v>
      </c>
      <c r="I61" s="65">
        <f t="shared" si="4"/>
        <v>0</v>
      </c>
    </row>
    <row r="62" spans="2:10" collapsed="1">
      <c r="B62" s="67" t="s">
        <v>150</v>
      </c>
      <c r="C62" s="6" t="s">
        <v>190</v>
      </c>
      <c r="D62" s="62">
        <v>0</v>
      </c>
      <c r="E62" s="62">
        <v>0</v>
      </c>
      <c r="F62" s="62">
        <v>0.1</v>
      </c>
      <c r="G62" s="62">
        <v>0</v>
      </c>
      <c r="H62" s="62">
        <v>0.9</v>
      </c>
      <c r="I62" s="65">
        <f t="shared" si="3"/>
        <v>1</v>
      </c>
      <c r="J62" s="36"/>
    </row>
    <row r="63" spans="2:10">
      <c r="B63" s="70"/>
      <c r="C63" s="6" t="s">
        <v>191</v>
      </c>
      <c r="D63" s="62">
        <v>0</v>
      </c>
      <c r="E63" s="62">
        <v>0</v>
      </c>
      <c r="F63" s="62">
        <v>1</v>
      </c>
      <c r="G63" s="62">
        <v>0</v>
      </c>
      <c r="H63" s="62">
        <v>0</v>
      </c>
      <c r="I63" s="65">
        <f t="shared" si="3"/>
        <v>1</v>
      </c>
      <c r="J63" s="36"/>
    </row>
    <row r="64" spans="2:10">
      <c r="B64" s="32"/>
      <c r="C64" s="6" t="s">
        <v>192</v>
      </c>
      <c r="D64" s="62">
        <v>0</v>
      </c>
      <c r="E64" s="62">
        <v>0</v>
      </c>
      <c r="F64" s="62">
        <v>1</v>
      </c>
      <c r="G64" s="62">
        <v>0</v>
      </c>
      <c r="H64" s="62">
        <v>0</v>
      </c>
      <c r="I64" s="65">
        <f t="shared" si="3"/>
        <v>1</v>
      </c>
      <c r="J64" s="36"/>
    </row>
    <row r="65" spans="2:10">
      <c r="B65" s="32"/>
      <c r="C65" s="6" t="s">
        <v>193</v>
      </c>
      <c r="D65" s="62">
        <v>0.67</v>
      </c>
      <c r="E65" s="62">
        <v>0</v>
      </c>
      <c r="F65" s="62">
        <v>0.13</v>
      </c>
      <c r="G65" s="62">
        <v>0</v>
      </c>
      <c r="H65" s="62">
        <v>0.2</v>
      </c>
      <c r="I65" s="65">
        <f t="shared" si="3"/>
        <v>1</v>
      </c>
      <c r="J65" s="36"/>
    </row>
    <row r="66" spans="2:10">
      <c r="B66" s="32"/>
      <c r="C66" s="6" t="s">
        <v>272</v>
      </c>
      <c r="D66" s="62">
        <v>0.67</v>
      </c>
      <c r="E66" s="62">
        <v>0</v>
      </c>
      <c r="F66" s="62">
        <v>0.33</v>
      </c>
      <c r="G66" s="62">
        <v>0</v>
      </c>
      <c r="H66" s="62">
        <v>0</v>
      </c>
      <c r="I66" s="65">
        <f>SUM(D66:H66)</f>
        <v>1</v>
      </c>
      <c r="J66" s="202"/>
    </row>
    <row r="67" spans="2:10">
      <c r="B67" s="32"/>
      <c r="C67" s="6" t="s">
        <v>270</v>
      </c>
      <c r="D67" s="62">
        <v>1</v>
      </c>
      <c r="E67" s="62">
        <v>0</v>
      </c>
      <c r="F67" s="62">
        <v>0</v>
      </c>
      <c r="G67" s="62">
        <v>0</v>
      </c>
      <c r="H67" s="62">
        <v>0</v>
      </c>
      <c r="I67" s="65">
        <f>SUM(D67:H67)</f>
        <v>1</v>
      </c>
      <c r="J67" s="202"/>
    </row>
    <row r="68" spans="2:10">
      <c r="B68" s="32"/>
      <c r="C68" s="6" t="s">
        <v>471</v>
      </c>
      <c r="D68" s="62">
        <v>0.67</v>
      </c>
      <c r="E68" s="62">
        <v>0</v>
      </c>
      <c r="F68" s="62">
        <v>0.33</v>
      </c>
      <c r="G68" s="62">
        <v>0</v>
      </c>
      <c r="H68" s="62">
        <v>0</v>
      </c>
      <c r="I68" s="65">
        <f>SUM(D68:H68)</f>
        <v>1</v>
      </c>
      <c r="J68" s="256"/>
    </row>
    <row r="69" spans="2:10">
      <c r="B69" s="32"/>
      <c r="C69" s="6" t="s">
        <v>103</v>
      </c>
      <c r="D69" s="62">
        <v>0</v>
      </c>
      <c r="E69" s="62">
        <v>0</v>
      </c>
      <c r="F69" s="62">
        <v>0.7</v>
      </c>
      <c r="G69" s="62">
        <v>0</v>
      </c>
      <c r="H69" s="62">
        <v>0.3</v>
      </c>
      <c r="I69" s="65">
        <f t="shared" ref="I69:I82" si="6">SUM(D69:H69)</f>
        <v>1</v>
      </c>
      <c r="J69" s="202"/>
    </row>
    <row r="70" spans="2:10">
      <c r="B70" s="32"/>
      <c r="C70" s="6" t="s">
        <v>194</v>
      </c>
      <c r="D70" s="62">
        <v>0</v>
      </c>
      <c r="E70" s="62">
        <v>0</v>
      </c>
      <c r="F70" s="62">
        <v>1</v>
      </c>
      <c r="G70" s="62">
        <v>0</v>
      </c>
      <c r="H70" s="62">
        <v>0</v>
      </c>
      <c r="I70" s="65">
        <f t="shared" si="6"/>
        <v>1</v>
      </c>
      <c r="J70" s="202"/>
    </row>
    <row r="71" spans="2:10">
      <c r="B71" s="32"/>
      <c r="C71" s="6" t="s">
        <v>195</v>
      </c>
      <c r="D71" s="62">
        <v>0.67</v>
      </c>
      <c r="E71" s="62">
        <v>0</v>
      </c>
      <c r="F71" s="62">
        <v>0.13</v>
      </c>
      <c r="G71" s="62">
        <v>0</v>
      </c>
      <c r="H71" s="62">
        <v>0.2</v>
      </c>
      <c r="I71" s="65">
        <f t="shared" si="6"/>
        <v>1</v>
      </c>
      <c r="J71" s="202"/>
    </row>
    <row r="72" spans="2:10">
      <c r="B72" s="32"/>
      <c r="C72" s="6" t="s">
        <v>196</v>
      </c>
      <c r="D72" s="62">
        <v>0.67</v>
      </c>
      <c r="E72" s="62">
        <v>0</v>
      </c>
      <c r="F72" s="62">
        <v>0.13</v>
      </c>
      <c r="G72" s="62">
        <v>0</v>
      </c>
      <c r="H72" s="62">
        <v>0.2</v>
      </c>
      <c r="I72" s="65">
        <f t="shared" si="6"/>
        <v>1</v>
      </c>
      <c r="J72" s="202"/>
    </row>
    <row r="73" spans="2:10">
      <c r="B73" s="32"/>
      <c r="C73" s="6" t="s">
        <v>197</v>
      </c>
      <c r="D73" s="62">
        <v>0.67</v>
      </c>
      <c r="E73" s="62">
        <v>0</v>
      </c>
      <c r="F73" s="62">
        <v>0.13</v>
      </c>
      <c r="G73" s="62">
        <v>0</v>
      </c>
      <c r="H73" s="62">
        <v>0.2</v>
      </c>
      <c r="I73" s="65">
        <f t="shared" si="6"/>
        <v>1</v>
      </c>
      <c r="J73" s="202"/>
    </row>
    <row r="74" spans="2:10">
      <c r="B74" s="32"/>
      <c r="C74" s="75" t="s">
        <v>187</v>
      </c>
      <c r="D74" s="76">
        <v>0.17</v>
      </c>
      <c r="E74" s="76">
        <v>0.17</v>
      </c>
      <c r="F74" s="76">
        <v>0.42</v>
      </c>
      <c r="G74" s="76">
        <v>0.17</v>
      </c>
      <c r="H74" s="76">
        <v>7.0000000000000007E-2</v>
      </c>
      <c r="I74" s="65">
        <f t="shared" si="6"/>
        <v>1</v>
      </c>
      <c r="J74" s="202"/>
    </row>
    <row r="75" spans="2:10">
      <c r="B75" s="32"/>
      <c r="C75" s="6" t="s">
        <v>198</v>
      </c>
      <c r="D75" s="62">
        <v>0.17</v>
      </c>
      <c r="E75" s="62">
        <v>0.17</v>
      </c>
      <c r="F75" s="62">
        <v>0.42</v>
      </c>
      <c r="G75" s="62">
        <v>0.17</v>
      </c>
      <c r="H75" s="62">
        <v>7.0000000000000007E-2</v>
      </c>
      <c r="I75" s="65">
        <f t="shared" si="6"/>
        <v>1</v>
      </c>
      <c r="J75" s="202"/>
    </row>
    <row r="76" spans="2:10">
      <c r="B76" s="32"/>
      <c r="C76" s="6" t="s">
        <v>199</v>
      </c>
      <c r="D76" s="62">
        <v>0.05</v>
      </c>
      <c r="E76" s="62">
        <v>0.05</v>
      </c>
      <c r="F76" s="62">
        <v>0.15</v>
      </c>
      <c r="G76" s="62">
        <v>0</v>
      </c>
      <c r="H76" s="62">
        <v>0.75</v>
      </c>
      <c r="I76" s="65">
        <f t="shared" si="6"/>
        <v>1</v>
      </c>
      <c r="J76" s="202"/>
    </row>
    <row r="77" spans="2:10">
      <c r="B77" s="32"/>
      <c r="C77" s="6" t="s">
        <v>249</v>
      </c>
      <c r="D77" s="62">
        <v>0</v>
      </c>
      <c r="E77" s="62">
        <v>0.05</v>
      </c>
      <c r="F77" s="62">
        <v>0.9</v>
      </c>
      <c r="G77" s="62">
        <v>0</v>
      </c>
      <c r="H77" s="62">
        <v>0.05</v>
      </c>
      <c r="I77" s="65">
        <f t="shared" si="6"/>
        <v>1</v>
      </c>
      <c r="J77" s="202"/>
    </row>
    <row r="78" spans="2:10">
      <c r="B78" s="32"/>
      <c r="C78" s="6" t="s">
        <v>200</v>
      </c>
      <c r="D78" s="62">
        <v>0.05</v>
      </c>
      <c r="E78" s="62">
        <v>0.05</v>
      </c>
      <c r="F78" s="62">
        <v>0.15</v>
      </c>
      <c r="G78" s="62">
        <v>0</v>
      </c>
      <c r="H78" s="62">
        <v>0.75</v>
      </c>
      <c r="I78" s="65">
        <f t="shared" si="6"/>
        <v>1</v>
      </c>
      <c r="J78" s="202"/>
    </row>
    <row r="79" spans="2:10">
      <c r="B79" s="32"/>
      <c r="C79" s="6" t="s">
        <v>201</v>
      </c>
      <c r="D79" s="62">
        <v>0.05</v>
      </c>
      <c r="E79" s="62">
        <v>0.05</v>
      </c>
      <c r="F79" s="62">
        <v>0.15</v>
      </c>
      <c r="G79" s="62">
        <v>0</v>
      </c>
      <c r="H79" s="62">
        <v>0.75</v>
      </c>
      <c r="I79" s="65">
        <f t="shared" si="6"/>
        <v>1</v>
      </c>
      <c r="J79" s="202"/>
    </row>
    <row r="80" spans="2:10">
      <c r="B80" s="32"/>
      <c r="C80" s="6" t="s">
        <v>202</v>
      </c>
      <c r="D80" s="62">
        <v>0</v>
      </c>
      <c r="E80" s="62">
        <v>0</v>
      </c>
      <c r="F80" s="62">
        <v>0.7</v>
      </c>
      <c r="G80" s="62">
        <v>0</v>
      </c>
      <c r="H80" s="62">
        <v>0.3</v>
      </c>
      <c r="I80" s="65">
        <f t="shared" si="6"/>
        <v>1</v>
      </c>
      <c r="J80" s="202"/>
    </row>
    <row r="81" spans="2:10">
      <c r="B81" s="32"/>
      <c r="C81" s="6" t="s">
        <v>203</v>
      </c>
      <c r="D81" s="62">
        <v>0</v>
      </c>
      <c r="E81" s="62">
        <v>0</v>
      </c>
      <c r="F81" s="62">
        <v>0.5</v>
      </c>
      <c r="G81" s="62">
        <v>0</v>
      </c>
      <c r="H81" s="62">
        <v>0.5</v>
      </c>
      <c r="I81" s="65">
        <f t="shared" si="6"/>
        <v>1</v>
      </c>
      <c r="J81" s="202"/>
    </row>
    <row r="82" spans="2:10">
      <c r="B82" s="32"/>
      <c r="C82" s="75" t="s">
        <v>186</v>
      </c>
      <c r="D82" s="76">
        <v>0</v>
      </c>
      <c r="E82" s="76">
        <v>0.3</v>
      </c>
      <c r="F82" s="76">
        <v>0.6</v>
      </c>
      <c r="G82" s="76">
        <v>0.1</v>
      </c>
      <c r="H82" s="76">
        <v>0</v>
      </c>
      <c r="I82" s="65">
        <f t="shared" si="6"/>
        <v>0.99999999999999989</v>
      </c>
      <c r="J82" s="202"/>
    </row>
    <row r="83" spans="2:10">
      <c r="B83" s="32"/>
      <c r="C83" s="6" t="s">
        <v>247</v>
      </c>
      <c r="D83" s="62">
        <v>0.05</v>
      </c>
      <c r="E83" s="62">
        <v>0.05</v>
      </c>
      <c r="F83" s="62">
        <v>0.15</v>
      </c>
      <c r="G83" s="62">
        <v>0</v>
      </c>
      <c r="H83" s="62">
        <v>0.75</v>
      </c>
      <c r="I83" s="65">
        <f>SUM(D83:H83)</f>
        <v>1</v>
      </c>
      <c r="J83" s="202"/>
    </row>
    <row r="84" spans="2:10">
      <c r="B84" s="32"/>
      <c r="C84" s="6" t="s">
        <v>242</v>
      </c>
      <c r="D84" s="62">
        <v>0.05</v>
      </c>
      <c r="E84" s="62">
        <v>0.05</v>
      </c>
      <c r="F84" s="62">
        <v>0.15</v>
      </c>
      <c r="G84" s="62">
        <v>0</v>
      </c>
      <c r="H84" s="62">
        <v>0.75</v>
      </c>
      <c r="I84" s="65">
        <f t="shared" ref="I84:I86" si="7">SUM(D84:H84)</f>
        <v>1</v>
      </c>
      <c r="J84" s="202"/>
    </row>
    <row r="85" spans="2:10">
      <c r="B85" s="32"/>
      <c r="C85" s="6" t="s">
        <v>243</v>
      </c>
      <c r="D85" s="62">
        <v>0.05</v>
      </c>
      <c r="E85" s="62">
        <v>0.05</v>
      </c>
      <c r="F85" s="62">
        <v>0.15</v>
      </c>
      <c r="G85" s="62">
        <v>0</v>
      </c>
      <c r="H85" s="62">
        <v>0.75</v>
      </c>
      <c r="I85" s="65">
        <f t="shared" si="7"/>
        <v>1</v>
      </c>
      <c r="J85" s="202"/>
    </row>
    <row r="86" spans="2:10">
      <c r="B86" s="32"/>
      <c r="C86" s="6" t="s">
        <v>204</v>
      </c>
      <c r="D86" s="62">
        <v>0</v>
      </c>
      <c r="E86" s="62">
        <v>0</v>
      </c>
      <c r="F86" s="62">
        <v>0.2</v>
      </c>
      <c r="G86" s="62">
        <v>0</v>
      </c>
      <c r="H86" s="62">
        <v>0.8</v>
      </c>
      <c r="I86" s="65">
        <f t="shared" si="7"/>
        <v>1</v>
      </c>
      <c r="J86" s="202"/>
    </row>
    <row r="87" spans="2:10">
      <c r="B87" s="32"/>
      <c r="C87" s="6" t="s">
        <v>271</v>
      </c>
      <c r="D87" s="62">
        <v>0.05</v>
      </c>
      <c r="E87" s="62">
        <v>0.05</v>
      </c>
      <c r="F87" s="62">
        <v>0.15</v>
      </c>
      <c r="G87" s="62">
        <v>0</v>
      </c>
      <c r="H87" s="62">
        <v>0.75</v>
      </c>
      <c r="I87" s="65">
        <f>SUM(D88:H88)</f>
        <v>1</v>
      </c>
      <c r="J87" s="202"/>
    </row>
    <row r="88" spans="2:10">
      <c r="B88" s="32"/>
      <c r="C88" s="6" t="s">
        <v>239</v>
      </c>
      <c r="D88" s="62">
        <v>0</v>
      </c>
      <c r="E88" s="62">
        <v>0</v>
      </c>
      <c r="F88" s="62">
        <v>0.2</v>
      </c>
      <c r="G88" s="62">
        <v>0</v>
      </c>
      <c r="H88" s="62">
        <v>0.8</v>
      </c>
      <c r="I88" s="65">
        <f>SUM(D89:H89)</f>
        <v>1</v>
      </c>
      <c r="J88" s="202"/>
    </row>
    <row r="89" spans="2:10">
      <c r="B89" s="32"/>
      <c r="C89" s="6" t="s">
        <v>240</v>
      </c>
      <c r="D89" s="62">
        <v>0</v>
      </c>
      <c r="E89" s="62">
        <v>0</v>
      </c>
      <c r="F89" s="62">
        <v>0.2</v>
      </c>
      <c r="G89" s="62">
        <v>0</v>
      </c>
      <c r="H89" s="62">
        <v>0.8</v>
      </c>
      <c r="I89" s="65">
        <f>SUM(D87:H87)</f>
        <v>1</v>
      </c>
      <c r="J89" s="202"/>
    </row>
    <row r="90" spans="2:10">
      <c r="B90" s="32"/>
      <c r="C90" s="6" t="s">
        <v>244</v>
      </c>
      <c r="D90" s="62">
        <v>0</v>
      </c>
      <c r="E90" s="62">
        <v>0</v>
      </c>
      <c r="F90" s="62">
        <v>0.9</v>
      </c>
      <c r="G90" s="62">
        <v>0</v>
      </c>
      <c r="H90" s="62">
        <v>0.1</v>
      </c>
      <c r="I90" s="65">
        <f t="shared" ref="I90:I93" si="8">SUM(D90:H90)</f>
        <v>1</v>
      </c>
      <c r="J90" s="202"/>
    </row>
    <row r="91" spans="2:10">
      <c r="B91" s="32"/>
      <c r="C91" s="6" t="s">
        <v>245</v>
      </c>
      <c r="D91" s="62">
        <v>0</v>
      </c>
      <c r="E91" s="62">
        <v>0</v>
      </c>
      <c r="F91" s="62">
        <v>0.9</v>
      </c>
      <c r="G91" s="62">
        <v>0</v>
      </c>
      <c r="H91" s="62">
        <v>0.1</v>
      </c>
      <c r="I91" s="65">
        <f t="shared" si="8"/>
        <v>1</v>
      </c>
      <c r="J91" s="202"/>
    </row>
    <row r="92" spans="2:10">
      <c r="B92" s="32"/>
      <c r="C92" s="6" t="s">
        <v>209</v>
      </c>
      <c r="D92" s="62">
        <v>0</v>
      </c>
      <c r="E92" s="62">
        <v>0</v>
      </c>
      <c r="F92" s="62">
        <v>0.3</v>
      </c>
      <c r="G92" s="62">
        <v>0</v>
      </c>
      <c r="H92" s="62">
        <v>0.7</v>
      </c>
      <c r="I92" s="65">
        <f t="shared" si="8"/>
        <v>1</v>
      </c>
      <c r="J92" s="202"/>
    </row>
    <row r="93" spans="2:10">
      <c r="B93" s="32"/>
      <c r="C93" s="6" t="s">
        <v>248</v>
      </c>
      <c r="D93" s="62">
        <v>0.05</v>
      </c>
      <c r="E93" s="62">
        <v>0.15</v>
      </c>
      <c r="F93" s="62">
        <v>0.4</v>
      </c>
      <c r="G93" s="62">
        <v>0</v>
      </c>
      <c r="H93" s="62">
        <v>0.4</v>
      </c>
      <c r="I93" s="65">
        <f t="shared" si="8"/>
        <v>1</v>
      </c>
      <c r="J93" s="202"/>
    </row>
    <row r="94" spans="2:10">
      <c r="B94" s="32"/>
      <c r="C94" s="6" t="s">
        <v>246</v>
      </c>
      <c r="D94" s="62">
        <v>0.05</v>
      </c>
      <c r="E94" s="62">
        <v>0.15</v>
      </c>
      <c r="F94" s="62">
        <v>0.4</v>
      </c>
      <c r="G94" s="62">
        <v>0</v>
      </c>
      <c r="H94" s="62">
        <v>0.4</v>
      </c>
      <c r="I94" s="65">
        <v>1</v>
      </c>
      <c r="J94" s="114"/>
    </row>
    <row r="95" spans="2:10">
      <c r="B95" s="32"/>
      <c r="C95" s="6" t="s">
        <v>238</v>
      </c>
      <c r="D95" s="62">
        <v>0.75</v>
      </c>
      <c r="E95" s="62">
        <v>0</v>
      </c>
      <c r="F95" s="62">
        <v>0</v>
      </c>
      <c r="G95" s="62">
        <v>0.05</v>
      </c>
      <c r="H95" s="62">
        <v>0.2</v>
      </c>
      <c r="I95" s="65">
        <v>1</v>
      </c>
      <c r="J95" s="114"/>
    </row>
    <row r="96" spans="2:10">
      <c r="B96" s="32"/>
      <c r="C96" s="6" t="s">
        <v>251</v>
      </c>
      <c r="D96" s="62">
        <v>0</v>
      </c>
      <c r="E96" s="62">
        <v>0</v>
      </c>
      <c r="F96" s="62">
        <v>1</v>
      </c>
      <c r="G96" s="62">
        <v>0</v>
      </c>
      <c r="H96" s="62">
        <v>0</v>
      </c>
      <c r="I96" s="65">
        <v>1</v>
      </c>
      <c r="J96" s="114"/>
    </row>
    <row r="97" spans="2:10">
      <c r="B97" s="32"/>
      <c r="C97" s="6" t="s">
        <v>252</v>
      </c>
      <c r="D97" s="62">
        <v>0</v>
      </c>
      <c r="E97" s="62">
        <v>0</v>
      </c>
      <c r="F97" s="62">
        <v>1</v>
      </c>
      <c r="G97" s="62">
        <v>0</v>
      </c>
      <c r="H97" s="62">
        <v>0</v>
      </c>
      <c r="I97" s="65">
        <v>1</v>
      </c>
      <c r="J97" s="114"/>
    </row>
    <row r="98" spans="2:10">
      <c r="B98" s="33"/>
      <c r="C98" s="6" t="s">
        <v>5</v>
      </c>
      <c r="D98" s="62">
        <v>0.1</v>
      </c>
      <c r="E98" s="62">
        <v>0.1</v>
      </c>
      <c r="F98" s="62">
        <v>0.1</v>
      </c>
      <c r="G98" s="62">
        <v>0</v>
      </c>
      <c r="H98" s="62">
        <v>0.7</v>
      </c>
      <c r="I98" s="65">
        <v>1</v>
      </c>
      <c r="J98" s="36"/>
    </row>
    <row r="99" spans="2:10">
      <c r="B99" s="24" t="s">
        <v>365</v>
      </c>
    </row>
  </sheetData>
  <hyperlinks>
    <hyperlink ref="B2" location="Contents!A1" display="Table of Contents" xr:uid="{00000000-0004-0000-0500-000000000000}"/>
  </hyperlinks>
  <pageMargins left="0.7" right="0.7" top="0.75" bottom="0.75" header="0.3" footer="0.3"/>
  <pageSetup paperSize="9" scale="33" orientation="landscape"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AA56"/>
  <sheetViews>
    <sheetView zoomScale="85" zoomScaleNormal="85" zoomScalePageLayoutView="125" workbookViewId="0">
      <selection activeCell="R22" sqref="R22"/>
    </sheetView>
  </sheetViews>
  <sheetFormatPr defaultColWidth="8.85546875" defaultRowHeight="15" outlineLevelRow="1" outlineLevelCol="1"/>
  <cols>
    <col min="1" max="1" width="4.7109375" style="1" customWidth="1"/>
    <col min="2" max="2" width="5.28515625" style="1" customWidth="1"/>
    <col min="3" max="3" width="48.7109375" style="1" customWidth="1"/>
    <col min="4" max="10" width="8.5703125" style="1" customWidth="1" outlineLevel="1"/>
    <col min="11" max="15" width="8.5703125" style="1" customWidth="1"/>
    <col min="16" max="16" width="12" style="1" customWidth="1"/>
    <col min="17" max="17" width="9.28515625" style="1" customWidth="1"/>
    <col min="18" max="22" width="8.5703125" style="1" customWidth="1"/>
    <col min="23" max="23" width="11.85546875" style="1" customWidth="1"/>
    <col min="24" max="24" width="11.42578125" style="1" customWidth="1"/>
    <col min="25" max="25" width="3.7109375" style="1" customWidth="1"/>
    <col min="26" max="16384" width="8.85546875" style="1"/>
  </cols>
  <sheetData>
    <row r="1" spans="2:26" ht="21">
      <c r="B1" s="11" t="s">
        <v>143</v>
      </c>
    </row>
    <row r="2" spans="2:26">
      <c r="B2" s="25" t="s">
        <v>6</v>
      </c>
    </row>
    <row r="4" spans="2:26">
      <c r="B4" s="2" t="s">
        <v>169</v>
      </c>
      <c r="J4" s="34"/>
      <c r="K4" s="34"/>
    </row>
    <row r="5" spans="2:26">
      <c r="B5" s="2"/>
      <c r="L5" s="223"/>
    </row>
    <row r="6" spans="2:26">
      <c r="B6" s="2"/>
      <c r="C6" s="6" t="s">
        <v>351</v>
      </c>
      <c r="D6" s="29">
        <v>39721</v>
      </c>
      <c r="E6" s="29">
        <f>EDATE(D6,12)</f>
        <v>40086</v>
      </c>
      <c r="F6" s="29">
        <f t="shared" ref="F6:I6" si="0">EDATE(E6,12)</f>
        <v>40451</v>
      </c>
      <c r="G6" s="29">
        <f t="shared" si="0"/>
        <v>40816</v>
      </c>
      <c r="H6" s="29">
        <f t="shared" si="0"/>
        <v>41182</v>
      </c>
      <c r="I6" s="29">
        <f t="shared" si="0"/>
        <v>41547</v>
      </c>
      <c r="J6" s="29">
        <f>EDATE(I6,12)</f>
        <v>41912</v>
      </c>
      <c r="K6" s="29">
        <v>42156</v>
      </c>
      <c r="L6" s="29">
        <f>EDATE(K6,12)</f>
        <v>42522</v>
      </c>
      <c r="M6" s="29">
        <f t="shared" ref="M6:O6" si="1">EDATE(L6,12)</f>
        <v>42887</v>
      </c>
      <c r="N6" s="29">
        <f t="shared" si="1"/>
        <v>43252</v>
      </c>
      <c r="O6" s="29">
        <f t="shared" si="1"/>
        <v>43617</v>
      </c>
      <c r="P6" s="29">
        <f>EDATE(O6,12)</f>
        <v>43983</v>
      </c>
      <c r="Q6" s="29">
        <f t="shared" ref="Q6" si="2">EDATE(P6,12)</f>
        <v>44348</v>
      </c>
      <c r="R6" s="29">
        <f t="shared" ref="R6" si="3">EDATE(Q6,12)</f>
        <v>44713</v>
      </c>
      <c r="S6" s="29">
        <f t="shared" ref="S6" si="4">EDATE(R6,12)</f>
        <v>45078</v>
      </c>
      <c r="T6" s="29">
        <f t="shared" ref="T6:U6" si="5">EDATE(S6,12)</f>
        <v>45444</v>
      </c>
      <c r="U6" s="29">
        <f t="shared" si="5"/>
        <v>45809</v>
      </c>
    </row>
    <row r="7" spans="2:26">
      <c r="B7" s="2"/>
      <c r="C7" s="6"/>
      <c r="D7" s="29" t="s">
        <v>285</v>
      </c>
      <c r="E7" s="29" t="s">
        <v>285</v>
      </c>
      <c r="F7" s="29" t="s">
        <v>285</v>
      </c>
      <c r="G7" s="29" t="s">
        <v>285</v>
      </c>
      <c r="H7" s="29" t="s">
        <v>285</v>
      </c>
      <c r="I7" s="29" t="s">
        <v>285</v>
      </c>
      <c r="J7" s="29" t="s">
        <v>285</v>
      </c>
      <c r="K7" s="29" t="s">
        <v>285</v>
      </c>
      <c r="L7" s="29" t="s">
        <v>285</v>
      </c>
      <c r="M7" s="29" t="s">
        <v>285</v>
      </c>
      <c r="N7" s="29" t="s">
        <v>285</v>
      </c>
      <c r="O7" s="29" t="s">
        <v>285</v>
      </c>
      <c r="P7" s="708" t="s">
        <v>285</v>
      </c>
      <c r="Q7" s="29" t="s">
        <v>286</v>
      </c>
      <c r="R7" s="29" t="s">
        <v>286</v>
      </c>
      <c r="S7" s="29" t="s">
        <v>286</v>
      </c>
      <c r="T7" s="29" t="s">
        <v>286</v>
      </c>
      <c r="U7" s="29" t="s">
        <v>286</v>
      </c>
    </row>
    <row r="8" spans="2:26">
      <c r="B8" s="2"/>
      <c r="C8" s="695" t="s">
        <v>42</v>
      </c>
      <c r="D8" s="696">
        <v>2009</v>
      </c>
      <c r="E8" s="696">
        <v>2010</v>
      </c>
      <c r="F8" s="696">
        <v>2011</v>
      </c>
      <c r="G8" s="696">
        <v>2012</v>
      </c>
      <c r="H8" s="696">
        <v>2013</v>
      </c>
      <c r="I8" s="696">
        <v>2014</v>
      </c>
      <c r="J8" s="696">
        <v>2015</v>
      </c>
      <c r="K8" s="696">
        <v>2016</v>
      </c>
      <c r="L8" s="696">
        <v>2017</v>
      </c>
      <c r="M8" s="696">
        <v>2018</v>
      </c>
      <c r="N8" s="696">
        <v>2019</v>
      </c>
      <c r="O8" s="696">
        <v>2020</v>
      </c>
      <c r="P8" s="709" t="s">
        <v>792</v>
      </c>
      <c r="Q8" s="696" t="s">
        <v>793</v>
      </c>
      <c r="R8" s="696" t="s">
        <v>794</v>
      </c>
      <c r="S8" s="696" t="s">
        <v>795</v>
      </c>
      <c r="T8" s="696" t="s">
        <v>796</v>
      </c>
      <c r="U8" s="696" t="s">
        <v>797</v>
      </c>
    </row>
    <row r="9" spans="2:26" hidden="1" outlineLevel="1">
      <c r="B9" s="2"/>
      <c r="C9" s="6" t="s">
        <v>352</v>
      </c>
      <c r="D9" s="71">
        <v>166.5</v>
      </c>
      <c r="E9" s="71">
        <v>168.6</v>
      </c>
      <c r="F9" s="71">
        <v>173.3</v>
      </c>
      <c r="G9" s="71">
        <v>179.4</v>
      </c>
      <c r="H9" s="184"/>
      <c r="I9" s="184"/>
      <c r="J9" s="184"/>
      <c r="K9" s="184"/>
      <c r="L9" s="184"/>
      <c r="M9" s="184"/>
      <c r="N9" s="184"/>
      <c r="O9" s="184"/>
      <c r="P9" s="184"/>
      <c r="Q9" s="184"/>
      <c r="R9" s="184"/>
      <c r="S9" s="184"/>
      <c r="T9" s="184"/>
      <c r="U9" s="184"/>
    </row>
    <row r="10" spans="2:26" hidden="1" outlineLevel="1">
      <c r="B10" s="2"/>
      <c r="C10" s="6" t="s">
        <v>353</v>
      </c>
      <c r="D10" s="185"/>
      <c r="E10" s="185"/>
      <c r="F10" s="185"/>
      <c r="G10" s="99">
        <v>99.8</v>
      </c>
      <c r="H10" s="99">
        <v>101.8</v>
      </c>
      <c r="I10" s="99">
        <v>104</v>
      </c>
      <c r="J10" s="99">
        <v>106.4</v>
      </c>
      <c r="K10" s="307"/>
      <c r="L10" s="307"/>
      <c r="M10" s="307"/>
      <c r="N10" s="307"/>
      <c r="O10" s="307"/>
      <c r="P10" s="307"/>
      <c r="Q10" s="307"/>
      <c r="R10" s="307"/>
      <c r="S10" s="307"/>
      <c r="T10" s="307"/>
      <c r="U10" s="307"/>
    </row>
    <row r="11" spans="2:26" collapsed="1">
      <c r="B11" s="2"/>
      <c r="C11" s="6" t="s">
        <v>511</v>
      </c>
      <c r="D11" s="185"/>
      <c r="E11" s="185"/>
      <c r="F11" s="185"/>
      <c r="G11" s="308"/>
      <c r="H11" s="308"/>
      <c r="I11" s="308"/>
      <c r="J11" s="308"/>
      <c r="K11" s="231">
        <v>107.5</v>
      </c>
      <c r="L11" s="99">
        <v>108.6</v>
      </c>
      <c r="M11" s="99">
        <v>110.7</v>
      </c>
      <c r="N11" s="99">
        <v>113</v>
      </c>
      <c r="O11" s="99">
        <v>114.8</v>
      </c>
      <c r="P11" s="706">
        <f t="shared" ref="P11:U11" si="6">O11*(1+P12)</f>
        <v>116.2</v>
      </c>
      <c r="Q11" s="99">
        <f t="shared" si="6"/>
        <v>118.9589466848944</v>
      </c>
      <c r="R11" s="99">
        <f t="shared" si="6"/>
        <v>121.78339928037477</v>
      </c>
      <c r="S11" s="99">
        <f t="shared" si="6"/>
        <v>124.67491309896134</v>
      </c>
      <c r="T11" s="99">
        <f t="shared" si="6"/>
        <v>127.63508038109453</v>
      </c>
      <c r="U11" s="99">
        <f t="shared" si="6"/>
        <v>130.66553117191768</v>
      </c>
    </row>
    <row r="12" spans="2:26">
      <c r="B12" s="2"/>
      <c r="C12" s="6" t="s">
        <v>306</v>
      </c>
      <c r="D12" s="110">
        <f>D9/158.6-1</f>
        <v>4.9810844892812067E-2</v>
      </c>
      <c r="E12" s="110">
        <f>E9/D9-1</f>
        <v>1.2612612612612484E-2</v>
      </c>
      <c r="F12" s="110">
        <f t="shared" ref="F12:G12" si="7">F9/E9-1</f>
        <v>2.7876631079478242E-2</v>
      </c>
      <c r="G12" s="110">
        <f t="shared" si="7"/>
        <v>3.5199076745527913E-2</v>
      </c>
      <c r="H12" s="110">
        <f>H10/G10-1</f>
        <v>2.0040080160320661E-2</v>
      </c>
      <c r="I12" s="110">
        <f t="shared" ref="I12:J12" si="8">I10/H10-1</f>
        <v>2.16110019646365E-2</v>
      </c>
      <c r="J12" s="110">
        <f t="shared" si="8"/>
        <v>2.3076923076923217E-2</v>
      </c>
      <c r="K12" s="110">
        <v>1.5108593012275628E-2</v>
      </c>
      <c r="L12" s="110">
        <v>1.0232558139534831E-2</v>
      </c>
      <c r="M12" s="110">
        <v>1.9337016574585641E-2</v>
      </c>
      <c r="N12" s="110">
        <v>2.0776874435411097E-2</v>
      </c>
      <c r="O12" s="110">
        <v>1.5929203539823078E-2</v>
      </c>
      <c r="P12" s="707">
        <f>116.2/114.8-1</f>
        <v>1.2195121951219523E-2</v>
      </c>
      <c r="Q12" s="707">
        <v>2.3743086789108414E-2</v>
      </c>
      <c r="R12" s="707">
        <v>2.3743086789108414E-2</v>
      </c>
      <c r="S12" s="707">
        <v>2.3743086789108414E-2</v>
      </c>
      <c r="T12" s="707">
        <v>2.3743086789108414E-2</v>
      </c>
      <c r="U12" s="707">
        <v>2.3743086789108414E-2</v>
      </c>
    </row>
    <row r="13" spans="2:26">
      <c r="B13" s="2"/>
      <c r="C13" s="6" t="s">
        <v>452</v>
      </c>
      <c r="D13" s="27"/>
      <c r="E13" s="27"/>
      <c r="F13" s="27"/>
      <c r="G13" s="27"/>
      <c r="H13" s="27"/>
      <c r="I13" s="63"/>
      <c r="J13" s="186">
        <v>1</v>
      </c>
      <c r="K13" s="217">
        <f>J13*(1+K12)</f>
        <v>1.0151085930122756</v>
      </c>
      <c r="L13" s="217">
        <f t="shared" ref="L13:O13" si="9">K13*(1+L12)</f>
        <v>1.0254957507082152</v>
      </c>
      <c r="M13" s="217">
        <f t="shared" si="9"/>
        <v>1.0453257790368271</v>
      </c>
      <c r="N13" s="217">
        <f t="shared" si="9"/>
        <v>1.0670443814919734</v>
      </c>
      <c r="O13" s="217">
        <f t="shared" si="9"/>
        <v>1.0840415486307837</v>
      </c>
      <c r="P13" s="217">
        <f t="shared" ref="P13:U13" si="10">O13*(1+P12)</f>
        <v>1.0972615675165249</v>
      </c>
      <c r="Q13" s="217">
        <f t="shared" si="10"/>
        <v>1.1233139441444229</v>
      </c>
      <c r="R13" s="217">
        <f t="shared" si="10"/>
        <v>1.1499848846116596</v>
      </c>
      <c r="S13" s="217">
        <f t="shared" si="10"/>
        <v>1.1772890755331571</v>
      </c>
      <c r="T13" s="217">
        <f t="shared" si="10"/>
        <v>1.20524155222941</v>
      </c>
      <c r="U13" s="217">
        <f t="shared" si="10"/>
        <v>1.2338577070058325</v>
      </c>
    </row>
    <row r="14" spans="2:26">
      <c r="B14" s="2"/>
      <c r="C14" s="744" t="s">
        <v>808</v>
      </c>
      <c r="D14" s="27"/>
      <c r="E14" s="27"/>
      <c r="F14" s="27"/>
      <c r="G14" s="217"/>
      <c r="H14" s="217"/>
      <c r="I14" s="217"/>
      <c r="J14" s="217"/>
      <c r="K14" s="217"/>
      <c r="L14" s="217"/>
      <c r="M14" s="217">
        <v>1</v>
      </c>
      <c r="N14" s="745">
        <f>M14*(1+N12)^0.5*(1+M12)^0.5</f>
        <v>1.0200566914516673</v>
      </c>
      <c r="O14" s="745">
        <f>N14*(1+O12)^0.5*(1+N12)^0.5</f>
        <v>1.0387748892718842</v>
      </c>
      <c r="P14" s="745">
        <f>O14*(1+P12)*(1+O12)^0.5</f>
        <v>1.0597841134352426</v>
      </c>
      <c r="Q14" s="746">
        <f>P14*(1+Q12)^0.5*(1+P12)</f>
        <v>1.0853683071749425</v>
      </c>
      <c r="R14" s="217">
        <f t="shared" ref="R14:U14" si="11">Q14*(1+R12)</f>
        <v>1.1111383010903448</v>
      </c>
      <c r="S14" s="217">
        <f t="shared" si="11"/>
        <v>1.1375201542078355</v>
      </c>
      <c r="T14" s="217">
        <f t="shared" si="11"/>
        <v>1.164528393953552</v>
      </c>
      <c r="U14" s="217">
        <f t="shared" si="11"/>
        <v>1.1921778926795723</v>
      </c>
    </row>
    <row r="15" spans="2:26">
      <c r="B15" s="2"/>
      <c r="C15" s="6" t="s">
        <v>403</v>
      </c>
      <c r="D15" s="27"/>
      <c r="E15" s="110"/>
      <c r="F15" s="110"/>
      <c r="G15" s="110"/>
      <c r="H15" s="110"/>
      <c r="I15" s="109"/>
      <c r="J15" s="63"/>
      <c r="K15" s="63"/>
      <c r="L15" s="63"/>
      <c r="M15" s="63"/>
      <c r="N15" s="63"/>
      <c r="O15" s="63">
        <v>1</v>
      </c>
      <c r="P15" s="63">
        <f>P11/$O$11</f>
        <v>1.0121951219512195</v>
      </c>
      <c r="Q15" s="63">
        <f t="shared" ref="Q15:U15" si="12">Q11/$O$11</f>
        <v>1.0362277585792194</v>
      </c>
      <c r="R15" s="63">
        <f t="shared" si="12"/>
        <v>1.0608310041844493</v>
      </c>
      <c r="S15" s="63">
        <f t="shared" si="12"/>
        <v>1.0860184067853775</v>
      </c>
      <c r="T15" s="63">
        <f t="shared" si="12"/>
        <v>1.111803836072252</v>
      </c>
      <c r="U15" s="63">
        <f t="shared" si="12"/>
        <v>1.138201491044579</v>
      </c>
      <c r="Z15" s="568"/>
    </row>
    <row r="16" spans="2:26">
      <c r="B16" s="2"/>
      <c r="C16" s="6" t="s">
        <v>404</v>
      </c>
      <c r="D16" s="81">
        <f t="shared" ref="D16:J16" si="13">(1+E$12)*E16</f>
        <v>1.2452748456018454</v>
      </c>
      <c r="E16" s="81">
        <f t="shared" si="13"/>
        <v>1.2297643048203279</v>
      </c>
      <c r="F16" s="81">
        <f t="shared" si="13"/>
        <v>1.1964123588730944</v>
      </c>
      <c r="G16" s="81">
        <f t="shared" si="13"/>
        <v>1.1557316710853247</v>
      </c>
      <c r="H16" s="81">
        <f t="shared" si="13"/>
        <v>1.133025744344945</v>
      </c>
      <c r="I16" s="81">
        <f t="shared" si="13"/>
        <v>1.109057892060725</v>
      </c>
      <c r="J16" s="81">
        <f t="shared" si="13"/>
        <v>1.0840415486307837</v>
      </c>
      <c r="K16" s="81">
        <f t="shared" ref="K16:N16" si="14">(1+L$12)*L16</f>
        <v>1.0679069767441862</v>
      </c>
      <c r="L16" s="81">
        <f t="shared" si="14"/>
        <v>1.0570902394106816</v>
      </c>
      <c r="M16" s="81">
        <f t="shared" si="14"/>
        <v>1.0370370370370372</v>
      </c>
      <c r="N16" s="81">
        <f t="shared" si="14"/>
        <v>1.0159292035398231</v>
      </c>
      <c r="O16" s="81">
        <v>1</v>
      </c>
      <c r="P16" s="6"/>
      <c r="Q16" s="6"/>
      <c r="R16" s="6"/>
      <c r="S16" s="6"/>
      <c r="T16" s="6"/>
      <c r="U16" s="6"/>
    </row>
    <row r="17" spans="2:27">
      <c r="B17" s="2"/>
      <c r="C17" s="744" t="s">
        <v>807</v>
      </c>
      <c r="D17" s="747"/>
      <c r="E17" s="747"/>
      <c r="F17" s="747"/>
      <c r="G17" s="747"/>
      <c r="H17" s="747"/>
      <c r="I17" s="747"/>
      <c r="J17" s="748">
        <f>K17*(1+K12)^0.5*(1+J12)^0.5</f>
        <v>1.1098500661870196</v>
      </c>
      <c r="K17" s="748">
        <f>L17*(1+L12)^0.5*(1+K12)^0.5</f>
        <v>1.089065287920217</v>
      </c>
      <c r="L17" s="748">
        <f>M17*(1+M12)^0.5*(1+L12)^0.5</f>
        <v>1.075441975284158</v>
      </c>
      <c r="M17" s="748">
        <f>N17*(1+N12)^0.5*(1+M12)^0.5</f>
        <v>1.0597841134352426</v>
      </c>
      <c r="N17" s="748">
        <f>O17*(1+O12)^0.5*(1+N12)^0.5</f>
        <v>1.0389462882960341</v>
      </c>
      <c r="O17" s="748">
        <f>P17*(1+P12)*(1+O12)^0.5</f>
        <v>1.0202250019521406</v>
      </c>
      <c r="P17" s="63">
        <v>1</v>
      </c>
      <c r="Q17" s="63">
        <f>$P$11/Q11</f>
        <v>0.97680757301758514</v>
      </c>
      <c r="R17" s="63">
        <f>$P$11/R11</f>
        <v>0.95415303470450497</v>
      </c>
      <c r="S17" s="63">
        <f>$P$11/S11</f>
        <v>0.9320239101170712</v>
      </c>
      <c r="T17" s="63">
        <f>$P$11/T11</f>
        <v>0.91040801363581625</v>
      </c>
      <c r="U17" s="63">
        <f>$P$11/U11</f>
        <v>0.88929344225536222</v>
      </c>
    </row>
    <row r="18" spans="2:27">
      <c r="B18" s="2"/>
      <c r="C18" s="64" t="s">
        <v>305</v>
      </c>
      <c r="D18" s="63">
        <f t="shared" ref="D18:F18" si="15">(1+E$12)*E18</f>
        <v>1.1228222210186136</v>
      </c>
      <c r="E18" s="63">
        <f t="shared" si="15"/>
        <v>1.1088368908635777</v>
      </c>
      <c r="F18" s="63">
        <f t="shared" si="15"/>
        <v>1.0787645689532555</v>
      </c>
      <c r="G18" s="63">
        <f>(1+H$12)*H18</f>
        <v>1.0420841683366733</v>
      </c>
      <c r="H18" s="63">
        <f>1*(1+I$12)</f>
        <v>1.0216110019646365</v>
      </c>
      <c r="I18" s="63">
        <v>1</v>
      </c>
      <c r="J18" s="63">
        <f>I18/(1+J12)</f>
        <v>0.97744360902255623</v>
      </c>
      <c r="K18" s="63">
        <f t="shared" ref="K18:O18" si="16">J18/(1+K12)</f>
        <v>0.96289561112082522</v>
      </c>
      <c r="L18" s="63">
        <f t="shared" si="16"/>
        <v>0.95314252482033812</v>
      </c>
      <c r="M18" s="63">
        <f t="shared" si="16"/>
        <v>0.93506123031155119</v>
      </c>
      <c r="N18" s="63">
        <f t="shared" si="16"/>
        <v>0.91602901057954611</v>
      </c>
      <c r="O18" s="63">
        <f t="shared" si="16"/>
        <v>0.90166618637185281</v>
      </c>
      <c r="P18" s="63"/>
      <c r="Q18" s="63"/>
      <c r="R18" s="63"/>
      <c r="S18" s="63"/>
      <c r="T18" s="63"/>
      <c r="U18" s="63"/>
    </row>
    <row r="19" spans="2:27" ht="11.25" customHeight="1">
      <c r="B19" s="2"/>
      <c r="C19" s="24"/>
      <c r="D19" s="100"/>
      <c r="E19" s="100"/>
      <c r="F19" s="100"/>
      <c r="G19" s="100"/>
      <c r="H19" s="100"/>
      <c r="I19" s="100"/>
      <c r="J19" s="100"/>
      <c r="K19" s="100"/>
      <c r="L19" s="100"/>
      <c r="M19" s="100"/>
      <c r="N19" s="100"/>
      <c r="O19" s="100"/>
    </row>
    <row r="20" spans="2:27">
      <c r="B20" s="2"/>
      <c r="C20" s="24" t="s">
        <v>798</v>
      </c>
      <c r="P20" s="108"/>
      <c r="Q20" s="108"/>
      <c r="R20" s="108"/>
    </row>
    <row r="21" spans="2:27">
      <c r="B21" s="2"/>
      <c r="C21" s="569"/>
      <c r="G21" s="1" t="s">
        <v>525</v>
      </c>
      <c r="J21" s="241">
        <f>(1+K12)^0.5*(1+L12)*(1+M12)</f>
        <v>1.0375174472699489</v>
      </c>
    </row>
    <row r="22" spans="2:27">
      <c r="B22" s="2"/>
      <c r="C22" s="24"/>
      <c r="G22" s="1" t="s">
        <v>539</v>
      </c>
      <c r="J22" s="241">
        <f>J21*M16</f>
        <v>1.0759440193910583</v>
      </c>
    </row>
    <row r="23" spans="2:27">
      <c r="B23" s="2" t="s">
        <v>170</v>
      </c>
      <c r="W23" s="959" t="s">
        <v>870</v>
      </c>
      <c r="X23" s="959"/>
      <c r="Z23" s="959" t="s">
        <v>871</v>
      </c>
      <c r="AA23" s="959"/>
    </row>
    <row r="24" spans="2:27">
      <c r="B24" s="2"/>
      <c r="F24" s="222"/>
      <c r="G24" s="222"/>
      <c r="H24" s="222"/>
      <c r="I24" s="222"/>
      <c r="J24" s="114"/>
      <c r="K24" s="222"/>
      <c r="W24" s="855" t="s">
        <v>285</v>
      </c>
      <c r="X24" s="114" t="s">
        <v>286</v>
      </c>
      <c r="Z24" s="855" t="s">
        <v>285</v>
      </c>
      <c r="AA24" s="114" t="s">
        <v>286</v>
      </c>
    </row>
    <row r="25" spans="2:27">
      <c r="B25" s="2"/>
      <c r="C25" s="6" t="s">
        <v>172</v>
      </c>
      <c r="D25" s="6"/>
      <c r="E25" s="6"/>
      <c r="F25" s="6"/>
      <c r="G25" s="6"/>
      <c r="H25" s="6"/>
      <c r="I25" s="28">
        <v>2014</v>
      </c>
      <c r="J25" s="28">
        <v>2015</v>
      </c>
      <c r="K25" s="29">
        <f t="shared" ref="K25:L25" si="17">EDATE(L25,-12)</f>
        <v>42705</v>
      </c>
      <c r="L25" s="29">
        <f t="shared" si="17"/>
        <v>43070</v>
      </c>
      <c r="M25" s="29">
        <f>EDATE(N25,-12)</f>
        <v>43435</v>
      </c>
      <c r="N25" s="29">
        <f>CP_Yr_4</f>
        <v>43800</v>
      </c>
      <c r="O25" s="29">
        <f>CP_Yr_5</f>
        <v>44166</v>
      </c>
      <c r="P25" s="29">
        <f>Stub</f>
        <v>44377</v>
      </c>
      <c r="Q25" s="29">
        <f>Yr_1</f>
        <v>44742</v>
      </c>
      <c r="R25" s="29">
        <f>Yr_2</f>
        <v>45107</v>
      </c>
      <c r="S25" s="29">
        <f>Yr_3</f>
        <v>45473</v>
      </c>
      <c r="T25" s="29">
        <f>Yr_4</f>
        <v>45838</v>
      </c>
      <c r="U25" s="29">
        <f>Yr_5</f>
        <v>46203</v>
      </c>
      <c r="W25" s="855" t="s">
        <v>622</v>
      </c>
      <c r="X25" s="855" t="s">
        <v>623</v>
      </c>
      <c r="Z25" s="857" t="s">
        <v>622</v>
      </c>
      <c r="AA25" s="857" t="s">
        <v>623</v>
      </c>
    </row>
    <row r="26" spans="2:27">
      <c r="B26" s="2"/>
      <c r="C26" s="6" t="s">
        <v>205</v>
      </c>
      <c r="D26" s="6"/>
      <c r="E26" s="6"/>
      <c r="F26" s="6"/>
      <c r="G26" s="6"/>
      <c r="H26" s="6"/>
      <c r="I26" s="79"/>
      <c r="J26" s="125"/>
      <c r="K26" s="125"/>
      <c r="L26" s="125"/>
      <c r="M26" s="125"/>
      <c r="N26" s="749">
        <f>AVERAGE(W26,Z26)</f>
        <v>1.4906833450926693E-2</v>
      </c>
      <c r="O26" s="749">
        <f>AVERAGE(X26,AA26)</f>
        <v>8.9480509403160879E-3</v>
      </c>
      <c r="P26" s="749">
        <f>0.5*'[2]WPI - revised'!F$9</f>
        <v>7.3916564274856267E-4</v>
      </c>
      <c r="Q26" s="749">
        <f>'[2]WPI - revised'!G$9</f>
        <v>7.762137192630263E-3</v>
      </c>
      <c r="R26" s="749">
        <f>'[2]WPI - revised'!H$9</f>
        <v>4.9608934391037352E-3</v>
      </c>
      <c r="S26" s="749">
        <f>'[2]WPI - revised'!I$9</f>
        <v>6.5125776994591012E-3</v>
      </c>
      <c r="T26" s="749">
        <f>'[2]WPI - revised'!J$9</f>
        <v>9.9346404822831889E-3</v>
      </c>
      <c r="U26" s="749">
        <f>'[2]WPI - revised'!K$9</f>
        <v>1.307542378220742E-2</v>
      </c>
      <c r="W26" s="108">
        <f>0.5*'[2]BIS Oxford'!G$33/100+0.5*'[2]BIS Oxford'!H$33/100</f>
        <v>1.6422852024014278E-2</v>
      </c>
      <c r="X26" s="108">
        <f>0.5*'[2]BIS Oxford'!H$33/100+0.5*'[2]BIS Oxford'!I$33/100</f>
        <v>1.3397651928156229E-2</v>
      </c>
      <c r="Z26" s="232">
        <f>[2]DAE!N$26</f>
        <v>1.3390814877839108E-2</v>
      </c>
      <c r="AA26" s="232">
        <f>[2]DAE!O$26</f>
        <v>4.4984499524759469E-3</v>
      </c>
    </row>
    <row r="27" spans="2:27">
      <c r="B27" s="2"/>
      <c r="C27" s="6" t="s">
        <v>528</v>
      </c>
      <c r="D27" s="6"/>
      <c r="E27" s="6"/>
      <c r="F27" s="6"/>
      <c r="G27" s="6"/>
      <c r="H27" s="6"/>
      <c r="I27" s="311"/>
      <c r="J27" s="311"/>
      <c r="K27" s="311"/>
      <c r="L27" s="311"/>
      <c r="M27" s="63">
        <v>1</v>
      </c>
      <c r="N27" s="63">
        <f t="shared" ref="N27:O27" si="18">(1+N26)*M27</f>
        <v>1.0149068334509268</v>
      </c>
      <c r="O27" s="63">
        <f t="shared" si="18"/>
        <v>1.0239882714963207</v>
      </c>
      <c r="P27" s="63">
        <f t="shared" ref="P27" si="19">(1+P26)*O27</f>
        <v>1.0247451684451883</v>
      </c>
      <c r="Q27" s="763">
        <f t="shared" ref="Q27" si="20">(1+Q26)*P27</f>
        <v>1.0326993810301448</v>
      </c>
      <c r="R27" s="63">
        <f t="shared" ref="R27" si="21">(1+R26)*Q27</f>
        <v>1.0378224926140636</v>
      </c>
      <c r="S27" s="63">
        <f t="shared" ref="S27" si="22">(1+S26)*R27</f>
        <v>1.044581392235459</v>
      </c>
      <c r="T27" s="63">
        <f t="shared" ref="T27" si="23">(1+T26)*S27</f>
        <v>1.054958932821801</v>
      </c>
      <c r="U27" s="63">
        <f t="shared" ref="U27" si="24">(1+U26)*T27</f>
        <v>1.0687529679412715</v>
      </c>
    </row>
    <row r="28" spans="2:27">
      <c r="B28" s="2"/>
      <c r="C28" s="6" t="s">
        <v>529</v>
      </c>
      <c r="D28" s="6"/>
      <c r="E28" s="6"/>
      <c r="F28" s="6"/>
      <c r="G28" s="6"/>
      <c r="H28" s="6"/>
      <c r="I28" s="63"/>
      <c r="J28" s="63">
        <v>1</v>
      </c>
      <c r="K28" s="63">
        <f>J28*(1+K26)</f>
        <v>1</v>
      </c>
      <c r="L28" s="63">
        <f>K28*(1+L26)</f>
        <v>1</v>
      </c>
      <c r="M28" s="63">
        <f>L28*(1+M26)</f>
        <v>1</v>
      </c>
      <c r="N28" s="63">
        <f t="shared" ref="N28:U28" si="25">M28*(1+N26)</f>
        <v>1.0149068334509268</v>
      </c>
      <c r="O28" s="63">
        <f t="shared" si="25"/>
        <v>1.0239882714963207</v>
      </c>
      <c r="P28" s="63">
        <f t="shared" ref="P28" si="26">O28*(1+P26)</f>
        <v>1.0247451684451883</v>
      </c>
      <c r="Q28" s="63">
        <f t="shared" ref="Q28" si="27">P28*(1+Q26)</f>
        <v>1.0326993810301448</v>
      </c>
      <c r="R28" s="63">
        <f t="shared" si="25"/>
        <v>1.0378224926140636</v>
      </c>
      <c r="S28" s="63">
        <f t="shared" si="25"/>
        <v>1.044581392235459</v>
      </c>
      <c r="T28" s="63">
        <f t="shared" si="25"/>
        <v>1.054958932821801</v>
      </c>
      <c r="U28" s="63">
        <f t="shared" si="25"/>
        <v>1.0687529679412715</v>
      </c>
    </row>
    <row r="29" spans="2:27">
      <c r="B29" s="2"/>
      <c r="C29" s="6" t="s">
        <v>206</v>
      </c>
      <c r="D29" s="6"/>
      <c r="E29" s="6"/>
      <c r="F29" s="6"/>
      <c r="G29" s="6"/>
      <c r="H29" s="6"/>
      <c r="I29" s="79"/>
      <c r="J29" s="125"/>
      <c r="K29" s="125"/>
      <c r="L29" s="125"/>
      <c r="M29" s="125"/>
      <c r="N29" s="710">
        <v>0</v>
      </c>
      <c r="O29" s="710">
        <v>0</v>
      </c>
      <c r="P29" s="710">
        <v>0</v>
      </c>
      <c r="Q29" s="710">
        <v>0</v>
      </c>
      <c r="R29" s="710">
        <v>0</v>
      </c>
      <c r="S29" s="710">
        <v>0</v>
      </c>
      <c r="T29" s="710">
        <v>0</v>
      </c>
      <c r="U29" s="710">
        <v>0</v>
      </c>
    </row>
    <row r="30" spans="2:27">
      <c r="B30" s="2"/>
      <c r="C30" s="6" t="s">
        <v>530</v>
      </c>
      <c r="D30" s="6"/>
      <c r="E30" s="6"/>
      <c r="F30" s="6"/>
      <c r="G30" s="6"/>
      <c r="H30" s="6"/>
      <c r="I30" s="311"/>
      <c r="J30" s="311"/>
      <c r="K30" s="311"/>
      <c r="L30" s="311"/>
      <c r="M30" s="63">
        <v>1</v>
      </c>
      <c r="N30" s="63">
        <f t="shared" ref="N30" si="28">(1+N29)*M30</f>
        <v>1</v>
      </c>
      <c r="O30" s="63">
        <f t="shared" ref="O30" si="29">(1+O29)*N30</f>
        <v>1</v>
      </c>
      <c r="P30" s="63">
        <f t="shared" ref="P30" si="30">(1+P29)*O30</f>
        <v>1</v>
      </c>
      <c r="Q30" s="63">
        <f t="shared" ref="Q30" si="31">(1+Q29)*P30</f>
        <v>1</v>
      </c>
      <c r="R30" s="63">
        <f t="shared" ref="R30" si="32">(1+R29)*Q30</f>
        <v>1</v>
      </c>
      <c r="S30" s="63">
        <f t="shared" ref="S30" si="33">(1+S29)*R30</f>
        <v>1</v>
      </c>
      <c r="T30" s="63">
        <f t="shared" ref="T30" si="34">(1+T29)*S30</f>
        <v>1</v>
      </c>
      <c r="U30" s="63">
        <f t="shared" ref="U30" si="35">(1+U29)*T30</f>
        <v>1</v>
      </c>
    </row>
    <row r="31" spans="2:27">
      <c r="B31" s="2"/>
      <c r="C31" s="6" t="s">
        <v>531</v>
      </c>
      <c r="D31" s="6"/>
      <c r="E31" s="6"/>
      <c r="F31" s="6"/>
      <c r="G31" s="6"/>
      <c r="H31" s="6"/>
      <c r="I31" s="63"/>
      <c r="J31" s="63">
        <v>1</v>
      </c>
      <c r="K31" s="63">
        <f>J31*(1+K29)</f>
        <v>1</v>
      </c>
      <c r="L31" s="63">
        <f>K31*(1+L29)</f>
        <v>1</v>
      </c>
      <c r="M31" s="63">
        <f t="shared" ref="M31:U31" si="36">L31*(1+M29)</f>
        <v>1</v>
      </c>
      <c r="N31" s="63">
        <f t="shared" si="36"/>
        <v>1</v>
      </c>
      <c r="O31" s="63">
        <f t="shared" si="36"/>
        <v>1</v>
      </c>
      <c r="P31" s="63">
        <f t="shared" ref="P31" si="37">O31*(1+P29)</f>
        <v>1</v>
      </c>
      <c r="Q31" s="63">
        <f t="shared" ref="Q31" si="38">P31*(1+Q29)</f>
        <v>1</v>
      </c>
      <c r="R31" s="63">
        <f t="shared" si="36"/>
        <v>1</v>
      </c>
      <c r="S31" s="63">
        <f t="shared" si="36"/>
        <v>1</v>
      </c>
      <c r="T31" s="63">
        <f t="shared" si="36"/>
        <v>1</v>
      </c>
      <c r="U31" s="63">
        <f t="shared" si="36"/>
        <v>1</v>
      </c>
    </row>
    <row r="32" spans="2:27">
      <c r="B32" s="2"/>
      <c r="C32" s="503" t="s">
        <v>869</v>
      </c>
      <c r="D32" s="24"/>
      <c r="E32" s="24"/>
      <c r="F32" s="24"/>
      <c r="G32" s="24"/>
      <c r="H32" s="24"/>
    </row>
    <row r="33" spans="2:23">
      <c r="B33" s="2"/>
      <c r="C33" s="24"/>
      <c r="D33" s="24"/>
      <c r="E33" s="24"/>
      <c r="F33" s="24"/>
      <c r="G33" s="24"/>
      <c r="H33" s="24"/>
      <c r="K33" s="108"/>
      <c r="L33" s="108"/>
      <c r="M33" s="108"/>
      <c r="N33" s="672"/>
      <c r="O33" s="672"/>
      <c r="P33" s="672"/>
      <c r="Q33" s="672"/>
      <c r="R33" s="672"/>
      <c r="S33" s="672"/>
      <c r="T33" s="672"/>
      <c r="U33" s="672"/>
    </row>
    <row r="34" spans="2:23">
      <c r="B34" s="2" t="s">
        <v>171</v>
      </c>
    </row>
    <row r="35" spans="2:23">
      <c r="B35" s="2"/>
      <c r="C35" s="6" t="s">
        <v>241</v>
      </c>
      <c r="D35" s="6"/>
      <c r="E35" s="6"/>
      <c r="F35" s="6"/>
      <c r="G35" s="6"/>
      <c r="H35" s="6"/>
      <c r="I35" s="28">
        <v>2014</v>
      </c>
      <c r="J35" s="28">
        <v>2015</v>
      </c>
      <c r="K35" s="29">
        <f t="shared" ref="K35:L35" si="39">EDATE(L35,-12)</f>
        <v>42705</v>
      </c>
      <c r="L35" s="29">
        <f t="shared" si="39"/>
        <v>43070</v>
      </c>
      <c r="M35" s="29">
        <f>EDATE(N35,-12)</f>
        <v>43435</v>
      </c>
      <c r="N35" s="29">
        <f>CP_Yr_4</f>
        <v>43800</v>
      </c>
      <c r="O35" s="29">
        <f>CP_Yr_5</f>
        <v>44166</v>
      </c>
      <c r="P35" s="29">
        <f>Stub</f>
        <v>44377</v>
      </c>
      <c r="Q35" s="29">
        <f>Yr_1</f>
        <v>44742</v>
      </c>
      <c r="R35" s="29">
        <f>Yr_2</f>
        <v>45107</v>
      </c>
      <c r="S35" s="29">
        <f>Yr_3</f>
        <v>45473</v>
      </c>
      <c r="T35" s="29">
        <f>Yr_4</f>
        <v>45838</v>
      </c>
      <c r="U35" s="29">
        <f>Yr_5</f>
        <v>46203</v>
      </c>
    </row>
    <row r="36" spans="2:23">
      <c r="B36" s="2"/>
      <c r="C36" s="6" t="s">
        <v>180</v>
      </c>
      <c r="D36" s="6"/>
      <c r="E36" s="6"/>
      <c r="F36" s="6"/>
      <c r="G36" s="6"/>
      <c r="H36" s="6"/>
      <c r="I36" s="110">
        <v>0</v>
      </c>
      <c r="J36" s="110">
        <v>0</v>
      </c>
      <c r="K36" s="110">
        <v>0</v>
      </c>
      <c r="L36" s="110">
        <v>0</v>
      </c>
      <c r="M36" s="110">
        <v>0</v>
      </c>
      <c r="N36" s="110">
        <v>0</v>
      </c>
      <c r="O36" s="110">
        <v>0</v>
      </c>
      <c r="P36" s="110">
        <v>0</v>
      </c>
      <c r="Q36" s="110">
        <v>0</v>
      </c>
      <c r="R36" s="110">
        <v>0</v>
      </c>
      <c r="S36" s="110">
        <v>0</v>
      </c>
      <c r="T36" s="110">
        <v>0</v>
      </c>
      <c r="U36" s="110">
        <v>0</v>
      </c>
    </row>
    <row r="37" spans="2:23">
      <c r="B37" s="2"/>
      <c r="C37" s="6" t="s">
        <v>181</v>
      </c>
      <c r="D37" s="6"/>
      <c r="E37" s="6"/>
      <c r="F37" s="6"/>
      <c r="G37" s="6"/>
      <c r="H37" s="6"/>
      <c r="I37" s="110">
        <v>0</v>
      </c>
      <c r="J37" s="110">
        <v>0</v>
      </c>
      <c r="K37" s="110">
        <v>0</v>
      </c>
      <c r="L37" s="110">
        <v>0</v>
      </c>
      <c r="M37" s="110">
        <v>0</v>
      </c>
      <c r="N37" s="110">
        <v>0</v>
      </c>
      <c r="O37" s="110">
        <v>0</v>
      </c>
      <c r="P37" s="110">
        <v>0</v>
      </c>
      <c r="Q37" s="110">
        <v>0</v>
      </c>
      <c r="R37" s="110">
        <v>0</v>
      </c>
      <c r="S37" s="110">
        <v>0</v>
      </c>
      <c r="T37" s="110">
        <v>0</v>
      </c>
      <c r="U37" s="110">
        <v>0</v>
      </c>
    </row>
    <row r="38" spans="2:23">
      <c r="B38" s="2"/>
      <c r="C38" s="6" t="s">
        <v>182</v>
      </c>
      <c r="D38" s="6"/>
      <c r="E38" s="6"/>
      <c r="F38" s="6"/>
      <c r="G38" s="6"/>
      <c r="H38" s="6"/>
      <c r="I38" s="110">
        <v>0</v>
      </c>
      <c r="J38" s="110">
        <v>0</v>
      </c>
      <c r="K38" s="110">
        <v>0</v>
      </c>
      <c r="L38" s="110">
        <v>0</v>
      </c>
      <c r="M38" s="110">
        <v>0</v>
      </c>
      <c r="N38" s="110">
        <v>0</v>
      </c>
      <c r="O38" s="110">
        <v>0</v>
      </c>
      <c r="P38" s="110">
        <v>0</v>
      </c>
      <c r="Q38" s="110">
        <v>0</v>
      </c>
      <c r="R38" s="110">
        <v>0</v>
      </c>
      <c r="S38" s="110">
        <v>0</v>
      </c>
      <c r="T38" s="110">
        <v>0</v>
      </c>
      <c r="U38" s="110">
        <v>0</v>
      </c>
      <c r="W38" s="1" t="s">
        <v>320</v>
      </c>
    </row>
    <row r="39" spans="2:23">
      <c r="B39" s="2"/>
      <c r="C39" s="6" t="s">
        <v>183</v>
      </c>
      <c r="D39" s="6"/>
      <c r="E39" s="6"/>
      <c r="F39" s="6"/>
      <c r="G39" s="6"/>
      <c r="H39" s="6"/>
      <c r="I39" s="110">
        <v>0</v>
      </c>
      <c r="J39" s="110">
        <v>0</v>
      </c>
      <c r="K39" s="110">
        <v>0</v>
      </c>
      <c r="L39" s="110">
        <v>0</v>
      </c>
      <c r="M39" s="110">
        <v>0</v>
      </c>
      <c r="N39" s="110">
        <v>0</v>
      </c>
      <c r="O39" s="110">
        <v>0</v>
      </c>
      <c r="P39" s="110">
        <v>0</v>
      </c>
      <c r="Q39" s="110">
        <v>0</v>
      </c>
      <c r="R39" s="110">
        <v>0</v>
      </c>
      <c r="S39" s="110">
        <v>0</v>
      </c>
      <c r="T39" s="110">
        <v>0</v>
      </c>
      <c r="U39" s="110">
        <v>0</v>
      </c>
    </row>
    <row r="40" spans="2:23">
      <c r="B40" s="2"/>
      <c r="C40" s="6" t="s">
        <v>5</v>
      </c>
      <c r="D40" s="6"/>
      <c r="E40" s="6"/>
      <c r="F40" s="6"/>
      <c r="G40" s="6"/>
      <c r="H40" s="6"/>
      <c r="I40" s="110">
        <v>0</v>
      </c>
      <c r="J40" s="110">
        <v>0</v>
      </c>
      <c r="K40" s="110">
        <v>0</v>
      </c>
      <c r="L40" s="110">
        <v>0</v>
      </c>
      <c r="M40" s="110">
        <v>0</v>
      </c>
      <c r="N40" s="110">
        <v>0</v>
      </c>
      <c r="O40" s="110">
        <v>0</v>
      </c>
      <c r="P40" s="110">
        <v>0</v>
      </c>
      <c r="Q40" s="110">
        <v>0</v>
      </c>
      <c r="R40" s="110">
        <v>0</v>
      </c>
      <c r="S40" s="110">
        <v>0</v>
      </c>
      <c r="T40" s="110">
        <v>0</v>
      </c>
      <c r="U40" s="110">
        <v>0</v>
      </c>
    </row>
    <row r="41" spans="2:23">
      <c r="B41" s="2"/>
      <c r="C41" s="6" t="s">
        <v>185</v>
      </c>
      <c r="D41" s="6"/>
      <c r="E41" s="6"/>
      <c r="F41" s="6"/>
      <c r="G41" s="6"/>
      <c r="H41" s="6"/>
      <c r="I41" s="110">
        <v>0</v>
      </c>
      <c r="J41" s="110">
        <v>0</v>
      </c>
      <c r="K41" s="110">
        <v>0</v>
      </c>
      <c r="L41" s="110">
        <v>0</v>
      </c>
      <c r="M41" s="110">
        <v>0</v>
      </c>
      <c r="N41" s="110">
        <v>0</v>
      </c>
      <c r="O41" s="110">
        <v>0</v>
      </c>
      <c r="P41" s="110">
        <v>0</v>
      </c>
      <c r="Q41" s="110">
        <v>0</v>
      </c>
      <c r="R41" s="110">
        <v>0</v>
      </c>
      <c r="S41" s="110">
        <v>0</v>
      </c>
      <c r="T41" s="110">
        <v>0</v>
      </c>
      <c r="U41" s="110">
        <v>0</v>
      </c>
    </row>
    <row r="42" spans="2:23">
      <c r="B42" s="2"/>
    </row>
    <row r="43" spans="2:23">
      <c r="B43" s="2"/>
      <c r="C43" s="6" t="s">
        <v>211</v>
      </c>
      <c r="D43" s="6"/>
      <c r="E43" s="6"/>
      <c r="F43" s="6"/>
      <c r="G43" s="6"/>
      <c r="H43" s="6"/>
      <c r="I43" s="28">
        <v>2014</v>
      </c>
      <c r="J43" s="28">
        <v>2015</v>
      </c>
      <c r="K43" s="29">
        <f t="shared" ref="K43:L43" si="40">EDATE(L43,-12)</f>
        <v>42705</v>
      </c>
      <c r="L43" s="29">
        <f t="shared" si="40"/>
        <v>43070</v>
      </c>
      <c r="M43" s="29">
        <f>EDATE(N43,-12)</f>
        <v>43435</v>
      </c>
      <c r="N43" s="29">
        <f>CP_Yr_4</f>
        <v>43800</v>
      </c>
      <c r="O43" s="29">
        <f>CP_Yr_5</f>
        <v>44166</v>
      </c>
      <c r="P43" s="29">
        <f>Stub</f>
        <v>44377</v>
      </c>
      <c r="Q43" s="29">
        <f>Yr_1</f>
        <v>44742</v>
      </c>
      <c r="R43" s="29">
        <f>Yr_2</f>
        <v>45107</v>
      </c>
      <c r="S43" s="29">
        <f>Yr_3</f>
        <v>45473</v>
      </c>
      <c r="T43" s="29">
        <f>Yr_4</f>
        <v>45838</v>
      </c>
      <c r="U43" s="29">
        <f>Yr_5</f>
        <v>46203</v>
      </c>
    </row>
    <row r="44" spans="2:23">
      <c r="B44" s="2"/>
      <c r="C44" s="6" t="s">
        <v>180</v>
      </c>
      <c r="D44" s="6"/>
      <c r="E44" s="6"/>
      <c r="F44" s="6"/>
      <c r="G44" s="6"/>
      <c r="H44" s="6"/>
      <c r="I44" s="63"/>
      <c r="J44" s="63"/>
      <c r="K44" s="63"/>
      <c r="L44" s="63"/>
      <c r="M44" s="63">
        <v>1</v>
      </c>
      <c r="N44" s="63">
        <f t="shared" ref="N44:P44" si="41">(1+N36)*M44</f>
        <v>1</v>
      </c>
      <c r="O44" s="63">
        <f t="shared" si="41"/>
        <v>1</v>
      </c>
      <c r="P44" s="63">
        <f t="shared" si="41"/>
        <v>1</v>
      </c>
      <c r="Q44" s="63">
        <f t="shared" ref="Q44:Q48" si="42">(1+Q36)*P44</f>
        <v>1</v>
      </c>
      <c r="R44" s="63">
        <f t="shared" ref="R44:R48" si="43">(1+R36)*Q44</f>
        <v>1</v>
      </c>
      <c r="S44" s="63">
        <f t="shared" ref="S44:S48" si="44">(1+S36)*R44</f>
        <v>1</v>
      </c>
      <c r="T44" s="63">
        <f t="shared" ref="T44:T48" si="45">(1+T36)*S44</f>
        <v>1</v>
      </c>
      <c r="U44" s="63">
        <f t="shared" ref="U44:U48" si="46">(1+U36)*T44</f>
        <v>1</v>
      </c>
    </row>
    <row r="45" spans="2:23">
      <c r="B45" s="2"/>
      <c r="C45" s="6" t="s">
        <v>181</v>
      </c>
      <c r="D45" s="6"/>
      <c r="E45" s="6"/>
      <c r="F45" s="6"/>
      <c r="G45" s="6"/>
      <c r="H45" s="6"/>
      <c r="I45" s="63"/>
      <c r="J45" s="63"/>
      <c r="K45" s="63"/>
      <c r="L45" s="63"/>
      <c r="M45" s="63">
        <v>1</v>
      </c>
      <c r="N45" s="63">
        <f t="shared" ref="N45:P45" si="47">(1+N37)*M45</f>
        <v>1</v>
      </c>
      <c r="O45" s="63">
        <f t="shared" si="47"/>
        <v>1</v>
      </c>
      <c r="P45" s="63">
        <f t="shared" si="47"/>
        <v>1</v>
      </c>
      <c r="Q45" s="63">
        <f t="shared" si="42"/>
        <v>1</v>
      </c>
      <c r="R45" s="63">
        <f t="shared" si="43"/>
        <v>1</v>
      </c>
      <c r="S45" s="63">
        <f t="shared" si="44"/>
        <v>1</v>
      </c>
      <c r="T45" s="63">
        <f t="shared" si="45"/>
        <v>1</v>
      </c>
      <c r="U45" s="63">
        <f t="shared" si="46"/>
        <v>1</v>
      </c>
    </row>
    <row r="46" spans="2:23">
      <c r="B46" s="2"/>
      <c r="C46" s="6" t="s">
        <v>182</v>
      </c>
      <c r="D46" s="6"/>
      <c r="E46" s="6"/>
      <c r="F46" s="6"/>
      <c r="G46" s="6"/>
      <c r="H46" s="6"/>
      <c r="I46" s="63"/>
      <c r="J46" s="63"/>
      <c r="K46" s="63"/>
      <c r="L46" s="63"/>
      <c r="M46" s="63">
        <v>1</v>
      </c>
      <c r="N46" s="63">
        <f t="shared" ref="N46:P46" si="48">(1+N38)*M46</f>
        <v>1</v>
      </c>
      <c r="O46" s="63">
        <f t="shared" si="48"/>
        <v>1</v>
      </c>
      <c r="P46" s="63">
        <f t="shared" si="48"/>
        <v>1</v>
      </c>
      <c r="Q46" s="63">
        <f t="shared" si="42"/>
        <v>1</v>
      </c>
      <c r="R46" s="63">
        <f t="shared" si="43"/>
        <v>1</v>
      </c>
      <c r="S46" s="63">
        <f t="shared" si="44"/>
        <v>1</v>
      </c>
      <c r="T46" s="63">
        <f t="shared" si="45"/>
        <v>1</v>
      </c>
      <c r="U46" s="63">
        <f t="shared" si="46"/>
        <v>1</v>
      </c>
    </row>
    <row r="47" spans="2:23">
      <c r="B47" s="2"/>
      <c r="C47" s="6" t="s">
        <v>183</v>
      </c>
      <c r="D47" s="6"/>
      <c r="E47" s="6"/>
      <c r="F47" s="6"/>
      <c r="G47" s="6"/>
      <c r="H47" s="6"/>
      <c r="I47" s="63"/>
      <c r="J47" s="63"/>
      <c r="K47" s="63"/>
      <c r="L47" s="63"/>
      <c r="M47" s="63">
        <v>1</v>
      </c>
      <c r="N47" s="63">
        <f t="shared" ref="N47:P47" si="49">(1+N39)*M47</f>
        <v>1</v>
      </c>
      <c r="O47" s="63">
        <f t="shared" si="49"/>
        <v>1</v>
      </c>
      <c r="P47" s="63">
        <f t="shared" si="49"/>
        <v>1</v>
      </c>
      <c r="Q47" s="63">
        <f t="shared" si="42"/>
        <v>1</v>
      </c>
      <c r="R47" s="63">
        <f t="shared" si="43"/>
        <v>1</v>
      </c>
      <c r="S47" s="63">
        <f t="shared" si="44"/>
        <v>1</v>
      </c>
      <c r="T47" s="63">
        <f t="shared" si="45"/>
        <v>1</v>
      </c>
      <c r="U47" s="63">
        <f t="shared" si="46"/>
        <v>1</v>
      </c>
    </row>
    <row r="48" spans="2:23">
      <c r="B48" s="2"/>
      <c r="C48" s="6" t="s">
        <v>5</v>
      </c>
      <c r="D48" s="6"/>
      <c r="E48" s="6"/>
      <c r="F48" s="6"/>
      <c r="G48" s="6"/>
      <c r="H48" s="6"/>
      <c r="I48" s="63"/>
      <c r="J48" s="63"/>
      <c r="K48" s="63"/>
      <c r="L48" s="63"/>
      <c r="M48" s="63">
        <v>1</v>
      </c>
      <c r="N48" s="63">
        <f t="shared" ref="N48:P48" si="50">(1+N40)*M48</f>
        <v>1</v>
      </c>
      <c r="O48" s="63">
        <f t="shared" si="50"/>
        <v>1</v>
      </c>
      <c r="P48" s="63">
        <f t="shared" si="50"/>
        <v>1</v>
      </c>
      <c r="Q48" s="63">
        <f t="shared" si="42"/>
        <v>1</v>
      </c>
      <c r="R48" s="63">
        <f t="shared" si="43"/>
        <v>1</v>
      </c>
      <c r="S48" s="63">
        <f t="shared" si="44"/>
        <v>1</v>
      </c>
      <c r="T48" s="63">
        <f t="shared" si="45"/>
        <v>1</v>
      </c>
      <c r="U48" s="63">
        <f t="shared" si="46"/>
        <v>1</v>
      </c>
    </row>
    <row r="49" spans="2:21">
      <c r="B49" s="2"/>
      <c r="C49" s="6" t="str">
        <f>C41</f>
        <v>Spare</v>
      </c>
      <c r="D49" s="6"/>
      <c r="E49" s="6"/>
      <c r="F49" s="6"/>
      <c r="G49" s="6"/>
      <c r="H49" s="6"/>
      <c r="I49" s="63"/>
      <c r="J49" s="63"/>
      <c r="K49" s="81"/>
      <c r="L49" s="81"/>
      <c r="M49" s="81"/>
      <c r="N49" s="81"/>
      <c r="O49" s="81"/>
      <c r="P49" s="81"/>
      <c r="Q49" s="81"/>
      <c r="R49" s="81"/>
      <c r="S49" s="81"/>
      <c r="T49" s="81"/>
      <c r="U49" s="81"/>
    </row>
    <row r="50" spans="2:21">
      <c r="C50" s="24"/>
    </row>
    <row r="53" spans="2:21">
      <c r="B53" s="2"/>
    </row>
    <row r="54" spans="2:21" ht="11.25" customHeight="1">
      <c r="B54" s="2"/>
    </row>
    <row r="55" spans="2:21">
      <c r="D55" s="77"/>
      <c r="E55" s="34"/>
    </row>
    <row r="56" spans="2:21">
      <c r="D56" s="78"/>
    </row>
  </sheetData>
  <mergeCells count="2">
    <mergeCell ref="W23:X23"/>
    <mergeCell ref="Z23:AA23"/>
  </mergeCells>
  <hyperlinks>
    <hyperlink ref="B2" location="Contents!A1" display="Table of Contents" xr:uid="{00000000-0004-0000-0600-000000000000}"/>
  </hyperlinks>
  <pageMargins left="0.7" right="0.7" top="0.75" bottom="0.75" header="0.3" footer="0.3"/>
  <pageSetup paperSize="9" scale="80" orientation="landscape" r:id="rId1"/>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K31"/>
  <sheetViews>
    <sheetView zoomScale="85" zoomScaleNormal="85" zoomScalePageLayoutView="125" workbookViewId="0">
      <selection activeCell="F26" sqref="F26:F27"/>
    </sheetView>
  </sheetViews>
  <sheetFormatPr defaultColWidth="8.85546875" defaultRowHeight="15"/>
  <cols>
    <col min="1" max="1" width="4.42578125" style="1" customWidth="1"/>
    <col min="2" max="2" width="7.7109375" style="1" customWidth="1"/>
    <col min="3" max="3" width="33.7109375" style="1" customWidth="1"/>
    <col min="4" max="4" width="22.28515625" style="1" customWidth="1"/>
    <col min="5" max="5" width="8.85546875" style="1"/>
    <col min="6" max="6" width="27.140625" style="1" customWidth="1"/>
    <col min="7" max="8" width="8.85546875" style="1"/>
    <col min="9" max="9" width="30.42578125" style="1" customWidth="1"/>
    <col min="10" max="10" width="8.85546875" style="1"/>
    <col min="11" max="11" width="31.140625" style="1" customWidth="1"/>
    <col min="12" max="16384" width="8.85546875" style="1"/>
  </cols>
  <sheetData>
    <row r="1" spans="2:11" ht="21">
      <c r="B1" s="11" t="s">
        <v>21</v>
      </c>
    </row>
    <row r="2" spans="2:11">
      <c r="B2" s="25" t="s">
        <v>6</v>
      </c>
    </row>
    <row r="4" spans="2:11">
      <c r="C4" s="12" t="s">
        <v>78</v>
      </c>
      <c r="F4" s="12" t="s">
        <v>299</v>
      </c>
      <c r="I4" s="12" t="s">
        <v>298</v>
      </c>
      <c r="K4" s="12" t="s">
        <v>58</v>
      </c>
    </row>
    <row r="5" spans="2:11">
      <c r="C5" s="1" t="s">
        <v>44</v>
      </c>
      <c r="F5" s="35" t="s">
        <v>71</v>
      </c>
      <c r="G5" s="35" t="s">
        <v>72</v>
      </c>
      <c r="I5" s="1" t="s">
        <v>150</v>
      </c>
      <c r="K5" s="1" t="s">
        <v>59</v>
      </c>
    </row>
    <row r="6" spans="2:11">
      <c r="C6" s="1" t="s">
        <v>45</v>
      </c>
      <c r="F6" s="1" t="s">
        <v>61</v>
      </c>
      <c r="G6" s="1" t="s">
        <v>68</v>
      </c>
      <c r="I6" s="1" t="s">
        <v>32</v>
      </c>
      <c r="K6" s="1" t="s">
        <v>60</v>
      </c>
    </row>
    <row r="7" spans="2:11">
      <c r="C7" s="1" t="s">
        <v>48</v>
      </c>
      <c r="F7" s="1" t="s">
        <v>26</v>
      </c>
      <c r="G7" s="1" t="s">
        <v>68</v>
      </c>
      <c r="I7" s="1" t="s">
        <v>10</v>
      </c>
    </row>
    <row r="8" spans="2:11">
      <c r="C8" s="1" t="s">
        <v>49</v>
      </c>
      <c r="F8" s="1" t="s">
        <v>62</v>
      </c>
      <c r="G8" s="1" t="s">
        <v>68</v>
      </c>
      <c r="I8" s="1" t="s">
        <v>34</v>
      </c>
    </row>
    <row r="9" spans="2:11">
      <c r="C9" s="1" t="s">
        <v>50</v>
      </c>
      <c r="F9" s="1" t="s">
        <v>63</v>
      </c>
      <c r="G9" s="1" t="s">
        <v>68</v>
      </c>
      <c r="I9" s="1" t="s">
        <v>35</v>
      </c>
    </row>
    <row r="10" spans="2:11">
      <c r="C10" s="729" t="s">
        <v>517</v>
      </c>
      <c r="F10" s="1" t="s">
        <v>64</v>
      </c>
      <c r="G10" s="1" t="s">
        <v>68</v>
      </c>
      <c r="I10" s="1" t="s">
        <v>36</v>
      </c>
    </row>
    <row r="11" spans="2:11">
      <c r="C11" s="1" t="s">
        <v>395</v>
      </c>
      <c r="F11" s="1" t="s">
        <v>65</v>
      </c>
      <c r="G11" s="1" t="s">
        <v>69</v>
      </c>
      <c r="I11" s="1" t="s">
        <v>75</v>
      </c>
    </row>
    <row r="12" spans="2:11">
      <c r="C12" s="1" t="s">
        <v>585</v>
      </c>
      <c r="F12" s="1" t="s">
        <v>66</v>
      </c>
      <c r="G12" s="1" t="s">
        <v>69</v>
      </c>
    </row>
    <row r="13" spans="2:11">
      <c r="F13" s="1" t="s">
        <v>67</v>
      </c>
      <c r="G13" s="1" t="s">
        <v>69</v>
      </c>
    </row>
    <row r="14" spans="2:11">
      <c r="F14" s="1" t="s">
        <v>73</v>
      </c>
      <c r="G14" s="1" t="s">
        <v>68</v>
      </c>
      <c r="I14" s="12" t="s">
        <v>360</v>
      </c>
    </row>
    <row r="15" spans="2:11">
      <c r="C15" s="12" t="s">
        <v>70</v>
      </c>
      <c r="F15" s="1" t="s">
        <v>74</v>
      </c>
      <c r="G15" s="1" t="s">
        <v>68</v>
      </c>
      <c r="I15" s="1" t="s">
        <v>329</v>
      </c>
      <c r="K15" s="1" t="s">
        <v>284</v>
      </c>
    </row>
    <row r="16" spans="2:11">
      <c r="C16" s="1" t="s">
        <v>51</v>
      </c>
      <c r="I16" s="1" t="s">
        <v>332</v>
      </c>
      <c r="K16" s="1" t="s">
        <v>284</v>
      </c>
    </row>
    <row r="17" spans="3:11">
      <c r="C17" s="1" t="s">
        <v>52</v>
      </c>
      <c r="F17" s="12" t="s">
        <v>451</v>
      </c>
      <c r="I17" s="1" t="s">
        <v>333</v>
      </c>
      <c r="K17" s="1" t="s">
        <v>284</v>
      </c>
    </row>
    <row r="18" spans="3:11">
      <c r="C18" s="1" t="s">
        <v>53</v>
      </c>
      <c r="F18" s="1" t="s">
        <v>449</v>
      </c>
      <c r="I18" s="1" t="s">
        <v>334</v>
      </c>
      <c r="K18" s="1" t="s">
        <v>235</v>
      </c>
    </row>
    <row r="19" spans="3:11">
      <c r="C19" s="1" t="s">
        <v>54</v>
      </c>
      <c r="F19" s="1" t="s">
        <v>26</v>
      </c>
      <c r="I19" s="1" t="s">
        <v>335</v>
      </c>
      <c r="K19" s="1" t="s">
        <v>235</v>
      </c>
    </row>
    <row r="20" spans="3:11">
      <c r="C20" s="1" t="s">
        <v>55</v>
      </c>
      <c r="F20" s="1" t="s">
        <v>150</v>
      </c>
      <c r="I20" s="1" t="s">
        <v>336</v>
      </c>
      <c r="K20" s="1" t="s">
        <v>235</v>
      </c>
    </row>
    <row r="21" spans="3:11">
      <c r="C21" s="1" t="s">
        <v>56</v>
      </c>
      <c r="F21" s="1" t="s">
        <v>58</v>
      </c>
      <c r="I21" s="1" t="s">
        <v>337</v>
      </c>
      <c r="K21" s="1" t="s">
        <v>235</v>
      </c>
    </row>
    <row r="22" spans="3:11">
      <c r="C22" s="1" t="s">
        <v>57</v>
      </c>
      <c r="F22" s="1" t="s">
        <v>407</v>
      </c>
      <c r="I22" s="1" t="s">
        <v>338</v>
      </c>
      <c r="K22" s="1" t="s">
        <v>235</v>
      </c>
    </row>
    <row r="23" spans="3:11">
      <c r="C23" s="1" t="s">
        <v>48</v>
      </c>
      <c r="F23" s="1" t="s">
        <v>453</v>
      </c>
      <c r="I23" s="1" t="s">
        <v>339</v>
      </c>
      <c r="K23" s="1" t="s">
        <v>236</v>
      </c>
    </row>
    <row r="24" spans="3:11">
      <c r="C24" s="1" t="s">
        <v>49</v>
      </c>
      <c r="F24" s="1" t="s">
        <v>284</v>
      </c>
      <c r="I24" s="1" t="s">
        <v>340</v>
      </c>
      <c r="K24" s="1" t="s">
        <v>234</v>
      </c>
    </row>
    <row r="25" spans="3:11">
      <c r="C25" s="1" t="s">
        <v>50</v>
      </c>
      <c r="F25" s="1" t="s">
        <v>450</v>
      </c>
      <c r="I25" s="1" t="s">
        <v>361</v>
      </c>
      <c r="K25" s="1" t="s">
        <v>358</v>
      </c>
    </row>
    <row r="26" spans="3:11">
      <c r="C26" s="1" t="s">
        <v>131</v>
      </c>
      <c r="D26" s="1" t="s">
        <v>225</v>
      </c>
      <c r="F26" s="15" t="s">
        <v>731</v>
      </c>
      <c r="I26" s="1" t="s">
        <v>362</v>
      </c>
      <c r="K26" s="1" t="s">
        <v>358</v>
      </c>
    </row>
    <row r="27" spans="3:11">
      <c r="C27" s="1" t="s">
        <v>130</v>
      </c>
      <c r="D27" s="1" t="s">
        <v>225</v>
      </c>
      <c r="F27" s="15" t="s">
        <v>734</v>
      </c>
      <c r="I27" s="12"/>
    </row>
    <row r="28" spans="3:11">
      <c r="I28" s="126" t="s">
        <v>369</v>
      </c>
    </row>
    <row r="29" spans="3:11">
      <c r="I29" s="1" t="s">
        <v>308</v>
      </c>
    </row>
    <row r="30" spans="3:11">
      <c r="C30" s="1" t="s">
        <v>295</v>
      </c>
      <c r="D30" s="1">
        <v>1000000</v>
      </c>
      <c r="I30" s="1" t="s">
        <v>588</v>
      </c>
    </row>
    <row r="31" spans="3:11">
      <c r="C31" s="1" t="s">
        <v>296</v>
      </c>
      <c r="D31" s="729">
        <v>1000</v>
      </c>
      <c r="I31" s="1" t="s">
        <v>589</v>
      </c>
    </row>
  </sheetData>
  <hyperlinks>
    <hyperlink ref="B2" location="Contents!A1" display="Table of Contents" xr:uid="{00000000-0004-0000-0700-000000000000}"/>
  </hyperlinks>
  <pageMargins left="0.25" right="0.25" top="0.75" bottom="0.75" header="0.3" footer="0.3"/>
  <pageSetup paperSize="9" scale="74"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C2:K13"/>
  <sheetViews>
    <sheetView zoomScaleNormal="100" workbookViewId="0">
      <selection activeCell="D13" sqref="D13"/>
    </sheetView>
  </sheetViews>
  <sheetFormatPr defaultColWidth="8.85546875" defaultRowHeight="15"/>
  <cols>
    <col min="1" max="1" width="6.42578125" style="1" customWidth="1"/>
    <col min="2" max="2" width="3.28515625" style="1" customWidth="1"/>
    <col min="3" max="3" width="22.28515625" style="1" customWidth="1"/>
    <col min="4" max="4" width="9.85546875" style="1" customWidth="1"/>
    <col min="5" max="16384" width="8.85546875" style="1"/>
  </cols>
  <sheetData>
    <row r="2" spans="3:11" ht="15.75" thickBot="1"/>
    <row r="3" spans="3:11" ht="15.75" thickBot="1">
      <c r="C3" s="2" t="s">
        <v>368</v>
      </c>
      <c r="D3" s="225" t="s">
        <v>308</v>
      </c>
      <c r="E3" s="226" t="s">
        <v>376</v>
      </c>
      <c r="F3" s="226"/>
    </row>
    <row r="4" spans="3:11" ht="15.75" thickBot="1">
      <c r="C4" s="2"/>
      <c r="E4" s="56"/>
      <c r="F4" s="56"/>
    </row>
    <row r="5" spans="3:11" ht="15.75" thickBot="1">
      <c r="C5" s="2" t="s">
        <v>370</v>
      </c>
      <c r="D5" s="225" t="s">
        <v>588</v>
      </c>
      <c r="E5" s="226" t="s">
        <v>376</v>
      </c>
      <c r="F5" s="226"/>
    </row>
    <row r="7" spans="3:11">
      <c r="C7" s="1" t="s">
        <v>371</v>
      </c>
      <c r="D7" s="230">
        <f>IF(D5="2022-26",2022,IF(D5="2027-31",2027,0))</f>
        <v>2022</v>
      </c>
    </row>
    <row r="9" spans="3:11">
      <c r="C9" s="1" t="s">
        <v>373</v>
      </c>
      <c r="D9" s="230">
        <f>D7-1</f>
        <v>2021</v>
      </c>
    </row>
    <row r="10" spans="3:11">
      <c r="C10" s="1" t="s">
        <v>372</v>
      </c>
      <c r="D10" s="230">
        <f>D7-2</f>
        <v>2020</v>
      </c>
    </row>
    <row r="11" spans="3:11">
      <c r="D11" s="222"/>
    </row>
    <row r="12" spans="3:11">
      <c r="D12" s="28" t="s">
        <v>374</v>
      </c>
      <c r="E12" s="28" t="s">
        <v>375</v>
      </c>
      <c r="F12" s="28" t="s">
        <v>605</v>
      </c>
      <c r="G12" s="28">
        <v>1</v>
      </c>
      <c r="H12" s="28">
        <v>2</v>
      </c>
      <c r="I12" s="28">
        <v>3</v>
      </c>
      <c r="J12" s="28">
        <v>4</v>
      </c>
      <c r="K12" s="28">
        <v>5</v>
      </c>
    </row>
    <row r="13" spans="3:11">
      <c r="D13" s="29">
        <v>43800</v>
      </c>
      <c r="E13" s="29">
        <v>44166</v>
      </c>
      <c r="F13" s="29">
        <v>44377</v>
      </c>
      <c r="G13" s="29">
        <f>EDATE(F13,12)</f>
        <v>44742</v>
      </c>
      <c r="H13" s="29">
        <f t="shared" ref="H13:K13" si="0">EDATE(G13,12)</f>
        <v>45107</v>
      </c>
      <c r="I13" s="29">
        <f t="shared" si="0"/>
        <v>45473</v>
      </c>
      <c r="J13" s="29">
        <f t="shared" si="0"/>
        <v>45838</v>
      </c>
      <c r="K13" s="29">
        <f t="shared" si="0"/>
        <v>46203</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Lookups!$I$29:$I$31</xm:f>
          </x14:formula1>
          <xm:sqref>D3 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249977111117893"/>
  </sheetPr>
  <dimension ref="C3:C4"/>
  <sheetViews>
    <sheetView zoomScale="85" zoomScaleNormal="85" zoomScalePageLayoutView="125" workbookViewId="0">
      <selection activeCell="V33" sqref="V33"/>
    </sheetView>
  </sheetViews>
  <sheetFormatPr defaultColWidth="8.85546875" defaultRowHeight="15"/>
  <cols>
    <col min="1" max="16384" width="8.85546875" style="22"/>
  </cols>
  <sheetData>
    <row r="3" spans="3:3" ht="18.75">
      <c r="C3" s="21" t="s">
        <v>9</v>
      </c>
    </row>
    <row r="4" spans="3:3">
      <c r="C4" s="26" t="s">
        <v>6</v>
      </c>
    </row>
  </sheetData>
  <hyperlinks>
    <hyperlink ref="C4" location="Contents!A1" display="Table of Contents" xr:uid="{00000000-0004-0000-09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DE55"/>
  <sheetViews>
    <sheetView zoomScale="80" zoomScaleNormal="80" zoomScalePageLayoutView="125" workbookViewId="0">
      <pane xSplit="4" topLeftCell="J1" activePane="topRight" state="frozen"/>
      <selection activeCell="V33" sqref="V33"/>
      <selection pane="topRight" activeCell="B2" sqref="B2"/>
    </sheetView>
  </sheetViews>
  <sheetFormatPr defaultColWidth="8.85546875" defaultRowHeight="15" outlineLevelCol="1"/>
  <cols>
    <col min="1" max="1" width="4.28515625" style="1" customWidth="1"/>
    <col min="2" max="2" width="12.7109375" style="1" customWidth="1"/>
    <col min="3" max="3" width="40" style="1" customWidth="1"/>
    <col min="4" max="4" width="35.7109375" style="1" customWidth="1"/>
    <col min="5" max="5" width="24.42578125" style="1" hidden="1" customWidth="1" outlineLevel="1"/>
    <col min="6" max="6" width="33.85546875" style="1" hidden="1" customWidth="1" outlineLevel="1"/>
    <col min="7" max="7" width="31.140625" style="1" hidden="1" customWidth="1" outlineLevel="1"/>
    <col min="8" max="8" width="24.28515625" style="1" hidden="1" customWidth="1" outlineLevel="1"/>
    <col min="9" max="9" width="41.42578125" style="1" hidden="1" customWidth="1" outlineLevel="1"/>
    <col min="10" max="10" width="9.140625" style="1" customWidth="1" collapsed="1"/>
    <col min="11" max="17" width="9.140625" style="1" customWidth="1"/>
    <col min="18" max="18" width="2.8554687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8.85546875"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3.140625" style="1" customWidth="1"/>
    <col min="77" max="84" width="8.85546875" style="1"/>
    <col min="85" max="85" width="3.7109375" style="1" customWidth="1"/>
    <col min="86" max="93" width="8.85546875" style="1"/>
    <col min="94" max="94" width="3.7109375" style="1" customWidth="1"/>
    <col min="95" max="16384" width="8.85546875" style="1"/>
  </cols>
  <sheetData>
    <row r="1" spans="1:109" ht="18.75">
      <c r="B1" s="10" t="s">
        <v>10</v>
      </c>
      <c r="M1" s="960"/>
      <c r="N1" s="960"/>
      <c r="V1" s="108"/>
      <c r="W1" s="108"/>
      <c r="Y1" s="232"/>
    </row>
    <row r="2" spans="1:109">
      <c r="B2" s="25" t="s">
        <v>6</v>
      </c>
      <c r="J2" s="34"/>
      <c r="K2" s="34"/>
      <c r="L2" s="34"/>
      <c r="V2" s="108"/>
      <c r="W2" s="108"/>
      <c r="X2" s="108"/>
      <c r="Y2" s="108"/>
      <c r="Z2" s="108"/>
    </row>
    <row r="3" spans="1:109">
      <c r="A3" s="3"/>
      <c r="J3" s="66"/>
      <c r="K3" s="66"/>
      <c r="L3" s="66"/>
      <c r="M3" s="66"/>
      <c r="N3" s="66"/>
      <c r="O3" s="66"/>
      <c r="P3" s="66"/>
      <c r="Q3" s="66"/>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1:109" ht="45">
      <c r="F4" s="34"/>
      <c r="I4" s="34"/>
      <c r="J4" s="961" t="s">
        <v>378</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379</v>
      </c>
      <c r="CR4" s="962"/>
      <c r="CS4" s="962"/>
      <c r="CT4" s="962"/>
      <c r="CU4" s="962"/>
      <c r="CV4" s="962"/>
      <c r="CW4" s="962"/>
      <c r="CX4" s="963"/>
    </row>
    <row r="5" spans="1:109">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f>Stub</f>
        <v>44377</v>
      </c>
      <c r="CT5" s="331">
        <f>Yr_1</f>
        <v>44742</v>
      </c>
      <c r="CU5" s="331">
        <f>Yr_2</f>
        <v>45107</v>
      </c>
      <c r="CV5" s="331">
        <f>Yr_3</f>
        <v>45473</v>
      </c>
      <c r="CW5" s="331">
        <f>Yr_4</f>
        <v>45838</v>
      </c>
      <c r="CX5" s="331">
        <f>Yr_5</f>
        <v>46203</v>
      </c>
    </row>
    <row r="6" spans="1:109">
      <c r="B6" s="75" t="s">
        <v>423</v>
      </c>
      <c r="C6" s="75" t="s">
        <v>743</v>
      </c>
      <c r="D6" s="75"/>
      <c r="E6" s="75" t="s">
        <v>44</v>
      </c>
      <c r="F6" s="75" t="s">
        <v>51</v>
      </c>
      <c r="G6" s="75" t="s">
        <v>10</v>
      </c>
      <c r="H6" s="75" t="s">
        <v>152</v>
      </c>
      <c r="I6" s="75" t="s">
        <v>186</v>
      </c>
      <c r="J6" s="128"/>
      <c r="K6" s="128"/>
      <c r="L6" s="128"/>
      <c r="M6" s="128">
        <v>1693</v>
      </c>
      <c r="N6" s="128">
        <v>3239</v>
      </c>
      <c r="O6" s="128">
        <v>1988</v>
      </c>
      <c r="P6" s="128">
        <v>258</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270.80930092205909</v>
      </c>
      <c r="W6" s="128">
        <f>INDEX(Direct_Cost_Splits_Network,MATCH($H6,RIN_Asset_Cat_Network,0),MATCH($S$4,Direct_Cost_Type,0))*N6*HLOOKUP(W$5,Escalators!$I$25:$U$30,3,FALSE)</f>
        <v>520.67500291981628</v>
      </c>
      <c r="X6" s="128">
        <f>INDEX(Direct_Cost_Splits_Network,MATCH($H6,RIN_Asset_Cat_Network,0),MATCH($S$4,Direct_Cost_Type,0))*O6*HLOOKUP(X$5,Escalators!$I$25:$U$30,3,FALSE)</f>
        <v>321.65578493146194</v>
      </c>
      <c r="Y6" s="128">
        <f>INDEX(Direct_Cost_Splits_Network,MATCH($H6,RIN_Asset_Cat_Network,0),MATCH($S$4,Direct_Cost_Type,0))*P6*HLOOKUP(Y$5,Escalators!$I$25:$U$30,3,FALSE)</f>
        <v>42.158772854406976</v>
      </c>
      <c r="Z6" s="128">
        <f>INDEX(Direct_Cost_Splits_Network,MATCH($H6,RIN_Asset_Cat_Network,0),MATCH($S$4,Direct_Cost_Type,0))*Q6*HLOOKUP(Z$5,Escalators!$I$25:$U$30,3,FALSE)</f>
        <v>0</v>
      </c>
      <c r="AA6" s="129"/>
      <c r="AB6" s="128">
        <f>INDEX(Direct_Cost_Splits_Network,MATCH($H6,RIN_Asset_Cat_Network,0),MATCH($AG$4,Direct_Cost_Type,0))*$J6*INDEX(Act_Type_Augex_Splits,MATCH($I6,Act_Type_Augex,0),MATCH(AB$4,Mat_Type,0))*INDEX(Escalators!$I$44:$U$49,MATCH(AB$4,Escalators!$C$44:$C$49,0),MATCH(AB$5,Escalators!$I$43:$U$43,0))</f>
        <v>0</v>
      </c>
      <c r="AC6" s="128">
        <f>INDEX(Direct_Cost_Splits_Network,MATCH($H6,RIN_Asset_Cat_Network,0),MATCH($AG$4,Direct_Cost_Type,0))*$J6*INDEX(Act_Type_Augex_Splits,MATCH($I6,Act_Type_Augex,0),MATCH(AC$4,Mat_Type,0))*INDEX(Escalators!$I$44:$U$49,MATCH(AC$4,Escalators!$C$44:$C$49,0),MATCH(AC$5,Escalators!$I$43:$U$43,0))</f>
        <v>0</v>
      </c>
      <c r="AD6" s="128">
        <f>INDEX(Direct_Cost_Splits_Network,MATCH($H6,RIN_Asset_Cat_Network,0),MATCH($AG$4,Direct_Cost_Type,0))*$J6*INDEX(Act_Type_Augex_Splits,MATCH($I6,Act_Type_Augex,0),MATCH(AD$4,Mat_Type,0))*INDEX(Escalators!$I$44:$U$49,MATCH(AD$4,Escalators!$C$44:$C$49,0),MATCH(AD$5,Escalators!$I$43:$U$43,0))</f>
        <v>0</v>
      </c>
      <c r="AE6" s="128">
        <f>INDEX(Direct_Cost_Splits_Network,MATCH($H6,RIN_Asset_Cat_Network,0),MATCH($AG$4,Direct_Cost_Type,0))*$J6*INDEX(Act_Type_Augex_Splits,MATCH($I6,Act_Type_Augex,0),MATCH(AE$4,Mat_Type,0))*INDEX(Escalators!$I$44:$U$49,MATCH(AE$4,Escalators!$C$44:$C$49,0),MATCH(AE$5,Escalators!$I$43:$U$43,0))</f>
        <v>0</v>
      </c>
      <c r="AF6" s="128">
        <f>INDEX(Direct_Cost_Splits_Network,MATCH($H6,RIN_Asset_Cat_Network,0),MATCH($AG$4,Direct_Cost_Type,0))*$J6*INDEX(Act_Type_Augex_Splits,MATCH($I6,Act_Type_Augex,0),MATCH(AF$4,Mat_Type,0))*INDEX(Escalators!$I$44:$U$49,MATCH(AF$4,Escalators!$C$44:$C$49,0),MATCH(AF$5,Escalators!$I$43:$U$43,0))</f>
        <v>0</v>
      </c>
      <c r="AG6" s="128">
        <f>SUM(AB6:AF6)</f>
        <v>0</v>
      </c>
      <c r="AH6" s="128">
        <f>INDEX(Direct_Cost_Splits_Network,MATCH($H6,RIN_Asset_Cat_Network,0),MATCH($AY$4,Direct_Cost_Type,0))*$K6*INDEX(Act_Type_Augex_Splits,MATCH($I6,Act_Type_Augex,0),MATCH(AH$4,Mat_Type,0))*INDEX(Escalators!$I$44:$U$49,MATCH(AH$4,Escalators!$C$44:$C$49,0),MATCH(AH$5,Escalators!$I$43:$U$43,0))</f>
        <v>0</v>
      </c>
      <c r="AI6" s="128">
        <f>INDEX(Direct_Cost_Splits_Network,MATCH($H6,RIN_Asset_Cat_Network,0),MATCH($AY$4,Direct_Cost_Type,0))*$K6*INDEX(Act_Type_Augex_Splits,MATCH($I6,Act_Type_Augex,0),MATCH(AI$4,Mat_Type,0))*INDEX(Escalators!$I$44:$U$49,MATCH(AI$4,Escalators!$C$44:$C$49,0),MATCH(AI$5,Escalators!$I$43:$U$43,0))</f>
        <v>0</v>
      </c>
      <c r="AJ6" s="128">
        <f>INDEX(Direct_Cost_Splits_Network,MATCH($H6,RIN_Asset_Cat_Network,0),MATCH($AY$4,Direct_Cost_Type,0))*$K6*INDEX(Act_Type_Augex_Splits,MATCH($I6,Act_Type_Augex,0),MATCH(AJ$4,Mat_Type,0))*INDEX(Escalators!$I$44:$U$49,MATCH(AJ$4,Escalators!$C$44:$C$49,0),MATCH(AJ$5,Escalators!$I$43:$U$43,0))</f>
        <v>0</v>
      </c>
      <c r="AK6" s="128">
        <f>INDEX(Direct_Cost_Splits_Network,MATCH($H6,RIN_Asset_Cat_Network,0),MATCH($AY$4,Direct_Cost_Type,0))*$K6*INDEX(Act_Type_Augex_Splits,MATCH($I6,Act_Type_Augex,0),MATCH(AK$4,Mat_Type,0))*INDEX(Escalators!$I$44:$U$49,MATCH(AK$4,Escalators!$C$44:$C$49,0),MATCH(AK$5,Escalators!$I$43:$U$43,0))</f>
        <v>0</v>
      </c>
      <c r="AL6" s="128">
        <f>INDEX(Direct_Cost_Splits_Network,MATCH($H6,RIN_Asset_Cat_Network,0),MATCH($AY$4,Direct_Cost_Type,0))*$K6*INDEX(Act_Type_Augex_Splits,MATCH($I6,Act_Type_Augex,0),MATCH(AL$4,Mat_Type,0))*INDEX(Escalators!$I$44:$U$49,MATCH(AL$4,Escalators!$C$44:$C$49,0),MATCH(AL$5,Escalators!$I$43:$U$43,0))</f>
        <v>0</v>
      </c>
      <c r="AM6" s="128">
        <f>SUM(AH6:AL6)</f>
        <v>0</v>
      </c>
      <c r="AN6" s="128">
        <f>INDEX(Direct_Cost_Splits_Network,MATCH($H6,RIN_Asset_Cat_Network,0),MATCH($AY$4,Direct_Cost_Type,0))*$L6*INDEX(Act_Type_Augex_Splits,MATCH($I6,Act_Type_Augex,0),MATCH(AN$4,Mat_Type,0))*INDEX(Escalators!$I$44:$U$49,MATCH(AN$4,Escalators!$C$44:$C$49,0),MATCH(AN$5,Escalators!$I$43:$U$43,0))</f>
        <v>0</v>
      </c>
      <c r="AO6" s="128">
        <f>INDEX(Direct_Cost_Splits_Network,MATCH($H6,RIN_Asset_Cat_Network,0),MATCH($AY$4,Direct_Cost_Type,0))*$L6*INDEX(Act_Type_Augex_Splits,MATCH($I6,Act_Type_Augex,0),MATCH(AO$4,Mat_Type,0))*INDEX(Escalators!$I$44:$U$49,MATCH(AO$4,Escalators!$C$44:$C$49,0),MATCH(AO$5,Escalators!$I$43:$U$43,0))</f>
        <v>0</v>
      </c>
      <c r="AP6" s="128">
        <f>INDEX(Direct_Cost_Splits_Network,MATCH($H6,RIN_Asset_Cat_Network,0),MATCH($AY$4,Direct_Cost_Type,0))*$L6*INDEX(Act_Type_Augex_Splits,MATCH($I6,Act_Type_Augex,0),MATCH(AP$4,Mat_Type,0))*INDEX(Escalators!$I$44:$U$49,MATCH(AP$4,Escalators!$C$44:$C$49,0),MATCH(AP$5,Escalators!$I$43:$U$43,0))</f>
        <v>0</v>
      </c>
      <c r="AQ6" s="128">
        <f>INDEX(Direct_Cost_Splits_Network,MATCH($H6,RIN_Asset_Cat_Network,0),MATCH($AY$4,Direct_Cost_Type,0))*$L6*INDEX(Act_Type_Augex_Splits,MATCH($I6,Act_Type_Augex,0),MATCH(AQ$4,Mat_Type,0))*INDEX(Escalators!$I$44:$U$49,MATCH(AQ$4,Escalators!$C$44:$C$49,0),MATCH(AQ$5,Escalators!$I$43:$U$43,0))</f>
        <v>0</v>
      </c>
      <c r="AR6" s="128">
        <f>INDEX(Direct_Cost_Splits_Network,MATCH($H6,RIN_Asset_Cat_Network,0),MATCH($AY$4,Direct_Cost_Type,0))*$L6*INDEX(Act_Type_Augex_Splits,MATCH($I6,Act_Type_Augex,0),MATCH(AR$4,Mat_Type,0))*INDEX(Escalators!$I$44:$U$49,MATCH(AR$4,Escalators!$C$44:$C$49,0),MATCH(AR$5,Escalators!$I$43:$U$43,0))</f>
        <v>0</v>
      </c>
      <c r="AS6" s="128">
        <f>SUM(AN6:AR6)</f>
        <v>0</v>
      </c>
      <c r="AT6" s="128">
        <f>INDEX(Direct_Cost_Splits_Network,MATCH($H6,RIN_Asset_Cat_Network,0),MATCH($AY$4,Direct_Cost_Type,0))*$M6*INDEX(Act_Type_Augex_Splits,MATCH($I6,Act_Type_Augex,0),MATCH(AT$4,Mat_Type,0))*INDEX(Escalators!$I$44:$U$49,MATCH(AT$4,Escalators!$C$44:$C$49,0),MATCH(AT$5,Escalators!$I$43:$U$43,0))</f>
        <v>26.141536607774569</v>
      </c>
      <c r="AU6" s="128">
        <f>INDEX(Direct_Cost_Splits_Network,MATCH($H6,RIN_Asset_Cat_Network,0),MATCH($AY$4,Direct_Cost_Type,0))*$M6*INDEX(Act_Type_Augex_Splits,MATCH($I6,Act_Type_Augex,0),MATCH(AU$4,Mat_Type,0))*INDEX(Escalators!$I$44:$U$49,MATCH(AU$4,Escalators!$C$44:$C$49,0),MATCH(AU$5,Escalators!$I$43:$U$43,0))</f>
        <v>104.56614643109828</v>
      </c>
      <c r="AV6" s="128">
        <f>INDEX(Direct_Cost_Splits_Network,MATCH($H6,RIN_Asset_Cat_Network,0),MATCH($AY$4,Direct_Cost_Type,0))*$M6*INDEX(Act_Type_Augex_Splits,MATCH($I6,Act_Type_Augex,0),MATCH(AV$4,Mat_Type,0))*INDEX(Escalators!$I$44:$U$49,MATCH(AV$4,Escalators!$C$44:$C$49,0),MATCH(AV$5,Escalators!$I$43:$U$43,0))</f>
        <v>182.99075625442194</v>
      </c>
      <c r="AW6" s="128">
        <f>INDEX(Direct_Cost_Splits_Network,MATCH($H6,RIN_Asset_Cat_Network,0),MATCH($AY$4,Direct_Cost_Type,0))*$M6*INDEX(Act_Type_Augex_Splits,MATCH($I6,Act_Type_Augex,0),MATCH(AW$4,Mat_Type,0))*INDEX(Escalators!$I$44:$U$49,MATCH(AW$4,Escalators!$C$44:$C$49,0),MATCH(AW$5,Escalators!$I$43:$U$43,0))</f>
        <v>26.141536607774569</v>
      </c>
      <c r="AX6" s="128">
        <f>INDEX(Direct_Cost_Splits_Network,MATCH($H6,RIN_Asset_Cat_Network,0),MATCH($AY$4,Direct_Cost_Type,0))*$M6*INDEX(Act_Type_Augex_Splits,MATCH($I6,Act_Type_Augex,0),MATCH(AX$4,Mat_Type,0))*INDEX(Escalators!$I$44:$U$49,MATCH(AX$4,Escalators!$C$44:$C$49,0),MATCH(AX$5,Escalators!$I$43:$U$43,0))</f>
        <v>182.99075625442194</v>
      </c>
      <c r="AY6" s="128">
        <f>SUM(AT6:AX6)</f>
        <v>522.83073215549132</v>
      </c>
      <c r="AZ6" s="128">
        <f>INDEX(Direct_Cost_Splits_Network,MATCH($H6,RIN_Asset_Cat_Network,0),MATCH($BE$4,Direct_Cost_Type,0))*$N6*INDEX(Act_Type_Augex_Splits,MATCH($I6,Act_Type_Augex,0),MATCH(AZ$4,Mat_Type,0))*INDEX(Escalators!$I$44:$U$49,MATCH(AZ$4,Escalators!$C$44:$C$49,0),MATCH(AZ$5,Escalators!$I$43:$U$43,0))</f>
        <v>50.01325284854213</v>
      </c>
      <c r="BA6" s="128">
        <f>INDEX(Direct_Cost_Splits_Network,MATCH($H6,RIN_Asset_Cat_Network,0),MATCH($BE$4,Direct_Cost_Type,0))*$N6*INDEX(Act_Type_Augex_Splits,MATCH($I6,Act_Type_Augex,0),MATCH(BA$4,Mat_Type,0))*INDEX(Escalators!$I$44:$U$49,MATCH(BA$4,Escalators!$C$44:$C$49,0),MATCH(BA$5,Escalators!$I$43:$U$43,0))</f>
        <v>200.05301139416852</v>
      </c>
      <c r="BB6" s="128">
        <f>INDEX(Direct_Cost_Splits_Network,MATCH($H6,RIN_Asset_Cat_Network,0),MATCH($BE$4,Direct_Cost_Type,0))*$N6*INDEX(Act_Type_Augex_Splits,MATCH($I6,Act_Type_Augex,0),MATCH(BB$4,Mat_Type,0))*INDEX(Escalators!$I$44:$U$49,MATCH(BB$4,Escalators!$C$44:$C$49,0),MATCH(BB$5,Escalators!$I$43:$U$43,0))</f>
        <v>350.09276993979489</v>
      </c>
      <c r="BC6" s="128">
        <f>INDEX(Direct_Cost_Splits_Network,MATCH($H6,RIN_Asset_Cat_Network,0),MATCH($BE$4,Direct_Cost_Type,0))*$N6*INDEX(Act_Type_Augex_Splits,MATCH($I6,Act_Type_Augex,0),MATCH(BC$4,Mat_Type,0))*INDEX(Escalators!$I$44:$U$49,MATCH(BC$4,Escalators!$C$44:$C$49,0),MATCH(BC$5,Escalators!$I$43:$U$43,0))</f>
        <v>50.01325284854213</v>
      </c>
      <c r="BD6" s="128">
        <f>INDEX(Direct_Cost_Splits_Network,MATCH($H6,RIN_Asset_Cat_Network,0),MATCH($BE$4,Direct_Cost_Type,0))*$N6*INDEX(Act_Type_Augex_Splits,MATCH($I6,Act_Type_Augex,0),MATCH(BD$4,Mat_Type,0))*INDEX(Escalators!$I$44:$U$49,MATCH(BD$4,Escalators!$C$44:$C$49,0),MATCH(BD$5,Escalators!$I$43:$U$43,0))</f>
        <v>350.09276993979489</v>
      </c>
      <c r="BE6" s="128">
        <f>SUM(AZ6:BD6)</f>
        <v>1000.2650569708426</v>
      </c>
      <c r="BF6" s="128">
        <f>INDEX(Direct_Cost_Splits_Network,MATCH($H6,RIN_Asset_Cat_Network,0),MATCH($BK$4,Direct_Cost_Type,0))*$O6*INDEX(Act_Type_Augex_Splits,MATCH($I6,Act_Type_Augex,0),MATCH(BF$4,Mat_Type,0))*INDEX(Escalators!$I$44:$U$49,MATCH(BF$4,Escalators!$C$44:$C$49,0),MATCH(BF$5,Escalators!$I$43:$U$43,0))</f>
        <v>30.69661829666618</v>
      </c>
      <c r="BG6" s="128">
        <f>INDEX(Direct_Cost_Splits_Network,MATCH($H6,RIN_Asset_Cat_Network,0),MATCH($BK$4,Direct_Cost_Type,0))*$O6*INDEX(Act_Type_Augex_Splits,MATCH($I6,Act_Type_Augex,0),MATCH(BG$4,Mat_Type,0))*INDEX(Escalators!$I$44:$U$49,MATCH(BG$4,Escalators!$C$44:$C$49,0),MATCH(BG$5,Escalators!$I$43:$U$43,0))</f>
        <v>122.78647318666472</v>
      </c>
      <c r="BH6" s="128">
        <f>INDEX(Direct_Cost_Splits_Network,MATCH($H6,RIN_Asset_Cat_Network,0),MATCH($BK$4,Direct_Cost_Type,0))*$O6*INDEX(Act_Type_Augex_Splits,MATCH($I6,Act_Type_Augex,0),MATCH(BH$4,Mat_Type,0))*INDEX(Escalators!$I$44:$U$49,MATCH(BH$4,Escalators!$C$44:$C$49,0),MATCH(BH$5,Escalators!$I$43:$U$43,0))</f>
        <v>214.87632807666324</v>
      </c>
      <c r="BI6" s="128">
        <f>INDEX(Direct_Cost_Splits_Network,MATCH($H6,RIN_Asset_Cat_Network,0),MATCH($BK$4,Direct_Cost_Type,0))*$O6*INDEX(Act_Type_Augex_Splits,MATCH($I6,Act_Type_Augex,0),MATCH(BI$4,Mat_Type,0))*INDEX(Escalators!$I$44:$U$49,MATCH(BI$4,Escalators!$C$44:$C$49,0),MATCH(BI$5,Escalators!$I$43:$U$43,0))</f>
        <v>30.69661829666618</v>
      </c>
      <c r="BJ6" s="128">
        <f>INDEX(Direct_Cost_Splits_Network,MATCH($H6,RIN_Asset_Cat_Network,0),MATCH($BK$4,Direct_Cost_Type,0))*$O6*INDEX(Act_Type_Augex_Splits,MATCH($I6,Act_Type_Augex,0),MATCH(BJ$4,Mat_Type,0))*INDEX(Escalators!$I$44:$U$49,MATCH(BJ$4,Escalators!$C$44:$C$49,0),MATCH(BJ$5,Escalators!$I$43:$U$43,0))</f>
        <v>214.87632807666324</v>
      </c>
      <c r="BK6" s="128">
        <f>SUM(BF6:BJ6)</f>
        <v>613.93236593332358</v>
      </c>
      <c r="BL6" s="128">
        <f>INDEX(Direct_Cost_Splits_Network,MATCH($H6,RIN_Asset_Cat_Network,0),MATCH($BQ$4,Direct_Cost_Type,0))*$P6*INDEX(Act_Type_Augex_Splits,MATCH($I6,Act_Type_Augex,0),MATCH(BL$4,Mat_Type,0))*INDEX(Escalators!$I$44:$U$49,MATCH(BL$4,Escalators!$C$44:$C$49,0),MATCH(BL$5,Escalators!$I$43:$U$43,0))</f>
        <v>3.9837663584204601</v>
      </c>
      <c r="BM6" s="128">
        <f>INDEX(Direct_Cost_Splits_Network,MATCH($H6,RIN_Asset_Cat_Network,0),MATCH($BQ$4,Direct_Cost_Type,0))*$P6*INDEX(Act_Type_Augex_Splits,MATCH($I6,Act_Type_Augex,0),MATCH(BM$4,Mat_Type,0))*INDEX(Escalators!$I$44:$U$49,MATCH(BM$4,Escalators!$C$44:$C$49,0),MATCH(BM$5,Escalators!$I$43:$U$43,0))</f>
        <v>15.93506543368184</v>
      </c>
      <c r="BN6" s="128">
        <f>INDEX(Direct_Cost_Splits_Network,MATCH($H6,RIN_Asset_Cat_Network,0),MATCH($BQ$4,Direct_Cost_Type,0))*$P6*INDEX(Act_Type_Augex_Splits,MATCH($I6,Act_Type_Augex,0),MATCH(BN$4,Mat_Type,0))*INDEX(Escalators!$I$44:$U$49,MATCH(BN$4,Escalators!$C$44:$C$49,0),MATCH(BN$5,Escalators!$I$43:$U$43,0))</f>
        <v>27.886364508943217</v>
      </c>
      <c r="BO6" s="128">
        <f>INDEX(Direct_Cost_Splits_Network,MATCH($H6,RIN_Asset_Cat_Network,0),MATCH($BQ$4,Direct_Cost_Type,0))*$P6*INDEX(Act_Type_Augex_Splits,MATCH($I6,Act_Type_Augex,0),MATCH(BO$4,Mat_Type,0))*INDEX(Escalators!$I$44:$U$49,MATCH(BO$4,Escalators!$C$44:$C$49,0),MATCH(BO$5,Escalators!$I$43:$U$43,0))</f>
        <v>3.9837663584204601</v>
      </c>
      <c r="BP6" s="128">
        <f>INDEX(Direct_Cost_Splits_Network,MATCH($H6,RIN_Asset_Cat_Network,0),MATCH($BQ$4,Direct_Cost_Type,0))*$P6*INDEX(Act_Type_Augex_Splits,MATCH($I6,Act_Type_Augex,0),MATCH(BP$4,Mat_Type,0))*INDEX(Escalators!$I$44:$U$49,MATCH(BP$4,Escalators!$C$44:$C$49,0),MATCH(BP$5,Escalators!$I$43:$U$43,0))</f>
        <v>27.886364508943217</v>
      </c>
      <c r="BQ6" s="128">
        <f>SUM(BL6:BP6)</f>
        <v>79.675327168409183</v>
      </c>
      <c r="BR6" s="128">
        <f>INDEX(Direct_Cost_Splits_Network,MATCH($H6,RIN_Asset_Cat_Network,0),MATCH($BW$4,Direct_Cost_Type,0))*$Q6*INDEX(Act_Type_Augex_Splits,MATCH($I6,Act_Type_Augex,0),MATCH(BR$4,Mat_Type,0))*INDEX(Escalators!$I$44:$U$49,MATCH(BR$4,Escalators!$C$44:$C$49,0),MATCH(BR$5,Escalators!$I$43:$U$43,0))</f>
        <v>0</v>
      </c>
      <c r="BS6" s="128">
        <f>INDEX(Direct_Cost_Splits_Network,MATCH($H6,RIN_Asset_Cat_Network,0),MATCH($BW$4,Direct_Cost_Type,0))*$Q6*INDEX(Act_Type_Augex_Splits,MATCH($I6,Act_Type_Augex,0),MATCH(BS$4,Mat_Type,0))*INDEX(Escalators!$I$44:$U$49,MATCH(BS$4,Escalators!$C$44:$C$49,0),MATCH(BS$5,Escalators!$I$43:$U$43,0))</f>
        <v>0</v>
      </c>
      <c r="BT6" s="128">
        <f>INDEX(Direct_Cost_Splits_Network,MATCH($H6,RIN_Asset_Cat_Network,0),MATCH($BW$4,Direct_Cost_Type,0))*$Q6*INDEX(Act_Type_Augex_Splits,MATCH($I6,Act_Type_Augex,0),MATCH(BT$4,Mat_Type,0))*INDEX(Escalators!$I$44:$U$49,MATCH(BT$4,Escalators!$C$44:$C$49,0),MATCH(BT$5,Escalators!$I$43:$U$43,0))</f>
        <v>0</v>
      </c>
      <c r="BU6" s="128">
        <f>INDEX(Direct_Cost_Splits_Network,MATCH($H6,RIN_Asset_Cat_Network,0),MATCH($BW$4,Direct_Cost_Type,0))*$Q6*INDEX(Act_Type_Augex_Splits,MATCH($I6,Act_Type_Augex,0),MATCH(BU$4,Mat_Type,0))*INDEX(Escalators!$I$44:$U$49,MATCH(BU$4,Escalators!$C$44:$C$49,0),MATCH(BU$5,Escalators!$I$43:$U$43,0))</f>
        <v>0</v>
      </c>
      <c r="BV6" s="128">
        <f>INDEX(Direct_Cost_Splits_Network,MATCH($H6,RIN_Asset_Cat_Network,0),MATCH($BW$4,Direct_Cost_Type,0))*$Q6*INDEX(Act_Type_Augex_Splits,MATCH($I6,Act_Type_Aug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712.25318949983762</v>
      </c>
      <c r="CC6" s="128">
        <f>INDEX(Direct_Cost_Splits_Network,MATCH($H6,RIN_Asset_Cat_Network,0),MATCH($BY$4,Direct_Cost_Type,0))*N6*HLOOKUP(CC$5,Escalators!$I$25:$U$30,6,FALSE)</f>
        <v>1362.6627766036468</v>
      </c>
      <c r="CD6" s="128">
        <f>INDEX(Direct_Cost_Splits_Network,MATCH($H6,RIN_Asset_Cat_Network,0),MATCH($BY$4,Direct_Cost_Type,0))*O6*HLOOKUP(CD$5,Escalators!$I$25:$U$30,6,FALSE)</f>
        <v>836.36109907009882</v>
      </c>
      <c r="CE6" s="128">
        <f>INDEX(Direct_Cost_Splits_Network,MATCH($H6,RIN_Asset_Cat_Network,0),MATCH($BY$4,Direct_Cost_Type,0))*P6*HLOOKUP(CE$5,Escalators!$I$25:$U$30,6,FALSE)</f>
        <v>108.54183277670296</v>
      </c>
      <c r="CF6" s="128">
        <f>INDEX(Direct_Cost_Splits_Network,MATCH($H6,RIN_Asset_Cat_Network,0),MATCH($BY$4,Direct_Cost_Type,0))*Q6*HLOOKUP(CF$5,Escalators!$I$25:$U$30,6,FALSE)</f>
        <v>0</v>
      </c>
      <c r="CG6" s="129"/>
      <c r="CH6" s="675">
        <f t="shared" ref="CH6:CO8" si="8">INDEX(Direct_Cost_Splits_Network,MATCH($H6,RIN_Asset_Cat_Network,0),MATCH($CH$4,Direct_Cost_Type,0))*J6</f>
        <v>0</v>
      </c>
      <c r="CI6" s="675">
        <f t="shared" si="8"/>
        <v>0</v>
      </c>
      <c r="CJ6" s="675">
        <f t="shared" si="8"/>
        <v>0</v>
      </c>
      <c r="CK6" s="675">
        <f t="shared" si="8"/>
        <v>195.68167993540717</v>
      </c>
      <c r="CL6" s="675">
        <f t="shared" si="8"/>
        <v>374.37268831115409</v>
      </c>
      <c r="CM6" s="675">
        <f t="shared" si="8"/>
        <v>229.7786058544533</v>
      </c>
      <c r="CN6" s="675">
        <f t="shared" si="8"/>
        <v>29.820362329199675</v>
      </c>
      <c r="CO6" s="675">
        <f t="shared" si="8"/>
        <v>0</v>
      </c>
      <c r="CP6" s="129"/>
      <c r="CQ6" s="128">
        <f>S6+AG6+BY6+CH6</f>
        <v>0</v>
      </c>
      <c r="CR6" s="128">
        <f t="shared" ref="CR6:CR37" si="9">T6+AM6+BZ6+CI6</f>
        <v>0</v>
      </c>
      <c r="CS6" s="128">
        <f>U6+AS6+CA6+CJ6</f>
        <v>0</v>
      </c>
      <c r="CT6" s="128">
        <f>V6+AY6+CB6+CK6</f>
        <v>1701.5749025127952</v>
      </c>
      <c r="CU6" s="128">
        <f>W6+BE6+CC6+CL6</f>
        <v>3257.9755248054598</v>
      </c>
      <c r="CV6" s="128">
        <f>X6+BK6+CD6+CM6</f>
        <v>2001.7278557893378</v>
      </c>
      <c r="CW6" s="128">
        <f>Y6+BQ6+CE6+CN6</f>
        <v>260.19629512871882</v>
      </c>
      <c r="CX6" s="128">
        <f>Z6+BW6+CF6+CO6</f>
        <v>0</v>
      </c>
      <c r="CZ6" s="312"/>
      <c r="DA6" s="312"/>
      <c r="DB6" s="312"/>
      <c r="DC6" s="312"/>
      <c r="DD6" s="312"/>
      <c r="DE6" s="39"/>
    </row>
    <row r="7" spans="1:109">
      <c r="B7" s="75" t="s">
        <v>423</v>
      </c>
      <c r="C7" s="75" t="s">
        <v>744</v>
      </c>
      <c r="D7" s="75"/>
      <c r="E7" s="75" t="s">
        <v>44</v>
      </c>
      <c r="F7" s="75" t="s">
        <v>51</v>
      </c>
      <c r="G7" s="75" t="s">
        <v>10</v>
      </c>
      <c r="H7" s="75" t="s">
        <v>152</v>
      </c>
      <c r="I7" s="75" t="s">
        <v>186</v>
      </c>
      <c r="J7" s="128"/>
      <c r="K7" s="128"/>
      <c r="L7" s="128"/>
      <c r="M7" s="128">
        <v>0</v>
      </c>
      <c r="N7" s="128">
        <v>0</v>
      </c>
      <c r="O7" s="128">
        <v>0</v>
      </c>
      <c r="P7" s="128">
        <v>0</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0</v>
      </c>
      <c r="W7" s="128">
        <f>INDEX(Direct_Cost_Splits_Network,MATCH($H7,RIN_Asset_Cat_Network,0),MATCH($S$4,Direct_Cost_Type,0))*N7*HLOOKUP(W$5,Escalators!$I$25:$U$30,3,FALSE)</f>
        <v>0</v>
      </c>
      <c r="X7" s="128">
        <f>INDEX(Direct_Cost_Splits_Network,MATCH($H7,RIN_Asset_Cat_Network,0),MATCH($S$4,Direct_Cost_Type,0))*O7*HLOOKUP(X$5,Escalators!$I$25:$U$30,3,FALSE)</f>
        <v>0</v>
      </c>
      <c r="Y7" s="128">
        <f>INDEX(Direct_Cost_Splits_Network,MATCH($H7,RIN_Asset_Cat_Network,0),MATCH($S$4,Direct_Cost_Type,0))*P7*HLOOKUP(Y$5,Escalators!$I$25:$U$30,3,FALSE)</f>
        <v>0</v>
      </c>
      <c r="Z7" s="128">
        <f>INDEX(Direct_Cost_Splits_Network,MATCH($H7,RIN_Asset_Cat_Network,0),MATCH($S$4,Direct_Cost_Type,0))*Q7*HLOOKUP(Z$5,Escalators!$I$25:$U$30,3,FALSE)</f>
        <v>0</v>
      </c>
      <c r="AA7" s="129"/>
      <c r="AB7" s="128">
        <f>INDEX(Direct_Cost_Splits_Network,MATCH($H7,RIN_Asset_Cat_Network,0),MATCH($AG$4,Direct_Cost_Type,0))*$J7*INDEX(Act_Type_Augex_Splits,MATCH($I7,Act_Type_Augex,0),MATCH(AB$4,Mat_Type,0))*INDEX(Escalators!$I$44:$U$49,MATCH(AB$4,Escalators!$C$44:$C$49,0),MATCH(AB$5,Escalators!$I$43:$U$43,0))</f>
        <v>0</v>
      </c>
      <c r="AC7" s="128">
        <f>INDEX(Direct_Cost_Splits_Network,MATCH($H7,RIN_Asset_Cat_Network,0),MATCH($AG$4,Direct_Cost_Type,0))*$J7*INDEX(Act_Type_Augex_Splits,MATCH($I7,Act_Type_Augex,0),MATCH(AC$4,Mat_Type,0))*INDEX(Escalators!$I$44:$U$49,MATCH(AC$4,Escalators!$C$44:$C$49,0),MATCH(AC$5,Escalators!$I$43:$U$43,0))</f>
        <v>0</v>
      </c>
      <c r="AD7" s="128">
        <f>INDEX(Direct_Cost_Splits_Network,MATCH($H7,RIN_Asset_Cat_Network,0),MATCH($AG$4,Direct_Cost_Type,0))*$J7*INDEX(Act_Type_Augex_Splits,MATCH($I7,Act_Type_Augex,0),MATCH(AD$4,Mat_Type,0))*INDEX(Escalators!$I$44:$U$49,MATCH(AD$4,Escalators!$C$44:$C$49,0),MATCH(AD$5,Escalators!$I$43:$U$43,0))</f>
        <v>0</v>
      </c>
      <c r="AE7" s="128">
        <f>INDEX(Direct_Cost_Splits_Network,MATCH($H7,RIN_Asset_Cat_Network,0),MATCH($AG$4,Direct_Cost_Type,0))*$J7*INDEX(Act_Type_Augex_Splits,MATCH($I7,Act_Type_Augex,0),MATCH(AE$4,Mat_Type,0))*INDEX(Escalators!$I$44:$U$49,MATCH(AE$4,Escalators!$C$44:$C$49,0),MATCH(AE$5,Escalators!$I$43:$U$43,0))</f>
        <v>0</v>
      </c>
      <c r="AF7" s="128">
        <f>INDEX(Direct_Cost_Splits_Network,MATCH($H7,RIN_Asset_Cat_Network,0),MATCH($AG$4,Direct_Cost_Type,0))*$J7*INDEX(Act_Type_Augex_Splits,MATCH($I7,Act_Type_Augex,0),MATCH(AF$4,Mat_Type,0))*INDEX(Escalators!$I$44:$U$49,MATCH(AF$4,Escalators!$C$44:$C$49,0),MATCH(AF$5,Escalators!$I$43:$U$43,0))</f>
        <v>0</v>
      </c>
      <c r="AG7" s="128">
        <f t="shared" ref="AG7:AG13" si="10">SUM(AB7:AF7)</f>
        <v>0</v>
      </c>
      <c r="AH7" s="128">
        <f>INDEX(Direct_Cost_Splits_Network,MATCH($H7,RIN_Asset_Cat_Network,0),MATCH($AY$4,Direct_Cost_Type,0))*$K7*INDEX(Act_Type_Augex_Splits,MATCH($I7,Act_Type_Augex,0),MATCH(AH$4,Mat_Type,0))*INDEX(Escalators!$I$44:$U$49,MATCH(AH$4,Escalators!$C$44:$C$49,0),MATCH(AH$5,Escalators!$I$43:$U$43,0))</f>
        <v>0</v>
      </c>
      <c r="AI7" s="128">
        <f>INDEX(Direct_Cost_Splits_Network,MATCH($H7,RIN_Asset_Cat_Network,0),MATCH($AY$4,Direct_Cost_Type,0))*$K7*INDEX(Act_Type_Augex_Splits,MATCH($I7,Act_Type_Augex,0),MATCH(AI$4,Mat_Type,0))*INDEX(Escalators!$I$44:$U$49,MATCH(AI$4,Escalators!$C$44:$C$49,0),MATCH(AI$5,Escalators!$I$43:$U$43,0))</f>
        <v>0</v>
      </c>
      <c r="AJ7" s="128">
        <f>INDEX(Direct_Cost_Splits_Network,MATCH($H7,RIN_Asset_Cat_Network,0),MATCH($AY$4,Direct_Cost_Type,0))*$K7*INDEX(Act_Type_Augex_Splits,MATCH($I7,Act_Type_Augex,0),MATCH(AJ$4,Mat_Type,0))*INDEX(Escalators!$I$44:$U$49,MATCH(AJ$4,Escalators!$C$44:$C$49,0),MATCH(AJ$5,Escalators!$I$43:$U$43,0))</f>
        <v>0</v>
      </c>
      <c r="AK7" s="128">
        <f>INDEX(Direct_Cost_Splits_Network,MATCH($H7,RIN_Asset_Cat_Network,0),MATCH($AY$4,Direct_Cost_Type,0))*$K7*INDEX(Act_Type_Augex_Splits,MATCH($I7,Act_Type_Augex,0),MATCH(AK$4,Mat_Type,0))*INDEX(Escalators!$I$44:$U$49,MATCH(AK$4,Escalators!$C$44:$C$49,0),MATCH(AK$5,Escalators!$I$43:$U$43,0))</f>
        <v>0</v>
      </c>
      <c r="AL7" s="128">
        <f>INDEX(Direct_Cost_Splits_Network,MATCH($H7,RIN_Asset_Cat_Network,0),MATCH($AY$4,Direct_Cost_Type,0))*$K7*INDEX(Act_Type_Augex_Splits,MATCH($I7,Act_Type_Augex,0),MATCH(AL$4,Mat_Type,0))*INDEX(Escalators!$I$44:$U$49,MATCH(AL$4,Escalators!$C$44:$C$49,0),MATCH(AL$5,Escalators!$I$43:$U$43,0))</f>
        <v>0</v>
      </c>
      <c r="AM7" s="128">
        <f t="shared" ref="AM7:AM13" si="11">SUM(AH7:AL7)</f>
        <v>0</v>
      </c>
      <c r="AN7" s="128">
        <f>INDEX(Direct_Cost_Splits_Network,MATCH($H7,RIN_Asset_Cat_Network,0),MATCH($AY$4,Direct_Cost_Type,0))*$L7*INDEX(Act_Type_Augex_Splits,MATCH($I7,Act_Type_Augex,0),MATCH(AN$4,Mat_Type,0))*INDEX(Escalators!$I$44:$U$49,MATCH(AN$4,Escalators!$C$44:$C$49,0),MATCH(AN$5,Escalators!$I$43:$U$43,0))</f>
        <v>0</v>
      </c>
      <c r="AO7" s="128">
        <f>INDEX(Direct_Cost_Splits_Network,MATCH($H7,RIN_Asset_Cat_Network,0),MATCH($AY$4,Direct_Cost_Type,0))*$L7*INDEX(Act_Type_Augex_Splits,MATCH($I7,Act_Type_Augex,0),MATCH(AO$4,Mat_Type,0))*INDEX(Escalators!$I$44:$U$49,MATCH(AO$4,Escalators!$C$44:$C$49,0),MATCH(AO$5,Escalators!$I$43:$U$43,0))</f>
        <v>0</v>
      </c>
      <c r="AP7" s="128">
        <f>INDEX(Direct_Cost_Splits_Network,MATCH($H7,RIN_Asset_Cat_Network,0),MATCH($AY$4,Direct_Cost_Type,0))*$L7*INDEX(Act_Type_Augex_Splits,MATCH($I7,Act_Type_Augex,0),MATCH(AP$4,Mat_Type,0))*INDEX(Escalators!$I$44:$U$49,MATCH(AP$4,Escalators!$C$44:$C$49,0),MATCH(AP$5,Escalators!$I$43:$U$43,0))</f>
        <v>0</v>
      </c>
      <c r="AQ7" s="128">
        <f>INDEX(Direct_Cost_Splits_Network,MATCH($H7,RIN_Asset_Cat_Network,0),MATCH($AY$4,Direct_Cost_Type,0))*$L7*INDEX(Act_Type_Augex_Splits,MATCH($I7,Act_Type_Augex,0),MATCH(AQ$4,Mat_Type,0))*INDEX(Escalators!$I$44:$U$49,MATCH(AQ$4,Escalators!$C$44:$C$49,0),MATCH(AQ$5,Escalators!$I$43:$U$43,0))</f>
        <v>0</v>
      </c>
      <c r="AR7" s="128">
        <f>INDEX(Direct_Cost_Splits_Network,MATCH($H7,RIN_Asset_Cat_Network,0),MATCH($AY$4,Direct_Cost_Type,0))*$L7*INDEX(Act_Type_Augex_Splits,MATCH($I7,Act_Type_Augex,0),MATCH(AR$4,Mat_Type,0))*INDEX(Escalators!$I$44:$U$49,MATCH(AR$4,Escalators!$C$44:$C$49,0),MATCH(AR$5,Escalators!$I$43:$U$43,0))</f>
        <v>0</v>
      </c>
      <c r="AS7" s="128">
        <f t="shared" ref="AS7:AS11" si="12">SUM(AN7:AR7)</f>
        <v>0</v>
      </c>
      <c r="AT7" s="128">
        <f>INDEX(Direct_Cost_Splits_Network,MATCH($H7,RIN_Asset_Cat_Network,0),MATCH($AY$4,Direct_Cost_Type,0))*$M7*INDEX(Act_Type_Augex_Splits,MATCH($I7,Act_Type_Augex,0),MATCH(AT$4,Mat_Type,0))*INDEX(Escalators!$I$44:$U$49,MATCH(AT$4,Escalators!$C$44:$C$49,0),MATCH(AT$5,Escalators!$I$43:$U$43,0))</f>
        <v>0</v>
      </c>
      <c r="AU7" s="128">
        <f>INDEX(Direct_Cost_Splits_Network,MATCH($H7,RIN_Asset_Cat_Network,0),MATCH($AY$4,Direct_Cost_Type,0))*$M7*INDEX(Act_Type_Augex_Splits,MATCH($I7,Act_Type_Augex,0),MATCH(AU$4,Mat_Type,0))*INDEX(Escalators!$I$44:$U$49,MATCH(AU$4,Escalators!$C$44:$C$49,0),MATCH(AU$5,Escalators!$I$43:$U$43,0))</f>
        <v>0</v>
      </c>
      <c r="AV7" s="128">
        <f>INDEX(Direct_Cost_Splits_Network,MATCH($H7,RIN_Asset_Cat_Network,0),MATCH($AY$4,Direct_Cost_Type,0))*$M7*INDEX(Act_Type_Augex_Splits,MATCH($I7,Act_Type_Augex,0),MATCH(AV$4,Mat_Type,0))*INDEX(Escalators!$I$44:$U$49,MATCH(AV$4,Escalators!$C$44:$C$49,0),MATCH(AV$5,Escalators!$I$43:$U$43,0))</f>
        <v>0</v>
      </c>
      <c r="AW7" s="128">
        <f>INDEX(Direct_Cost_Splits_Network,MATCH($H7,RIN_Asset_Cat_Network,0),MATCH($AY$4,Direct_Cost_Type,0))*$M7*INDEX(Act_Type_Augex_Splits,MATCH($I7,Act_Type_Augex,0),MATCH(AW$4,Mat_Type,0))*INDEX(Escalators!$I$44:$U$49,MATCH(AW$4,Escalators!$C$44:$C$49,0),MATCH(AW$5,Escalators!$I$43:$U$43,0))</f>
        <v>0</v>
      </c>
      <c r="AX7" s="128">
        <f>INDEX(Direct_Cost_Splits_Network,MATCH($H7,RIN_Asset_Cat_Network,0),MATCH($AY$4,Direct_Cost_Type,0))*$M7*INDEX(Act_Type_Augex_Splits,MATCH($I7,Act_Type_Augex,0),MATCH(AX$4,Mat_Type,0))*INDEX(Escalators!$I$44:$U$49,MATCH(AX$4,Escalators!$C$44:$C$49,0),MATCH(AX$5,Escalators!$I$43:$U$43,0))</f>
        <v>0</v>
      </c>
      <c r="AY7" s="128">
        <f t="shared" ref="AY7:AY13" si="13">SUM(AT7:AX7)</f>
        <v>0</v>
      </c>
      <c r="AZ7" s="128">
        <f>INDEX(Direct_Cost_Splits_Network,MATCH($H7,RIN_Asset_Cat_Network,0),MATCH($BE$4,Direct_Cost_Type,0))*$N7*INDEX(Act_Type_Augex_Splits,MATCH($I7,Act_Type_Augex,0),MATCH(AZ$4,Mat_Type,0))*INDEX(Escalators!$I$44:$U$49,MATCH(AZ$4,Escalators!$C$44:$C$49,0),MATCH(AZ$5,Escalators!$I$43:$U$43,0))</f>
        <v>0</v>
      </c>
      <c r="BA7" s="128">
        <f>INDEX(Direct_Cost_Splits_Network,MATCH($H7,RIN_Asset_Cat_Network,0),MATCH($BE$4,Direct_Cost_Type,0))*$N7*INDEX(Act_Type_Augex_Splits,MATCH($I7,Act_Type_Augex,0),MATCH(BA$4,Mat_Type,0))*INDEX(Escalators!$I$44:$U$49,MATCH(BA$4,Escalators!$C$44:$C$49,0),MATCH(BA$5,Escalators!$I$43:$U$43,0))</f>
        <v>0</v>
      </c>
      <c r="BB7" s="128">
        <f>INDEX(Direct_Cost_Splits_Network,MATCH($H7,RIN_Asset_Cat_Network,0),MATCH($BE$4,Direct_Cost_Type,0))*$N7*INDEX(Act_Type_Augex_Splits,MATCH($I7,Act_Type_Augex,0),MATCH(BB$4,Mat_Type,0))*INDEX(Escalators!$I$44:$U$49,MATCH(BB$4,Escalators!$C$44:$C$49,0),MATCH(BB$5,Escalators!$I$43:$U$43,0))</f>
        <v>0</v>
      </c>
      <c r="BC7" s="128">
        <f>INDEX(Direct_Cost_Splits_Network,MATCH($H7,RIN_Asset_Cat_Network,0),MATCH($BE$4,Direct_Cost_Type,0))*$N7*INDEX(Act_Type_Augex_Splits,MATCH($I7,Act_Type_Augex,0),MATCH(BC$4,Mat_Type,0))*INDEX(Escalators!$I$44:$U$49,MATCH(BC$4,Escalators!$C$44:$C$49,0),MATCH(BC$5,Escalators!$I$43:$U$43,0))</f>
        <v>0</v>
      </c>
      <c r="BD7" s="128">
        <f>INDEX(Direct_Cost_Splits_Network,MATCH($H7,RIN_Asset_Cat_Network,0),MATCH($BE$4,Direct_Cost_Type,0))*$N7*INDEX(Act_Type_Augex_Splits,MATCH($I7,Act_Type_Augex,0),MATCH(BD$4,Mat_Type,0))*INDEX(Escalators!$I$44:$U$49,MATCH(BD$4,Escalators!$C$44:$C$49,0),MATCH(BD$5,Escalators!$I$43:$U$43,0))</f>
        <v>0</v>
      </c>
      <c r="BE7" s="128">
        <f t="shared" ref="BE7:BE13" si="14">SUM(AZ7:BD7)</f>
        <v>0</v>
      </c>
      <c r="BF7" s="128">
        <f>INDEX(Direct_Cost_Splits_Network,MATCH($H7,RIN_Asset_Cat_Network,0),MATCH($BK$4,Direct_Cost_Type,0))*$O7*INDEX(Act_Type_Augex_Splits,MATCH($I7,Act_Type_Augex,0),MATCH(BF$4,Mat_Type,0))*INDEX(Escalators!$I$44:$U$49,MATCH(BF$4,Escalators!$C$44:$C$49,0),MATCH(BF$5,Escalators!$I$43:$U$43,0))</f>
        <v>0</v>
      </c>
      <c r="BG7" s="128">
        <f>INDEX(Direct_Cost_Splits_Network,MATCH($H7,RIN_Asset_Cat_Network,0),MATCH($BK$4,Direct_Cost_Type,0))*$O7*INDEX(Act_Type_Augex_Splits,MATCH($I7,Act_Type_Augex,0),MATCH(BG$4,Mat_Type,0))*INDEX(Escalators!$I$44:$U$49,MATCH(BG$4,Escalators!$C$44:$C$49,0),MATCH(BG$5,Escalators!$I$43:$U$43,0))</f>
        <v>0</v>
      </c>
      <c r="BH7" s="128">
        <f>INDEX(Direct_Cost_Splits_Network,MATCH($H7,RIN_Asset_Cat_Network,0),MATCH($BK$4,Direct_Cost_Type,0))*$O7*INDEX(Act_Type_Augex_Splits,MATCH($I7,Act_Type_Augex,0),MATCH(BH$4,Mat_Type,0))*INDEX(Escalators!$I$44:$U$49,MATCH(BH$4,Escalators!$C$44:$C$49,0),MATCH(BH$5,Escalators!$I$43:$U$43,0))</f>
        <v>0</v>
      </c>
      <c r="BI7" s="128">
        <f>INDEX(Direct_Cost_Splits_Network,MATCH($H7,RIN_Asset_Cat_Network,0),MATCH($BK$4,Direct_Cost_Type,0))*$O7*INDEX(Act_Type_Augex_Splits,MATCH($I7,Act_Type_Augex,0),MATCH(BI$4,Mat_Type,0))*INDEX(Escalators!$I$44:$U$49,MATCH(BI$4,Escalators!$C$44:$C$49,0),MATCH(BI$5,Escalators!$I$43:$U$43,0))</f>
        <v>0</v>
      </c>
      <c r="BJ7" s="128">
        <f>INDEX(Direct_Cost_Splits_Network,MATCH($H7,RIN_Asset_Cat_Network,0),MATCH($BK$4,Direct_Cost_Type,0))*$O7*INDEX(Act_Type_Augex_Splits,MATCH($I7,Act_Type_Augex,0),MATCH(BJ$4,Mat_Type,0))*INDEX(Escalators!$I$44:$U$49,MATCH(BJ$4,Escalators!$C$44:$C$49,0),MATCH(BJ$5,Escalators!$I$43:$U$43,0))</f>
        <v>0</v>
      </c>
      <c r="BK7" s="128">
        <f t="shared" ref="BK7:BK13" si="15">SUM(BF7:BJ7)</f>
        <v>0</v>
      </c>
      <c r="BL7" s="128">
        <f>INDEX(Direct_Cost_Splits_Network,MATCH($H7,RIN_Asset_Cat_Network,0),MATCH($BQ$4,Direct_Cost_Type,0))*$P7*INDEX(Act_Type_Augex_Splits,MATCH($I7,Act_Type_Augex,0),MATCH(BL$4,Mat_Type,0))*INDEX(Escalators!$I$44:$U$49,MATCH(BL$4,Escalators!$C$44:$C$49,0),MATCH(BL$5,Escalators!$I$43:$U$43,0))</f>
        <v>0</v>
      </c>
      <c r="BM7" s="128">
        <f>INDEX(Direct_Cost_Splits_Network,MATCH($H7,RIN_Asset_Cat_Network,0),MATCH($BQ$4,Direct_Cost_Type,0))*$P7*INDEX(Act_Type_Augex_Splits,MATCH($I7,Act_Type_Augex,0),MATCH(BM$4,Mat_Type,0))*INDEX(Escalators!$I$44:$U$49,MATCH(BM$4,Escalators!$C$44:$C$49,0),MATCH(BM$5,Escalators!$I$43:$U$43,0))</f>
        <v>0</v>
      </c>
      <c r="BN7" s="128">
        <f>INDEX(Direct_Cost_Splits_Network,MATCH($H7,RIN_Asset_Cat_Network,0),MATCH($BQ$4,Direct_Cost_Type,0))*$P7*INDEX(Act_Type_Augex_Splits,MATCH($I7,Act_Type_Augex,0),MATCH(BN$4,Mat_Type,0))*INDEX(Escalators!$I$44:$U$49,MATCH(BN$4,Escalators!$C$44:$C$49,0),MATCH(BN$5,Escalators!$I$43:$U$43,0))</f>
        <v>0</v>
      </c>
      <c r="BO7" s="128">
        <f>INDEX(Direct_Cost_Splits_Network,MATCH($H7,RIN_Asset_Cat_Network,0),MATCH($BQ$4,Direct_Cost_Type,0))*$P7*INDEX(Act_Type_Augex_Splits,MATCH($I7,Act_Type_Augex,0),MATCH(BO$4,Mat_Type,0))*INDEX(Escalators!$I$44:$U$49,MATCH(BO$4,Escalators!$C$44:$C$49,0),MATCH(BO$5,Escalators!$I$43:$U$43,0))</f>
        <v>0</v>
      </c>
      <c r="BP7" s="128">
        <f>INDEX(Direct_Cost_Splits_Network,MATCH($H7,RIN_Asset_Cat_Network,0),MATCH($BQ$4,Direct_Cost_Type,0))*$P7*INDEX(Act_Type_Augex_Splits,MATCH($I7,Act_Type_Augex,0),MATCH(BP$4,Mat_Type,0))*INDEX(Escalators!$I$44:$U$49,MATCH(BP$4,Escalators!$C$44:$C$49,0),MATCH(BP$5,Escalators!$I$43:$U$43,0))</f>
        <v>0</v>
      </c>
      <c r="BQ7" s="128">
        <f t="shared" ref="BQ7:BQ13" si="16">SUM(BL7:BP7)</f>
        <v>0</v>
      </c>
      <c r="BR7" s="128">
        <f>INDEX(Direct_Cost_Splits_Network,MATCH($H7,RIN_Asset_Cat_Network,0),MATCH($BW$4,Direct_Cost_Type,0))*$Q7*INDEX(Act_Type_Augex_Splits,MATCH($I7,Act_Type_Augex,0),MATCH(BR$4,Mat_Type,0))*INDEX(Escalators!$I$44:$U$49,MATCH(BR$4,Escalators!$C$44:$C$49,0),MATCH(BR$5,Escalators!$I$43:$U$43,0))</f>
        <v>0</v>
      </c>
      <c r="BS7" s="128">
        <f>INDEX(Direct_Cost_Splits_Network,MATCH($H7,RIN_Asset_Cat_Network,0),MATCH($BW$4,Direct_Cost_Type,0))*$Q7*INDEX(Act_Type_Augex_Splits,MATCH($I7,Act_Type_Augex,0),MATCH(BS$4,Mat_Type,0))*INDEX(Escalators!$I$44:$U$49,MATCH(BS$4,Escalators!$C$44:$C$49,0),MATCH(BS$5,Escalators!$I$43:$U$43,0))</f>
        <v>0</v>
      </c>
      <c r="BT7" s="128">
        <f>INDEX(Direct_Cost_Splits_Network,MATCH($H7,RIN_Asset_Cat_Network,0),MATCH($BW$4,Direct_Cost_Type,0))*$Q7*INDEX(Act_Type_Augex_Splits,MATCH($I7,Act_Type_Augex,0),MATCH(BT$4,Mat_Type,0))*INDEX(Escalators!$I$44:$U$49,MATCH(BT$4,Escalators!$C$44:$C$49,0),MATCH(BT$5,Escalators!$I$43:$U$43,0))</f>
        <v>0</v>
      </c>
      <c r="BU7" s="128">
        <f>INDEX(Direct_Cost_Splits_Network,MATCH($H7,RIN_Asset_Cat_Network,0),MATCH($BW$4,Direct_Cost_Type,0))*$Q7*INDEX(Act_Type_Augex_Splits,MATCH($I7,Act_Type_Augex,0),MATCH(BU$4,Mat_Type,0))*INDEX(Escalators!$I$44:$U$49,MATCH(BU$4,Escalators!$C$44:$C$49,0),MATCH(BU$5,Escalators!$I$43:$U$43,0))</f>
        <v>0</v>
      </c>
      <c r="BV7" s="128">
        <f>INDEX(Direct_Cost_Splits_Network,MATCH($H7,RIN_Asset_Cat_Network,0),MATCH($BW$4,Direct_Cost_Type,0))*$Q7*INDEX(Act_Type_Augex_Splits,MATCH($I7,Act_Type_Augex,0),MATCH(BV$4,Mat_Type,0))*INDEX(Escalators!$I$44:$U$49,MATCH(BV$4,Escalators!$C$44:$C$49,0),MATCH(BV$5,Escalators!$I$43:$U$43,0))</f>
        <v>0</v>
      </c>
      <c r="BW7" s="128">
        <f t="shared" ref="BW7:BW13" si="17">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0</v>
      </c>
      <c r="CC7" s="128">
        <f>INDEX(Direct_Cost_Splits_Network,MATCH($H7,RIN_Asset_Cat_Network,0),MATCH($BY$4,Direct_Cost_Type,0))*N7*HLOOKUP(CC$5,Escalators!$I$25:$U$30,6,FALSE)</f>
        <v>0</v>
      </c>
      <c r="CD7" s="128">
        <f>INDEX(Direct_Cost_Splits_Network,MATCH($H7,RIN_Asset_Cat_Network,0),MATCH($BY$4,Direct_Cost_Type,0))*O7*HLOOKUP(CD$5,Escalators!$I$25:$U$30,6,FALSE)</f>
        <v>0</v>
      </c>
      <c r="CE7" s="128">
        <f>INDEX(Direct_Cost_Splits_Network,MATCH($H7,RIN_Asset_Cat_Network,0),MATCH($BY$4,Direct_Cost_Type,0))*P7*HLOOKUP(CE$5,Escalators!$I$25:$U$30,6,FALSE)</f>
        <v>0</v>
      </c>
      <c r="CF7" s="128">
        <f>INDEX(Direct_Cost_Splits_Network,MATCH($H7,RIN_Asset_Cat_Network,0),MATCH($BY$4,Direct_Cost_Type,0))*Q7*HLOOKUP(CF$5,Escalators!$I$25:$U$30,6,FALSE)</f>
        <v>0</v>
      </c>
      <c r="CG7" s="129"/>
      <c r="CH7" s="675">
        <f t="shared" si="8"/>
        <v>0</v>
      </c>
      <c r="CI7" s="675">
        <f t="shared" si="8"/>
        <v>0</v>
      </c>
      <c r="CJ7" s="675">
        <f t="shared" si="8"/>
        <v>0</v>
      </c>
      <c r="CK7" s="675">
        <f t="shared" si="8"/>
        <v>0</v>
      </c>
      <c r="CL7" s="675">
        <f t="shared" si="8"/>
        <v>0</v>
      </c>
      <c r="CM7" s="675">
        <f t="shared" si="8"/>
        <v>0</v>
      </c>
      <c r="CN7" s="675">
        <f t="shared" si="8"/>
        <v>0</v>
      </c>
      <c r="CO7" s="675">
        <f t="shared" si="8"/>
        <v>0</v>
      </c>
      <c r="CP7" s="129"/>
      <c r="CQ7" s="128">
        <f t="shared" ref="CQ7:CQ37" si="18">S7+AG7+BY7+CH7</f>
        <v>0</v>
      </c>
      <c r="CR7" s="128">
        <f t="shared" si="9"/>
        <v>0</v>
      </c>
      <c r="CS7" s="128">
        <f t="shared" ref="CS7:CS37" si="19">U7+AS7+CA7+CJ7</f>
        <v>0</v>
      </c>
      <c r="CT7" s="128">
        <f t="shared" ref="CT7:CT37" si="20">V7+AY7+CB7+CK7</f>
        <v>0</v>
      </c>
      <c r="CU7" s="128">
        <f t="shared" ref="CU7:CU37" si="21">W7+BE7+CC7+CL7</f>
        <v>0</v>
      </c>
      <c r="CV7" s="128">
        <f t="shared" ref="CV7:CV37" si="22">X7+BK7+CD7+CM7</f>
        <v>0</v>
      </c>
      <c r="CW7" s="128">
        <f t="shared" ref="CW7:CW37" si="23">Y7+BQ7+CE7+CN7</f>
        <v>0</v>
      </c>
      <c r="CX7" s="128">
        <f t="shared" ref="CX7:CX37" si="24">Z7+BW7+CF7+CO7</f>
        <v>0</v>
      </c>
      <c r="CZ7" s="312"/>
      <c r="DA7" s="312"/>
      <c r="DB7" s="312"/>
      <c r="DC7" s="312"/>
      <c r="DD7" s="312"/>
      <c r="DE7" s="39"/>
    </row>
    <row r="8" spans="1:109">
      <c r="B8" s="75" t="s">
        <v>423</v>
      </c>
      <c r="C8" s="75" t="s">
        <v>532</v>
      </c>
      <c r="D8" s="75"/>
      <c r="E8" s="75" t="s">
        <v>44</v>
      </c>
      <c r="F8" s="75" t="s">
        <v>51</v>
      </c>
      <c r="G8" s="75" t="s">
        <v>10</v>
      </c>
      <c r="H8" s="75" t="s">
        <v>164</v>
      </c>
      <c r="I8" s="75" t="s">
        <v>214</v>
      </c>
      <c r="J8" s="128"/>
      <c r="K8" s="128"/>
      <c r="L8" s="128"/>
      <c r="M8" s="128">
        <v>150</v>
      </c>
      <c r="N8" s="128">
        <v>125</v>
      </c>
      <c r="O8" s="128">
        <v>0</v>
      </c>
      <c r="P8" s="128">
        <v>0</v>
      </c>
      <c r="Q8" s="128">
        <v>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23.993736053342513</v>
      </c>
      <c r="W8" s="128">
        <f>INDEX(Direct_Cost_Splits_Network,MATCH($H8,RIN_Asset_Cat_Network,0),MATCH($S$4,Direct_Cost_Type,0))*N8*HLOOKUP(W$5,Escalators!$I$25:$U$30,3,FALSE)</f>
        <v>20.093972017590936</v>
      </c>
      <c r="X8" s="128">
        <f>INDEX(Direct_Cost_Splits_Network,MATCH($H8,RIN_Asset_Cat_Network,0),MATCH($S$4,Direct_Cost_Type,0))*O8*HLOOKUP(X$5,Escalators!$I$25:$U$30,3,FALSE)</f>
        <v>0</v>
      </c>
      <c r="Y8" s="128">
        <f>INDEX(Direct_Cost_Splits_Network,MATCH($H8,RIN_Asset_Cat_Network,0),MATCH($S$4,Direct_Cost_Type,0))*P8*HLOOKUP(Y$5,Escalators!$I$25:$U$30,3,FALSE)</f>
        <v>0</v>
      </c>
      <c r="Z8" s="128">
        <f>INDEX(Direct_Cost_Splits_Network,MATCH($H8,RIN_Asset_Cat_Network,0),MATCH($S$4,Direct_Cost_Type,0))*Q8*HLOOKUP(Z$5,Escalators!$I$25:$U$30,3,FALSE)</f>
        <v>0</v>
      </c>
      <c r="AA8" s="129"/>
      <c r="AB8" s="128">
        <f>INDEX(Direct_Cost_Splits_Network,MATCH($H8,RIN_Asset_Cat_Network,0),MATCH($AG$4,Direct_Cost_Type,0))*$J8*INDEX(Act_Type_Augex_Splits,MATCH($I8,Act_Type_Augex,0),MATCH(AB$4,Mat_Type,0))*INDEX(Escalators!$I$44:$U$49,MATCH(AB$4,Escalators!$C$44:$C$49,0),MATCH(AB$5,Escalators!$I$43:$U$43,0))</f>
        <v>0</v>
      </c>
      <c r="AC8" s="128">
        <f>INDEX(Direct_Cost_Splits_Network,MATCH($H8,RIN_Asset_Cat_Network,0),MATCH($AG$4,Direct_Cost_Type,0))*$J8*INDEX(Act_Type_Augex_Splits,MATCH($I8,Act_Type_Augex,0),MATCH(AC$4,Mat_Type,0))*INDEX(Escalators!$I$44:$U$49,MATCH(AC$4,Escalators!$C$44:$C$49,0),MATCH(AC$5,Escalators!$I$43:$U$43,0))</f>
        <v>0</v>
      </c>
      <c r="AD8" s="128">
        <f>INDEX(Direct_Cost_Splits_Network,MATCH($H8,RIN_Asset_Cat_Network,0),MATCH($AG$4,Direct_Cost_Type,0))*$J8*INDEX(Act_Type_Augex_Splits,MATCH($I8,Act_Type_Augex,0),MATCH(AD$4,Mat_Type,0))*INDEX(Escalators!$I$44:$U$49,MATCH(AD$4,Escalators!$C$44:$C$49,0),MATCH(AD$5,Escalators!$I$43:$U$43,0))</f>
        <v>0</v>
      </c>
      <c r="AE8" s="128">
        <f>INDEX(Direct_Cost_Splits_Network,MATCH($H8,RIN_Asset_Cat_Network,0),MATCH($AG$4,Direct_Cost_Type,0))*$J8*INDEX(Act_Type_Augex_Splits,MATCH($I8,Act_Type_Augex,0),MATCH(AE$4,Mat_Type,0))*INDEX(Escalators!$I$44:$U$49,MATCH(AE$4,Escalators!$C$44:$C$49,0),MATCH(AE$5,Escalators!$I$43:$U$43,0))</f>
        <v>0</v>
      </c>
      <c r="AF8" s="128">
        <f>INDEX(Direct_Cost_Splits_Network,MATCH($H8,RIN_Asset_Cat_Network,0),MATCH($AG$4,Direct_Cost_Type,0))*$J8*INDEX(Act_Type_Augex_Splits,MATCH($I8,Act_Type_Augex,0),MATCH(AF$4,Mat_Type,0))*INDEX(Escalators!$I$44:$U$49,MATCH(AF$4,Escalators!$C$44:$C$49,0),MATCH(AF$5,Escalators!$I$43:$U$43,0))</f>
        <v>0</v>
      </c>
      <c r="AG8" s="128">
        <f t="shared" si="10"/>
        <v>0</v>
      </c>
      <c r="AH8" s="128">
        <f>INDEX(Direct_Cost_Splits_Network,MATCH($H8,RIN_Asset_Cat_Network,0),MATCH($AY$4,Direct_Cost_Type,0))*$K8*INDEX(Act_Type_Augex_Splits,MATCH($I8,Act_Type_Augex,0),MATCH(AH$4,Mat_Type,0))*INDEX(Escalators!$I$44:$U$49,MATCH(AH$4,Escalators!$C$44:$C$49,0),MATCH(AH$5,Escalators!$I$43:$U$43,0))</f>
        <v>0</v>
      </c>
      <c r="AI8" s="128">
        <f>INDEX(Direct_Cost_Splits_Network,MATCH($H8,RIN_Asset_Cat_Network,0),MATCH($AY$4,Direct_Cost_Type,0))*$K8*INDEX(Act_Type_Augex_Splits,MATCH($I8,Act_Type_Augex,0),MATCH(AI$4,Mat_Type,0))*INDEX(Escalators!$I$44:$U$49,MATCH(AI$4,Escalators!$C$44:$C$49,0),MATCH(AI$5,Escalators!$I$43:$U$43,0))</f>
        <v>0</v>
      </c>
      <c r="AJ8" s="128">
        <f>INDEX(Direct_Cost_Splits_Network,MATCH($H8,RIN_Asset_Cat_Network,0),MATCH($AY$4,Direct_Cost_Type,0))*$K8*INDEX(Act_Type_Augex_Splits,MATCH($I8,Act_Type_Augex,0),MATCH(AJ$4,Mat_Type,0))*INDEX(Escalators!$I$44:$U$49,MATCH(AJ$4,Escalators!$C$44:$C$49,0),MATCH(AJ$5,Escalators!$I$43:$U$43,0))</f>
        <v>0</v>
      </c>
      <c r="AK8" s="128">
        <f>INDEX(Direct_Cost_Splits_Network,MATCH($H8,RIN_Asset_Cat_Network,0),MATCH($AY$4,Direct_Cost_Type,0))*$K8*INDEX(Act_Type_Augex_Splits,MATCH($I8,Act_Type_Augex,0),MATCH(AK$4,Mat_Type,0))*INDEX(Escalators!$I$44:$U$49,MATCH(AK$4,Escalators!$C$44:$C$49,0),MATCH(AK$5,Escalators!$I$43:$U$43,0))</f>
        <v>0</v>
      </c>
      <c r="AL8" s="128">
        <f>INDEX(Direct_Cost_Splits_Network,MATCH($H8,RIN_Asset_Cat_Network,0),MATCH($AY$4,Direct_Cost_Type,0))*$K8*INDEX(Act_Type_Augex_Splits,MATCH($I8,Act_Type_Augex,0),MATCH(AL$4,Mat_Type,0))*INDEX(Escalators!$I$44:$U$49,MATCH(AL$4,Escalators!$C$44:$C$49,0),MATCH(AL$5,Escalators!$I$43:$U$43,0))</f>
        <v>0</v>
      </c>
      <c r="AM8" s="128">
        <f t="shared" si="11"/>
        <v>0</v>
      </c>
      <c r="AN8" s="128">
        <f>INDEX(Direct_Cost_Splits_Network,MATCH($H8,RIN_Asset_Cat_Network,0),MATCH($AY$4,Direct_Cost_Type,0))*$L8*INDEX(Act_Type_Augex_Splits,MATCH($I8,Act_Type_Augex,0),MATCH(AN$4,Mat_Type,0))*INDEX(Escalators!$I$44:$U$49,MATCH(AN$4,Escalators!$C$44:$C$49,0),MATCH(AN$5,Escalators!$I$43:$U$43,0))</f>
        <v>0</v>
      </c>
      <c r="AO8" s="128">
        <f>INDEX(Direct_Cost_Splits_Network,MATCH($H8,RIN_Asset_Cat_Network,0),MATCH($AY$4,Direct_Cost_Type,0))*$L8*INDEX(Act_Type_Augex_Splits,MATCH($I8,Act_Type_Augex,0),MATCH(AO$4,Mat_Type,0))*INDEX(Escalators!$I$44:$U$49,MATCH(AO$4,Escalators!$C$44:$C$49,0),MATCH(AO$5,Escalators!$I$43:$U$43,0))</f>
        <v>0</v>
      </c>
      <c r="AP8" s="128">
        <f>INDEX(Direct_Cost_Splits_Network,MATCH($H8,RIN_Asset_Cat_Network,0),MATCH($AY$4,Direct_Cost_Type,0))*$L8*INDEX(Act_Type_Augex_Splits,MATCH($I8,Act_Type_Augex,0),MATCH(AP$4,Mat_Type,0))*INDEX(Escalators!$I$44:$U$49,MATCH(AP$4,Escalators!$C$44:$C$49,0),MATCH(AP$5,Escalators!$I$43:$U$43,0))</f>
        <v>0</v>
      </c>
      <c r="AQ8" s="128">
        <f>INDEX(Direct_Cost_Splits_Network,MATCH($H8,RIN_Asset_Cat_Network,0),MATCH($AY$4,Direct_Cost_Type,0))*$L8*INDEX(Act_Type_Augex_Splits,MATCH($I8,Act_Type_Augex,0),MATCH(AQ$4,Mat_Type,0))*INDEX(Escalators!$I$44:$U$49,MATCH(AQ$4,Escalators!$C$44:$C$49,0),MATCH(AQ$5,Escalators!$I$43:$U$43,0))</f>
        <v>0</v>
      </c>
      <c r="AR8" s="128">
        <f>INDEX(Direct_Cost_Splits_Network,MATCH($H8,RIN_Asset_Cat_Network,0),MATCH($AY$4,Direct_Cost_Type,0))*$L8*INDEX(Act_Type_Augex_Splits,MATCH($I8,Act_Type_Augex,0),MATCH(AR$4,Mat_Type,0))*INDEX(Escalators!$I$44:$U$49,MATCH(AR$4,Escalators!$C$44:$C$49,0),MATCH(AR$5,Escalators!$I$43:$U$43,0))</f>
        <v>0</v>
      </c>
      <c r="AS8" s="128">
        <f t="shared" si="12"/>
        <v>0</v>
      </c>
      <c r="AT8" s="128">
        <f>INDEX(Direct_Cost_Splits_Network,MATCH($H8,RIN_Asset_Cat_Network,0),MATCH($AY$4,Direct_Cost_Type,0))*$M8*INDEX(Act_Type_Augex_Splits,MATCH($I8,Act_Type_Augex,0),MATCH(AT$4,Mat_Type,0))*INDEX(Escalators!$I$44:$U$49,MATCH(AT$4,Escalators!$C$44:$C$49,0),MATCH(AT$5,Escalators!$I$43:$U$43,0))</f>
        <v>31.036319303973357</v>
      </c>
      <c r="AU8" s="128">
        <f>INDEX(Direct_Cost_Splits_Network,MATCH($H8,RIN_Asset_Cat_Network,0),MATCH($AY$4,Direct_Cost_Type,0))*$M8*INDEX(Act_Type_Augex_Splits,MATCH($I8,Act_Type_Augex,0),MATCH(AU$4,Mat_Type,0))*INDEX(Escalators!$I$44:$U$49,MATCH(AU$4,Escalators!$C$44:$C$49,0),MATCH(AU$5,Escalators!$I$43:$U$43,0))</f>
        <v>0</v>
      </c>
      <c r="AV8" s="128">
        <f>INDEX(Direct_Cost_Splits_Network,MATCH($H8,RIN_Asset_Cat_Network,0),MATCH($AY$4,Direct_Cost_Type,0))*$M8*INDEX(Act_Type_Augex_Splits,MATCH($I8,Act_Type_Augex,0),MATCH(AV$4,Mat_Type,0))*INDEX(Escalators!$I$44:$U$49,MATCH(AV$4,Escalators!$C$44:$C$49,0),MATCH(AV$5,Escalators!$I$43:$U$43,0))</f>
        <v>6.0219724022634873</v>
      </c>
      <c r="AW8" s="128">
        <f>INDEX(Direct_Cost_Splits_Network,MATCH($H8,RIN_Asset_Cat_Network,0),MATCH($AY$4,Direct_Cost_Type,0))*$M8*INDEX(Act_Type_Augex_Splits,MATCH($I8,Act_Type_Augex,0),MATCH(AW$4,Mat_Type,0))*INDEX(Escalators!$I$44:$U$49,MATCH(AW$4,Escalators!$C$44:$C$49,0),MATCH(AW$5,Escalators!$I$43:$U$43,0))</f>
        <v>0</v>
      </c>
      <c r="AX8" s="128">
        <f>INDEX(Direct_Cost_Splits_Network,MATCH($H8,RIN_Asset_Cat_Network,0),MATCH($AY$4,Direct_Cost_Type,0))*$M8*INDEX(Act_Type_Augex_Splits,MATCH($I8,Act_Type_Augex,0),MATCH(AX$4,Mat_Type,0))*INDEX(Escalators!$I$44:$U$49,MATCH(AX$4,Escalators!$C$44:$C$49,0),MATCH(AX$5,Escalators!$I$43:$U$43,0))</f>
        <v>9.2645729265592109</v>
      </c>
      <c r="AY8" s="128">
        <f t="shared" si="13"/>
        <v>46.322864632796055</v>
      </c>
      <c r="AZ8" s="128">
        <f>INDEX(Direct_Cost_Splits_Network,MATCH($H8,RIN_Asset_Cat_Network,0),MATCH($BE$4,Direct_Cost_Type,0))*$N8*INDEX(Act_Type_Augex_Splits,MATCH($I8,Act_Type_Augex,0),MATCH(AZ$4,Mat_Type,0))*INDEX(Escalators!$I$44:$U$49,MATCH(AZ$4,Escalators!$C$44:$C$49,0),MATCH(AZ$5,Escalators!$I$43:$U$43,0))</f>
        <v>25.863599419977799</v>
      </c>
      <c r="BA8" s="128">
        <f>INDEX(Direct_Cost_Splits_Network,MATCH($H8,RIN_Asset_Cat_Network,0),MATCH($BE$4,Direct_Cost_Type,0))*$N8*INDEX(Act_Type_Augex_Splits,MATCH($I8,Act_Type_Augex,0),MATCH(BA$4,Mat_Type,0))*INDEX(Escalators!$I$44:$U$49,MATCH(BA$4,Escalators!$C$44:$C$49,0),MATCH(BA$5,Escalators!$I$43:$U$43,0))</f>
        <v>0</v>
      </c>
      <c r="BB8" s="128">
        <f>INDEX(Direct_Cost_Splits_Network,MATCH($H8,RIN_Asset_Cat_Network,0),MATCH($BE$4,Direct_Cost_Type,0))*$N8*INDEX(Act_Type_Augex_Splits,MATCH($I8,Act_Type_Augex,0),MATCH(BB$4,Mat_Type,0))*INDEX(Escalators!$I$44:$U$49,MATCH(BB$4,Escalators!$C$44:$C$49,0),MATCH(BB$5,Escalators!$I$43:$U$43,0))</f>
        <v>5.0183103352195726</v>
      </c>
      <c r="BC8" s="128">
        <f>INDEX(Direct_Cost_Splits_Network,MATCH($H8,RIN_Asset_Cat_Network,0),MATCH($BE$4,Direct_Cost_Type,0))*$N8*INDEX(Act_Type_Augex_Splits,MATCH($I8,Act_Type_Augex,0),MATCH(BC$4,Mat_Type,0))*INDEX(Escalators!$I$44:$U$49,MATCH(BC$4,Escalators!$C$44:$C$49,0),MATCH(BC$5,Escalators!$I$43:$U$43,0))</f>
        <v>0</v>
      </c>
      <c r="BD8" s="128">
        <f>INDEX(Direct_Cost_Splits_Network,MATCH($H8,RIN_Asset_Cat_Network,0),MATCH($BE$4,Direct_Cost_Type,0))*$N8*INDEX(Act_Type_Augex_Splits,MATCH($I8,Act_Type_Augex,0),MATCH(BD$4,Mat_Type,0))*INDEX(Escalators!$I$44:$U$49,MATCH(BD$4,Escalators!$C$44:$C$49,0),MATCH(BD$5,Escalators!$I$43:$U$43,0))</f>
        <v>7.7204774387993425</v>
      </c>
      <c r="BE8" s="128">
        <f t="shared" si="14"/>
        <v>38.602387193996712</v>
      </c>
      <c r="BF8" s="128">
        <f>INDEX(Direct_Cost_Splits_Network,MATCH($H8,RIN_Asset_Cat_Network,0),MATCH($BK$4,Direct_Cost_Type,0))*$O8*INDEX(Act_Type_Augex_Splits,MATCH($I8,Act_Type_Augex,0),MATCH(BF$4,Mat_Type,0))*INDEX(Escalators!$I$44:$U$49,MATCH(BF$4,Escalators!$C$44:$C$49,0),MATCH(BF$5,Escalators!$I$43:$U$43,0))</f>
        <v>0</v>
      </c>
      <c r="BG8" s="128">
        <f>INDEX(Direct_Cost_Splits_Network,MATCH($H8,RIN_Asset_Cat_Network,0),MATCH($BK$4,Direct_Cost_Type,0))*$O8*INDEX(Act_Type_Augex_Splits,MATCH($I8,Act_Type_Augex,0),MATCH(BG$4,Mat_Type,0))*INDEX(Escalators!$I$44:$U$49,MATCH(BG$4,Escalators!$C$44:$C$49,0),MATCH(BG$5,Escalators!$I$43:$U$43,0))</f>
        <v>0</v>
      </c>
      <c r="BH8" s="128">
        <f>INDEX(Direct_Cost_Splits_Network,MATCH($H8,RIN_Asset_Cat_Network,0),MATCH($BK$4,Direct_Cost_Type,0))*$O8*INDEX(Act_Type_Augex_Splits,MATCH($I8,Act_Type_Augex,0),MATCH(BH$4,Mat_Type,0))*INDEX(Escalators!$I$44:$U$49,MATCH(BH$4,Escalators!$C$44:$C$49,0),MATCH(BH$5,Escalators!$I$43:$U$43,0))</f>
        <v>0</v>
      </c>
      <c r="BI8" s="128">
        <f>INDEX(Direct_Cost_Splits_Network,MATCH($H8,RIN_Asset_Cat_Network,0),MATCH($BK$4,Direct_Cost_Type,0))*$O8*INDEX(Act_Type_Augex_Splits,MATCH($I8,Act_Type_Augex,0),MATCH(BI$4,Mat_Type,0))*INDEX(Escalators!$I$44:$U$49,MATCH(BI$4,Escalators!$C$44:$C$49,0),MATCH(BI$5,Escalators!$I$43:$U$43,0))</f>
        <v>0</v>
      </c>
      <c r="BJ8" s="128">
        <f>INDEX(Direct_Cost_Splits_Network,MATCH($H8,RIN_Asset_Cat_Network,0),MATCH($BK$4,Direct_Cost_Type,0))*$O8*INDEX(Act_Type_Augex_Splits,MATCH($I8,Act_Type_Augex,0),MATCH(BJ$4,Mat_Type,0))*INDEX(Escalators!$I$44:$U$49,MATCH(BJ$4,Escalators!$C$44:$C$49,0),MATCH(BJ$5,Escalators!$I$43:$U$43,0))</f>
        <v>0</v>
      </c>
      <c r="BK8" s="128">
        <f t="shared" si="15"/>
        <v>0</v>
      </c>
      <c r="BL8" s="128">
        <f>INDEX(Direct_Cost_Splits_Network,MATCH($H8,RIN_Asset_Cat_Network,0),MATCH($BQ$4,Direct_Cost_Type,0))*$P8*INDEX(Act_Type_Augex_Splits,MATCH($I8,Act_Type_Augex,0),MATCH(BL$4,Mat_Type,0))*INDEX(Escalators!$I$44:$U$49,MATCH(BL$4,Escalators!$C$44:$C$49,0),MATCH(BL$5,Escalators!$I$43:$U$43,0))</f>
        <v>0</v>
      </c>
      <c r="BM8" s="128">
        <f>INDEX(Direct_Cost_Splits_Network,MATCH($H8,RIN_Asset_Cat_Network,0),MATCH($BQ$4,Direct_Cost_Type,0))*$P8*INDEX(Act_Type_Augex_Splits,MATCH($I8,Act_Type_Augex,0),MATCH(BM$4,Mat_Type,0))*INDEX(Escalators!$I$44:$U$49,MATCH(BM$4,Escalators!$C$44:$C$49,0),MATCH(BM$5,Escalators!$I$43:$U$43,0))</f>
        <v>0</v>
      </c>
      <c r="BN8" s="128">
        <f>INDEX(Direct_Cost_Splits_Network,MATCH($H8,RIN_Asset_Cat_Network,0),MATCH($BQ$4,Direct_Cost_Type,0))*$P8*INDEX(Act_Type_Augex_Splits,MATCH($I8,Act_Type_Augex,0),MATCH(BN$4,Mat_Type,0))*INDEX(Escalators!$I$44:$U$49,MATCH(BN$4,Escalators!$C$44:$C$49,0),MATCH(BN$5,Escalators!$I$43:$U$43,0))</f>
        <v>0</v>
      </c>
      <c r="BO8" s="128">
        <f>INDEX(Direct_Cost_Splits_Network,MATCH($H8,RIN_Asset_Cat_Network,0),MATCH($BQ$4,Direct_Cost_Type,0))*$P8*INDEX(Act_Type_Augex_Splits,MATCH($I8,Act_Type_Augex,0),MATCH(BO$4,Mat_Type,0))*INDEX(Escalators!$I$44:$U$49,MATCH(BO$4,Escalators!$C$44:$C$49,0),MATCH(BO$5,Escalators!$I$43:$U$43,0))</f>
        <v>0</v>
      </c>
      <c r="BP8" s="128">
        <f>INDEX(Direct_Cost_Splits_Network,MATCH($H8,RIN_Asset_Cat_Network,0),MATCH($BQ$4,Direct_Cost_Type,0))*$P8*INDEX(Act_Type_Augex_Splits,MATCH($I8,Act_Type_Augex,0),MATCH(BP$4,Mat_Type,0))*INDEX(Escalators!$I$44:$U$49,MATCH(BP$4,Escalators!$C$44:$C$49,0),MATCH(BP$5,Escalators!$I$43:$U$43,0))</f>
        <v>0</v>
      </c>
      <c r="BQ8" s="128">
        <f t="shared" si="16"/>
        <v>0</v>
      </c>
      <c r="BR8" s="128">
        <f>INDEX(Direct_Cost_Splits_Network,MATCH($H8,RIN_Asset_Cat_Network,0),MATCH($BW$4,Direct_Cost_Type,0))*$Q8*INDEX(Act_Type_Augex_Splits,MATCH($I8,Act_Type_Augex,0),MATCH(BR$4,Mat_Type,0))*INDEX(Escalators!$I$44:$U$49,MATCH(BR$4,Escalators!$C$44:$C$49,0),MATCH(BR$5,Escalators!$I$43:$U$43,0))</f>
        <v>0</v>
      </c>
      <c r="BS8" s="128">
        <f>INDEX(Direct_Cost_Splits_Network,MATCH($H8,RIN_Asset_Cat_Network,0),MATCH($BW$4,Direct_Cost_Type,0))*$Q8*INDEX(Act_Type_Augex_Splits,MATCH($I8,Act_Type_Augex,0),MATCH(BS$4,Mat_Type,0))*INDEX(Escalators!$I$44:$U$49,MATCH(BS$4,Escalators!$C$44:$C$49,0),MATCH(BS$5,Escalators!$I$43:$U$43,0))</f>
        <v>0</v>
      </c>
      <c r="BT8" s="128">
        <f>INDEX(Direct_Cost_Splits_Network,MATCH($H8,RIN_Asset_Cat_Network,0),MATCH($BW$4,Direct_Cost_Type,0))*$Q8*INDEX(Act_Type_Augex_Splits,MATCH($I8,Act_Type_Augex,0),MATCH(BT$4,Mat_Type,0))*INDEX(Escalators!$I$44:$U$49,MATCH(BT$4,Escalators!$C$44:$C$49,0),MATCH(BT$5,Escalators!$I$43:$U$43,0))</f>
        <v>0</v>
      </c>
      <c r="BU8" s="128">
        <f>INDEX(Direct_Cost_Splits_Network,MATCH($H8,RIN_Asset_Cat_Network,0),MATCH($BW$4,Direct_Cost_Type,0))*$Q8*INDEX(Act_Type_Augex_Splits,MATCH($I8,Act_Type_Augex,0),MATCH(BU$4,Mat_Type,0))*INDEX(Escalators!$I$44:$U$49,MATCH(BU$4,Escalators!$C$44:$C$49,0),MATCH(BU$5,Escalators!$I$43:$U$43,0))</f>
        <v>0</v>
      </c>
      <c r="BV8" s="128">
        <f>INDEX(Direct_Cost_Splits_Network,MATCH($H8,RIN_Asset_Cat_Network,0),MATCH($BW$4,Direct_Cost_Type,0))*$Q8*INDEX(Act_Type_Augex_Splits,MATCH($I8,Act_Type_Augex,0),MATCH(BV$4,Mat_Type,0))*INDEX(Escalators!$I$44:$U$49,MATCH(BV$4,Escalators!$C$44:$C$49,0),MATCH(BV$5,Escalators!$I$43:$U$43,0))</f>
        <v>0</v>
      </c>
      <c r="BW8" s="128">
        <f t="shared" si="17"/>
        <v>0</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63.105716730641262</v>
      </c>
      <c r="CC8" s="128">
        <f>INDEX(Direct_Cost_Splits_Network,MATCH($H8,RIN_Asset_Cat_Network,0),MATCH($BY$4,Direct_Cost_Type,0))*N8*HLOOKUP(CC$5,Escalators!$I$25:$U$30,6,FALSE)</f>
        <v>52.588097275534388</v>
      </c>
      <c r="CD8" s="128">
        <f>INDEX(Direct_Cost_Splits_Network,MATCH($H8,RIN_Asset_Cat_Network,0),MATCH($BY$4,Direct_Cost_Type,0))*O8*HLOOKUP(CD$5,Escalators!$I$25:$U$30,6,FALSE)</f>
        <v>0</v>
      </c>
      <c r="CE8" s="128">
        <f>INDEX(Direct_Cost_Splits_Network,MATCH($H8,RIN_Asset_Cat_Network,0),MATCH($BY$4,Direct_Cost_Type,0))*P8*HLOOKUP(CE$5,Escalators!$I$25:$U$30,6,FALSE)</f>
        <v>0</v>
      </c>
      <c r="CF8" s="128">
        <f>INDEX(Direct_Cost_Splits_Network,MATCH($H8,RIN_Asset_Cat_Network,0),MATCH($BY$4,Direct_Cost_Type,0))*Q8*HLOOKUP(CF$5,Escalators!$I$25:$U$30,6,FALSE)</f>
        <v>0</v>
      </c>
      <c r="CG8" s="129"/>
      <c r="CH8" s="675">
        <f t="shared" si="8"/>
        <v>0</v>
      </c>
      <c r="CI8" s="675">
        <f t="shared" si="8"/>
        <v>0</v>
      </c>
      <c r="CJ8" s="675">
        <f t="shared" si="8"/>
        <v>0</v>
      </c>
      <c r="CK8" s="675">
        <f t="shared" si="8"/>
        <v>17.337419958837021</v>
      </c>
      <c r="CL8" s="675">
        <f t="shared" si="8"/>
        <v>14.447849965697518</v>
      </c>
      <c r="CM8" s="675">
        <f t="shared" si="8"/>
        <v>0</v>
      </c>
      <c r="CN8" s="675">
        <f t="shared" si="8"/>
        <v>0</v>
      </c>
      <c r="CO8" s="675">
        <f t="shared" si="8"/>
        <v>0</v>
      </c>
      <c r="CP8" s="129"/>
      <c r="CQ8" s="128">
        <f t="shared" si="18"/>
        <v>0</v>
      </c>
      <c r="CR8" s="128">
        <f t="shared" si="9"/>
        <v>0</v>
      </c>
      <c r="CS8" s="128">
        <f t="shared" si="19"/>
        <v>0</v>
      </c>
      <c r="CT8" s="128">
        <f t="shared" si="20"/>
        <v>150.75973737561685</v>
      </c>
      <c r="CU8" s="128">
        <f t="shared" si="21"/>
        <v>125.73230645281956</v>
      </c>
      <c r="CV8" s="128">
        <f t="shared" si="22"/>
        <v>0</v>
      </c>
      <c r="CW8" s="128">
        <f t="shared" si="23"/>
        <v>0</v>
      </c>
      <c r="CX8" s="128">
        <f t="shared" si="24"/>
        <v>0</v>
      </c>
      <c r="CZ8" s="39"/>
      <c r="DA8" s="39"/>
      <c r="DB8" s="39"/>
      <c r="DC8" s="39"/>
      <c r="DD8" s="39"/>
      <c r="DE8" s="39"/>
    </row>
    <row r="9" spans="1:109">
      <c r="B9" s="75" t="s">
        <v>424</v>
      </c>
      <c r="C9" s="75" t="s">
        <v>414</v>
      </c>
      <c r="D9" s="75"/>
      <c r="E9" s="75" t="s">
        <v>45</v>
      </c>
      <c r="F9" s="75" t="s">
        <v>51</v>
      </c>
      <c r="G9" s="75" t="s">
        <v>10</v>
      </c>
      <c r="H9" s="75" t="s">
        <v>164</v>
      </c>
      <c r="I9" s="75" t="s">
        <v>214</v>
      </c>
      <c r="J9" s="128"/>
      <c r="K9" s="128"/>
      <c r="L9" s="128"/>
      <c r="M9" s="128">
        <v>1838.5</v>
      </c>
      <c r="N9" s="128">
        <v>3102.7</v>
      </c>
      <c r="O9" s="128">
        <v>2510.5</v>
      </c>
      <c r="P9" s="128">
        <v>1135.5</v>
      </c>
      <c r="Q9" s="128">
        <v>1106</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294.0832248938014</v>
      </c>
      <c r="W9" s="128">
        <f>INDEX(Direct_Cost_Splits_Network,MATCH($H9,RIN_Asset_Cat_Network,0),MATCH($S$4,Direct_Cost_Type,0))*N9*HLOOKUP(W$5,Escalators!$I$25:$U$30,3,FALSE)</f>
        <v>498.76453583183508</v>
      </c>
      <c r="X9" s="128">
        <f>INDEX(Direct_Cost_Splits_Network,MATCH($H9,RIN_Asset_Cat_Network,0),MATCH($S$4,Direct_Cost_Type,0))*O9*HLOOKUP(X$5,Escalators!$I$25:$U$30,3,FALSE)</f>
        <v>406.19559762094337</v>
      </c>
      <c r="Y9" s="128">
        <f>INDEX(Direct_Cost_Splits_Network,MATCH($H9,RIN_Asset_Cat_Network,0),MATCH($S$4,Direct_Cost_Type,0))*P9*HLOOKUP(Y$5,Escalators!$I$25:$U$30,3,FALSE)</f>
        <v>185.54762238829122</v>
      </c>
      <c r="Z9" s="128">
        <f>INDEX(Direct_Cost_Splits_Network,MATCH($H9,RIN_Asset_Cat_Network,0),MATCH($S$4,Direct_Cost_Type,0))*Q9*HLOOKUP(Z$5,Escalators!$I$25:$U$30,3,FALSE)</f>
        <v>183.09022652415308</v>
      </c>
      <c r="AA9" s="129"/>
      <c r="AB9" s="128">
        <f>INDEX(Direct_Cost_Splits_Network,MATCH($H9,RIN_Asset_Cat_Network,0),MATCH($AG$4,Direct_Cost_Type,0))*$J9*INDEX(Act_Type_Augex_Splits,MATCH($I9,Act_Type_Augex,0),MATCH(AB$4,Mat_Type,0))*INDEX(Escalators!$I$44:$U$49,MATCH(AB$4,Escalators!$C$44:$C$49,0),MATCH(AB$5,Escalators!$I$43:$U$43,0))</f>
        <v>0</v>
      </c>
      <c r="AC9" s="128">
        <f>INDEX(Direct_Cost_Splits_Network,MATCH($H9,RIN_Asset_Cat_Network,0),MATCH($AG$4,Direct_Cost_Type,0))*$J9*INDEX(Act_Type_Augex_Splits,MATCH($I9,Act_Type_Augex,0),MATCH(AC$4,Mat_Type,0))*INDEX(Escalators!$I$44:$U$49,MATCH(AC$4,Escalators!$C$44:$C$49,0),MATCH(AC$5,Escalators!$I$43:$U$43,0))</f>
        <v>0</v>
      </c>
      <c r="AD9" s="128">
        <f>INDEX(Direct_Cost_Splits_Network,MATCH($H9,RIN_Asset_Cat_Network,0),MATCH($AG$4,Direct_Cost_Type,0))*$J9*INDEX(Act_Type_Augex_Splits,MATCH($I9,Act_Type_Augex,0),MATCH(AD$4,Mat_Type,0))*INDEX(Escalators!$I$44:$U$49,MATCH(AD$4,Escalators!$C$44:$C$49,0),MATCH(AD$5,Escalators!$I$43:$U$43,0))</f>
        <v>0</v>
      </c>
      <c r="AE9" s="128">
        <f>INDEX(Direct_Cost_Splits_Network,MATCH($H9,RIN_Asset_Cat_Network,0),MATCH($AG$4,Direct_Cost_Type,0))*$J9*INDEX(Act_Type_Augex_Splits,MATCH($I9,Act_Type_Augex,0),MATCH(AE$4,Mat_Type,0))*INDEX(Escalators!$I$44:$U$49,MATCH(AE$4,Escalators!$C$44:$C$49,0),MATCH(AE$5,Escalators!$I$43:$U$43,0))</f>
        <v>0</v>
      </c>
      <c r="AF9" s="128">
        <f>INDEX(Direct_Cost_Splits_Network,MATCH($H9,RIN_Asset_Cat_Network,0),MATCH($AG$4,Direct_Cost_Type,0))*$J9*INDEX(Act_Type_Augex_Splits,MATCH($I9,Act_Type_Augex,0),MATCH(AF$4,Mat_Type,0))*INDEX(Escalators!$I$44:$U$49,MATCH(AF$4,Escalators!$C$44:$C$49,0),MATCH(AF$5,Escalators!$I$43:$U$43,0))</f>
        <v>0</v>
      </c>
      <c r="AG9" s="128">
        <f t="shared" ref="AG9" si="25">SUM(AB9:AF9)</f>
        <v>0</v>
      </c>
      <c r="AH9" s="128">
        <f>INDEX(Direct_Cost_Splits_Network,MATCH($H9,RIN_Asset_Cat_Network,0),MATCH($AY$4,Direct_Cost_Type,0))*$K9*INDEX(Act_Type_Augex_Splits,MATCH($I9,Act_Type_Augex,0),MATCH(AH$4,Mat_Type,0))*INDEX(Escalators!$I$44:$U$49,MATCH(AH$4,Escalators!$C$44:$C$49,0),MATCH(AH$5,Escalators!$I$43:$U$43,0))</f>
        <v>0</v>
      </c>
      <c r="AI9" s="128">
        <f>INDEX(Direct_Cost_Splits_Network,MATCH($H9,RIN_Asset_Cat_Network,0),MATCH($AY$4,Direct_Cost_Type,0))*$K9*INDEX(Act_Type_Augex_Splits,MATCH($I9,Act_Type_Augex,0),MATCH(AI$4,Mat_Type,0))*INDEX(Escalators!$I$44:$U$49,MATCH(AI$4,Escalators!$C$44:$C$49,0),MATCH(AI$5,Escalators!$I$43:$U$43,0))</f>
        <v>0</v>
      </c>
      <c r="AJ9" s="128">
        <f>INDEX(Direct_Cost_Splits_Network,MATCH($H9,RIN_Asset_Cat_Network,0),MATCH($AY$4,Direct_Cost_Type,0))*$K9*INDEX(Act_Type_Augex_Splits,MATCH($I9,Act_Type_Augex,0),MATCH(AJ$4,Mat_Type,0))*INDEX(Escalators!$I$44:$U$49,MATCH(AJ$4,Escalators!$C$44:$C$49,0),MATCH(AJ$5,Escalators!$I$43:$U$43,0))</f>
        <v>0</v>
      </c>
      <c r="AK9" s="128">
        <f>INDEX(Direct_Cost_Splits_Network,MATCH($H9,RIN_Asset_Cat_Network,0),MATCH($AY$4,Direct_Cost_Type,0))*$K9*INDEX(Act_Type_Augex_Splits,MATCH($I9,Act_Type_Augex,0),MATCH(AK$4,Mat_Type,0))*INDEX(Escalators!$I$44:$U$49,MATCH(AK$4,Escalators!$C$44:$C$49,0),MATCH(AK$5,Escalators!$I$43:$U$43,0))</f>
        <v>0</v>
      </c>
      <c r="AL9" s="128">
        <f>INDEX(Direct_Cost_Splits_Network,MATCH($H9,RIN_Asset_Cat_Network,0),MATCH($AY$4,Direct_Cost_Type,0))*$K9*INDEX(Act_Type_Augex_Splits,MATCH($I9,Act_Type_Augex,0),MATCH(AL$4,Mat_Type,0))*INDEX(Escalators!$I$44:$U$49,MATCH(AL$4,Escalators!$C$44:$C$49,0),MATCH(AL$5,Escalators!$I$43:$U$43,0))</f>
        <v>0</v>
      </c>
      <c r="AM9" s="128">
        <f t="shared" ref="AM9" si="26">SUM(AH9:AL9)</f>
        <v>0</v>
      </c>
      <c r="AN9" s="128">
        <f>INDEX(Direct_Cost_Splits_Network,MATCH($H9,RIN_Asset_Cat_Network,0),MATCH($AY$4,Direct_Cost_Type,0))*$L9*INDEX(Act_Type_Augex_Splits,MATCH($I9,Act_Type_Augex,0),MATCH(AN$4,Mat_Type,0))*INDEX(Escalators!$I$44:$U$49,MATCH(AN$4,Escalators!$C$44:$C$49,0),MATCH(AN$5,Escalators!$I$43:$U$43,0))</f>
        <v>0</v>
      </c>
      <c r="AO9" s="128">
        <f>INDEX(Direct_Cost_Splits_Network,MATCH($H9,RIN_Asset_Cat_Network,0),MATCH($AY$4,Direct_Cost_Type,0))*$L9*INDEX(Act_Type_Augex_Splits,MATCH($I9,Act_Type_Augex,0),MATCH(AO$4,Mat_Type,0))*INDEX(Escalators!$I$44:$U$49,MATCH(AO$4,Escalators!$C$44:$C$49,0),MATCH(AO$5,Escalators!$I$43:$U$43,0))</f>
        <v>0</v>
      </c>
      <c r="AP9" s="128">
        <f>INDEX(Direct_Cost_Splits_Network,MATCH($H9,RIN_Asset_Cat_Network,0),MATCH($AY$4,Direct_Cost_Type,0))*$L9*INDEX(Act_Type_Augex_Splits,MATCH($I9,Act_Type_Augex,0),MATCH(AP$4,Mat_Type,0))*INDEX(Escalators!$I$44:$U$49,MATCH(AP$4,Escalators!$C$44:$C$49,0),MATCH(AP$5,Escalators!$I$43:$U$43,0))</f>
        <v>0</v>
      </c>
      <c r="AQ9" s="128">
        <f>INDEX(Direct_Cost_Splits_Network,MATCH($H9,RIN_Asset_Cat_Network,0),MATCH($AY$4,Direct_Cost_Type,0))*$L9*INDEX(Act_Type_Augex_Splits,MATCH($I9,Act_Type_Augex,0),MATCH(AQ$4,Mat_Type,0))*INDEX(Escalators!$I$44:$U$49,MATCH(AQ$4,Escalators!$C$44:$C$49,0),MATCH(AQ$5,Escalators!$I$43:$U$43,0))</f>
        <v>0</v>
      </c>
      <c r="AR9" s="128">
        <f>INDEX(Direct_Cost_Splits_Network,MATCH($H9,RIN_Asset_Cat_Network,0),MATCH($AY$4,Direct_Cost_Type,0))*$L9*INDEX(Act_Type_Augex_Splits,MATCH($I9,Act_Type_Augex,0),MATCH(AR$4,Mat_Type,0))*INDEX(Escalators!$I$44:$U$49,MATCH(AR$4,Escalators!$C$44:$C$49,0),MATCH(AR$5,Escalators!$I$43:$U$43,0))</f>
        <v>0</v>
      </c>
      <c r="AS9" s="128">
        <f t="shared" si="12"/>
        <v>0</v>
      </c>
      <c r="AT9" s="128">
        <f>INDEX(Direct_Cost_Splits_Network,MATCH($H9,RIN_Asset_Cat_Network,0),MATCH($AY$4,Direct_Cost_Type,0))*$M9*INDEX(Act_Type_Augex_Splits,MATCH($I9,Act_Type_Augex,0),MATCH(AT$4,Mat_Type,0))*INDEX(Escalators!$I$44:$U$49,MATCH(AT$4,Escalators!$C$44:$C$49,0),MATCH(AT$5,Escalators!$I$43:$U$43,0))</f>
        <v>380.40182026903341</v>
      </c>
      <c r="AU9" s="128">
        <f>INDEX(Direct_Cost_Splits_Network,MATCH($H9,RIN_Asset_Cat_Network,0),MATCH($AY$4,Direct_Cost_Type,0))*$M9*INDEX(Act_Type_Augex_Splits,MATCH($I9,Act_Type_Augex,0),MATCH(AU$4,Mat_Type,0))*INDEX(Escalators!$I$44:$U$49,MATCH(AU$4,Escalators!$C$44:$C$49,0),MATCH(AU$5,Escalators!$I$43:$U$43,0))</f>
        <v>0</v>
      </c>
      <c r="AV9" s="128">
        <f>INDEX(Direct_Cost_Splits_Network,MATCH($H9,RIN_Asset_Cat_Network,0),MATCH($AY$4,Direct_Cost_Type,0))*$M9*INDEX(Act_Type_Augex_Splits,MATCH($I9,Act_Type_Augex,0),MATCH(AV$4,Mat_Type,0))*INDEX(Escalators!$I$44:$U$49,MATCH(AV$4,Escalators!$C$44:$C$49,0),MATCH(AV$5,Escalators!$I$43:$U$43,0))</f>
        <v>73.809308410409471</v>
      </c>
      <c r="AW9" s="128">
        <f>INDEX(Direct_Cost_Splits_Network,MATCH($H9,RIN_Asset_Cat_Network,0),MATCH($AY$4,Direct_Cost_Type,0))*$M9*INDEX(Act_Type_Augex_Splits,MATCH($I9,Act_Type_Augex,0),MATCH(AW$4,Mat_Type,0))*INDEX(Escalators!$I$44:$U$49,MATCH(AW$4,Escalators!$C$44:$C$49,0),MATCH(AW$5,Escalators!$I$43:$U$43,0))</f>
        <v>0</v>
      </c>
      <c r="AX9" s="128">
        <f>INDEX(Direct_Cost_Splits_Network,MATCH($H9,RIN_Asset_Cat_Network,0),MATCH($AY$4,Direct_Cost_Type,0))*$M9*INDEX(Act_Type_Augex_Splits,MATCH($I9,Act_Type_Augex,0),MATCH(AX$4,Mat_Type,0))*INDEX(Escalators!$I$44:$U$49,MATCH(AX$4,Escalators!$C$44:$C$49,0),MATCH(AX$5,Escalators!$I$43:$U$43,0))</f>
        <v>113.55278216986072</v>
      </c>
      <c r="AY9" s="128">
        <f t="shared" ref="AY9" si="27">SUM(AT9:AX9)</f>
        <v>567.76391084930356</v>
      </c>
      <c r="AZ9" s="128">
        <f>INDEX(Direct_Cost_Splits_Network,MATCH($H9,RIN_Asset_Cat_Network,0),MATCH($BE$4,Direct_Cost_Type,0))*$N9*INDEX(Act_Type_Augex_Splits,MATCH($I9,Act_Type_Augex,0),MATCH(AZ$4,Mat_Type,0))*INDEX(Escalators!$I$44:$U$49,MATCH(AZ$4,Escalators!$C$44:$C$49,0),MATCH(AZ$5,Escalators!$I$43:$U$43,0))</f>
        <v>641.97591936292088</v>
      </c>
      <c r="BA9" s="128">
        <f>INDEX(Direct_Cost_Splits_Network,MATCH($H9,RIN_Asset_Cat_Network,0),MATCH($BE$4,Direct_Cost_Type,0))*$N9*INDEX(Act_Type_Augex_Splits,MATCH($I9,Act_Type_Augex,0),MATCH(BA$4,Mat_Type,0))*INDEX(Escalators!$I$44:$U$49,MATCH(BA$4,Escalators!$C$44:$C$49,0),MATCH(BA$5,Escalators!$I$43:$U$43,0))</f>
        <v>0</v>
      </c>
      <c r="BB9" s="128">
        <f>INDEX(Direct_Cost_Splits_Network,MATCH($H9,RIN_Asset_Cat_Network,0),MATCH($BE$4,Direct_Cost_Type,0))*$N9*INDEX(Act_Type_Augex_Splits,MATCH($I9,Act_Type_Augex,0),MATCH(BB$4,Mat_Type,0))*INDEX(Escalators!$I$44:$U$49,MATCH(BB$4,Escalators!$C$44:$C$49,0),MATCH(BB$5,Escalators!$I$43:$U$43,0))</f>
        <v>124.56249181668613</v>
      </c>
      <c r="BC9" s="128">
        <f>INDEX(Direct_Cost_Splits_Network,MATCH($H9,RIN_Asset_Cat_Network,0),MATCH($BE$4,Direct_Cost_Type,0))*$N9*INDEX(Act_Type_Augex_Splits,MATCH($I9,Act_Type_Augex,0),MATCH(BC$4,Mat_Type,0))*INDEX(Escalators!$I$44:$U$49,MATCH(BC$4,Escalators!$C$44:$C$49,0),MATCH(BC$5,Escalators!$I$43:$U$43,0))</f>
        <v>0</v>
      </c>
      <c r="BD9" s="128">
        <f>INDEX(Direct_Cost_Splits_Network,MATCH($H9,RIN_Asset_Cat_Network,0),MATCH($BE$4,Direct_Cost_Type,0))*$N9*INDEX(Act_Type_Augex_Splits,MATCH($I9,Act_Type_Augex,0),MATCH(BD$4,Mat_Type,0))*INDEX(Escalators!$I$44:$U$49,MATCH(BD$4,Escalators!$C$44:$C$49,0),MATCH(BD$5,Escalators!$I$43:$U$43,0))</f>
        <v>191.63460279490175</v>
      </c>
      <c r="BE9" s="128">
        <f t="shared" ref="BE9" si="28">SUM(AZ9:BD9)</f>
        <v>958.17301397450876</v>
      </c>
      <c r="BF9" s="128">
        <f>INDEX(Direct_Cost_Splits_Network,MATCH($H9,RIN_Asset_Cat_Network,0),MATCH($BK$4,Direct_Cost_Type,0))*$O9*INDEX(Act_Type_Augex_Splits,MATCH($I9,Act_Type_Augex,0),MATCH(BF$4,Mat_Type,0))*INDEX(Escalators!$I$44:$U$49,MATCH(BF$4,Escalators!$C$44:$C$49,0),MATCH(BF$5,Escalators!$I$43:$U$43,0))</f>
        <v>519.44453075083413</v>
      </c>
      <c r="BG9" s="128">
        <f>INDEX(Direct_Cost_Splits_Network,MATCH($H9,RIN_Asset_Cat_Network,0),MATCH($BK$4,Direct_Cost_Type,0))*$O9*INDEX(Act_Type_Augex_Splits,MATCH($I9,Act_Type_Augex,0),MATCH(BG$4,Mat_Type,0))*INDEX(Escalators!$I$44:$U$49,MATCH(BG$4,Escalators!$C$44:$C$49,0),MATCH(BG$5,Escalators!$I$43:$U$43,0))</f>
        <v>0</v>
      </c>
      <c r="BH9" s="128">
        <f>INDEX(Direct_Cost_Splits_Network,MATCH($H9,RIN_Asset_Cat_Network,0),MATCH($BK$4,Direct_Cost_Type,0))*$O9*INDEX(Act_Type_Augex_Splits,MATCH($I9,Act_Type_Augex,0),MATCH(BH$4,Mat_Type,0))*INDEX(Escalators!$I$44:$U$49,MATCH(BH$4,Escalators!$C$44:$C$49,0),MATCH(BH$5,Escalators!$I$43:$U$43,0))</f>
        <v>100.7877447725499</v>
      </c>
      <c r="BI9" s="128">
        <f>INDEX(Direct_Cost_Splits_Network,MATCH($H9,RIN_Asset_Cat_Network,0),MATCH($BK$4,Direct_Cost_Type,0))*$O9*INDEX(Act_Type_Augex_Splits,MATCH($I9,Act_Type_Augex,0),MATCH(BI$4,Mat_Type,0))*INDEX(Escalators!$I$44:$U$49,MATCH(BI$4,Escalators!$C$44:$C$49,0),MATCH(BI$5,Escalators!$I$43:$U$43,0))</f>
        <v>0</v>
      </c>
      <c r="BJ9" s="128">
        <f>INDEX(Direct_Cost_Splits_Network,MATCH($H9,RIN_Asset_Cat_Network,0),MATCH($BK$4,Direct_Cost_Type,0))*$O9*INDEX(Act_Type_Augex_Splits,MATCH($I9,Act_Type_Augex,0),MATCH(BJ$4,Mat_Type,0))*INDEX(Escalators!$I$44:$U$49,MATCH(BJ$4,Escalators!$C$44:$C$49,0),MATCH(BJ$5,Escalators!$I$43:$U$43,0))</f>
        <v>155.05806888084601</v>
      </c>
      <c r="BK9" s="128">
        <f t="shared" ref="BK9" si="29">SUM(BF9:BJ9)</f>
        <v>775.29034440423004</v>
      </c>
      <c r="BL9" s="128">
        <f>INDEX(Direct_Cost_Splits_Network,MATCH($H9,RIN_Asset_Cat_Network,0),MATCH($BQ$4,Direct_Cost_Type,0))*$P9*INDEX(Act_Type_Augex_Splits,MATCH($I9,Act_Type_Augex,0),MATCH(BL$4,Mat_Type,0))*INDEX(Escalators!$I$44:$U$49,MATCH(BL$4,Escalators!$C$44:$C$49,0),MATCH(BL$5,Escalators!$I$43:$U$43,0))</f>
        <v>234.94493713107832</v>
      </c>
      <c r="BM9" s="128">
        <f>INDEX(Direct_Cost_Splits_Network,MATCH($H9,RIN_Asset_Cat_Network,0),MATCH($BQ$4,Direct_Cost_Type,0))*$P9*INDEX(Act_Type_Augex_Splits,MATCH($I9,Act_Type_Augex,0),MATCH(BM$4,Mat_Type,0))*INDEX(Escalators!$I$44:$U$49,MATCH(BM$4,Escalators!$C$44:$C$49,0),MATCH(BM$5,Escalators!$I$43:$U$43,0))</f>
        <v>0</v>
      </c>
      <c r="BN9" s="128">
        <f>INDEX(Direct_Cost_Splits_Network,MATCH($H9,RIN_Asset_Cat_Network,0),MATCH($BQ$4,Direct_Cost_Type,0))*$P9*INDEX(Act_Type_Augex_Splits,MATCH($I9,Act_Type_Augex,0),MATCH(BN$4,Mat_Type,0))*INDEX(Escalators!$I$44:$U$49,MATCH(BN$4,Escalators!$C$44:$C$49,0),MATCH(BN$5,Escalators!$I$43:$U$43,0))</f>
        <v>45.586331085134596</v>
      </c>
      <c r="BO9" s="128">
        <f>INDEX(Direct_Cost_Splits_Network,MATCH($H9,RIN_Asset_Cat_Network,0),MATCH($BQ$4,Direct_Cost_Type,0))*$P9*INDEX(Act_Type_Augex_Splits,MATCH($I9,Act_Type_Augex,0),MATCH(BO$4,Mat_Type,0))*INDEX(Escalators!$I$44:$U$49,MATCH(BO$4,Escalators!$C$44:$C$49,0),MATCH(BO$5,Escalators!$I$43:$U$43,0))</f>
        <v>0</v>
      </c>
      <c r="BP9" s="128">
        <f>INDEX(Direct_Cost_Splits_Network,MATCH($H9,RIN_Asset_Cat_Network,0),MATCH($BQ$4,Direct_Cost_Type,0))*$P9*INDEX(Act_Type_Augex_Splits,MATCH($I9,Act_Type_Augex,0),MATCH(BP$4,Mat_Type,0))*INDEX(Escalators!$I$44:$U$49,MATCH(BP$4,Escalators!$C$44:$C$49,0),MATCH(BP$5,Escalators!$I$43:$U$43,0))</f>
        <v>70.132817054053234</v>
      </c>
      <c r="BQ9" s="128">
        <f t="shared" ref="BQ9" si="30">SUM(BL9:BP9)</f>
        <v>350.66408527026618</v>
      </c>
      <c r="BR9" s="128">
        <f>INDEX(Direct_Cost_Splits_Network,MATCH($H9,RIN_Asset_Cat_Network,0),MATCH($BW$4,Direct_Cost_Type,0))*$Q9*INDEX(Act_Type_Augex_Splits,MATCH($I9,Act_Type_Augex,0),MATCH(BR$4,Mat_Type,0))*INDEX(Escalators!$I$44:$U$49,MATCH(BR$4,Escalators!$C$44:$C$49,0),MATCH(BR$5,Escalators!$I$43:$U$43,0))</f>
        <v>228.84112766796355</v>
      </c>
      <c r="BS9" s="128">
        <f>INDEX(Direct_Cost_Splits_Network,MATCH($H9,RIN_Asset_Cat_Network,0),MATCH($BW$4,Direct_Cost_Type,0))*$Q9*INDEX(Act_Type_Augex_Splits,MATCH($I9,Act_Type_Augex,0),MATCH(BS$4,Mat_Type,0))*INDEX(Escalators!$I$44:$U$49,MATCH(BS$4,Escalators!$C$44:$C$49,0),MATCH(BS$5,Escalators!$I$43:$U$43,0))</f>
        <v>0</v>
      </c>
      <c r="BT9" s="128">
        <f>INDEX(Direct_Cost_Splits_Network,MATCH($H9,RIN_Asset_Cat_Network,0),MATCH($BW$4,Direct_Cost_Type,0))*$Q9*INDEX(Act_Type_Augex_Splits,MATCH($I9,Act_Type_Augex,0),MATCH(BT$4,Mat_Type,0))*INDEX(Escalators!$I$44:$U$49,MATCH(BT$4,Escalators!$C$44:$C$49,0),MATCH(BT$5,Escalators!$I$43:$U$43,0))</f>
        <v>44.402009846022779</v>
      </c>
      <c r="BU9" s="128">
        <f>INDEX(Direct_Cost_Splits_Network,MATCH($H9,RIN_Asset_Cat_Network,0),MATCH($BW$4,Direct_Cost_Type,0))*$Q9*INDEX(Act_Type_Augex_Splits,MATCH($I9,Act_Type_Augex,0),MATCH(BU$4,Mat_Type,0))*INDEX(Escalators!$I$44:$U$49,MATCH(BU$4,Escalators!$C$44:$C$49,0),MATCH(BU$5,Escalators!$I$43:$U$43,0))</f>
        <v>0</v>
      </c>
      <c r="BV9" s="128">
        <f>INDEX(Direct_Cost_Splits_Network,MATCH($H9,RIN_Asset_Cat_Network,0),MATCH($BW$4,Direct_Cost_Type,0))*$Q9*INDEX(Act_Type_Augex_Splits,MATCH($I9,Act_Type_Augex,0),MATCH(BV$4,Mat_Type,0))*INDEX(Escalators!$I$44:$U$49,MATCH(BV$4,Escalators!$C$44:$C$49,0),MATCH(BV$5,Escalators!$I$43:$U$43,0))</f>
        <v>68.310784378496578</v>
      </c>
      <c r="BW9" s="128">
        <f t="shared" ref="BW9" si="31">SUM(BR9:BV9)</f>
        <v>341.55392189248289</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773.46573472855982</v>
      </c>
      <c r="CC9" s="128">
        <f>INDEX(Direct_Cost_Splits_Network,MATCH($H9,RIN_Asset_Cat_Network,0),MATCH($BY$4,Direct_Cost_Type,0))*N9*HLOOKUP(CC$5,Escalators!$I$25:$U$30,6,FALSE)</f>
        <v>1305.3207153344042</v>
      </c>
      <c r="CD9" s="128">
        <f>INDEX(Direct_Cost_Splits_Network,MATCH($H9,RIN_Asset_Cat_Network,0),MATCH($BY$4,Direct_Cost_Type,0))*O9*HLOOKUP(CD$5,Escalators!$I$25:$U$30,6,FALSE)</f>
        <v>1056.1793456818327</v>
      </c>
      <c r="CE9" s="128">
        <f>INDEX(Direct_Cost_Splits_Network,MATCH($H9,RIN_Asset_Cat_Network,0),MATCH($BY$4,Direct_Cost_Type,0))*P9*HLOOKUP(CE$5,Escalators!$I$25:$U$30,6,FALSE)</f>
        <v>477.71027565095437</v>
      </c>
      <c r="CF9" s="128">
        <f>INDEX(Direct_Cost_Splits_Network,MATCH($H9,RIN_Asset_Cat_Network,0),MATCH($BY$4,Direct_Cost_Type,0))*Q9*HLOOKUP(CF$5,Escalators!$I$25:$U$30,6,FALSE)</f>
        <v>465.29948469392826</v>
      </c>
      <c r="CG9" s="129"/>
      <c r="CH9" s="675">
        <f t="shared" ref="CH9" si="32">INDEX(Direct_Cost_Splits_Network,MATCH($H9,RIN_Asset_Cat_Network,0),MATCH($CH$4,Direct_Cost_Type,0))*J9</f>
        <v>0</v>
      </c>
      <c r="CI9" s="675">
        <f t="shared" ref="CI9:CJ11" si="33">INDEX(Direct_Cost_Splits_Network,MATCH($H9,RIN_Asset_Cat_Network,0),MATCH($CH$4,Direct_Cost_Type,0))*K9</f>
        <v>0</v>
      </c>
      <c r="CJ9" s="675">
        <f t="shared" si="33"/>
        <v>0</v>
      </c>
      <c r="CK9" s="675">
        <f t="shared" ref="CK9" si="34">INDEX(Direct_Cost_Splits_Network,MATCH($H9,RIN_Asset_Cat_Network,0),MATCH($CH$4,Direct_Cost_Type,0))*M9</f>
        <v>212.49897729547911</v>
      </c>
      <c r="CL9" s="675">
        <f t="shared" ref="CL9" si="35">INDEX(Direct_Cost_Splits_Network,MATCH($H9,RIN_Asset_Cat_Network,0),MATCH($CH$4,Direct_Cost_Type,0))*N9</f>
        <v>358.61875270855751</v>
      </c>
      <c r="CM9" s="675">
        <f t="shared" ref="CM9" si="36">INDEX(Direct_Cost_Splits_Network,MATCH($H9,RIN_Asset_Cat_Network,0),MATCH($CH$4,Direct_Cost_Type,0))*O9</f>
        <v>290.17061871106898</v>
      </c>
      <c r="CN9" s="675">
        <f t="shared" ref="CN9" si="37">INDEX(Direct_Cost_Splits_Network,MATCH($H9,RIN_Asset_Cat_Network,0),MATCH($CH$4,Direct_Cost_Type,0))*P9</f>
        <v>131.24426908839627</v>
      </c>
      <c r="CO9" s="675">
        <f t="shared" ref="CO9" si="38">INDEX(Direct_Cost_Splits_Network,MATCH($H9,RIN_Asset_Cat_Network,0),MATCH($CH$4,Direct_Cost_Type,0))*Q9</f>
        <v>127.83457649649165</v>
      </c>
      <c r="CP9" s="129"/>
      <c r="CQ9" s="128">
        <f t="shared" si="18"/>
        <v>0</v>
      </c>
      <c r="CR9" s="128">
        <f t="shared" si="9"/>
        <v>0</v>
      </c>
      <c r="CS9" s="128">
        <f t="shared" si="19"/>
        <v>0</v>
      </c>
      <c r="CT9" s="128">
        <f t="shared" si="20"/>
        <v>1847.8118477671437</v>
      </c>
      <c r="CU9" s="128">
        <f t="shared" si="21"/>
        <v>3120.877017849306</v>
      </c>
      <c r="CV9" s="128">
        <f t="shared" si="22"/>
        <v>2527.8359064180754</v>
      </c>
      <c r="CW9" s="128">
        <f t="shared" si="23"/>
        <v>1145.166252397908</v>
      </c>
      <c r="CX9" s="128">
        <f t="shared" si="24"/>
        <v>1117.7782096070559</v>
      </c>
      <c r="CZ9" s="39"/>
      <c r="DA9" s="39"/>
      <c r="DB9" s="39"/>
      <c r="DC9" s="39"/>
      <c r="DD9" s="39"/>
      <c r="DE9" s="39"/>
    </row>
    <row r="10" spans="1:109">
      <c r="B10" s="75" t="s">
        <v>424</v>
      </c>
      <c r="C10" s="75" t="s">
        <v>561</v>
      </c>
      <c r="D10" s="75"/>
      <c r="E10" s="75" t="s">
        <v>45</v>
      </c>
      <c r="F10" s="75" t="s">
        <v>51</v>
      </c>
      <c r="G10" s="75" t="s">
        <v>10</v>
      </c>
      <c r="H10" s="75" t="s">
        <v>164</v>
      </c>
      <c r="I10" s="75" t="s">
        <v>214</v>
      </c>
      <c r="J10" s="128"/>
      <c r="K10" s="128"/>
      <c r="L10" s="128"/>
      <c r="M10" s="128">
        <v>750</v>
      </c>
      <c r="N10" s="128">
        <v>250</v>
      </c>
      <c r="O10" s="128">
        <v>0</v>
      </c>
      <c r="P10" s="128">
        <v>0</v>
      </c>
      <c r="Q10" s="128">
        <v>0</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0</v>
      </c>
      <c r="V10" s="128">
        <f>INDEX(Direct_Cost_Splits_Network,MATCH($H10,RIN_Asset_Cat_Network,0),MATCH($S$4,Direct_Cost_Type,0))*M10*HLOOKUP(V$5,Escalators!$I$25:$U$30,3,FALSE)</f>
        <v>119.96868026671257</v>
      </c>
      <c r="W10" s="128">
        <f>INDEX(Direct_Cost_Splits_Network,MATCH($H10,RIN_Asset_Cat_Network,0),MATCH($S$4,Direct_Cost_Type,0))*N10*HLOOKUP(W$5,Escalators!$I$25:$U$30,3,FALSE)</f>
        <v>40.187944035181872</v>
      </c>
      <c r="X10" s="128">
        <f>INDEX(Direct_Cost_Splits_Network,MATCH($H10,RIN_Asset_Cat_Network,0),MATCH($S$4,Direct_Cost_Type,0))*O10*HLOOKUP(X$5,Escalators!$I$25:$U$30,3,FALSE)</f>
        <v>0</v>
      </c>
      <c r="Y10" s="128">
        <f>INDEX(Direct_Cost_Splits_Network,MATCH($H10,RIN_Asset_Cat_Network,0),MATCH($S$4,Direct_Cost_Type,0))*P10*HLOOKUP(Y$5,Escalators!$I$25:$U$30,3,FALSE)</f>
        <v>0</v>
      </c>
      <c r="Z10" s="128">
        <f>INDEX(Direct_Cost_Splits_Network,MATCH($H10,RIN_Asset_Cat_Network,0),MATCH($S$4,Direct_Cost_Type,0))*Q10*HLOOKUP(Z$5,Escalators!$I$25:$U$30,3,FALSE)</f>
        <v>0</v>
      </c>
      <c r="AA10" s="129"/>
      <c r="AB10" s="128">
        <f>INDEX(Direct_Cost_Splits_Network,MATCH($H10,RIN_Asset_Cat_Network,0),MATCH($AG$4,Direct_Cost_Type,0))*$J10*INDEX(Act_Type_Augex_Splits,MATCH($I10,Act_Type_Augex,0),MATCH(AB$4,Mat_Type,0))*INDEX(Escalators!$I$44:$U$49,MATCH(AB$4,Escalators!$C$44:$C$49,0),MATCH(AB$5,Escalators!$I$43:$U$43,0))</f>
        <v>0</v>
      </c>
      <c r="AC10" s="128">
        <f>INDEX(Direct_Cost_Splits_Network,MATCH($H10,RIN_Asset_Cat_Network,0),MATCH($AG$4,Direct_Cost_Type,0))*$J10*INDEX(Act_Type_Augex_Splits,MATCH($I10,Act_Type_Augex,0),MATCH(AC$4,Mat_Type,0))*INDEX(Escalators!$I$44:$U$49,MATCH(AC$4,Escalators!$C$44:$C$49,0),MATCH(AC$5,Escalators!$I$43:$U$43,0))</f>
        <v>0</v>
      </c>
      <c r="AD10" s="128">
        <f>INDEX(Direct_Cost_Splits_Network,MATCH($H10,RIN_Asset_Cat_Network,0),MATCH($AG$4,Direct_Cost_Type,0))*$J10*INDEX(Act_Type_Augex_Splits,MATCH($I10,Act_Type_Augex,0),MATCH(AD$4,Mat_Type,0))*INDEX(Escalators!$I$44:$U$49,MATCH(AD$4,Escalators!$C$44:$C$49,0),MATCH(AD$5,Escalators!$I$43:$U$43,0))</f>
        <v>0</v>
      </c>
      <c r="AE10" s="128">
        <f>INDEX(Direct_Cost_Splits_Network,MATCH($H10,RIN_Asset_Cat_Network,0),MATCH($AG$4,Direct_Cost_Type,0))*$J10*INDEX(Act_Type_Augex_Splits,MATCH($I10,Act_Type_Augex,0),MATCH(AE$4,Mat_Type,0))*INDEX(Escalators!$I$44:$U$49,MATCH(AE$4,Escalators!$C$44:$C$49,0),MATCH(AE$5,Escalators!$I$43:$U$43,0))</f>
        <v>0</v>
      </c>
      <c r="AF10" s="128">
        <f>INDEX(Direct_Cost_Splits_Network,MATCH($H10,RIN_Asset_Cat_Network,0),MATCH($AG$4,Direct_Cost_Type,0))*$J10*INDEX(Act_Type_Augex_Splits,MATCH($I10,Act_Type_Augex,0),MATCH(AF$4,Mat_Type,0))*INDEX(Escalators!$I$44:$U$49,MATCH(AF$4,Escalators!$C$44:$C$49,0),MATCH(AF$5,Escalators!$I$43:$U$43,0))</f>
        <v>0</v>
      </c>
      <c r="AG10" s="128">
        <f t="shared" si="10"/>
        <v>0</v>
      </c>
      <c r="AH10" s="128">
        <f>INDEX(Direct_Cost_Splits_Network,MATCH($H10,RIN_Asset_Cat_Network,0),MATCH($AY$4,Direct_Cost_Type,0))*$K10*INDEX(Act_Type_Augex_Splits,MATCH($I10,Act_Type_Augex,0),MATCH(AH$4,Mat_Type,0))*INDEX(Escalators!$I$44:$U$49,MATCH(AH$4,Escalators!$C$44:$C$49,0),MATCH(AH$5,Escalators!$I$43:$U$43,0))</f>
        <v>0</v>
      </c>
      <c r="AI10" s="128">
        <f>INDEX(Direct_Cost_Splits_Network,MATCH($H10,RIN_Asset_Cat_Network,0),MATCH($AY$4,Direct_Cost_Type,0))*$K10*INDEX(Act_Type_Augex_Splits,MATCH($I10,Act_Type_Augex,0),MATCH(AI$4,Mat_Type,0))*INDEX(Escalators!$I$44:$U$49,MATCH(AI$4,Escalators!$C$44:$C$49,0),MATCH(AI$5,Escalators!$I$43:$U$43,0))</f>
        <v>0</v>
      </c>
      <c r="AJ10" s="128">
        <f>INDEX(Direct_Cost_Splits_Network,MATCH($H10,RIN_Asset_Cat_Network,0),MATCH($AY$4,Direct_Cost_Type,0))*$K10*INDEX(Act_Type_Augex_Splits,MATCH($I10,Act_Type_Augex,0),MATCH(AJ$4,Mat_Type,0))*INDEX(Escalators!$I$44:$U$49,MATCH(AJ$4,Escalators!$C$44:$C$49,0),MATCH(AJ$5,Escalators!$I$43:$U$43,0))</f>
        <v>0</v>
      </c>
      <c r="AK10" s="128">
        <f>INDEX(Direct_Cost_Splits_Network,MATCH($H10,RIN_Asset_Cat_Network,0),MATCH($AY$4,Direct_Cost_Type,0))*$K10*INDEX(Act_Type_Augex_Splits,MATCH($I10,Act_Type_Augex,0),MATCH(AK$4,Mat_Type,0))*INDEX(Escalators!$I$44:$U$49,MATCH(AK$4,Escalators!$C$44:$C$49,0),MATCH(AK$5,Escalators!$I$43:$U$43,0))</f>
        <v>0</v>
      </c>
      <c r="AL10" s="128">
        <f>INDEX(Direct_Cost_Splits_Network,MATCH($H10,RIN_Asset_Cat_Network,0),MATCH($AY$4,Direct_Cost_Type,0))*$K10*INDEX(Act_Type_Augex_Splits,MATCH($I10,Act_Type_Augex,0),MATCH(AL$4,Mat_Type,0))*INDEX(Escalators!$I$44:$U$49,MATCH(AL$4,Escalators!$C$44:$C$49,0),MATCH(AL$5,Escalators!$I$43:$U$43,0))</f>
        <v>0</v>
      </c>
      <c r="AM10" s="128">
        <f t="shared" si="11"/>
        <v>0</v>
      </c>
      <c r="AN10" s="128">
        <f>INDEX(Direct_Cost_Splits_Network,MATCH($H10,RIN_Asset_Cat_Network,0),MATCH($AY$4,Direct_Cost_Type,0))*$L10*INDEX(Act_Type_Augex_Splits,MATCH($I10,Act_Type_Augex,0),MATCH(AN$4,Mat_Type,0))*INDEX(Escalators!$I$44:$U$49,MATCH(AN$4,Escalators!$C$44:$C$49,0),MATCH(AN$5,Escalators!$I$43:$U$43,0))</f>
        <v>0</v>
      </c>
      <c r="AO10" s="128">
        <f>INDEX(Direct_Cost_Splits_Network,MATCH($H10,RIN_Asset_Cat_Network,0),MATCH($AY$4,Direct_Cost_Type,0))*$L10*INDEX(Act_Type_Augex_Splits,MATCH($I10,Act_Type_Augex,0),MATCH(AO$4,Mat_Type,0))*INDEX(Escalators!$I$44:$U$49,MATCH(AO$4,Escalators!$C$44:$C$49,0),MATCH(AO$5,Escalators!$I$43:$U$43,0))</f>
        <v>0</v>
      </c>
      <c r="AP10" s="128">
        <f>INDEX(Direct_Cost_Splits_Network,MATCH($H10,RIN_Asset_Cat_Network,0),MATCH($AY$4,Direct_Cost_Type,0))*$L10*INDEX(Act_Type_Augex_Splits,MATCH($I10,Act_Type_Augex,0),MATCH(AP$4,Mat_Type,0))*INDEX(Escalators!$I$44:$U$49,MATCH(AP$4,Escalators!$C$44:$C$49,0),MATCH(AP$5,Escalators!$I$43:$U$43,0))</f>
        <v>0</v>
      </c>
      <c r="AQ10" s="128">
        <f>INDEX(Direct_Cost_Splits_Network,MATCH($H10,RIN_Asset_Cat_Network,0),MATCH($AY$4,Direct_Cost_Type,0))*$L10*INDEX(Act_Type_Augex_Splits,MATCH($I10,Act_Type_Augex,0),MATCH(AQ$4,Mat_Type,0))*INDEX(Escalators!$I$44:$U$49,MATCH(AQ$4,Escalators!$C$44:$C$49,0),MATCH(AQ$5,Escalators!$I$43:$U$43,0))</f>
        <v>0</v>
      </c>
      <c r="AR10" s="128">
        <f>INDEX(Direct_Cost_Splits_Network,MATCH($H10,RIN_Asset_Cat_Network,0),MATCH($AY$4,Direct_Cost_Type,0))*$L10*INDEX(Act_Type_Augex_Splits,MATCH($I10,Act_Type_Augex,0),MATCH(AR$4,Mat_Type,0))*INDEX(Escalators!$I$44:$U$49,MATCH(AR$4,Escalators!$C$44:$C$49,0),MATCH(AR$5,Escalators!$I$43:$U$43,0))</f>
        <v>0</v>
      </c>
      <c r="AS10" s="128">
        <f t="shared" si="12"/>
        <v>0</v>
      </c>
      <c r="AT10" s="128">
        <f>INDEX(Direct_Cost_Splits_Network,MATCH($H10,RIN_Asset_Cat_Network,0),MATCH($AY$4,Direct_Cost_Type,0))*$M10*INDEX(Act_Type_Augex_Splits,MATCH($I10,Act_Type_Augex,0),MATCH(AT$4,Mat_Type,0))*INDEX(Escalators!$I$44:$U$49,MATCH(AT$4,Escalators!$C$44:$C$49,0),MATCH(AT$5,Escalators!$I$43:$U$43,0))</f>
        <v>155.18159651986679</v>
      </c>
      <c r="AU10" s="128">
        <f>INDEX(Direct_Cost_Splits_Network,MATCH($H10,RIN_Asset_Cat_Network,0),MATCH($AY$4,Direct_Cost_Type,0))*$M10*INDEX(Act_Type_Augex_Splits,MATCH($I10,Act_Type_Augex,0),MATCH(AU$4,Mat_Type,0))*INDEX(Escalators!$I$44:$U$49,MATCH(AU$4,Escalators!$C$44:$C$49,0),MATCH(AU$5,Escalators!$I$43:$U$43,0))</f>
        <v>0</v>
      </c>
      <c r="AV10" s="128">
        <f>INDEX(Direct_Cost_Splits_Network,MATCH($H10,RIN_Asset_Cat_Network,0),MATCH($AY$4,Direct_Cost_Type,0))*$M10*INDEX(Act_Type_Augex_Splits,MATCH($I10,Act_Type_Augex,0),MATCH(AV$4,Mat_Type,0))*INDEX(Escalators!$I$44:$U$49,MATCH(AV$4,Escalators!$C$44:$C$49,0),MATCH(AV$5,Escalators!$I$43:$U$43,0))</f>
        <v>30.109862011317436</v>
      </c>
      <c r="AW10" s="128">
        <f>INDEX(Direct_Cost_Splits_Network,MATCH($H10,RIN_Asset_Cat_Network,0),MATCH($AY$4,Direct_Cost_Type,0))*$M10*INDEX(Act_Type_Augex_Splits,MATCH($I10,Act_Type_Augex,0),MATCH(AW$4,Mat_Type,0))*INDEX(Escalators!$I$44:$U$49,MATCH(AW$4,Escalators!$C$44:$C$49,0),MATCH(AW$5,Escalators!$I$43:$U$43,0))</f>
        <v>0</v>
      </c>
      <c r="AX10" s="128">
        <f>INDEX(Direct_Cost_Splits_Network,MATCH($H10,RIN_Asset_Cat_Network,0),MATCH($AY$4,Direct_Cost_Type,0))*$M10*INDEX(Act_Type_Augex_Splits,MATCH($I10,Act_Type_Augex,0),MATCH(AX$4,Mat_Type,0))*INDEX(Escalators!$I$44:$U$49,MATCH(AX$4,Escalators!$C$44:$C$49,0),MATCH(AX$5,Escalators!$I$43:$U$43,0))</f>
        <v>46.322864632796055</v>
      </c>
      <c r="AY10" s="128">
        <f t="shared" si="13"/>
        <v>231.61432316398026</v>
      </c>
      <c r="AZ10" s="128">
        <f>INDEX(Direct_Cost_Splits_Network,MATCH($H10,RIN_Asset_Cat_Network,0),MATCH($BE$4,Direct_Cost_Type,0))*$N10*INDEX(Act_Type_Augex_Splits,MATCH($I10,Act_Type_Augex,0),MATCH(AZ$4,Mat_Type,0))*INDEX(Escalators!$I$44:$U$49,MATCH(AZ$4,Escalators!$C$44:$C$49,0),MATCH(AZ$5,Escalators!$I$43:$U$43,0))</f>
        <v>51.727198839955598</v>
      </c>
      <c r="BA10" s="128">
        <f>INDEX(Direct_Cost_Splits_Network,MATCH($H10,RIN_Asset_Cat_Network,0),MATCH($BE$4,Direct_Cost_Type,0))*$N10*INDEX(Act_Type_Augex_Splits,MATCH($I10,Act_Type_Augex,0),MATCH(BA$4,Mat_Type,0))*INDEX(Escalators!$I$44:$U$49,MATCH(BA$4,Escalators!$C$44:$C$49,0),MATCH(BA$5,Escalators!$I$43:$U$43,0))</f>
        <v>0</v>
      </c>
      <c r="BB10" s="128">
        <f>INDEX(Direct_Cost_Splits_Network,MATCH($H10,RIN_Asset_Cat_Network,0),MATCH($BE$4,Direct_Cost_Type,0))*$N10*INDEX(Act_Type_Augex_Splits,MATCH($I10,Act_Type_Augex,0),MATCH(BB$4,Mat_Type,0))*INDEX(Escalators!$I$44:$U$49,MATCH(BB$4,Escalators!$C$44:$C$49,0),MATCH(BB$5,Escalators!$I$43:$U$43,0))</f>
        <v>10.036620670439145</v>
      </c>
      <c r="BC10" s="128">
        <f>INDEX(Direct_Cost_Splits_Network,MATCH($H10,RIN_Asset_Cat_Network,0),MATCH($BE$4,Direct_Cost_Type,0))*$N10*INDEX(Act_Type_Augex_Splits,MATCH($I10,Act_Type_Augex,0),MATCH(BC$4,Mat_Type,0))*INDEX(Escalators!$I$44:$U$49,MATCH(BC$4,Escalators!$C$44:$C$49,0),MATCH(BC$5,Escalators!$I$43:$U$43,0))</f>
        <v>0</v>
      </c>
      <c r="BD10" s="128">
        <f>INDEX(Direct_Cost_Splits_Network,MATCH($H10,RIN_Asset_Cat_Network,0),MATCH($BE$4,Direct_Cost_Type,0))*$N10*INDEX(Act_Type_Augex_Splits,MATCH($I10,Act_Type_Augex,0),MATCH(BD$4,Mat_Type,0))*INDEX(Escalators!$I$44:$U$49,MATCH(BD$4,Escalators!$C$44:$C$49,0),MATCH(BD$5,Escalators!$I$43:$U$43,0))</f>
        <v>15.440954877598685</v>
      </c>
      <c r="BE10" s="128">
        <f t="shared" si="14"/>
        <v>77.204774387993425</v>
      </c>
      <c r="BF10" s="128">
        <f>INDEX(Direct_Cost_Splits_Network,MATCH($H10,RIN_Asset_Cat_Network,0),MATCH($BK$4,Direct_Cost_Type,0))*$O10*INDEX(Act_Type_Augex_Splits,MATCH($I10,Act_Type_Augex,0),MATCH(BF$4,Mat_Type,0))*INDEX(Escalators!$I$44:$U$49,MATCH(BF$4,Escalators!$C$44:$C$49,0),MATCH(BF$5,Escalators!$I$43:$U$43,0))</f>
        <v>0</v>
      </c>
      <c r="BG10" s="128">
        <f>INDEX(Direct_Cost_Splits_Network,MATCH($H10,RIN_Asset_Cat_Network,0),MATCH($BK$4,Direct_Cost_Type,0))*$O10*INDEX(Act_Type_Augex_Splits,MATCH($I10,Act_Type_Augex,0),MATCH(BG$4,Mat_Type,0))*INDEX(Escalators!$I$44:$U$49,MATCH(BG$4,Escalators!$C$44:$C$49,0),MATCH(BG$5,Escalators!$I$43:$U$43,0))</f>
        <v>0</v>
      </c>
      <c r="BH10" s="128">
        <f>INDEX(Direct_Cost_Splits_Network,MATCH($H10,RIN_Asset_Cat_Network,0),MATCH($BK$4,Direct_Cost_Type,0))*$O10*INDEX(Act_Type_Augex_Splits,MATCH($I10,Act_Type_Augex,0),MATCH(BH$4,Mat_Type,0))*INDEX(Escalators!$I$44:$U$49,MATCH(BH$4,Escalators!$C$44:$C$49,0),MATCH(BH$5,Escalators!$I$43:$U$43,0))</f>
        <v>0</v>
      </c>
      <c r="BI10" s="128">
        <f>INDEX(Direct_Cost_Splits_Network,MATCH($H10,RIN_Asset_Cat_Network,0),MATCH($BK$4,Direct_Cost_Type,0))*$O10*INDEX(Act_Type_Augex_Splits,MATCH($I10,Act_Type_Augex,0),MATCH(BI$4,Mat_Type,0))*INDEX(Escalators!$I$44:$U$49,MATCH(BI$4,Escalators!$C$44:$C$49,0),MATCH(BI$5,Escalators!$I$43:$U$43,0))</f>
        <v>0</v>
      </c>
      <c r="BJ10" s="128">
        <f>INDEX(Direct_Cost_Splits_Network,MATCH($H10,RIN_Asset_Cat_Network,0),MATCH($BK$4,Direct_Cost_Type,0))*$O10*INDEX(Act_Type_Augex_Splits,MATCH($I10,Act_Type_Augex,0),MATCH(BJ$4,Mat_Type,0))*INDEX(Escalators!$I$44:$U$49,MATCH(BJ$4,Escalators!$C$44:$C$49,0),MATCH(BJ$5,Escalators!$I$43:$U$43,0))</f>
        <v>0</v>
      </c>
      <c r="BK10" s="128">
        <f t="shared" si="15"/>
        <v>0</v>
      </c>
      <c r="BL10" s="128">
        <f>INDEX(Direct_Cost_Splits_Network,MATCH($H10,RIN_Asset_Cat_Network,0),MATCH($BQ$4,Direct_Cost_Type,0))*$P10*INDEX(Act_Type_Augex_Splits,MATCH($I10,Act_Type_Augex,0),MATCH(BL$4,Mat_Type,0))*INDEX(Escalators!$I$44:$U$49,MATCH(BL$4,Escalators!$C$44:$C$49,0),MATCH(BL$5,Escalators!$I$43:$U$43,0))</f>
        <v>0</v>
      </c>
      <c r="BM10" s="128">
        <f>INDEX(Direct_Cost_Splits_Network,MATCH($H10,RIN_Asset_Cat_Network,0),MATCH($BQ$4,Direct_Cost_Type,0))*$P10*INDEX(Act_Type_Augex_Splits,MATCH($I10,Act_Type_Augex,0),MATCH(BM$4,Mat_Type,0))*INDEX(Escalators!$I$44:$U$49,MATCH(BM$4,Escalators!$C$44:$C$49,0),MATCH(BM$5,Escalators!$I$43:$U$43,0))</f>
        <v>0</v>
      </c>
      <c r="BN10" s="128">
        <f>INDEX(Direct_Cost_Splits_Network,MATCH($H10,RIN_Asset_Cat_Network,0),MATCH($BQ$4,Direct_Cost_Type,0))*$P10*INDEX(Act_Type_Augex_Splits,MATCH($I10,Act_Type_Augex,0),MATCH(BN$4,Mat_Type,0))*INDEX(Escalators!$I$44:$U$49,MATCH(BN$4,Escalators!$C$44:$C$49,0),MATCH(BN$5,Escalators!$I$43:$U$43,0))</f>
        <v>0</v>
      </c>
      <c r="BO10" s="128">
        <f>INDEX(Direct_Cost_Splits_Network,MATCH($H10,RIN_Asset_Cat_Network,0),MATCH($BQ$4,Direct_Cost_Type,0))*$P10*INDEX(Act_Type_Augex_Splits,MATCH($I10,Act_Type_Augex,0),MATCH(BO$4,Mat_Type,0))*INDEX(Escalators!$I$44:$U$49,MATCH(BO$4,Escalators!$C$44:$C$49,0),MATCH(BO$5,Escalators!$I$43:$U$43,0))</f>
        <v>0</v>
      </c>
      <c r="BP10" s="128">
        <f>INDEX(Direct_Cost_Splits_Network,MATCH($H10,RIN_Asset_Cat_Network,0),MATCH($BQ$4,Direct_Cost_Type,0))*$P10*INDEX(Act_Type_Augex_Splits,MATCH($I10,Act_Type_Augex,0),MATCH(BP$4,Mat_Type,0))*INDEX(Escalators!$I$44:$U$49,MATCH(BP$4,Escalators!$C$44:$C$49,0),MATCH(BP$5,Escalators!$I$43:$U$43,0))</f>
        <v>0</v>
      </c>
      <c r="BQ10" s="128">
        <f t="shared" si="16"/>
        <v>0</v>
      </c>
      <c r="BR10" s="128">
        <f>INDEX(Direct_Cost_Splits_Network,MATCH($H10,RIN_Asset_Cat_Network,0),MATCH($BW$4,Direct_Cost_Type,0))*$Q10*INDEX(Act_Type_Augex_Splits,MATCH($I10,Act_Type_Augex,0),MATCH(BR$4,Mat_Type,0))*INDEX(Escalators!$I$44:$U$49,MATCH(BR$4,Escalators!$C$44:$C$49,0),MATCH(BR$5,Escalators!$I$43:$U$43,0))</f>
        <v>0</v>
      </c>
      <c r="BS10" s="128">
        <f>INDEX(Direct_Cost_Splits_Network,MATCH($H10,RIN_Asset_Cat_Network,0),MATCH($BW$4,Direct_Cost_Type,0))*$Q10*INDEX(Act_Type_Augex_Splits,MATCH($I10,Act_Type_Augex,0),MATCH(BS$4,Mat_Type,0))*INDEX(Escalators!$I$44:$U$49,MATCH(BS$4,Escalators!$C$44:$C$49,0),MATCH(BS$5,Escalators!$I$43:$U$43,0))</f>
        <v>0</v>
      </c>
      <c r="BT10" s="128">
        <f>INDEX(Direct_Cost_Splits_Network,MATCH($H10,RIN_Asset_Cat_Network,0),MATCH($BW$4,Direct_Cost_Type,0))*$Q10*INDEX(Act_Type_Augex_Splits,MATCH($I10,Act_Type_Augex,0),MATCH(BT$4,Mat_Type,0))*INDEX(Escalators!$I$44:$U$49,MATCH(BT$4,Escalators!$C$44:$C$49,0),MATCH(BT$5,Escalators!$I$43:$U$43,0))</f>
        <v>0</v>
      </c>
      <c r="BU10" s="128">
        <f>INDEX(Direct_Cost_Splits_Network,MATCH($H10,RIN_Asset_Cat_Network,0),MATCH($BW$4,Direct_Cost_Type,0))*$Q10*INDEX(Act_Type_Augex_Splits,MATCH($I10,Act_Type_Augex,0),MATCH(BU$4,Mat_Type,0))*INDEX(Escalators!$I$44:$U$49,MATCH(BU$4,Escalators!$C$44:$C$49,0),MATCH(BU$5,Escalators!$I$43:$U$43,0))</f>
        <v>0</v>
      </c>
      <c r="BV10" s="128">
        <f>INDEX(Direct_Cost_Splits_Network,MATCH($H10,RIN_Asset_Cat_Network,0),MATCH($BW$4,Direct_Cost_Type,0))*$Q10*INDEX(Act_Type_Augex_Splits,MATCH($I10,Act_Type_Augex,0),MATCH(BV$4,Mat_Type,0))*INDEX(Escalators!$I$44:$U$49,MATCH(BV$4,Escalators!$C$44:$C$49,0),MATCH(BV$5,Escalators!$I$43:$U$43,0))</f>
        <v>0</v>
      </c>
      <c r="BW10" s="128">
        <f t="shared" si="17"/>
        <v>0</v>
      </c>
      <c r="BX10" s="129"/>
      <c r="BY10" s="128">
        <f>INDEX(Direct_Cost_Splits_Network,MATCH($H10,RIN_Asset_Cat_Network,0),MATCH($BY$4,Direct_Cost_Type,0))*J10*HLOOKUP(BY$5,Escalators!$I$25:$U$30,6,FALSE)</f>
        <v>0</v>
      </c>
      <c r="BZ10" s="128">
        <f>INDEX(Direct_Cost_Splits_Network,MATCH($H10,RIN_Asset_Cat_Network,0),MATCH($BY$4,Direct_Cost_Type,0))*K10*HLOOKUP(BZ$5,Escalators!$I$25:$U$30,6,FALSE)</f>
        <v>0</v>
      </c>
      <c r="CA10" s="128">
        <f>INDEX(Direct_Cost_Splits_Network,MATCH($H10,RIN_Asset_Cat_Network,0),MATCH($BY$4,Direct_Cost_Type,0))*L10*HLOOKUP(CA$5,Escalators!$I$25:$U$30,6,FALSE)</f>
        <v>0</v>
      </c>
      <c r="CB10" s="128">
        <f>INDEX(Direct_Cost_Splits_Network,MATCH($H10,RIN_Asset_Cat_Network,0),MATCH($BY$4,Direct_Cost_Type,0))*M10*HLOOKUP(CB$5,Escalators!$I$25:$U$30,6,FALSE)</f>
        <v>315.52858365320634</v>
      </c>
      <c r="CC10" s="128">
        <f>INDEX(Direct_Cost_Splits_Network,MATCH($H10,RIN_Asset_Cat_Network,0),MATCH($BY$4,Direct_Cost_Type,0))*N10*HLOOKUP(CC$5,Escalators!$I$25:$U$30,6,FALSE)</f>
        <v>105.17619455106878</v>
      </c>
      <c r="CD10" s="128">
        <f>INDEX(Direct_Cost_Splits_Network,MATCH($H10,RIN_Asset_Cat_Network,0),MATCH($BY$4,Direct_Cost_Type,0))*O10*HLOOKUP(CD$5,Escalators!$I$25:$U$30,6,FALSE)</f>
        <v>0</v>
      </c>
      <c r="CE10" s="128">
        <f>INDEX(Direct_Cost_Splits_Network,MATCH($H10,RIN_Asset_Cat_Network,0),MATCH($BY$4,Direct_Cost_Type,0))*P10*HLOOKUP(CE$5,Escalators!$I$25:$U$30,6,FALSE)</f>
        <v>0</v>
      </c>
      <c r="CF10" s="128">
        <f>INDEX(Direct_Cost_Splits_Network,MATCH($H10,RIN_Asset_Cat_Network,0),MATCH($BY$4,Direct_Cost_Type,0))*Q10*HLOOKUP(CF$5,Escalators!$I$25:$U$30,6,FALSE)</f>
        <v>0</v>
      </c>
      <c r="CG10" s="129"/>
      <c r="CH10" s="675">
        <f>INDEX(Direct_Cost_Splits_Network,MATCH($H10,RIN_Asset_Cat_Network,0),MATCH($CH$4,Direct_Cost_Type,0))*J10</f>
        <v>0</v>
      </c>
      <c r="CI10" s="675">
        <f t="shared" si="33"/>
        <v>0</v>
      </c>
      <c r="CJ10" s="675">
        <f t="shared" si="33"/>
        <v>0</v>
      </c>
      <c r="CK10" s="675">
        <f t="shared" ref="CK10:CO11" si="39">INDEX(Direct_Cost_Splits_Network,MATCH($H10,RIN_Asset_Cat_Network,0),MATCH($CH$4,Direct_Cost_Type,0))*M10</f>
        <v>86.687099794185116</v>
      </c>
      <c r="CL10" s="675">
        <f t="shared" si="39"/>
        <v>28.895699931395036</v>
      </c>
      <c r="CM10" s="675">
        <f t="shared" si="39"/>
        <v>0</v>
      </c>
      <c r="CN10" s="675">
        <f t="shared" si="39"/>
        <v>0</v>
      </c>
      <c r="CO10" s="675">
        <f t="shared" si="39"/>
        <v>0</v>
      </c>
      <c r="CP10" s="129"/>
      <c r="CQ10" s="128">
        <f t="shared" si="18"/>
        <v>0</v>
      </c>
      <c r="CR10" s="128">
        <f t="shared" si="9"/>
        <v>0</v>
      </c>
      <c r="CS10" s="128">
        <f t="shared" si="19"/>
        <v>0</v>
      </c>
      <c r="CT10" s="128">
        <f t="shared" si="20"/>
        <v>753.79868687808425</v>
      </c>
      <c r="CU10" s="128">
        <f t="shared" si="21"/>
        <v>251.46461290563911</v>
      </c>
      <c r="CV10" s="128">
        <f t="shared" si="22"/>
        <v>0</v>
      </c>
      <c r="CW10" s="128">
        <f t="shared" si="23"/>
        <v>0</v>
      </c>
      <c r="CX10" s="128">
        <f t="shared" si="24"/>
        <v>0</v>
      </c>
      <c r="CZ10" s="39"/>
      <c r="DA10" s="39"/>
      <c r="DB10" s="39"/>
      <c r="DC10" s="39"/>
      <c r="DD10" s="39"/>
      <c r="DE10" s="39"/>
    </row>
    <row r="11" spans="1:109">
      <c r="B11" s="75" t="s">
        <v>424</v>
      </c>
      <c r="C11" s="75" t="s">
        <v>415</v>
      </c>
      <c r="D11" s="75"/>
      <c r="E11" s="75" t="s">
        <v>48</v>
      </c>
      <c r="F11" s="75" t="s">
        <v>51</v>
      </c>
      <c r="G11" s="75" t="s">
        <v>10</v>
      </c>
      <c r="H11" s="75" t="s">
        <v>165</v>
      </c>
      <c r="I11" s="75" t="s">
        <v>5</v>
      </c>
      <c r="J11" s="128"/>
      <c r="K11" s="128"/>
      <c r="L11" s="128"/>
      <c r="M11" s="128">
        <v>376.8</v>
      </c>
      <c r="N11" s="128">
        <v>0</v>
      </c>
      <c r="O11" s="128">
        <v>0</v>
      </c>
      <c r="P11" s="128">
        <v>0</v>
      </c>
      <c r="Q11" s="128">
        <v>0</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60.272264965996371</v>
      </c>
      <c r="W11" s="128">
        <f>INDEX(Direct_Cost_Splits_Network,MATCH($H11,RIN_Asset_Cat_Network,0),MATCH($S$4,Direct_Cost_Type,0))*N11*HLOOKUP(W$5,Escalators!$I$25:$U$30,3,FALSE)</f>
        <v>0</v>
      </c>
      <c r="X11" s="128">
        <f>INDEX(Direct_Cost_Splits_Network,MATCH($H11,RIN_Asset_Cat_Network,0),MATCH($S$4,Direct_Cost_Type,0))*O11*HLOOKUP(X$5,Escalators!$I$25:$U$30,3,FALSE)</f>
        <v>0</v>
      </c>
      <c r="Y11" s="128">
        <f>INDEX(Direct_Cost_Splits_Network,MATCH($H11,RIN_Asset_Cat_Network,0),MATCH($S$4,Direct_Cost_Type,0))*P11*HLOOKUP(Y$5,Escalators!$I$25:$U$30,3,FALSE)</f>
        <v>0</v>
      </c>
      <c r="Z11" s="128">
        <f>INDEX(Direct_Cost_Splits_Network,MATCH($H11,RIN_Asset_Cat_Network,0),MATCH($S$4,Direct_Cost_Type,0))*Q11*HLOOKUP(Z$5,Escalators!$I$25:$U$30,3,FALSE)</f>
        <v>0</v>
      </c>
      <c r="AA11" s="129"/>
      <c r="AB11" s="128">
        <f>INDEX(Direct_Cost_Splits_Network,MATCH($H11,RIN_Asset_Cat_Network,0),MATCH($AG$4,Direct_Cost_Type,0))*$J11*INDEX(Act_Type_Augex_Splits,MATCH($I11,Act_Type_Augex,0),MATCH(AB$4,Mat_Type,0))*INDEX(Escalators!$I$44:$U$49,MATCH(AB$4,Escalators!$C$44:$C$49,0),MATCH(AB$5,Escalators!$I$43:$U$43,0))</f>
        <v>0</v>
      </c>
      <c r="AC11" s="128">
        <f>INDEX(Direct_Cost_Splits_Network,MATCH($H11,RIN_Asset_Cat_Network,0),MATCH($AG$4,Direct_Cost_Type,0))*$J11*INDEX(Act_Type_Augex_Splits,MATCH($I11,Act_Type_Augex,0),MATCH(AC$4,Mat_Type,0))*INDEX(Escalators!$I$44:$U$49,MATCH(AC$4,Escalators!$C$44:$C$49,0),MATCH(AC$5,Escalators!$I$43:$U$43,0))</f>
        <v>0</v>
      </c>
      <c r="AD11" s="128">
        <f>INDEX(Direct_Cost_Splits_Network,MATCH($H11,RIN_Asset_Cat_Network,0),MATCH($AG$4,Direct_Cost_Type,0))*$J11*INDEX(Act_Type_Augex_Splits,MATCH($I11,Act_Type_Augex,0),MATCH(AD$4,Mat_Type,0))*INDEX(Escalators!$I$44:$U$49,MATCH(AD$4,Escalators!$C$44:$C$49,0),MATCH(AD$5,Escalators!$I$43:$U$43,0))</f>
        <v>0</v>
      </c>
      <c r="AE11" s="128">
        <f>INDEX(Direct_Cost_Splits_Network,MATCH($H11,RIN_Asset_Cat_Network,0),MATCH($AG$4,Direct_Cost_Type,0))*$J11*INDEX(Act_Type_Augex_Splits,MATCH($I11,Act_Type_Augex,0),MATCH(AE$4,Mat_Type,0))*INDEX(Escalators!$I$44:$U$49,MATCH(AE$4,Escalators!$C$44:$C$49,0),MATCH(AE$5,Escalators!$I$43:$U$43,0))</f>
        <v>0</v>
      </c>
      <c r="AF11" s="128">
        <f>INDEX(Direct_Cost_Splits_Network,MATCH($H11,RIN_Asset_Cat_Network,0),MATCH($AG$4,Direct_Cost_Type,0))*$J11*INDEX(Act_Type_Augex_Splits,MATCH($I11,Act_Type_Augex,0),MATCH(AF$4,Mat_Type,0))*INDEX(Escalators!$I$44:$U$49,MATCH(AF$4,Escalators!$C$44:$C$49,0),MATCH(AF$5,Escalators!$I$43:$U$43,0))</f>
        <v>0</v>
      </c>
      <c r="AG11" s="128">
        <f t="shared" si="10"/>
        <v>0</v>
      </c>
      <c r="AH11" s="128">
        <f>INDEX(Direct_Cost_Splits_Network,MATCH($H11,RIN_Asset_Cat_Network,0),MATCH($AY$4,Direct_Cost_Type,0))*$K11*INDEX(Act_Type_Augex_Splits,MATCH($I11,Act_Type_Augex,0),MATCH(AH$4,Mat_Type,0))*INDEX(Escalators!$I$44:$U$49,MATCH(AH$4,Escalators!$C$44:$C$49,0),MATCH(AH$5,Escalators!$I$43:$U$43,0))</f>
        <v>0</v>
      </c>
      <c r="AI11" s="128">
        <f>INDEX(Direct_Cost_Splits_Network,MATCH($H11,RIN_Asset_Cat_Network,0),MATCH($AY$4,Direct_Cost_Type,0))*$K11*INDEX(Act_Type_Augex_Splits,MATCH($I11,Act_Type_Augex,0),MATCH(AI$4,Mat_Type,0))*INDEX(Escalators!$I$44:$U$49,MATCH(AI$4,Escalators!$C$44:$C$49,0),MATCH(AI$5,Escalators!$I$43:$U$43,0))</f>
        <v>0</v>
      </c>
      <c r="AJ11" s="128">
        <f>INDEX(Direct_Cost_Splits_Network,MATCH($H11,RIN_Asset_Cat_Network,0),MATCH($AY$4,Direct_Cost_Type,0))*$K11*INDEX(Act_Type_Augex_Splits,MATCH($I11,Act_Type_Augex,0),MATCH(AJ$4,Mat_Type,0))*INDEX(Escalators!$I$44:$U$49,MATCH(AJ$4,Escalators!$C$44:$C$49,0),MATCH(AJ$5,Escalators!$I$43:$U$43,0))</f>
        <v>0</v>
      </c>
      <c r="AK11" s="128">
        <f>INDEX(Direct_Cost_Splits_Network,MATCH($H11,RIN_Asset_Cat_Network,0),MATCH($AY$4,Direct_Cost_Type,0))*$K11*INDEX(Act_Type_Augex_Splits,MATCH($I11,Act_Type_Augex,0),MATCH(AK$4,Mat_Type,0))*INDEX(Escalators!$I$44:$U$49,MATCH(AK$4,Escalators!$C$44:$C$49,0),MATCH(AK$5,Escalators!$I$43:$U$43,0))</f>
        <v>0</v>
      </c>
      <c r="AL11" s="128">
        <f>INDEX(Direct_Cost_Splits_Network,MATCH($H11,RIN_Asset_Cat_Network,0),MATCH($AY$4,Direct_Cost_Type,0))*$K11*INDEX(Act_Type_Augex_Splits,MATCH($I11,Act_Type_Augex,0),MATCH(AL$4,Mat_Type,0))*INDEX(Escalators!$I$44:$U$49,MATCH(AL$4,Escalators!$C$44:$C$49,0),MATCH(AL$5,Escalators!$I$43:$U$43,0))</f>
        <v>0</v>
      </c>
      <c r="AM11" s="128">
        <f t="shared" si="11"/>
        <v>0</v>
      </c>
      <c r="AN11" s="128">
        <f>INDEX(Direct_Cost_Splits_Network,MATCH($H11,RIN_Asset_Cat_Network,0),MATCH($AY$4,Direct_Cost_Type,0))*$L11*INDEX(Act_Type_Augex_Splits,MATCH($I11,Act_Type_Augex,0),MATCH(AN$4,Mat_Type,0))*INDEX(Escalators!$I$44:$U$49,MATCH(AN$4,Escalators!$C$44:$C$49,0),MATCH(AN$5,Escalators!$I$43:$U$43,0))</f>
        <v>0</v>
      </c>
      <c r="AO11" s="128">
        <f>INDEX(Direct_Cost_Splits_Network,MATCH($H11,RIN_Asset_Cat_Network,0),MATCH($AY$4,Direct_Cost_Type,0))*$L11*INDEX(Act_Type_Augex_Splits,MATCH($I11,Act_Type_Augex,0),MATCH(AO$4,Mat_Type,0))*INDEX(Escalators!$I$44:$U$49,MATCH(AO$4,Escalators!$C$44:$C$49,0),MATCH(AO$5,Escalators!$I$43:$U$43,0))</f>
        <v>0</v>
      </c>
      <c r="AP11" s="128">
        <f>INDEX(Direct_Cost_Splits_Network,MATCH($H11,RIN_Asset_Cat_Network,0),MATCH($AY$4,Direct_Cost_Type,0))*$L11*INDEX(Act_Type_Augex_Splits,MATCH($I11,Act_Type_Augex,0),MATCH(AP$4,Mat_Type,0))*INDEX(Escalators!$I$44:$U$49,MATCH(AP$4,Escalators!$C$44:$C$49,0),MATCH(AP$5,Escalators!$I$43:$U$43,0))</f>
        <v>0</v>
      </c>
      <c r="AQ11" s="128">
        <f>INDEX(Direct_Cost_Splits_Network,MATCH($H11,RIN_Asset_Cat_Network,0),MATCH($AY$4,Direct_Cost_Type,0))*$L11*INDEX(Act_Type_Augex_Splits,MATCH($I11,Act_Type_Augex,0),MATCH(AQ$4,Mat_Type,0))*INDEX(Escalators!$I$44:$U$49,MATCH(AQ$4,Escalators!$C$44:$C$49,0),MATCH(AQ$5,Escalators!$I$43:$U$43,0))</f>
        <v>0</v>
      </c>
      <c r="AR11" s="128">
        <f>INDEX(Direct_Cost_Splits_Network,MATCH($H11,RIN_Asset_Cat_Network,0),MATCH($AY$4,Direct_Cost_Type,0))*$L11*INDEX(Act_Type_Augex_Splits,MATCH($I11,Act_Type_Augex,0),MATCH(AR$4,Mat_Type,0))*INDEX(Escalators!$I$44:$U$49,MATCH(AR$4,Escalators!$C$44:$C$49,0),MATCH(AR$5,Escalators!$I$43:$U$43,0))</f>
        <v>0</v>
      </c>
      <c r="AS11" s="128">
        <f t="shared" si="12"/>
        <v>0</v>
      </c>
      <c r="AT11" s="128">
        <f>INDEX(Direct_Cost_Splits_Network,MATCH($H11,RIN_Asset_Cat_Network,0),MATCH($AY$4,Direct_Cost_Type,0))*$M11*INDEX(Act_Type_Augex_Splits,MATCH($I11,Act_Type_Augex,0),MATCH(AT$4,Mat_Type,0))*INDEX(Escalators!$I$44:$U$49,MATCH(AT$4,Escalators!$C$44:$C$49,0),MATCH(AT$5,Escalators!$I$43:$U$43,0))</f>
        <v>11.636303595758367</v>
      </c>
      <c r="AU11" s="128">
        <f>INDEX(Direct_Cost_Splits_Network,MATCH($H11,RIN_Asset_Cat_Network,0),MATCH($AY$4,Direct_Cost_Type,0))*$M11*INDEX(Act_Type_Augex_Splits,MATCH($I11,Act_Type_Augex,0),MATCH(AU$4,Mat_Type,0))*INDEX(Escalators!$I$44:$U$49,MATCH(AU$4,Escalators!$C$44:$C$49,0),MATCH(AU$5,Escalators!$I$43:$U$43,0))</f>
        <v>11.636303595758367</v>
      </c>
      <c r="AV11" s="128">
        <f>INDEX(Direct_Cost_Splits_Network,MATCH($H11,RIN_Asset_Cat_Network,0),MATCH($AY$4,Direct_Cost_Type,0))*$M11*INDEX(Act_Type_Augex_Splits,MATCH($I11,Act_Type_Augex,0),MATCH(AV$4,Mat_Type,0))*INDEX(Escalators!$I$44:$U$49,MATCH(AV$4,Escalators!$C$44:$C$49,0),MATCH(AV$5,Escalators!$I$43:$U$43,0))</f>
        <v>11.636303595758367</v>
      </c>
      <c r="AW11" s="128">
        <f>INDEX(Direct_Cost_Splits_Network,MATCH($H11,RIN_Asset_Cat_Network,0),MATCH($AY$4,Direct_Cost_Type,0))*$M11*INDEX(Act_Type_Augex_Splits,MATCH($I11,Act_Type_Augex,0),MATCH(AW$4,Mat_Type,0))*INDEX(Escalators!$I$44:$U$49,MATCH(AW$4,Escalators!$C$44:$C$49,0),MATCH(AW$5,Escalators!$I$43:$U$43,0))</f>
        <v>0</v>
      </c>
      <c r="AX11" s="128">
        <f>INDEX(Direct_Cost_Splits_Network,MATCH($H11,RIN_Asset_Cat_Network,0),MATCH($AY$4,Direct_Cost_Type,0))*$M11*INDEX(Act_Type_Augex_Splits,MATCH($I11,Act_Type_Augex,0),MATCH(AX$4,Mat_Type,0))*INDEX(Escalators!$I$44:$U$49,MATCH(AX$4,Escalators!$C$44:$C$49,0),MATCH(AX$5,Escalators!$I$43:$U$43,0))</f>
        <v>81.454125170308558</v>
      </c>
      <c r="AY11" s="128">
        <f t="shared" si="13"/>
        <v>116.36303595758366</v>
      </c>
      <c r="AZ11" s="128">
        <f>INDEX(Direct_Cost_Splits_Network,MATCH($H11,RIN_Asset_Cat_Network,0),MATCH($BE$4,Direct_Cost_Type,0))*$N11*INDEX(Act_Type_Augex_Splits,MATCH($I11,Act_Type_Augex,0),MATCH(AZ$4,Mat_Type,0))*INDEX(Escalators!$I$44:$U$49,MATCH(AZ$4,Escalators!$C$44:$C$49,0),MATCH(AZ$5,Escalators!$I$43:$U$43,0))</f>
        <v>0</v>
      </c>
      <c r="BA11" s="128">
        <f>INDEX(Direct_Cost_Splits_Network,MATCH($H11,RIN_Asset_Cat_Network,0),MATCH($BE$4,Direct_Cost_Type,0))*$N11*INDEX(Act_Type_Augex_Splits,MATCH($I11,Act_Type_Augex,0),MATCH(BA$4,Mat_Type,0))*INDEX(Escalators!$I$44:$U$49,MATCH(BA$4,Escalators!$C$44:$C$49,0),MATCH(BA$5,Escalators!$I$43:$U$43,0))</f>
        <v>0</v>
      </c>
      <c r="BB11" s="128">
        <f>INDEX(Direct_Cost_Splits_Network,MATCH($H11,RIN_Asset_Cat_Network,0),MATCH($BE$4,Direct_Cost_Type,0))*$N11*INDEX(Act_Type_Augex_Splits,MATCH($I11,Act_Type_Augex,0),MATCH(BB$4,Mat_Type,0))*INDEX(Escalators!$I$44:$U$49,MATCH(BB$4,Escalators!$C$44:$C$49,0),MATCH(BB$5,Escalators!$I$43:$U$43,0))</f>
        <v>0</v>
      </c>
      <c r="BC11" s="128">
        <f>INDEX(Direct_Cost_Splits_Network,MATCH($H11,RIN_Asset_Cat_Network,0),MATCH($BE$4,Direct_Cost_Type,0))*$N11*INDEX(Act_Type_Augex_Splits,MATCH($I11,Act_Type_Augex,0),MATCH(BC$4,Mat_Type,0))*INDEX(Escalators!$I$44:$U$49,MATCH(BC$4,Escalators!$C$44:$C$49,0),MATCH(BC$5,Escalators!$I$43:$U$43,0))</f>
        <v>0</v>
      </c>
      <c r="BD11" s="128">
        <f>INDEX(Direct_Cost_Splits_Network,MATCH($H11,RIN_Asset_Cat_Network,0),MATCH($BE$4,Direct_Cost_Type,0))*$N11*INDEX(Act_Type_Augex_Splits,MATCH($I11,Act_Type_Augex,0),MATCH(BD$4,Mat_Type,0))*INDEX(Escalators!$I$44:$U$49,MATCH(BD$4,Escalators!$C$44:$C$49,0),MATCH(BD$5,Escalators!$I$43:$U$43,0))</f>
        <v>0</v>
      </c>
      <c r="BE11" s="128">
        <f t="shared" si="14"/>
        <v>0</v>
      </c>
      <c r="BF11" s="128">
        <f>INDEX(Direct_Cost_Splits_Network,MATCH($H11,RIN_Asset_Cat_Network,0),MATCH($BK$4,Direct_Cost_Type,0))*$O11*INDEX(Act_Type_Augex_Splits,MATCH($I11,Act_Type_Augex,0),MATCH(BF$4,Mat_Type,0))*INDEX(Escalators!$I$44:$U$49,MATCH(BF$4,Escalators!$C$44:$C$49,0),MATCH(BF$5,Escalators!$I$43:$U$43,0))</f>
        <v>0</v>
      </c>
      <c r="BG11" s="128">
        <f>INDEX(Direct_Cost_Splits_Network,MATCH($H11,RIN_Asset_Cat_Network,0),MATCH($BK$4,Direct_Cost_Type,0))*$O11*INDEX(Act_Type_Augex_Splits,MATCH($I11,Act_Type_Augex,0),MATCH(BG$4,Mat_Type,0))*INDEX(Escalators!$I$44:$U$49,MATCH(BG$4,Escalators!$C$44:$C$49,0),MATCH(BG$5,Escalators!$I$43:$U$43,0))</f>
        <v>0</v>
      </c>
      <c r="BH11" s="128">
        <f>INDEX(Direct_Cost_Splits_Network,MATCH($H11,RIN_Asset_Cat_Network,0),MATCH($BK$4,Direct_Cost_Type,0))*$O11*INDEX(Act_Type_Augex_Splits,MATCH($I11,Act_Type_Augex,0),MATCH(BH$4,Mat_Type,0))*INDEX(Escalators!$I$44:$U$49,MATCH(BH$4,Escalators!$C$44:$C$49,0),MATCH(BH$5,Escalators!$I$43:$U$43,0))</f>
        <v>0</v>
      </c>
      <c r="BI11" s="128">
        <f>INDEX(Direct_Cost_Splits_Network,MATCH($H11,RIN_Asset_Cat_Network,0),MATCH($BK$4,Direct_Cost_Type,0))*$O11*INDEX(Act_Type_Augex_Splits,MATCH($I11,Act_Type_Augex,0),MATCH(BI$4,Mat_Type,0))*INDEX(Escalators!$I$44:$U$49,MATCH(BI$4,Escalators!$C$44:$C$49,0),MATCH(BI$5,Escalators!$I$43:$U$43,0))</f>
        <v>0</v>
      </c>
      <c r="BJ11" s="128">
        <f>INDEX(Direct_Cost_Splits_Network,MATCH($H11,RIN_Asset_Cat_Network,0),MATCH($BK$4,Direct_Cost_Type,0))*$O11*INDEX(Act_Type_Augex_Splits,MATCH($I11,Act_Type_Augex,0),MATCH(BJ$4,Mat_Type,0))*INDEX(Escalators!$I$44:$U$49,MATCH(BJ$4,Escalators!$C$44:$C$49,0),MATCH(BJ$5,Escalators!$I$43:$U$43,0))</f>
        <v>0</v>
      </c>
      <c r="BK11" s="128">
        <f t="shared" si="15"/>
        <v>0</v>
      </c>
      <c r="BL11" s="128">
        <f>INDEX(Direct_Cost_Splits_Network,MATCH($H11,RIN_Asset_Cat_Network,0),MATCH($BQ$4,Direct_Cost_Type,0))*$P11*INDEX(Act_Type_Augex_Splits,MATCH($I11,Act_Type_Augex,0),MATCH(BL$4,Mat_Type,0))*INDEX(Escalators!$I$44:$U$49,MATCH(BL$4,Escalators!$C$44:$C$49,0),MATCH(BL$5,Escalators!$I$43:$U$43,0))</f>
        <v>0</v>
      </c>
      <c r="BM11" s="128">
        <f>INDEX(Direct_Cost_Splits_Network,MATCH($H11,RIN_Asset_Cat_Network,0),MATCH($BQ$4,Direct_Cost_Type,0))*$P11*INDEX(Act_Type_Augex_Splits,MATCH($I11,Act_Type_Augex,0),MATCH(BM$4,Mat_Type,0))*INDEX(Escalators!$I$44:$U$49,MATCH(BM$4,Escalators!$C$44:$C$49,0),MATCH(BM$5,Escalators!$I$43:$U$43,0))</f>
        <v>0</v>
      </c>
      <c r="BN11" s="128">
        <f>INDEX(Direct_Cost_Splits_Network,MATCH($H11,RIN_Asset_Cat_Network,0),MATCH($BQ$4,Direct_Cost_Type,0))*$P11*INDEX(Act_Type_Augex_Splits,MATCH($I11,Act_Type_Augex,0),MATCH(BN$4,Mat_Type,0))*INDEX(Escalators!$I$44:$U$49,MATCH(BN$4,Escalators!$C$44:$C$49,0),MATCH(BN$5,Escalators!$I$43:$U$43,0))</f>
        <v>0</v>
      </c>
      <c r="BO11" s="128">
        <f>INDEX(Direct_Cost_Splits_Network,MATCH($H11,RIN_Asset_Cat_Network,0),MATCH($BQ$4,Direct_Cost_Type,0))*$P11*INDEX(Act_Type_Augex_Splits,MATCH($I11,Act_Type_Augex,0),MATCH(BO$4,Mat_Type,0))*INDEX(Escalators!$I$44:$U$49,MATCH(BO$4,Escalators!$C$44:$C$49,0),MATCH(BO$5,Escalators!$I$43:$U$43,0))</f>
        <v>0</v>
      </c>
      <c r="BP11" s="128">
        <f>INDEX(Direct_Cost_Splits_Network,MATCH($H11,RIN_Asset_Cat_Network,0),MATCH($BQ$4,Direct_Cost_Type,0))*$P11*INDEX(Act_Type_Augex_Splits,MATCH($I11,Act_Type_Augex,0),MATCH(BP$4,Mat_Type,0))*INDEX(Escalators!$I$44:$U$49,MATCH(BP$4,Escalators!$C$44:$C$49,0),MATCH(BP$5,Escalators!$I$43:$U$43,0))</f>
        <v>0</v>
      </c>
      <c r="BQ11" s="128">
        <f t="shared" si="16"/>
        <v>0</v>
      </c>
      <c r="BR11" s="128">
        <f>INDEX(Direct_Cost_Splits_Network,MATCH($H11,RIN_Asset_Cat_Network,0),MATCH($BW$4,Direct_Cost_Type,0))*$Q11*INDEX(Act_Type_Augex_Splits,MATCH($I11,Act_Type_Augex,0),MATCH(BR$4,Mat_Type,0))*INDEX(Escalators!$I$44:$U$49,MATCH(BR$4,Escalators!$C$44:$C$49,0),MATCH(BR$5,Escalators!$I$43:$U$43,0))</f>
        <v>0</v>
      </c>
      <c r="BS11" s="128">
        <f>INDEX(Direct_Cost_Splits_Network,MATCH($H11,RIN_Asset_Cat_Network,0),MATCH($BW$4,Direct_Cost_Type,0))*$Q11*INDEX(Act_Type_Augex_Splits,MATCH($I11,Act_Type_Augex,0),MATCH(BS$4,Mat_Type,0))*INDEX(Escalators!$I$44:$U$49,MATCH(BS$4,Escalators!$C$44:$C$49,0),MATCH(BS$5,Escalators!$I$43:$U$43,0))</f>
        <v>0</v>
      </c>
      <c r="BT11" s="128">
        <f>INDEX(Direct_Cost_Splits_Network,MATCH($H11,RIN_Asset_Cat_Network,0),MATCH($BW$4,Direct_Cost_Type,0))*$Q11*INDEX(Act_Type_Augex_Splits,MATCH($I11,Act_Type_Augex,0),MATCH(BT$4,Mat_Type,0))*INDEX(Escalators!$I$44:$U$49,MATCH(BT$4,Escalators!$C$44:$C$49,0),MATCH(BT$5,Escalators!$I$43:$U$43,0))</f>
        <v>0</v>
      </c>
      <c r="BU11" s="128">
        <f>INDEX(Direct_Cost_Splits_Network,MATCH($H11,RIN_Asset_Cat_Network,0),MATCH($BW$4,Direct_Cost_Type,0))*$Q11*INDEX(Act_Type_Augex_Splits,MATCH($I11,Act_Type_Augex,0),MATCH(BU$4,Mat_Type,0))*INDEX(Escalators!$I$44:$U$49,MATCH(BU$4,Escalators!$C$44:$C$49,0),MATCH(BU$5,Escalators!$I$43:$U$43,0))</f>
        <v>0</v>
      </c>
      <c r="BV11" s="128">
        <f>INDEX(Direct_Cost_Splits_Network,MATCH($H11,RIN_Asset_Cat_Network,0),MATCH($BW$4,Direct_Cost_Type,0))*$Q11*INDEX(Act_Type_Augex_Splits,MATCH($I11,Act_Type_Augex,0),MATCH(BV$4,Mat_Type,0))*INDEX(Escalators!$I$44:$U$49,MATCH(BV$4,Escalators!$C$44:$C$49,0),MATCH(BV$5,Escalators!$I$43:$U$43,0))</f>
        <v>0</v>
      </c>
      <c r="BW11" s="128">
        <f t="shared" si="17"/>
        <v>0</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158.52156042737082</v>
      </c>
      <c r="CC11" s="128">
        <f>INDEX(Direct_Cost_Splits_Network,MATCH($H11,RIN_Asset_Cat_Network,0),MATCH($BY$4,Direct_Cost_Type,0))*N11*HLOOKUP(CC$5,Escalators!$I$25:$U$30,6,FALSE)</f>
        <v>0</v>
      </c>
      <c r="CD11" s="128">
        <f>INDEX(Direct_Cost_Splits_Network,MATCH($H11,RIN_Asset_Cat_Network,0),MATCH($BY$4,Direct_Cost_Type,0))*O11*HLOOKUP(CD$5,Escalators!$I$25:$U$30,6,FALSE)</f>
        <v>0</v>
      </c>
      <c r="CE11" s="128">
        <f>INDEX(Direct_Cost_Splits_Network,MATCH($H11,RIN_Asset_Cat_Network,0),MATCH($BY$4,Direct_Cost_Type,0))*P11*HLOOKUP(CE$5,Escalators!$I$25:$U$30,6,FALSE)</f>
        <v>0</v>
      </c>
      <c r="CF11" s="128">
        <f>INDEX(Direct_Cost_Splits_Network,MATCH($H11,RIN_Asset_Cat_Network,0),MATCH($BY$4,Direct_Cost_Type,0))*Q11*HLOOKUP(CF$5,Escalators!$I$25:$U$30,6,FALSE)</f>
        <v>0</v>
      </c>
      <c r="CG11" s="129"/>
      <c r="CH11" s="675">
        <f>INDEX(Direct_Cost_Splits_Network,MATCH($H11,RIN_Asset_Cat_Network,0),MATCH($CH$4,Direct_Cost_Type,0))*J11</f>
        <v>0</v>
      </c>
      <c r="CI11" s="675">
        <f t="shared" si="33"/>
        <v>0</v>
      </c>
      <c r="CJ11" s="675">
        <f t="shared" si="33"/>
        <v>0</v>
      </c>
      <c r="CK11" s="675">
        <f t="shared" si="39"/>
        <v>43.551598936598594</v>
      </c>
      <c r="CL11" s="675">
        <f t="shared" si="39"/>
        <v>0</v>
      </c>
      <c r="CM11" s="675">
        <f t="shared" si="39"/>
        <v>0</v>
      </c>
      <c r="CN11" s="675">
        <f t="shared" si="39"/>
        <v>0</v>
      </c>
      <c r="CO11" s="675">
        <f t="shared" si="39"/>
        <v>0</v>
      </c>
      <c r="CP11" s="129"/>
      <c r="CQ11" s="128">
        <f t="shared" si="18"/>
        <v>0</v>
      </c>
      <c r="CR11" s="128">
        <f t="shared" si="9"/>
        <v>0</v>
      </c>
      <c r="CS11" s="128">
        <f t="shared" si="19"/>
        <v>0</v>
      </c>
      <c r="CT11" s="128">
        <f t="shared" si="20"/>
        <v>378.70846028754943</v>
      </c>
      <c r="CU11" s="128">
        <f t="shared" si="21"/>
        <v>0</v>
      </c>
      <c r="CV11" s="128">
        <f t="shared" si="22"/>
        <v>0</v>
      </c>
      <c r="CW11" s="128">
        <f t="shared" si="23"/>
        <v>0</v>
      </c>
      <c r="CX11" s="128">
        <f t="shared" si="24"/>
        <v>0</v>
      </c>
      <c r="CZ11" s="39"/>
      <c r="DA11" s="39"/>
      <c r="DB11" s="39"/>
      <c r="DC11" s="39"/>
      <c r="DD11" s="39"/>
      <c r="DE11" s="39"/>
    </row>
    <row r="12" spans="1:109">
      <c r="B12" s="75"/>
      <c r="C12" s="75"/>
      <c r="D12" s="75"/>
      <c r="E12" s="75"/>
      <c r="F12" s="75"/>
      <c r="G12" s="75"/>
      <c r="H12" s="75"/>
      <c r="I12" s="75"/>
      <c r="J12" s="128"/>
      <c r="K12" s="128"/>
      <c r="L12" s="128"/>
      <c r="M12" s="128"/>
      <c r="N12" s="128"/>
      <c r="O12" s="128"/>
      <c r="P12" s="128"/>
      <c r="Q12" s="128"/>
      <c r="R12" s="129"/>
      <c r="S12" s="128"/>
      <c r="T12" s="128"/>
      <c r="U12" s="128"/>
      <c r="V12" s="128"/>
      <c r="W12" s="128"/>
      <c r="X12" s="128"/>
      <c r="Y12" s="128"/>
      <c r="Z12" s="128"/>
      <c r="AA12" s="129"/>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9"/>
      <c r="BY12" s="128"/>
      <c r="BZ12" s="128"/>
      <c r="CA12" s="128"/>
      <c r="CB12" s="128"/>
      <c r="CC12" s="128"/>
      <c r="CD12" s="128"/>
      <c r="CE12" s="128"/>
      <c r="CF12" s="128"/>
      <c r="CG12" s="129"/>
      <c r="CH12" s="675"/>
      <c r="CI12" s="675"/>
      <c r="CJ12" s="675"/>
      <c r="CK12" s="675"/>
      <c r="CL12" s="675"/>
      <c r="CM12" s="675"/>
      <c r="CN12" s="675"/>
      <c r="CO12" s="675"/>
      <c r="CP12" s="129"/>
      <c r="CQ12" s="128">
        <f t="shared" si="18"/>
        <v>0</v>
      </c>
      <c r="CR12" s="128">
        <f t="shared" si="9"/>
        <v>0</v>
      </c>
      <c r="CS12" s="128">
        <f t="shared" si="19"/>
        <v>0</v>
      </c>
      <c r="CT12" s="128">
        <f t="shared" si="20"/>
        <v>0</v>
      </c>
      <c r="CU12" s="128">
        <f t="shared" si="21"/>
        <v>0</v>
      </c>
      <c r="CV12" s="128">
        <f t="shared" si="22"/>
        <v>0</v>
      </c>
      <c r="CW12" s="128">
        <f t="shared" si="23"/>
        <v>0</v>
      </c>
      <c r="CX12" s="128">
        <f t="shared" si="24"/>
        <v>0</v>
      </c>
      <c r="CZ12" s="39"/>
      <c r="DA12" s="39"/>
      <c r="DB12" s="39"/>
      <c r="DC12" s="39"/>
      <c r="DD12" s="39"/>
      <c r="DE12" s="39"/>
    </row>
    <row r="13" spans="1:109">
      <c r="B13" s="75" t="s">
        <v>425</v>
      </c>
      <c r="C13" s="75" t="s">
        <v>416</v>
      </c>
      <c r="D13" s="75" t="s">
        <v>425</v>
      </c>
      <c r="E13" s="75" t="s">
        <v>45</v>
      </c>
      <c r="F13" s="75" t="s">
        <v>51</v>
      </c>
      <c r="G13" s="75" t="s">
        <v>10</v>
      </c>
      <c r="H13" s="75" t="s">
        <v>164</v>
      </c>
      <c r="I13" s="75" t="s">
        <v>5</v>
      </c>
      <c r="J13" s="128"/>
      <c r="K13" s="128"/>
      <c r="L13" s="128"/>
      <c r="M13" s="128">
        <v>3840</v>
      </c>
      <c r="N13" s="128">
        <v>3840</v>
      </c>
      <c r="O13" s="128">
        <v>3840</v>
      </c>
      <c r="P13" s="128">
        <v>3840</v>
      </c>
      <c r="Q13" s="128">
        <v>3840</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614.23964296556824</v>
      </c>
      <c r="W13" s="128">
        <f>INDEX(Direct_Cost_Splits_Network,MATCH($H13,RIN_Asset_Cat_Network,0),MATCH($S$4,Direct_Cost_Type,0))*N13*HLOOKUP(W$5,Escalators!$I$25:$U$30,3,FALSE)</f>
        <v>617.28682038039346</v>
      </c>
      <c r="X13" s="128">
        <f>INDEX(Direct_Cost_Splits_Network,MATCH($H13,RIN_Asset_Cat_Network,0),MATCH($S$4,Direct_Cost_Type,0))*O13*HLOOKUP(X$5,Escalators!$I$25:$U$30,3,FALSE)</f>
        <v>621.30694876097289</v>
      </c>
      <c r="Y13" s="128">
        <f>INDEX(Direct_Cost_Splits_Network,MATCH($H13,RIN_Asset_Cat_Network,0),MATCH($S$4,Direct_Cost_Type,0))*P13*HLOOKUP(Y$5,Escalators!$I$25:$U$30,3,FALSE)</f>
        <v>627.47940992605743</v>
      </c>
      <c r="Z13" s="128">
        <f>INDEX(Direct_Cost_Splits_Network,MATCH($H13,RIN_Asset_Cat_Network,0),MATCH($S$4,Direct_Cost_Type,0))*Q13*HLOOKUP(Z$5,Escalators!$I$25:$U$30,3,FALSE)</f>
        <v>635.68396912545018</v>
      </c>
      <c r="AA13" s="129"/>
      <c r="AB13" s="128">
        <f>INDEX(Direct_Cost_Splits_Network,MATCH($H13,RIN_Asset_Cat_Network,0),MATCH($AG$4,Direct_Cost_Type,0))*$J13*INDEX(Act_Type_Augex_Splits,MATCH($I13,Act_Type_Augex,0),MATCH(AB$4,Mat_Type,0))*INDEX(Escalators!$I$44:$U$49,MATCH(AB$4,Escalators!$C$44:$C$49,0),MATCH(AB$5,Escalators!$I$43:$U$43,0))</f>
        <v>0</v>
      </c>
      <c r="AC13" s="128">
        <f>INDEX(Direct_Cost_Splits_Network,MATCH($H13,RIN_Asset_Cat_Network,0),MATCH($AG$4,Direct_Cost_Type,0))*$J13*INDEX(Act_Type_Augex_Splits,MATCH($I13,Act_Type_Augex,0),MATCH(AC$4,Mat_Type,0))*INDEX(Escalators!$I$44:$U$49,MATCH(AC$4,Escalators!$C$44:$C$49,0),MATCH(AC$5,Escalators!$I$43:$U$43,0))</f>
        <v>0</v>
      </c>
      <c r="AD13" s="128">
        <f>INDEX(Direct_Cost_Splits_Network,MATCH($H13,RIN_Asset_Cat_Network,0),MATCH($AG$4,Direct_Cost_Type,0))*$J13*INDEX(Act_Type_Augex_Splits,MATCH($I13,Act_Type_Augex,0),MATCH(AD$4,Mat_Type,0))*INDEX(Escalators!$I$44:$U$49,MATCH(AD$4,Escalators!$C$44:$C$49,0),MATCH(AD$5,Escalators!$I$43:$U$43,0))</f>
        <v>0</v>
      </c>
      <c r="AE13" s="128">
        <f>INDEX(Direct_Cost_Splits_Network,MATCH($H13,RIN_Asset_Cat_Network,0),MATCH($AG$4,Direct_Cost_Type,0))*$J13*INDEX(Act_Type_Augex_Splits,MATCH($I13,Act_Type_Augex,0),MATCH(AE$4,Mat_Type,0))*INDEX(Escalators!$I$44:$U$49,MATCH(AE$4,Escalators!$C$44:$C$49,0),MATCH(AE$5,Escalators!$I$43:$U$43,0))</f>
        <v>0</v>
      </c>
      <c r="AF13" s="128">
        <f>INDEX(Direct_Cost_Splits_Network,MATCH($H13,RIN_Asset_Cat_Network,0),MATCH($AG$4,Direct_Cost_Type,0))*$J13*INDEX(Act_Type_Augex_Splits,MATCH($I13,Act_Type_Augex,0),MATCH(AF$4,Mat_Type,0))*INDEX(Escalators!$I$44:$U$49,MATCH(AF$4,Escalators!$C$44:$C$49,0),MATCH(AF$5,Escalators!$I$43:$U$43,0))</f>
        <v>0</v>
      </c>
      <c r="AG13" s="128">
        <f t="shared" si="10"/>
        <v>0</v>
      </c>
      <c r="AH13" s="128">
        <f>INDEX(Direct_Cost_Splits_Network,MATCH($H13,RIN_Asset_Cat_Network,0),MATCH($AY$4,Direct_Cost_Type,0))*$K13*INDEX(Act_Type_Augex_Splits,MATCH($I13,Act_Type_Augex,0),MATCH(AH$4,Mat_Type,0))*INDEX(Escalators!$I$44:$U$49,MATCH(AH$4,Escalators!$C$44:$C$49,0),MATCH(AH$5,Escalators!$I$43:$U$43,0))</f>
        <v>0</v>
      </c>
      <c r="AI13" s="128">
        <f>INDEX(Direct_Cost_Splits_Network,MATCH($H13,RIN_Asset_Cat_Network,0),MATCH($AY$4,Direct_Cost_Type,0))*$K13*INDEX(Act_Type_Augex_Splits,MATCH($I13,Act_Type_Augex,0),MATCH(AI$4,Mat_Type,0))*INDEX(Escalators!$I$44:$U$49,MATCH(AI$4,Escalators!$C$44:$C$49,0),MATCH(AI$5,Escalators!$I$43:$U$43,0))</f>
        <v>0</v>
      </c>
      <c r="AJ13" s="128">
        <f>INDEX(Direct_Cost_Splits_Network,MATCH($H13,RIN_Asset_Cat_Network,0),MATCH($AY$4,Direct_Cost_Type,0))*$K13*INDEX(Act_Type_Augex_Splits,MATCH($I13,Act_Type_Augex,0),MATCH(AJ$4,Mat_Type,0))*INDEX(Escalators!$I$44:$U$49,MATCH(AJ$4,Escalators!$C$44:$C$49,0),MATCH(AJ$5,Escalators!$I$43:$U$43,0))</f>
        <v>0</v>
      </c>
      <c r="AK13" s="128">
        <f>INDEX(Direct_Cost_Splits_Network,MATCH($H13,RIN_Asset_Cat_Network,0),MATCH($AY$4,Direct_Cost_Type,0))*$K13*INDEX(Act_Type_Augex_Splits,MATCH($I13,Act_Type_Augex,0),MATCH(AK$4,Mat_Type,0))*INDEX(Escalators!$I$44:$U$49,MATCH(AK$4,Escalators!$C$44:$C$49,0),MATCH(AK$5,Escalators!$I$43:$U$43,0))</f>
        <v>0</v>
      </c>
      <c r="AL13" s="128">
        <f>INDEX(Direct_Cost_Splits_Network,MATCH($H13,RIN_Asset_Cat_Network,0),MATCH($AY$4,Direct_Cost_Type,0))*$K13*INDEX(Act_Type_Augex_Splits,MATCH($I13,Act_Type_Augex,0),MATCH(AL$4,Mat_Type,0))*INDEX(Escalators!$I$44:$U$49,MATCH(AL$4,Escalators!$C$44:$C$49,0),MATCH(AL$5,Escalators!$I$43:$U$43,0))</f>
        <v>0</v>
      </c>
      <c r="AM13" s="128">
        <f t="shared" si="11"/>
        <v>0</v>
      </c>
      <c r="AN13" s="128">
        <f>INDEX(Direct_Cost_Splits_Network,MATCH($H13,RIN_Asset_Cat_Network,0),MATCH($AY$4,Direct_Cost_Type,0))*$L13*INDEX(Act_Type_Augex_Splits,MATCH($I13,Act_Type_Augex,0),MATCH(AN$4,Mat_Type,0))*INDEX(Escalators!$I$44:$U$49,MATCH(AN$4,Escalators!$C$44:$C$49,0),MATCH(AN$5,Escalators!$I$43:$U$43,0))</f>
        <v>0</v>
      </c>
      <c r="AO13" s="128">
        <f>INDEX(Direct_Cost_Splits_Network,MATCH($H13,RIN_Asset_Cat_Network,0),MATCH($AY$4,Direct_Cost_Type,0))*$L13*INDEX(Act_Type_Augex_Splits,MATCH($I13,Act_Type_Augex,0),MATCH(AO$4,Mat_Type,0))*INDEX(Escalators!$I$44:$U$49,MATCH(AO$4,Escalators!$C$44:$C$49,0),MATCH(AO$5,Escalators!$I$43:$U$43,0))</f>
        <v>0</v>
      </c>
      <c r="AP13" s="128">
        <f>INDEX(Direct_Cost_Splits_Network,MATCH($H13,RIN_Asset_Cat_Network,0),MATCH($AY$4,Direct_Cost_Type,0))*$L13*INDEX(Act_Type_Augex_Splits,MATCH($I13,Act_Type_Augex,0),MATCH(AP$4,Mat_Type,0))*INDEX(Escalators!$I$44:$U$49,MATCH(AP$4,Escalators!$C$44:$C$49,0),MATCH(AP$5,Escalators!$I$43:$U$43,0))</f>
        <v>0</v>
      </c>
      <c r="AQ13" s="128">
        <f>INDEX(Direct_Cost_Splits_Network,MATCH($H13,RIN_Asset_Cat_Network,0),MATCH($AY$4,Direct_Cost_Type,0))*$L13*INDEX(Act_Type_Augex_Splits,MATCH($I13,Act_Type_Augex,0),MATCH(AQ$4,Mat_Type,0))*INDEX(Escalators!$I$44:$U$49,MATCH(AQ$4,Escalators!$C$44:$C$49,0),MATCH(AQ$5,Escalators!$I$43:$U$43,0))</f>
        <v>0</v>
      </c>
      <c r="AR13" s="128">
        <f>INDEX(Direct_Cost_Splits_Network,MATCH($H13,RIN_Asset_Cat_Network,0),MATCH($AY$4,Direct_Cost_Type,0))*$L13*INDEX(Act_Type_Augex_Splits,MATCH($I13,Act_Type_Augex,0),MATCH(AR$4,Mat_Type,0))*INDEX(Escalators!$I$44:$U$49,MATCH(AR$4,Escalators!$C$44:$C$49,0),MATCH(AR$5,Escalators!$I$43:$U$43,0))</f>
        <v>0</v>
      </c>
      <c r="AS13" s="128">
        <f t="shared" ref="AS13:AS15" si="40">SUM(AN13:AR13)</f>
        <v>0</v>
      </c>
      <c r="AT13" s="128">
        <f>INDEX(Direct_Cost_Splits_Network,MATCH($H13,RIN_Asset_Cat_Network,0),MATCH($AY$4,Direct_Cost_Type,0))*$M13*INDEX(Act_Type_Augex_Splits,MATCH($I13,Act_Type_Augex,0),MATCH(AT$4,Mat_Type,0))*INDEX(Escalators!$I$44:$U$49,MATCH(AT$4,Escalators!$C$44:$C$49,0),MATCH(AT$5,Escalators!$I$43:$U$43,0))</f>
        <v>118.58653345995791</v>
      </c>
      <c r="AU13" s="128">
        <f>INDEX(Direct_Cost_Splits_Network,MATCH($H13,RIN_Asset_Cat_Network,0),MATCH($AY$4,Direct_Cost_Type,0))*$M13*INDEX(Act_Type_Augex_Splits,MATCH($I13,Act_Type_Augex,0),MATCH(AU$4,Mat_Type,0))*INDEX(Escalators!$I$44:$U$49,MATCH(AU$4,Escalators!$C$44:$C$49,0),MATCH(AU$5,Escalators!$I$43:$U$43,0))</f>
        <v>118.58653345995791</v>
      </c>
      <c r="AV13" s="128">
        <f>INDEX(Direct_Cost_Splits_Network,MATCH($H13,RIN_Asset_Cat_Network,0),MATCH($AY$4,Direct_Cost_Type,0))*$M13*INDEX(Act_Type_Augex_Splits,MATCH($I13,Act_Type_Augex,0),MATCH(AV$4,Mat_Type,0))*INDEX(Escalators!$I$44:$U$49,MATCH(AV$4,Escalators!$C$44:$C$49,0),MATCH(AV$5,Escalators!$I$43:$U$43,0))</f>
        <v>118.58653345995791</v>
      </c>
      <c r="AW13" s="128">
        <f>INDEX(Direct_Cost_Splits_Network,MATCH($H13,RIN_Asset_Cat_Network,0),MATCH($AY$4,Direct_Cost_Type,0))*$M13*INDEX(Act_Type_Augex_Splits,MATCH($I13,Act_Type_Augex,0),MATCH(AW$4,Mat_Type,0))*INDEX(Escalators!$I$44:$U$49,MATCH(AW$4,Escalators!$C$44:$C$49,0),MATCH(AW$5,Escalators!$I$43:$U$43,0))</f>
        <v>0</v>
      </c>
      <c r="AX13" s="128">
        <f>INDEX(Direct_Cost_Splits_Network,MATCH($H13,RIN_Asset_Cat_Network,0),MATCH($AY$4,Direct_Cost_Type,0))*$M13*INDEX(Act_Type_Augex_Splits,MATCH($I13,Act_Type_Augex,0),MATCH(AX$4,Mat_Type,0))*INDEX(Escalators!$I$44:$U$49,MATCH(AX$4,Escalators!$C$44:$C$49,0),MATCH(AX$5,Escalators!$I$43:$U$43,0))</f>
        <v>830.10573421970525</v>
      </c>
      <c r="AY13" s="128">
        <f t="shared" si="13"/>
        <v>1185.865334599579</v>
      </c>
      <c r="AZ13" s="128">
        <f>INDEX(Direct_Cost_Splits_Network,MATCH($H13,RIN_Asset_Cat_Network,0),MATCH($BE$4,Direct_Cost_Type,0))*$N13*INDEX(Act_Type_Augex_Splits,MATCH($I13,Act_Type_Augex,0),MATCH(AZ$4,Mat_Type,0))*INDEX(Escalators!$I$44:$U$49,MATCH(AZ$4,Escalators!$C$44:$C$49,0),MATCH(AZ$5,Escalators!$I$43:$U$43,0))</f>
        <v>118.58653345995791</v>
      </c>
      <c r="BA13" s="128">
        <f>INDEX(Direct_Cost_Splits_Network,MATCH($H13,RIN_Asset_Cat_Network,0),MATCH($BE$4,Direct_Cost_Type,0))*$N13*INDEX(Act_Type_Augex_Splits,MATCH($I13,Act_Type_Augex,0),MATCH(BA$4,Mat_Type,0))*INDEX(Escalators!$I$44:$U$49,MATCH(BA$4,Escalators!$C$44:$C$49,0),MATCH(BA$5,Escalators!$I$43:$U$43,0))</f>
        <v>118.58653345995791</v>
      </c>
      <c r="BB13" s="128">
        <f>INDEX(Direct_Cost_Splits_Network,MATCH($H13,RIN_Asset_Cat_Network,0),MATCH($BE$4,Direct_Cost_Type,0))*$N13*INDEX(Act_Type_Augex_Splits,MATCH($I13,Act_Type_Augex,0),MATCH(BB$4,Mat_Type,0))*INDEX(Escalators!$I$44:$U$49,MATCH(BB$4,Escalators!$C$44:$C$49,0),MATCH(BB$5,Escalators!$I$43:$U$43,0))</f>
        <v>118.58653345995791</v>
      </c>
      <c r="BC13" s="128">
        <f>INDEX(Direct_Cost_Splits_Network,MATCH($H13,RIN_Asset_Cat_Network,0),MATCH($BE$4,Direct_Cost_Type,0))*$N13*INDEX(Act_Type_Augex_Splits,MATCH($I13,Act_Type_Augex,0),MATCH(BC$4,Mat_Type,0))*INDEX(Escalators!$I$44:$U$49,MATCH(BC$4,Escalators!$C$44:$C$49,0),MATCH(BC$5,Escalators!$I$43:$U$43,0))</f>
        <v>0</v>
      </c>
      <c r="BD13" s="128">
        <f>INDEX(Direct_Cost_Splits_Network,MATCH($H13,RIN_Asset_Cat_Network,0),MATCH($BE$4,Direct_Cost_Type,0))*$N13*INDEX(Act_Type_Augex_Splits,MATCH($I13,Act_Type_Augex,0),MATCH(BD$4,Mat_Type,0))*INDEX(Escalators!$I$44:$U$49,MATCH(BD$4,Escalators!$C$44:$C$49,0),MATCH(BD$5,Escalators!$I$43:$U$43,0))</f>
        <v>830.10573421970525</v>
      </c>
      <c r="BE13" s="128">
        <f t="shared" si="14"/>
        <v>1185.865334599579</v>
      </c>
      <c r="BF13" s="128">
        <f>INDEX(Direct_Cost_Splits_Network,MATCH($H13,RIN_Asset_Cat_Network,0),MATCH($BK$4,Direct_Cost_Type,0))*$O13*INDEX(Act_Type_Augex_Splits,MATCH($I13,Act_Type_Augex,0),MATCH(BF$4,Mat_Type,0))*INDEX(Escalators!$I$44:$U$49,MATCH(BF$4,Escalators!$C$44:$C$49,0),MATCH(BF$5,Escalators!$I$43:$U$43,0))</f>
        <v>118.58653345995791</v>
      </c>
      <c r="BG13" s="128">
        <f>INDEX(Direct_Cost_Splits_Network,MATCH($H13,RIN_Asset_Cat_Network,0),MATCH($BK$4,Direct_Cost_Type,0))*$O13*INDEX(Act_Type_Augex_Splits,MATCH($I13,Act_Type_Augex,0),MATCH(BG$4,Mat_Type,0))*INDEX(Escalators!$I$44:$U$49,MATCH(BG$4,Escalators!$C$44:$C$49,0),MATCH(BG$5,Escalators!$I$43:$U$43,0))</f>
        <v>118.58653345995791</v>
      </c>
      <c r="BH13" s="128">
        <f>INDEX(Direct_Cost_Splits_Network,MATCH($H13,RIN_Asset_Cat_Network,0),MATCH($BK$4,Direct_Cost_Type,0))*$O13*INDEX(Act_Type_Augex_Splits,MATCH($I13,Act_Type_Augex,0),MATCH(BH$4,Mat_Type,0))*INDEX(Escalators!$I$44:$U$49,MATCH(BH$4,Escalators!$C$44:$C$49,0),MATCH(BH$5,Escalators!$I$43:$U$43,0))</f>
        <v>118.58653345995791</v>
      </c>
      <c r="BI13" s="128">
        <f>INDEX(Direct_Cost_Splits_Network,MATCH($H13,RIN_Asset_Cat_Network,0),MATCH($BK$4,Direct_Cost_Type,0))*$O13*INDEX(Act_Type_Augex_Splits,MATCH($I13,Act_Type_Augex,0),MATCH(BI$4,Mat_Type,0))*INDEX(Escalators!$I$44:$U$49,MATCH(BI$4,Escalators!$C$44:$C$49,0),MATCH(BI$5,Escalators!$I$43:$U$43,0))</f>
        <v>0</v>
      </c>
      <c r="BJ13" s="128">
        <f>INDEX(Direct_Cost_Splits_Network,MATCH($H13,RIN_Asset_Cat_Network,0),MATCH($BK$4,Direct_Cost_Type,0))*$O13*INDEX(Act_Type_Augex_Splits,MATCH($I13,Act_Type_Augex,0),MATCH(BJ$4,Mat_Type,0))*INDEX(Escalators!$I$44:$U$49,MATCH(BJ$4,Escalators!$C$44:$C$49,0),MATCH(BJ$5,Escalators!$I$43:$U$43,0))</f>
        <v>830.10573421970525</v>
      </c>
      <c r="BK13" s="128">
        <f t="shared" si="15"/>
        <v>1185.865334599579</v>
      </c>
      <c r="BL13" s="128">
        <f>INDEX(Direct_Cost_Splits_Network,MATCH($H13,RIN_Asset_Cat_Network,0),MATCH($BQ$4,Direct_Cost_Type,0))*$P13*INDEX(Act_Type_Augex_Splits,MATCH($I13,Act_Type_Augex,0),MATCH(BL$4,Mat_Type,0))*INDEX(Escalators!$I$44:$U$49,MATCH(BL$4,Escalators!$C$44:$C$49,0),MATCH(BL$5,Escalators!$I$43:$U$43,0))</f>
        <v>118.58653345995791</v>
      </c>
      <c r="BM13" s="128">
        <f>INDEX(Direct_Cost_Splits_Network,MATCH($H13,RIN_Asset_Cat_Network,0),MATCH($BQ$4,Direct_Cost_Type,0))*$P13*INDEX(Act_Type_Augex_Splits,MATCH($I13,Act_Type_Augex,0),MATCH(BM$4,Mat_Type,0))*INDEX(Escalators!$I$44:$U$49,MATCH(BM$4,Escalators!$C$44:$C$49,0),MATCH(BM$5,Escalators!$I$43:$U$43,0))</f>
        <v>118.58653345995791</v>
      </c>
      <c r="BN13" s="128">
        <f>INDEX(Direct_Cost_Splits_Network,MATCH($H13,RIN_Asset_Cat_Network,0),MATCH($BQ$4,Direct_Cost_Type,0))*$P13*INDEX(Act_Type_Augex_Splits,MATCH($I13,Act_Type_Augex,0),MATCH(BN$4,Mat_Type,0))*INDEX(Escalators!$I$44:$U$49,MATCH(BN$4,Escalators!$C$44:$C$49,0),MATCH(BN$5,Escalators!$I$43:$U$43,0))</f>
        <v>118.58653345995791</v>
      </c>
      <c r="BO13" s="128">
        <f>INDEX(Direct_Cost_Splits_Network,MATCH($H13,RIN_Asset_Cat_Network,0),MATCH($BQ$4,Direct_Cost_Type,0))*$P13*INDEX(Act_Type_Augex_Splits,MATCH($I13,Act_Type_Augex,0),MATCH(BO$4,Mat_Type,0))*INDEX(Escalators!$I$44:$U$49,MATCH(BO$4,Escalators!$C$44:$C$49,0),MATCH(BO$5,Escalators!$I$43:$U$43,0))</f>
        <v>0</v>
      </c>
      <c r="BP13" s="128">
        <f>INDEX(Direct_Cost_Splits_Network,MATCH($H13,RIN_Asset_Cat_Network,0),MATCH($BQ$4,Direct_Cost_Type,0))*$P13*INDEX(Act_Type_Augex_Splits,MATCH($I13,Act_Type_Augex,0),MATCH(BP$4,Mat_Type,0))*INDEX(Escalators!$I$44:$U$49,MATCH(BP$4,Escalators!$C$44:$C$49,0),MATCH(BP$5,Escalators!$I$43:$U$43,0))</f>
        <v>830.10573421970525</v>
      </c>
      <c r="BQ13" s="128">
        <f t="shared" si="16"/>
        <v>1185.865334599579</v>
      </c>
      <c r="BR13" s="128">
        <f>INDEX(Direct_Cost_Splits_Network,MATCH($H13,RIN_Asset_Cat_Network,0),MATCH($BW$4,Direct_Cost_Type,0))*$Q13*INDEX(Act_Type_Augex_Splits,MATCH($I13,Act_Type_Augex,0),MATCH(BR$4,Mat_Type,0))*INDEX(Escalators!$I$44:$U$49,MATCH(BR$4,Escalators!$C$44:$C$49,0),MATCH(BR$5,Escalators!$I$43:$U$43,0))</f>
        <v>118.58653345995791</v>
      </c>
      <c r="BS13" s="128">
        <f>INDEX(Direct_Cost_Splits_Network,MATCH($H13,RIN_Asset_Cat_Network,0),MATCH($BW$4,Direct_Cost_Type,0))*$Q13*INDEX(Act_Type_Augex_Splits,MATCH($I13,Act_Type_Augex,0),MATCH(BS$4,Mat_Type,0))*INDEX(Escalators!$I$44:$U$49,MATCH(BS$4,Escalators!$C$44:$C$49,0),MATCH(BS$5,Escalators!$I$43:$U$43,0))</f>
        <v>118.58653345995791</v>
      </c>
      <c r="BT13" s="128">
        <f>INDEX(Direct_Cost_Splits_Network,MATCH($H13,RIN_Asset_Cat_Network,0),MATCH($BW$4,Direct_Cost_Type,0))*$Q13*INDEX(Act_Type_Augex_Splits,MATCH($I13,Act_Type_Augex,0),MATCH(BT$4,Mat_Type,0))*INDEX(Escalators!$I$44:$U$49,MATCH(BT$4,Escalators!$C$44:$C$49,0),MATCH(BT$5,Escalators!$I$43:$U$43,0))</f>
        <v>118.58653345995791</v>
      </c>
      <c r="BU13" s="128">
        <f>INDEX(Direct_Cost_Splits_Network,MATCH($H13,RIN_Asset_Cat_Network,0),MATCH($BW$4,Direct_Cost_Type,0))*$Q13*INDEX(Act_Type_Augex_Splits,MATCH($I13,Act_Type_Augex,0),MATCH(BU$4,Mat_Type,0))*INDEX(Escalators!$I$44:$U$49,MATCH(BU$4,Escalators!$C$44:$C$49,0),MATCH(BU$5,Escalators!$I$43:$U$43,0))</f>
        <v>0</v>
      </c>
      <c r="BV13" s="128">
        <f>INDEX(Direct_Cost_Splits_Network,MATCH($H13,RIN_Asset_Cat_Network,0),MATCH($BW$4,Direct_Cost_Type,0))*$Q13*INDEX(Act_Type_Augex_Splits,MATCH($I13,Act_Type_Augex,0),MATCH(BV$4,Mat_Type,0))*INDEX(Escalators!$I$44:$U$49,MATCH(BV$4,Escalators!$C$44:$C$49,0),MATCH(BV$5,Escalators!$I$43:$U$43,0))</f>
        <v>830.10573421970525</v>
      </c>
      <c r="BW13" s="128">
        <f t="shared" si="17"/>
        <v>1185.865334599579</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1615.5063483044164</v>
      </c>
      <c r="CC13" s="128">
        <f>INDEX(Direct_Cost_Splits_Network,MATCH($H13,RIN_Asset_Cat_Network,0),MATCH($BY$4,Direct_Cost_Type,0))*N13*HLOOKUP(CC$5,Escalators!$I$25:$U$30,6,FALSE)</f>
        <v>1615.5063483044164</v>
      </c>
      <c r="CD13" s="128">
        <f>INDEX(Direct_Cost_Splits_Network,MATCH($H13,RIN_Asset_Cat_Network,0),MATCH($BY$4,Direct_Cost_Type,0))*O13*HLOOKUP(CD$5,Escalators!$I$25:$U$30,6,FALSE)</f>
        <v>1615.5063483044164</v>
      </c>
      <c r="CE13" s="128">
        <f>INDEX(Direct_Cost_Splits_Network,MATCH($H13,RIN_Asset_Cat_Network,0),MATCH($BY$4,Direct_Cost_Type,0))*P13*HLOOKUP(CE$5,Escalators!$I$25:$U$30,6,FALSE)</f>
        <v>1615.5063483044164</v>
      </c>
      <c r="CF13" s="128">
        <f>INDEX(Direct_Cost_Splits_Network,MATCH($H13,RIN_Asset_Cat_Network,0),MATCH($BY$4,Direct_Cost_Type,0))*Q13*HLOOKUP(CF$5,Escalators!$I$25:$U$30,6,FALSE)</f>
        <v>1615.5063483044164</v>
      </c>
      <c r="CG13" s="129"/>
      <c r="CH13" s="675">
        <f t="shared" ref="CH13:CO13" si="41">INDEX(Direct_Cost_Splits_Network,MATCH($H13,RIN_Asset_Cat_Network,0),MATCH($CH$4,Direct_Cost_Type,0))*J13</f>
        <v>0</v>
      </c>
      <c r="CI13" s="675">
        <f t="shared" si="41"/>
        <v>0</v>
      </c>
      <c r="CJ13" s="675">
        <f t="shared" si="41"/>
        <v>0</v>
      </c>
      <c r="CK13" s="675">
        <f t="shared" si="41"/>
        <v>443.83795094622781</v>
      </c>
      <c r="CL13" s="675">
        <f t="shared" si="41"/>
        <v>443.83795094622781</v>
      </c>
      <c r="CM13" s="675">
        <f t="shared" si="41"/>
        <v>443.83795094622781</v>
      </c>
      <c r="CN13" s="675">
        <f t="shared" si="41"/>
        <v>443.83795094622781</v>
      </c>
      <c r="CO13" s="675">
        <f t="shared" si="41"/>
        <v>443.83795094622781</v>
      </c>
      <c r="CP13" s="129"/>
      <c r="CQ13" s="128">
        <f t="shared" si="18"/>
        <v>0</v>
      </c>
      <c r="CR13" s="128">
        <f t="shared" si="9"/>
        <v>0</v>
      </c>
      <c r="CS13" s="128">
        <f t="shared" si="19"/>
        <v>0</v>
      </c>
      <c r="CT13" s="128">
        <f t="shared" si="20"/>
        <v>3859.4492768157916</v>
      </c>
      <c r="CU13" s="128">
        <f t="shared" si="21"/>
        <v>3862.4964542306166</v>
      </c>
      <c r="CV13" s="128">
        <f t="shared" si="22"/>
        <v>3866.5165826111961</v>
      </c>
      <c r="CW13" s="128">
        <f t="shared" si="23"/>
        <v>3872.6890437762809</v>
      </c>
      <c r="CX13" s="128">
        <f t="shared" si="24"/>
        <v>3880.8936029756737</v>
      </c>
      <c r="CZ13" s="39"/>
      <c r="DB13" s="39"/>
      <c r="DC13" s="39"/>
      <c r="DD13" s="39"/>
      <c r="DE13" s="39"/>
    </row>
    <row r="14" spans="1:109">
      <c r="B14" s="75" t="s">
        <v>425</v>
      </c>
      <c r="C14" s="75" t="s">
        <v>576</v>
      </c>
      <c r="D14" s="75" t="s">
        <v>425</v>
      </c>
      <c r="E14" s="75" t="s">
        <v>45</v>
      </c>
      <c r="F14" s="75" t="s">
        <v>51</v>
      </c>
      <c r="G14" s="75" t="s">
        <v>10</v>
      </c>
      <c r="H14" s="75" t="s">
        <v>164</v>
      </c>
      <c r="I14" s="75" t="s">
        <v>5</v>
      </c>
      <c r="J14" s="128"/>
      <c r="K14" s="128"/>
      <c r="L14" s="128"/>
      <c r="M14" s="128">
        <v>3780</v>
      </c>
      <c r="N14" s="128">
        <v>3780</v>
      </c>
      <c r="O14" s="128">
        <v>3780</v>
      </c>
      <c r="P14" s="128">
        <v>3780</v>
      </c>
      <c r="Q14" s="128">
        <v>3780</v>
      </c>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604.6421485442313</v>
      </c>
      <c r="W14" s="128">
        <f>INDEX(Direct_Cost_Splits_Network,MATCH($H14,RIN_Asset_Cat_Network,0),MATCH($S$4,Direct_Cost_Type,0))*N14*HLOOKUP(W$5,Escalators!$I$25:$U$30,3,FALSE)</f>
        <v>607.64171381194978</v>
      </c>
      <c r="X14" s="128">
        <f>INDEX(Direct_Cost_Splits_Network,MATCH($H14,RIN_Asset_Cat_Network,0),MATCH($S$4,Direct_Cost_Type,0))*O14*HLOOKUP(X$5,Escalators!$I$25:$U$30,3,FALSE)</f>
        <v>611.59902768658264</v>
      </c>
      <c r="Y14" s="128">
        <f>INDEX(Direct_Cost_Splits_Network,MATCH($H14,RIN_Asset_Cat_Network,0),MATCH($S$4,Direct_Cost_Type,0))*P14*HLOOKUP(Y$5,Escalators!$I$25:$U$30,3,FALSE)</f>
        <v>617.67504414596272</v>
      </c>
      <c r="Z14" s="128">
        <f>INDEX(Direct_Cost_Splits_Network,MATCH($H14,RIN_Asset_Cat_Network,0),MATCH($S$4,Direct_Cost_Type,0))*Q14*HLOOKUP(Z$5,Escalators!$I$25:$U$30,3,FALSE)</f>
        <v>625.75140710786502</v>
      </c>
      <c r="AA14" s="129"/>
      <c r="AB14" s="128">
        <f>INDEX(Direct_Cost_Splits_Network,MATCH($H14,RIN_Asset_Cat_Network,0),MATCH($AG$4,Direct_Cost_Type,0))*$J14*INDEX(Act_Type_Augex_Splits,MATCH($I14,Act_Type_Augex,0),MATCH(AB$4,Mat_Type,0))*INDEX(Escalators!$I$44:$U$49,MATCH(AB$4,Escalators!$C$44:$C$49,0),MATCH(AB$5,Escalators!$I$43:$U$43,0))</f>
        <v>0</v>
      </c>
      <c r="AC14" s="128">
        <f>INDEX(Direct_Cost_Splits_Network,MATCH($H14,RIN_Asset_Cat_Network,0),MATCH($AG$4,Direct_Cost_Type,0))*$J14*INDEX(Act_Type_Augex_Splits,MATCH($I14,Act_Type_Augex,0),MATCH(AC$4,Mat_Type,0))*INDEX(Escalators!$I$44:$U$49,MATCH(AC$4,Escalators!$C$44:$C$49,0),MATCH(AC$5,Escalators!$I$43:$U$43,0))</f>
        <v>0</v>
      </c>
      <c r="AD14" s="128">
        <f>INDEX(Direct_Cost_Splits_Network,MATCH($H14,RIN_Asset_Cat_Network,0),MATCH($AG$4,Direct_Cost_Type,0))*$J14*INDEX(Act_Type_Augex_Splits,MATCH($I14,Act_Type_Augex,0),MATCH(AD$4,Mat_Type,0))*INDEX(Escalators!$I$44:$U$49,MATCH(AD$4,Escalators!$C$44:$C$49,0),MATCH(AD$5,Escalators!$I$43:$U$43,0))</f>
        <v>0</v>
      </c>
      <c r="AE14" s="128">
        <f>INDEX(Direct_Cost_Splits_Network,MATCH($H14,RIN_Asset_Cat_Network,0),MATCH($AG$4,Direct_Cost_Type,0))*$J14*INDEX(Act_Type_Augex_Splits,MATCH($I14,Act_Type_Augex,0),MATCH(AE$4,Mat_Type,0))*INDEX(Escalators!$I$44:$U$49,MATCH(AE$4,Escalators!$C$44:$C$49,0),MATCH(AE$5,Escalators!$I$43:$U$43,0))</f>
        <v>0</v>
      </c>
      <c r="AF14" s="128">
        <f>INDEX(Direct_Cost_Splits_Network,MATCH($H14,RIN_Asset_Cat_Network,0),MATCH($AG$4,Direct_Cost_Type,0))*$J14*INDEX(Act_Type_Augex_Splits,MATCH($I14,Act_Type_Augex,0),MATCH(AF$4,Mat_Type,0))*INDEX(Escalators!$I$44:$U$49,MATCH(AF$4,Escalators!$C$44:$C$49,0),MATCH(AF$5,Escalators!$I$43:$U$43,0))</f>
        <v>0</v>
      </c>
      <c r="AG14" s="128">
        <f t="shared" ref="AG14" si="42">SUM(AB14:AF14)</f>
        <v>0</v>
      </c>
      <c r="AH14" s="128">
        <f>INDEX(Direct_Cost_Splits_Network,MATCH($H14,RIN_Asset_Cat_Network,0),MATCH($AY$4,Direct_Cost_Type,0))*$K14*INDEX(Act_Type_Augex_Splits,MATCH($I14,Act_Type_Augex,0),MATCH(AH$4,Mat_Type,0))*INDEX(Escalators!$I$44:$U$49,MATCH(AH$4,Escalators!$C$44:$C$49,0),MATCH(AH$5,Escalators!$I$43:$U$43,0))</f>
        <v>0</v>
      </c>
      <c r="AI14" s="128">
        <f>INDEX(Direct_Cost_Splits_Network,MATCH($H14,RIN_Asset_Cat_Network,0),MATCH($AY$4,Direct_Cost_Type,0))*$K14*INDEX(Act_Type_Augex_Splits,MATCH($I14,Act_Type_Augex,0),MATCH(AI$4,Mat_Type,0))*INDEX(Escalators!$I$44:$U$49,MATCH(AI$4,Escalators!$C$44:$C$49,0),MATCH(AI$5,Escalators!$I$43:$U$43,0))</f>
        <v>0</v>
      </c>
      <c r="AJ14" s="128">
        <f>INDEX(Direct_Cost_Splits_Network,MATCH($H14,RIN_Asset_Cat_Network,0),MATCH($AY$4,Direct_Cost_Type,0))*$K14*INDEX(Act_Type_Augex_Splits,MATCH($I14,Act_Type_Augex,0),MATCH(AJ$4,Mat_Type,0))*INDEX(Escalators!$I$44:$U$49,MATCH(AJ$4,Escalators!$C$44:$C$49,0),MATCH(AJ$5,Escalators!$I$43:$U$43,0))</f>
        <v>0</v>
      </c>
      <c r="AK14" s="128">
        <f>INDEX(Direct_Cost_Splits_Network,MATCH($H14,RIN_Asset_Cat_Network,0),MATCH($AY$4,Direct_Cost_Type,0))*$K14*INDEX(Act_Type_Augex_Splits,MATCH($I14,Act_Type_Augex,0),MATCH(AK$4,Mat_Type,0))*INDEX(Escalators!$I$44:$U$49,MATCH(AK$4,Escalators!$C$44:$C$49,0),MATCH(AK$5,Escalators!$I$43:$U$43,0))</f>
        <v>0</v>
      </c>
      <c r="AL14" s="128">
        <f>INDEX(Direct_Cost_Splits_Network,MATCH($H14,RIN_Asset_Cat_Network,0),MATCH($AY$4,Direct_Cost_Type,0))*$K14*INDEX(Act_Type_Augex_Splits,MATCH($I14,Act_Type_Augex,0),MATCH(AL$4,Mat_Type,0))*INDEX(Escalators!$I$44:$U$49,MATCH(AL$4,Escalators!$C$44:$C$49,0),MATCH(AL$5,Escalators!$I$43:$U$43,0))</f>
        <v>0</v>
      </c>
      <c r="AM14" s="128">
        <f t="shared" ref="AM14" si="43">SUM(AH14:AL14)</f>
        <v>0</v>
      </c>
      <c r="AN14" s="128">
        <f>INDEX(Direct_Cost_Splits_Network,MATCH($H14,RIN_Asset_Cat_Network,0),MATCH($AY$4,Direct_Cost_Type,0))*$L14*INDEX(Act_Type_Augex_Splits,MATCH($I14,Act_Type_Augex,0),MATCH(AN$4,Mat_Type,0))*INDEX(Escalators!$I$44:$U$49,MATCH(AN$4,Escalators!$C$44:$C$49,0),MATCH(AN$5,Escalators!$I$43:$U$43,0))</f>
        <v>0</v>
      </c>
      <c r="AO14" s="128">
        <f>INDEX(Direct_Cost_Splits_Network,MATCH($H14,RIN_Asset_Cat_Network,0),MATCH($AY$4,Direct_Cost_Type,0))*$L14*INDEX(Act_Type_Augex_Splits,MATCH($I14,Act_Type_Augex,0),MATCH(AO$4,Mat_Type,0))*INDEX(Escalators!$I$44:$U$49,MATCH(AO$4,Escalators!$C$44:$C$49,0),MATCH(AO$5,Escalators!$I$43:$U$43,0))</f>
        <v>0</v>
      </c>
      <c r="AP14" s="128">
        <f>INDEX(Direct_Cost_Splits_Network,MATCH($H14,RIN_Asset_Cat_Network,0),MATCH($AY$4,Direct_Cost_Type,0))*$L14*INDEX(Act_Type_Augex_Splits,MATCH($I14,Act_Type_Augex,0),MATCH(AP$4,Mat_Type,0))*INDEX(Escalators!$I$44:$U$49,MATCH(AP$4,Escalators!$C$44:$C$49,0),MATCH(AP$5,Escalators!$I$43:$U$43,0))</f>
        <v>0</v>
      </c>
      <c r="AQ14" s="128">
        <f>INDEX(Direct_Cost_Splits_Network,MATCH($H14,RIN_Asset_Cat_Network,0),MATCH($AY$4,Direct_Cost_Type,0))*$L14*INDEX(Act_Type_Augex_Splits,MATCH($I14,Act_Type_Augex,0),MATCH(AQ$4,Mat_Type,0))*INDEX(Escalators!$I$44:$U$49,MATCH(AQ$4,Escalators!$C$44:$C$49,0),MATCH(AQ$5,Escalators!$I$43:$U$43,0))</f>
        <v>0</v>
      </c>
      <c r="AR14" s="128">
        <f>INDEX(Direct_Cost_Splits_Network,MATCH($H14,RIN_Asset_Cat_Network,0),MATCH($AY$4,Direct_Cost_Type,0))*$L14*INDEX(Act_Type_Augex_Splits,MATCH($I14,Act_Type_Augex,0),MATCH(AR$4,Mat_Type,0))*INDEX(Escalators!$I$44:$U$49,MATCH(AR$4,Escalators!$C$44:$C$49,0),MATCH(AR$5,Escalators!$I$43:$U$43,0))</f>
        <v>0</v>
      </c>
      <c r="AS14" s="128">
        <f t="shared" si="40"/>
        <v>0</v>
      </c>
      <c r="AT14" s="128">
        <f>INDEX(Direct_Cost_Splits_Network,MATCH($H14,RIN_Asset_Cat_Network,0),MATCH($AY$4,Direct_Cost_Type,0))*$M14*INDEX(Act_Type_Augex_Splits,MATCH($I14,Act_Type_Augex,0),MATCH(AT$4,Mat_Type,0))*INDEX(Escalators!$I$44:$U$49,MATCH(AT$4,Escalators!$C$44:$C$49,0),MATCH(AT$5,Escalators!$I$43:$U$43,0))</f>
        <v>116.73361887464606</v>
      </c>
      <c r="AU14" s="128">
        <f>INDEX(Direct_Cost_Splits_Network,MATCH($H14,RIN_Asset_Cat_Network,0),MATCH($AY$4,Direct_Cost_Type,0))*$M14*INDEX(Act_Type_Augex_Splits,MATCH($I14,Act_Type_Augex,0),MATCH(AU$4,Mat_Type,0))*INDEX(Escalators!$I$44:$U$49,MATCH(AU$4,Escalators!$C$44:$C$49,0),MATCH(AU$5,Escalators!$I$43:$U$43,0))</f>
        <v>116.73361887464606</v>
      </c>
      <c r="AV14" s="128">
        <f>INDEX(Direct_Cost_Splits_Network,MATCH($H14,RIN_Asset_Cat_Network,0),MATCH($AY$4,Direct_Cost_Type,0))*$M14*INDEX(Act_Type_Augex_Splits,MATCH($I14,Act_Type_Augex,0),MATCH(AV$4,Mat_Type,0))*INDEX(Escalators!$I$44:$U$49,MATCH(AV$4,Escalators!$C$44:$C$49,0),MATCH(AV$5,Escalators!$I$43:$U$43,0))</f>
        <v>116.73361887464606</v>
      </c>
      <c r="AW14" s="128">
        <f>INDEX(Direct_Cost_Splits_Network,MATCH($H14,RIN_Asset_Cat_Network,0),MATCH($AY$4,Direct_Cost_Type,0))*$M14*INDEX(Act_Type_Augex_Splits,MATCH($I14,Act_Type_Augex,0),MATCH(AW$4,Mat_Type,0))*INDEX(Escalators!$I$44:$U$49,MATCH(AW$4,Escalators!$C$44:$C$49,0),MATCH(AW$5,Escalators!$I$43:$U$43,0))</f>
        <v>0</v>
      </c>
      <c r="AX14" s="128">
        <f>INDEX(Direct_Cost_Splits_Network,MATCH($H14,RIN_Asset_Cat_Network,0),MATCH($AY$4,Direct_Cost_Type,0))*$M14*INDEX(Act_Type_Augex_Splits,MATCH($I14,Act_Type_Augex,0),MATCH(AX$4,Mat_Type,0))*INDEX(Escalators!$I$44:$U$49,MATCH(AX$4,Escalators!$C$44:$C$49,0),MATCH(AX$5,Escalators!$I$43:$U$43,0))</f>
        <v>817.1353321225223</v>
      </c>
      <c r="AY14" s="128">
        <f t="shared" ref="AY14" si="44">SUM(AT14:AX14)</f>
        <v>1167.3361887464605</v>
      </c>
      <c r="AZ14" s="128">
        <f>INDEX(Direct_Cost_Splits_Network,MATCH($H14,RIN_Asset_Cat_Network,0),MATCH($BE$4,Direct_Cost_Type,0))*$N14*INDEX(Act_Type_Augex_Splits,MATCH($I14,Act_Type_Augex,0),MATCH(AZ$4,Mat_Type,0))*INDEX(Escalators!$I$44:$U$49,MATCH(AZ$4,Escalators!$C$44:$C$49,0),MATCH(AZ$5,Escalators!$I$43:$U$43,0))</f>
        <v>116.73361887464606</v>
      </c>
      <c r="BA14" s="128">
        <f>INDEX(Direct_Cost_Splits_Network,MATCH($H14,RIN_Asset_Cat_Network,0),MATCH($BE$4,Direct_Cost_Type,0))*$N14*INDEX(Act_Type_Augex_Splits,MATCH($I14,Act_Type_Augex,0),MATCH(BA$4,Mat_Type,0))*INDEX(Escalators!$I$44:$U$49,MATCH(BA$4,Escalators!$C$44:$C$49,0),MATCH(BA$5,Escalators!$I$43:$U$43,0))</f>
        <v>116.73361887464606</v>
      </c>
      <c r="BB14" s="128">
        <f>INDEX(Direct_Cost_Splits_Network,MATCH($H14,RIN_Asset_Cat_Network,0),MATCH($BE$4,Direct_Cost_Type,0))*$N14*INDEX(Act_Type_Augex_Splits,MATCH($I14,Act_Type_Augex,0),MATCH(BB$4,Mat_Type,0))*INDEX(Escalators!$I$44:$U$49,MATCH(BB$4,Escalators!$C$44:$C$49,0),MATCH(BB$5,Escalators!$I$43:$U$43,0))</f>
        <v>116.73361887464606</v>
      </c>
      <c r="BC14" s="128">
        <f>INDEX(Direct_Cost_Splits_Network,MATCH($H14,RIN_Asset_Cat_Network,0),MATCH($BE$4,Direct_Cost_Type,0))*$N14*INDEX(Act_Type_Augex_Splits,MATCH($I14,Act_Type_Augex,0),MATCH(BC$4,Mat_Type,0))*INDEX(Escalators!$I$44:$U$49,MATCH(BC$4,Escalators!$C$44:$C$49,0),MATCH(BC$5,Escalators!$I$43:$U$43,0))</f>
        <v>0</v>
      </c>
      <c r="BD14" s="128">
        <f>INDEX(Direct_Cost_Splits_Network,MATCH($H14,RIN_Asset_Cat_Network,0),MATCH($BE$4,Direct_Cost_Type,0))*$N14*INDEX(Act_Type_Augex_Splits,MATCH($I14,Act_Type_Augex,0),MATCH(BD$4,Mat_Type,0))*INDEX(Escalators!$I$44:$U$49,MATCH(BD$4,Escalators!$C$44:$C$49,0),MATCH(BD$5,Escalators!$I$43:$U$43,0))</f>
        <v>817.1353321225223</v>
      </c>
      <c r="BE14" s="128">
        <f t="shared" ref="BE14" si="45">SUM(AZ14:BD14)</f>
        <v>1167.3361887464605</v>
      </c>
      <c r="BF14" s="128">
        <f>INDEX(Direct_Cost_Splits_Network,MATCH($H14,RIN_Asset_Cat_Network,0),MATCH($BK$4,Direct_Cost_Type,0))*$O14*INDEX(Act_Type_Augex_Splits,MATCH($I14,Act_Type_Augex,0),MATCH(BF$4,Mat_Type,0))*INDEX(Escalators!$I$44:$U$49,MATCH(BF$4,Escalators!$C$44:$C$49,0),MATCH(BF$5,Escalators!$I$43:$U$43,0))</f>
        <v>116.73361887464606</v>
      </c>
      <c r="BG14" s="128">
        <f>INDEX(Direct_Cost_Splits_Network,MATCH($H14,RIN_Asset_Cat_Network,0),MATCH($BK$4,Direct_Cost_Type,0))*$O14*INDEX(Act_Type_Augex_Splits,MATCH($I14,Act_Type_Augex,0),MATCH(BG$4,Mat_Type,0))*INDEX(Escalators!$I$44:$U$49,MATCH(BG$4,Escalators!$C$44:$C$49,0),MATCH(BG$5,Escalators!$I$43:$U$43,0))</f>
        <v>116.73361887464606</v>
      </c>
      <c r="BH14" s="128">
        <f>INDEX(Direct_Cost_Splits_Network,MATCH($H14,RIN_Asset_Cat_Network,0),MATCH($BK$4,Direct_Cost_Type,0))*$O14*INDEX(Act_Type_Augex_Splits,MATCH($I14,Act_Type_Augex,0),MATCH(BH$4,Mat_Type,0))*INDEX(Escalators!$I$44:$U$49,MATCH(BH$4,Escalators!$C$44:$C$49,0),MATCH(BH$5,Escalators!$I$43:$U$43,0))</f>
        <v>116.73361887464606</v>
      </c>
      <c r="BI14" s="128">
        <f>INDEX(Direct_Cost_Splits_Network,MATCH($H14,RIN_Asset_Cat_Network,0),MATCH($BK$4,Direct_Cost_Type,0))*$O14*INDEX(Act_Type_Augex_Splits,MATCH($I14,Act_Type_Augex,0),MATCH(BI$4,Mat_Type,0))*INDEX(Escalators!$I$44:$U$49,MATCH(BI$4,Escalators!$C$44:$C$49,0),MATCH(BI$5,Escalators!$I$43:$U$43,0))</f>
        <v>0</v>
      </c>
      <c r="BJ14" s="128">
        <f>INDEX(Direct_Cost_Splits_Network,MATCH($H14,RIN_Asset_Cat_Network,0),MATCH($BK$4,Direct_Cost_Type,0))*$O14*INDEX(Act_Type_Augex_Splits,MATCH($I14,Act_Type_Augex,0),MATCH(BJ$4,Mat_Type,0))*INDEX(Escalators!$I$44:$U$49,MATCH(BJ$4,Escalators!$C$44:$C$49,0),MATCH(BJ$5,Escalators!$I$43:$U$43,0))</f>
        <v>817.1353321225223</v>
      </c>
      <c r="BK14" s="128">
        <f t="shared" ref="BK14" si="46">SUM(BF14:BJ14)</f>
        <v>1167.3361887464605</v>
      </c>
      <c r="BL14" s="128">
        <f>INDEX(Direct_Cost_Splits_Network,MATCH($H14,RIN_Asset_Cat_Network,0),MATCH($BQ$4,Direct_Cost_Type,0))*$P14*INDEX(Act_Type_Augex_Splits,MATCH($I14,Act_Type_Augex,0),MATCH(BL$4,Mat_Type,0))*INDEX(Escalators!$I$44:$U$49,MATCH(BL$4,Escalators!$C$44:$C$49,0),MATCH(BL$5,Escalators!$I$43:$U$43,0))</f>
        <v>116.73361887464606</v>
      </c>
      <c r="BM14" s="128">
        <f>INDEX(Direct_Cost_Splits_Network,MATCH($H14,RIN_Asset_Cat_Network,0),MATCH($BQ$4,Direct_Cost_Type,0))*$P14*INDEX(Act_Type_Augex_Splits,MATCH($I14,Act_Type_Augex,0),MATCH(BM$4,Mat_Type,0))*INDEX(Escalators!$I$44:$U$49,MATCH(BM$4,Escalators!$C$44:$C$49,0),MATCH(BM$5,Escalators!$I$43:$U$43,0))</f>
        <v>116.73361887464606</v>
      </c>
      <c r="BN14" s="128">
        <f>INDEX(Direct_Cost_Splits_Network,MATCH($H14,RIN_Asset_Cat_Network,0),MATCH($BQ$4,Direct_Cost_Type,0))*$P14*INDEX(Act_Type_Augex_Splits,MATCH($I14,Act_Type_Augex,0),MATCH(BN$4,Mat_Type,0))*INDEX(Escalators!$I$44:$U$49,MATCH(BN$4,Escalators!$C$44:$C$49,0),MATCH(BN$5,Escalators!$I$43:$U$43,0))</f>
        <v>116.73361887464606</v>
      </c>
      <c r="BO14" s="128">
        <f>INDEX(Direct_Cost_Splits_Network,MATCH($H14,RIN_Asset_Cat_Network,0),MATCH($BQ$4,Direct_Cost_Type,0))*$P14*INDEX(Act_Type_Augex_Splits,MATCH($I14,Act_Type_Augex,0),MATCH(BO$4,Mat_Type,0))*INDEX(Escalators!$I$44:$U$49,MATCH(BO$4,Escalators!$C$44:$C$49,0),MATCH(BO$5,Escalators!$I$43:$U$43,0))</f>
        <v>0</v>
      </c>
      <c r="BP14" s="128">
        <f>INDEX(Direct_Cost_Splits_Network,MATCH($H14,RIN_Asset_Cat_Network,0),MATCH($BQ$4,Direct_Cost_Type,0))*$P14*INDEX(Act_Type_Augex_Splits,MATCH($I14,Act_Type_Augex,0),MATCH(BP$4,Mat_Type,0))*INDEX(Escalators!$I$44:$U$49,MATCH(BP$4,Escalators!$C$44:$C$49,0),MATCH(BP$5,Escalators!$I$43:$U$43,0))</f>
        <v>817.1353321225223</v>
      </c>
      <c r="BQ14" s="128">
        <f t="shared" ref="BQ14" si="47">SUM(BL14:BP14)</f>
        <v>1167.3361887464605</v>
      </c>
      <c r="BR14" s="128">
        <f>INDEX(Direct_Cost_Splits_Network,MATCH($H14,RIN_Asset_Cat_Network,0),MATCH($BW$4,Direct_Cost_Type,0))*$Q14*INDEX(Act_Type_Augex_Splits,MATCH($I14,Act_Type_Augex,0),MATCH(BR$4,Mat_Type,0))*INDEX(Escalators!$I$44:$U$49,MATCH(BR$4,Escalators!$C$44:$C$49,0),MATCH(BR$5,Escalators!$I$43:$U$43,0))</f>
        <v>116.73361887464606</v>
      </c>
      <c r="BS14" s="128">
        <f>INDEX(Direct_Cost_Splits_Network,MATCH($H14,RIN_Asset_Cat_Network,0),MATCH($BW$4,Direct_Cost_Type,0))*$Q14*INDEX(Act_Type_Augex_Splits,MATCH($I14,Act_Type_Augex,0),MATCH(BS$4,Mat_Type,0))*INDEX(Escalators!$I$44:$U$49,MATCH(BS$4,Escalators!$C$44:$C$49,0),MATCH(BS$5,Escalators!$I$43:$U$43,0))</f>
        <v>116.73361887464606</v>
      </c>
      <c r="BT14" s="128">
        <f>INDEX(Direct_Cost_Splits_Network,MATCH($H14,RIN_Asset_Cat_Network,0),MATCH($BW$4,Direct_Cost_Type,0))*$Q14*INDEX(Act_Type_Augex_Splits,MATCH($I14,Act_Type_Augex,0),MATCH(BT$4,Mat_Type,0))*INDEX(Escalators!$I$44:$U$49,MATCH(BT$4,Escalators!$C$44:$C$49,0),MATCH(BT$5,Escalators!$I$43:$U$43,0))</f>
        <v>116.73361887464606</v>
      </c>
      <c r="BU14" s="128">
        <f>INDEX(Direct_Cost_Splits_Network,MATCH($H14,RIN_Asset_Cat_Network,0),MATCH($BW$4,Direct_Cost_Type,0))*$Q14*INDEX(Act_Type_Augex_Splits,MATCH($I14,Act_Type_Augex,0),MATCH(BU$4,Mat_Type,0))*INDEX(Escalators!$I$44:$U$49,MATCH(BU$4,Escalators!$C$44:$C$49,0),MATCH(BU$5,Escalators!$I$43:$U$43,0))</f>
        <v>0</v>
      </c>
      <c r="BV14" s="128">
        <f>INDEX(Direct_Cost_Splits_Network,MATCH($H14,RIN_Asset_Cat_Network,0),MATCH($BW$4,Direct_Cost_Type,0))*$Q14*INDEX(Act_Type_Augex_Splits,MATCH($I14,Act_Type_Augex,0),MATCH(BV$4,Mat_Type,0))*INDEX(Escalators!$I$44:$U$49,MATCH(BV$4,Escalators!$C$44:$C$49,0),MATCH(BV$5,Escalators!$I$43:$U$43,0))</f>
        <v>817.1353321225223</v>
      </c>
      <c r="BW14" s="128">
        <f t="shared" ref="BW14" si="48">SUM(BR14:BV14)</f>
        <v>1167.3361887464605</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1590.2640616121598</v>
      </c>
      <c r="CC14" s="128">
        <f>INDEX(Direct_Cost_Splits_Network,MATCH($H14,RIN_Asset_Cat_Network,0),MATCH($BY$4,Direct_Cost_Type,0))*N14*HLOOKUP(CC$5,Escalators!$I$25:$U$30,6,FALSE)</f>
        <v>1590.2640616121598</v>
      </c>
      <c r="CD14" s="128">
        <f>INDEX(Direct_Cost_Splits_Network,MATCH($H14,RIN_Asset_Cat_Network,0),MATCH($BY$4,Direct_Cost_Type,0))*O14*HLOOKUP(CD$5,Escalators!$I$25:$U$30,6,FALSE)</f>
        <v>1590.2640616121598</v>
      </c>
      <c r="CE14" s="128">
        <f>INDEX(Direct_Cost_Splits_Network,MATCH($H14,RIN_Asset_Cat_Network,0),MATCH($BY$4,Direct_Cost_Type,0))*P14*HLOOKUP(CE$5,Escalators!$I$25:$U$30,6,FALSE)</f>
        <v>1590.2640616121598</v>
      </c>
      <c r="CF14" s="128">
        <f>INDEX(Direct_Cost_Splits_Network,MATCH($H14,RIN_Asset_Cat_Network,0),MATCH($BY$4,Direct_Cost_Type,0))*Q14*HLOOKUP(CF$5,Escalators!$I$25:$U$30,6,FALSE)</f>
        <v>1590.2640616121598</v>
      </c>
      <c r="CG14" s="129"/>
      <c r="CH14" s="675">
        <f t="shared" ref="CH14" si="49">INDEX(Direct_Cost_Splits_Network,MATCH($H14,RIN_Asset_Cat_Network,0),MATCH($CH$4,Direct_Cost_Type,0))*J14</f>
        <v>0</v>
      </c>
      <c r="CI14" s="675">
        <f>INDEX(Direct_Cost_Splits_Network,MATCH($H14,RIN_Asset_Cat_Network,0),MATCH($CH$4,Direct_Cost_Type,0))*K14</f>
        <v>0</v>
      </c>
      <c r="CJ14" s="675">
        <f>INDEX(Direct_Cost_Splits_Network,MATCH($H14,RIN_Asset_Cat_Network,0),MATCH($CH$4,Direct_Cost_Type,0))*L14</f>
        <v>0</v>
      </c>
      <c r="CK14" s="675">
        <f t="shared" ref="CK14" si="50">INDEX(Direct_Cost_Splits_Network,MATCH($H14,RIN_Asset_Cat_Network,0),MATCH($CH$4,Direct_Cost_Type,0))*M14</f>
        <v>436.90298296269299</v>
      </c>
      <c r="CL14" s="675">
        <f t="shared" ref="CL14" si="51">INDEX(Direct_Cost_Splits_Network,MATCH($H14,RIN_Asset_Cat_Network,0),MATCH($CH$4,Direct_Cost_Type,0))*N14</f>
        <v>436.90298296269299</v>
      </c>
      <c r="CM14" s="675">
        <f t="shared" ref="CM14" si="52">INDEX(Direct_Cost_Splits_Network,MATCH($H14,RIN_Asset_Cat_Network,0),MATCH($CH$4,Direct_Cost_Type,0))*O14</f>
        <v>436.90298296269299</v>
      </c>
      <c r="CN14" s="675">
        <f t="shared" ref="CN14" si="53">INDEX(Direct_Cost_Splits_Network,MATCH($H14,RIN_Asset_Cat_Network,0),MATCH($CH$4,Direct_Cost_Type,0))*P14</f>
        <v>436.90298296269299</v>
      </c>
      <c r="CO14" s="675">
        <f t="shared" ref="CO14" si="54">INDEX(Direct_Cost_Splits_Network,MATCH($H14,RIN_Asset_Cat_Network,0),MATCH($CH$4,Direct_Cost_Type,0))*Q14</f>
        <v>436.90298296269299</v>
      </c>
      <c r="CP14" s="129"/>
      <c r="CQ14" s="128">
        <f t="shared" si="18"/>
        <v>0</v>
      </c>
      <c r="CR14" s="128">
        <f t="shared" si="9"/>
        <v>0</v>
      </c>
      <c r="CS14" s="128">
        <f t="shared" si="19"/>
        <v>0</v>
      </c>
      <c r="CT14" s="128">
        <f t="shared" si="20"/>
        <v>3799.1453818655446</v>
      </c>
      <c r="CU14" s="128">
        <f t="shared" si="21"/>
        <v>3802.144947133263</v>
      </c>
      <c r="CV14" s="128">
        <f t="shared" si="22"/>
        <v>3806.1022610078958</v>
      </c>
      <c r="CW14" s="128">
        <f t="shared" si="23"/>
        <v>3812.1782774672761</v>
      </c>
      <c r="CX14" s="128">
        <f t="shared" si="24"/>
        <v>3820.2546404291784</v>
      </c>
      <c r="CZ14" s="39"/>
    </row>
    <row r="15" spans="1:109">
      <c r="B15" s="75" t="s">
        <v>425</v>
      </c>
      <c r="C15" s="75" t="s">
        <v>562</v>
      </c>
      <c r="D15" s="75" t="s">
        <v>425</v>
      </c>
      <c r="E15" s="75" t="s">
        <v>48</v>
      </c>
      <c r="F15" s="75" t="s">
        <v>51</v>
      </c>
      <c r="G15" s="75" t="s">
        <v>10</v>
      </c>
      <c r="H15" s="75" t="s">
        <v>154</v>
      </c>
      <c r="I15" s="75" t="s">
        <v>5</v>
      </c>
      <c r="J15" s="128"/>
      <c r="K15" s="128"/>
      <c r="L15" s="128"/>
      <c r="M15" s="128"/>
      <c r="N15" s="128"/>
      <c r="O15" s="128"/>
      <c r="P15" s="128"/>
      <c r="Q15" s="128"/>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0</v>
      </c>
      <c r="W15" s="128">
        <f>INDEX(Direct_Cost_Splits_Network,MATCH($H15,RIN_Asset_Cat_Network,0),MATCH($S$4,Direct_Cost_Type,0))*N15*HLOOKUP(W$5,Escalators!$I$25:$U$30,3,FALSE)</f>
        <v>0</v>
      </c>
      <c r="X15" s="128">
        <f>INDEX(Direct_Cost_Splits_Network,MATCH($H15,RIN_Asset_Cat_Network,0),MATCH($S$4,Direct_Cost_Type,0))*O15*HLOOKUP(X$5,Escalators!$I$25:$U$30,3,FALSE)</f>
        <v>0</v>
      </c>
      <c r="Y15" s="128">
        <f>INDEX(Direct_Cost_Splits_Network,MATCH($H15,RIN_Asset_Cat_Network,0),MATCH($S$4,Direct_Cost_Type,0))*P15*HLOOKUP(Y$5,Escalators!$I$25:$U$30,3,FALSE)</f>
        <v>0</v>
      </c>
      <c r="Z15" s="128">
        <f>INDEX(Direct_Cost_Splits_Network,MATCH($H15,RIN_Asset_Cat_Network,0),MATCH($S$4,Direct_Cost_Type,0))*Q15*HLOOKUP(Z$5,Escalators!$I$25:$U$30,3,FALSE)</f>
        <v>0</v>
      </c>
      <c r="AA15" s="129"/>
      <c r="AB15" s="75"/>
      <c r="AC15" s="75"/>
      <c r="AD15" s="75"/>
      <c r="AE15" s="75"/>
      <c r="AF15" s="75"/>
      <c r="AG15" s="128">
        <f t="shared" ref="AG15" si="55">SUM(AB15:AF15)</f>
        <v>0</v>
      </c>
      <c r="AH15" s="128">
        <f>INDEX(Direct_Cost_Splits_Network,MATCH($H15,RIN_Asset_Cat_Network,0),MATCH($AY$4,Direct_Cost_Type,0))*$K15*INDEX(Act_Type_Augex_Splits,MATCH($I15,Act_Type_Augex,0),MATCH(AH$4,Mat_Type,0))*INDEX(Escalators!$I$44:$U$49,MATCH(AH$4,Escalators!$C$44:$C$49,0),MATCH(AH$5,Escalators!$I$43:$U$43,0))</f>
        <v>0</v>
      </c>
      <c r="AI15" s="128">
        <f>INDEX(Direct_Cost_Splits_Network,MATCH($H15,RIN_Asset_Cat_Network,0),MATCH($AY$4,Direct_Cost_Type,0))*$K15*INDEX(Act_Type_Augex_Splits,MATCH($I15,Act_Type_Augex,0),MATCH(AI$4,Mat_Type,0))*INDEX(Escalators!$I$44:$U$49,MATCH(AI$4,Escalators!$C$44:$C$49,0),MATCH(AI$5,Escalators!$I$43:$U$43,0))</f>
        <v>0</v>
      </c>
      <c r="AJ15" s="128">
        <f>INDEX(Direct_Cost_Splits_Network,MATCH($H15,RIN_Asset_Cat_Network,0),MATCH($AY$4,Direct_Cost_Type,0))*$K15*INDEX(Act_Type_Augex_Splits,MATCH($I15,Act_Type_Augex,0),MATCH(AJ$4,Mat_Type,0))*INDEX(Escalators!$I$44:$U$49,MATCH(AJ$4,Escalators!$C$44:$C$49,0),MATCH(AJ$5,Escalators!$I$43:$U$43,0))</f>
        <v>0</v>
      </c>
      <c r="AK15" s="128">
        <f>INDEX(Direct_Cost_Splits_Network,MATCH($H15,RIN_Asset_Cat_Network,0),MATCH($AY$4,Direct_Cost_Type,0))*$K15*INDEX(Act_Type_Augex_Splits,MATCH($I15,Act_Type_Augex,0),MATCH(AK$4,Mat_Type,0))*INDEX(Escalators!$I$44:$U$49,MATCH(AK$4,Escalators!$C$44:$C$49,0),MATCH(AK$5,Escalators!$I$43:$U$43,0))</f>
        <v>0</v>
      </c>
      <c r="AL15" s="128">
        <f>INDEX(Direct_Cost_Splits_Network,MATCH($H15,RIN_Asset_Cat_Network,0),MATCH($AY$4,Direct_Cost_Type,0))*$K15*INDEX(Act_Type_Augex_Splits,MATCH($I15,Act_Type_Augex,0),MATCH(AL$4,Mat_Type,0))*INDEX(Escalators!$I$44:$U$49,MATCH(AL$4,Escalators!$C$44:$C$49,0),MATCH(AL$5,Escalators!$I$43:$U$43,0))</f>
        <v>0</v>
      </c>
      <c r="AM15" s="128">
        <f t="shared" ref="AM15" si="56">SUM(AH15:AL15)</f>
        <v>0</v>
      </c>
      <c r="AN15" s="128">
        <f>INDEX(Direct_Cost_Splits_Network,MATCH($H15,RIN_Asset_Cat_Network,0),MATCH($AY$4,Direct_Cost_Type,0))*$L15*INDEX(Act_Type_Augex_Splits,MATCH($I15,Act_Type_Augex,0),MATCH(AN$4,Mat_Type,0))*INDEX(Escalators!$I$44:$U$49,MATCH(AN$4,Escalators!$C$44:$C$49,0),MATCH(AN$5,Escalators!$I$43:$U$43,0))</f>
        <v>0</v>
      </c>
      <c r="AO15" s="128">
        <f>INDEX(Direct_Cost_Splits_Network,MATCH($H15,RIN_Asset_Cat_Network,0),MATCH($AY$4,Direct_Cost_Type,0))*$L15*INDEX(Act_Type_Augex_Splits,MATCH($I15,Act_Type_Augex,0),MATCH(AO$4,Mat_Type,0))*INDEX(Escalators!$I$44:$U$49,MATCH(AO$4,Escalators!$C$44:$C$49,0),MATCH(AO$5,Escalators!$I$43:$U$43,0))</f>
        <v>0</v>
      </c>
      <c r="AP15" s="128">
        <f>INDEX(Direct_Cost_Splits_Network,MATCH($H15,RIN_Asset_Cat_Network,0),MATCH($AY$4,Direct_Cost_Type,0))*$L15*INDEX(Act_Type_Augex_Splits,MATCH($I15,Act_Type_Augex,0),MATCH(AP$4,Mat_Type,0))*INDEX(Escalators!$I$44:$U$49,MATCH(AP$4,Escalators!$C$44:$C$49,0),MATCH(AP$5,Escalators!$I$43:$U$43,0))</f>
        <v>0</v>
      </c>
      <c r="AQ15" s="128">
        <f>INDEX(Direct_Cost_Splits_Network,MATCH($H15,RIN_Asset_Cat_Network,0),MATCH($AY$4,Direct_Cost_Type,0))*$L15*INDEX(Act_Type_Augex_Splits,MATCH($I15,Act_Type_Augex,0),MATCH(AQ$4,Mat_Type,0))*INDEX(Escalators!$I$44:$U$49,MATCH(AQ$4,Escalators!$C$44:$C$49,0),MATCH(AQ$5,Escalators!$I$43:$U$43,0))</f>
        <v>0</v>
      </c>
      <c r="AR15" s="128">
        <f>INDEX(Direct_Cost_Splits_Network,MATCH($H15,RIN_Asset_Cat_Network,0),MATCH($AY$4,Direct_Cost_Type,0))*$L15*INDEX(Act_Type_Augex_Splits,MATCH($I15,Act_Type_Augex,0),MATCH(AR$4,Mat_Type,0))*INDEX(Escalators!$I$44:$U$49,MATCH(AR$4,Escalators!$C$44:$C$49,0),MATCH(AR$5,Escalators!$I$43:$U$43,0))</f>
        <v>0</v>
      </c>
      <c r="AS15" s="128">
        <f t="shared" si="40"/>
        <v>0</v>
      </c>
      <c r="AT15" s="128">
        <f>INDEX(Direct_Cost_Splits_Network,MATCH($H15,RIN_Asset_Cat_Network,0),MATCH($AY$4,Direct_Cost_Type,0))*$M15*INDEX(Act_Type_Augex_Splits,MATCH($I15,Act_Type_Augex,0),MATCH(AT$4,Mat_Type,0))*INDEX(Escalators!$I$44:$U$49,MATCH(AT$4,Escalators!$C$44:$C$49,0),MATCH(AT$5,Escalators!$I$43:$U$43,0))</f>
        <v>0</v>
      </c>
      <c r="AU15" s="128">
        <f>INDEX(Direct_Cost_Splits_Network,MATCH($H15,RIN_Asset_Cat_Network,0),MATCH($AY$4,Direct_Cost_Type,0))*$M15*INDEX(Act_Type_Augex_Splits,MATCH($I15,Act_Type_Augex,0),MATCH(AU$4,Mat_Type,0))*INDEX(Escalators!$I$44:$U$49,MATCH(AU$4,Escalators!$C$44:$C$49,0),MATCH(AU$5,Escalators!$I$43:$U$43,0))</f>
        <v>0</v>
      </c>
      <c r="AV15" s="128">
        <f>INDEX(Direct_Cost_Splits_Network,MATCH($H15,RIN_Asset_Cat_Network,0),MATCH($AY$4,Direct_Cost_Type,0))*$M15*INDEX(Act_Type_Augex_Splits,MATCH($I15,Act_Type_Augex,0),MATCH(AV$4,Mat_Type,0))*INDEX(Escalators!$I$44:$U$49,MATCH(AV$4,Escalators!$C$44:$C$49,0),MATCH(AV$5,Escalators!$I$43:$U$43,0))</f>
        <v>0</v>
      </c>
      <c r="AW15" s="128">
        <f>INDEX(Direct_Cost_Splits_Network,MATCH($H15,RIN_Asset_Cat_Network,0),MATCH($AY$4,Direct_Cost_Type,0))*$M15*INDEX(Act_Type_Augex_Splits,MATCH($I15,Act_Type_Augex,0),MATCH(AW$4,Mat_Type,0))*INDEX(Escalators!$I$44:$U$49,MATCH(AW$4,Escalators!$C$44:$C$49,0),MATCH(AW$5,Escalators!$I$43:$U$43,0))</f>
        <v>0</v>
      </c>
      <c r="AX15" s="128">
        <f>INDEX(Direct_Cost_Splits_Network,MATCH($H15,RIN_Asset_Cat_Network,0),MATCH($AY$4,Direct_Cost_Type,0))*$M15*INDEX(Act_Type_Augex_Splits,MATCH($I15,Act_Type_Augex,0),MATCH(AX$4,Mat_Type,0))*INDEX(Escalators!$I$44:$U$49,MATCH(AX$4,Escalators!$C$44:$C$49,0),MATCH(AX$5,Escalators!$I$43:$U$43,0))</f>
        <v>0</v>
      </c>
      <c r="AY15" s="128">
        <f t="shared" ref="AY15" si="57">SUM(AT15:AX15)</f>
        <v>0</v>
      </c>
      <c r="AZ15" s="128">
        <f>INDEX(Direct_Cost_Splits_Network,MATCH($H15,RIN_Asset_Cat_Network,0),MATCH($BE$4,Direct_Cost_Type,0))*$N15*INDEX(Act_Type_Augex_Splits,MATCH($I15,Act_Type_Augex,0),MATCH(AZ$4,Mat_Type,0))*INDEX(Escalators!$I$44:$U$49,MATCH(AZ$4,Escalators!$C$44:$C$49,0),MATCH(AZ$5,Escalators!$I$43:$U$43,0))</f>
        <v>0</v>
      </c>
      <c r="BA15" s="128">
        <f>INDEX(Direct_Cost_Splits_Network,MATCH($H15,RIN_Asset_Cat_Network,0),MATCH($BE$4,Direct_Cost_Type,0))*$N15*INDEX(Act_Type_Augex_Splits,MATCH($I15,Act_Type_Augex,0),MATCH(BA$4,Mat_Type,0))*INDEX(Escalators!$I$44:$U$49,MATCH(BA$4,Escalators!$C$44:$C$49,0),MATCH(BA$5,Escalators!$I$43:$U$43,0))</f>
        <v>0</v>
      </c>
      <c r="BB15" s="128">
        <f>INDEX(Direct_Cost_Splits_Network,MATCH($H15,RIN_Asset_Cat_Network,0),MATCH($BE$4,Direct_Cost_Type,0))*$N15*INDEX(Act_Type_Augex_Splits,MATCH($I15,Act_Type_Augex,0),MATCH(BB$4,Mat_Type,0))*INDEX(Escalators!$I$44:$U$49,MATCH(BB$4,Escalators!$C$44:$C$49,0),MATCH(BB$5,Escalators!$I$43:$U$43,0))</f>
        <v>0</v>
      </c>
      <c r="BC15" s="128">
        <f>INDEX(Direct_Cost_Splits_Network,MATCH($H15,RIN_Asset_Cat_Network,0),MATCH($BE$4,Direct_Cost_Type,0))*$N15*INDEX(Act_Type_Augex_Splits,MATCH($I15,Act_Type_Augex,0),MATCH(BC$4,Mat_Type,0))*INDEX(Escalators!$I$44:$U$49,MATCH(BC$4,Escalators!$C$44:$C$49,0),MATCH(BC$5,Escalators!$I$43:$U$43,0))</f>
        <v>0</v>
      </c>
      <c r="BD15" s="128">
        <f>INDEX(Direct_Cost_Splits_Network,MATCH($H15,RIN_Asset_Cat_Network,0),MATCH($BE$4,Direct_Cost_Type,0))*$N15*INDEX(Act_Type_Augex_Splits,MATCH($I15,Act_Type_Augex,0),MATCH(BD$4,Mat_Type,0))*INDEX(Escalators!$I$44:$U$49,MATCH(BD$4,Escalators!$C$44:$C$49,0),MATCH(BD$5,Escalators!$I$43:$U$43,0))</f>
        <v>0</v>
      </c>
      <c r="BE15" s="128">
        <f t="shared" ref="BE15" si="58">SUM(AZ15:BD15)</f>
        <v>0</v>
      </c>
      <c r="BF15" s="128">
        <f>INDEX(Direct_Cost_Splits_Network,MATCH($H15,RIN_Asset_Cat_Network,0),MATCH($BK$4,Direct_Cost_Type,0))*$O15*INDEX(Act_Type_Augex_Splits,MATCH($I15,Act_Type_Augex,0),MATCH(BF$4,Mat_Type,0))*INDEX(Escalators!$I$44:$U$49,MATCH(BF$4,Escalators!$C$44:$C$49,0),MATCH(BF$5,Escalators!$I$43:$U$43,0))</f>
        <v>0</v>
      </c>
      <c r="BG15" s="128">
        <f>INDEX(Direct_Cost_Splits_Network,MATCH($H15,RIN_Asset_Cat_Network,0),MATCH($BK$4,Direct_Cost_Type,0))*$O15*INDEX(Act_Type_Augex_Splits,MATCH($I15,Act_Type_Augex,0),MATCH(BG$4,Mat_Type,0))*INDEX(Escalators!$I$44:$U$49,MATCH(BG$4,Escalators!$C$44:$C$49,0),MATCH(BG$5,Escalators!$I$43:$U$43,0))</f>
        <v>0</v>
      </c>
      <c r="BH15" s="128">
        <f>INDEX(Direct_Cost_Splits_Network,MATCH($H15,RIN_Asset_Cat_Network,0),MATCH($BK$4,Direct_Cost_Type,0))*$O15*INDEX(Act_Type_Augex_Splits,MATCH($I15,Act_Type_Augex,0),MATCH(BH$4,Mat_Type,0))*INDEX(Escalators!$I$44:$U$49,MATCH(BH$4,Escalators!$C$44:$C$49,0),MATCH(BH$5,Escalators!$I$43:$U$43,0))</f>
        <v>0</v>
      </c>
      <c r="BI15" s="128">
        <f>INDEX(Direct_Cost_Splits_Network,MATCH($H15,RIN_Asset_Cat_Network,0),MATCH($BK$4,Direct_Cost_Type,0))*$O15*INDEX(Act_Type_Augex_Splits,MATCH($I15,Act_Type_Augex,0),MATCH(BI$4,Mat_Type,0))*INDEX(Escalators!$I$44:$U$49,MATCH(BI$4,Escalators!$C$44:$C$49,0),MATCH(BI$5,Escalators!$I$43:$U$43,0))</f>
        <v>0</v>
      </c>
      <c r="BJ15" s="128">
        <f>INDEX(Direct_Cost_Splits_Network,MATCH($H15,RIN_Asset_Cat_Network,0),MATCH($BK$4,Direct_Cost_Type,0))*$O15*INDEX(Act_Type_Augex_Splits,MATCH($I15,Act_Type_Augex,0),MATCH(BJ$4,Mat_Type,0))*INDEX(Escalators!$I$44:$U$49,MATCH(BJ$4,Escalators!$C$44:$C$49,0),MATCH(BJ$5,Escalators!$I$43:$U$43,0))</f>
        <v>0</v>
      </c>
      <c r="BK15" s="128">
        <f t="shared" ref="BK15" si="59">SUM(BF15:BJ15)</f>
        <v>0</v>
      </c>
      <c r="BL15" s="128">
        <f>INDEX(Direct_Cost_Splits_Network,MATCH($H15,RIN_Asset_Cat_Network,0),MATCH($BQ$4,Direct_Cost_Type,0))*$P15*INDEX(Act_Type_Augex_Splits,MATCH($I15,Act_Type_Augex,0),MATCH(BL$4,Mat_Type,0))*INDEX(Escalators!$I$44:$U$49,MATCH(BL$4,Escalators!$C$44:$C$49,0),MATCH(BL$5,Escalators!$I$43:$U$43,0))</f>
        <v>0</v>
      </c>
      <c r="BM15" s="128">
        <f>INDEX(Direct_Cost_Splits_Network,MATCH($H15,RIN_Asset_Cat_Network,0),MATCH($BQ$4,Direct_Cost_Type,0))*$P15*INDEX(Act_Type_Augex_Splits,MATCH($I15,Act_Type_Augex,0),MATCH(BM$4,Mat_Type,0))*INDEX(Escalators!$I$44:$U$49,MATCH(BM$4,Escalators!$C$44:$C$49,0),MATCH(BM$5,Escalators!$I$43:$U$43,0))</f>
        <v>0</v>
      </c>
      <c r="BN15" s="128">
        <f>INDEX(Direct_Cost_Splits_Network,MATCH($H15,RIN_Asset_Cat_Network,0),MATCH($BQ$4,Direct_Cost_Type,0))*$P15*INDEX(Act_Type_Augex_Splits,MATCH($I15,Act_Type_Augex,0),MATCH(BN$4,Mat_Type,0))*INDEX(Escalators!$I$44:$U$49,MATCH(BN$4,Escalators!$C$44:$C$49,0),MATCH(BN$5,Escalators!$I$43:$U$43,0))</f>
        <v>0</v>
      </c>
      <c r="BO15" s="128">
        <f>INDEX(Direct_Cost_Splits_Network,MATCH($H15,RIN_Asset_Cat_Network,0),MATCH($BQ$4,Direct_Cost_Type,0))*$P15*INDEX(Act_Type_Augex_Splits,MATCH($I15,Act_Type_Augex,0),MATCH(BO$4,Mat_Type,0))*INDEX(Escalators!$I$44:$U$49,MATCH(BO$4,Escalators!$C$44:$C$49,0),MATCH(BO$5,Escalators!$I$43:$U$43,0))</f>
        <v>0</v>
      </c>
      <c r="BP15" s="128">
        <f>INDEX(Direct_Cost_Splits_Network,MATCH($H15,RIN_Asset_Cat_Network,0),MATCH($BQ$4,Direct_Cost_Type,0))*$P15*INDEX(Act_Type_Augex_Splits,MATCH($I15,Act_Type_Augex,0),MATCH(BP$4,Mat_Type,0))*INDEX(Escalators!$I$44:$U$49,MATCH(BP$4,Escalators!$C$44:$C$49,0),MATCH(BP$5,Escalators!$I$43:$U$43,0))</f>
        <v>0</v>
      </c>
      <c r="BQ15" s="128">
        <f t="shared" ref="BQ15" si="60">SUM(BL15:BP15)</f>
        <v>0</v>
      </c>
      <c r="BR15" s="128">
        <f>INDEX(Direct_Cost_Splits_Network,MATCH($H15,RIN_Asset_Cat_Network,0),MATCH($BW$4,Direct_Cost_Type,0))*$Q15*INDEX(Act_Type_Augex_Splits,MATCH($I15,Act_Type_Augex,0),MATCH(BR$4,Mat_Type,0))*INDEX(Escalators!$I$44:$U$49,MATCH(BR$4,Escalators!$C$44:$C$49,0),MATCH(BR$5,Escalators!$I$43:$U$43,0))</f>
        <v>0</v>
      </c>
      <c r="BS15" s="128">
        <f>INDEX(Direct_Cost_Splits_Network,MATCH($H15,RIN_Asset_Cat_Network,0),MATCH($BW$4,Direct_Cost_Type,0))*$Q15*INDEX(Act_Type_Augex_Splits,MATCH($I15,Act_Type_Augex,0),MATCH(BS$4,Mat_Type,0))*INDEX(Escalators!$I$44:$U$49,MATCH(BS$4,Escalators!$C$44:$C$49,0),MATCH(BS$5,Escalators!$I$43:$U$43,0))</f>
        <v>0</v>
      </c>
      <c r="BT15" s="128">
        <f>INDEX(Direct_Cost_Splits_Network,MATCH($H15,RIN_Asset_Cat_Network,0),MATCH($BW$4,Direct_Cost_Type,0))*$Q15*INDEX(Act_Type_Augex_Splits,MATCH($I15,Act_Type_Augex,0),MATCH(BT$4,Mat_Type,0))*INDEX(Escalators!$I$44:$U$49,MATCH(BT$4,Escalators!$C$44:$C$49,0),MATCH(BT$5,Escalators!$I$43:$U$43,0))</f>
        <v>0</v>
      </c>
      <c r="BU15" s="128">
        <f>INDEX(Direct_Cost_Splits_Network,MATCH($H15,RIN_Asset_Cat_Network,0),MATCH($BW$4,Direct_Cost_Type,0))*$Q15*INDEX(Act_Type_Augex_Splits,MATCH($I15,Act_Type_Augex,0),MATCH(BU$4,Mat_Type,0))*INDEX(Escalators!$I$44:$U$49,MATCH(BU$4,Escalators!$C$44:$C$49,0),MATCH(BU$5,Escalators!$I$43:$U$43,0))</f>
        <v>0</v>
      </c>
      <c r="BV15" s="128">
        <f>INDEX(Direct_Cost_Splits_Network,MATCH($H15,RIN_Asset_Cat_Network,0),MATCH($BW$4,Direct_Cost_Type,0))*$Q15*INDEX(Act_Type_Augex_Splits,MATCH($I15,Act_Type_Augex,0),MATCH(BV$4,Mat_Type,0))*INDEX(Escalators!$I$44:$U$49,MATCH(BV$4,Escalators!$C$44:$C$49,0),MATCH(BV$5,Escalators!$I$43:$U$43,0))</f>
        <v>0</v>
      </c>
      <c r="BW15" s="128">
        <f t="shared" ref="BW15" si="61">SUM(BR15:BV15)</f>
        <v>0</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0</v>
      </c>
      <c r="CC15" s="128">
        <f>INDEX(Direct_Cost_Splits_Network,MATCH($H15,RIN_Asset_Cat_Network,0),MATCH($BY$4,Direct_Cost_Type,0))*N15*HLOOKUP(CC$5,Escalators!$I$25:$U$30,6,FALSE)</f>
        <v>0</v>
      </c>
      <c r="CD15" s="128">
        <f>INDEX(Direct_Cost_Splits_Network,MATCH($H15,RIN_Asset_Cat_Network,0),MATCH($BY$4,Direct_Cost_Type,0))*O15*HLOOKUP(CD$5,Escalators!$I$25:$U$30,6,FALSE)</f>
        <v>0</v>
      </c>
      <c r="CE15" s="128">
        <f>INDEX(Direct_Cost_Splits_Network,MATCH($H15,RIN_Asset_Cat_Network,0),MATCH($BY$4,Direct_Cost_Type,0))*P15*HLOOKUP(CE$5,Escalators!$I$25:$U$30,6,FALSE)</f>
        <v>0</v>
      </c>
      <c r="CF15" s="128">
        <f>INDEX(Direct_Cost_Splits_Network,MATCH($H15,RIN_Asset_Cat_Network,0),MATCH($BY$4,Direct_Cost_Type,0))*Q15*HLOOKUP(CF$5,Escalators!$I$25:$U$30,6,FALSE)</f>
        <v>0</v>
      </c>
      <c r="CG15" s="129"/>
      <c r="CH15" s="675">
        <f t="shared" ref="CH15" si="62">INDEX(Direct_Cost_Splits_Network,MATCH($H15,RIN_Asset_Cat_Network,0),MATCH($CH$4,Direct_Cost_Type,0))*J15</f>
        <v>0</v>
      </c>
      <c r="CI15" s="675">
        <f>INDEX(Direct_Cost_Splits_Network,MATCH($H15,RIN_Asset_Cat_Network,0),MATCH($CH$4,Direct_Cost_Type,0))*K15</f>
        <v>0</v>
      </c>
      <c r="CJ15" s="675">
        <f>INDEX(Direct_Cost_Splits_Network,MATCH($H15,RIN_Asset_Cat_Network,0),MATCH($CH$4,Direct_Cost_Type,0))*L15</f>
        <v>0</v>
      </c>
      <c r="CK15" s="675">
        <f t="shared" ref="CK15" si="63">INDEX(Direct_Cost_Splits_Network,MATCH($H15,RIN_Asset_Cat_Network,0),MATCH($CH$4,Direct_Cost_Type,0))*M15</f>
        <v>0</v>
      </c>
      <c r="CL15" s="675">
        <f t="shared" ref="CL15" si="64">INDEX(Direct_Cost_Splits_Network,MATCH($H15,RIN_Asset_Cat_Network,0),MATCH($CH$4,Direct_Cost_Type,0))*N15</f>
        <v>0</v>
      </c>
      <c r="CM15" s="675">
        <f t="shared" ref="CM15" si="65">INDEX(Direct_Cost_Splits_Network,MATCH($H15,RIN_Asset_Cat_Network,0),MATCH($CH$4,Direct_Cost_Type,0))*O15</f>
        <v>0</v>
      </c>
      <c r="CN15" s="675">
        <f t="shared" ref="CN15" si="66">INDEX(Direct_Cost_Splits_Network,MATCH($H15,RIN_Asset_Cat_Network,0),MATCH($CH$4,Direct_Cost_Type,0))*P15</f>
        <v>0</v>
      </c>
      <c r="CO15" s="675">
        <f t="shared" ref="CO15" si="67">INDEX(Direct_Cost_Splits_Network,MATCH($H15,RIN_Asset_Cat_Network,0),MATCH($CH$4,Direct_Cost_Type,0))*Q15</f>
        <v>0</v>
      </c>
      <c r="CP15" s="129"/>
      <c r="CQ15" s="128">
        <f t="shared" si="18"/>
        <v>0</v>
      </c>
      <c r="CR15" s="128">
        <f t="shared" si="9"/>
        <v>0</v>
      </c>
      <c r="CS15" s="128">
        <f t="shared" si="19"/>
        <v>0</v>
      </c>
      <c r="CT15" s="128">
        <f t="shared" si="20"/>
        <v>0</v>
      </c>
      <c r="CU15" s="128">
        <f t="shared" si="21"/>
        <v>0</v>
      </c>
      <c r="CV15" s="128">
        <f t="shared" si="22"/>
        <v>0</v>
      </c>
      <c r="CW15" s="128">
        <f t="shared" si="23"/>
        <v>0</v>
      </c>
      <c r="CX15" s="128">
        <f t="shared" si="24"/>
        <v>0</v>
      </c>
      <c r="CZ15" s="39"/>
    </row>
    <row r="16" spans="1:109">
      <c r="B16" s="75"/>
      <c r="C16" s="75"/>
      <c r="D16" s="75"/>
      <c r="E16" s="75"/>
      <c r="F16" s="75"/>
      <c r="G16" s="75"/>
      <c r="H16" s="75"/>
      <c r="I16" s="75"/>
      <c r="J16" s="128"/>
      <c r="K16" s="128"/>
      <c r="L16" s="128"/>
      <c r="M16" s="128"/>
      <c r="N16" s="128"/>
      <c r="O16" s="128"/>
      <c r="P16" s="128"/>
      <c r="Q16" s="128"/>
      <c r="R16" s="129"/>
      <c r="S16" s="128"/>
      <c r="T16" s="128"/>
      <c r="U16" s="128"/>
      <c r="V16" s="128"/>
      <c r="W16" s="128"/>
      <c r="X16" s="128"/>
      <c r="Y16" s="128"/>
      <c r="Z16" s="128"/>
      <c r="AA16" s="129"/>
      <c r="AB16" s="75"/>
      <c r="AC16" s="75"/>
      <c r="AD16" s="75"/>
      <c r="AE16" s="75"/>
      <c r="AF16" s="75"/>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9"/>
      <c r="BY16" s="128"/>
      <c r="BZ16" s="128"/>
      <c r="CA16" s="128"/>
      <c r="CB16" s="128"/>
      <c r="CC16" s="128"/>
      <c r="CD16" s="128"/>
      <c r="CE16" s="128"/>
      <c r="CF16" s="128"/>
      <c r="CG16" s="129"/>
      <c r="CH16" s="128"/>
      <c r="CI16" s="128"/>
      <c r="CJ16" s="128"/>
      <c r="CK16" s="128"/>
      <c r="CL16" s="128"/>
      <c r="CM16" s="128"/>
      <c r="CN16" s="128"/>
      <c r="CO16" s="128"/>
      <c r="CP16" s="129"/>
      <c r="CQ16" s="128">
        <f t="shared" si="18"/>
        <v>0</v>
      </c>
      <c r="CR16" s="128">
        <f t="shared" si="9"/>
        <v>0</v>
      </c>
      <c r="CS16" s="128">
        <f t="shared" si="19"/>
        <v>0</v>
      </c>
      <c r="CT16" s="128">
        <f t="shared" si="20"/>
        <v>0</v>
      </c>
      <c r="CU16" s="128">
        <f t="shared" si="21"/>
        <v>0</v>
      </c>
      <c r="CV16" s="128">
        <f t="shared" si="22"/>
        <v>0</v>
      </c>
      <c r="CW16" s="128">
        <f t="shared" si="23"/>
        <v>0</v>
      </c>
      <c r="CX16" s="128">
        <f t="shared" si="24"/>
        <v>0</v>
      </c>
      <c r="CZ16" s="39"/>
    </row>
    <row r="17" spans="2:104">
      <c r="B17" s="75" t="s">
        <v>426</v>
      </c>
      <c r="C17" s="75" t="s">
        <v>417</v>
      </c>
      <c r="D17" s="75" t="s">
        <v>538</v>
      </c>
      <c r="E17" s="75" t="s">
        <v>45</v>
      </c>
      <c r="F17" s="75" t="s">
        <v>51</v>
      </c>
      <c r="G17" s="75" t="s">
        <v>10</v>
      </c>
      <c r="H17" s="75" t="s">
        <v>164</v>
      </c>
      <c r="I17" s="75" t="s">
        <v>214</v>
      </c>
      <c r="J17" s="128"/>
      <c r="K17" s="128"/>
      <c r="L17" s="128"/>
      <c r="M17" s="128"/>
      <c r="N17" s="128"/>
      <c r="O17" s="128"/>
      <c r="P17" s="128"/>
      <c r="Q17" s="128"/>
      <c r="R17" s="129"/>
      <c r="S17" s="128">
        <f>INDEX(Direct_Cost_Splits_Network,MATCH($H17,RIN_Asset_Cat_Network,0),MATCH($S$4,Direct_Cost_Type,0))*J17*HLOOKUP(S$5,Escalators!$I$25:$U$30,3,FALSE)</f>
        <v>0</v>
      </c>
      <c r="T17" s="128">
        <f>INDEX(Direct_Cost_Splits_Network,MATCH($H17,RIN_Asset_Cat_Network,0),MATCH($S$4,Direct_Cost_Type,0))*K17*HLOOKUP(T$5,Escalators!$I$25:$U$30,3,FALSE)</f>
        <v>0</v>
      </c>
      <c r="U17" s="128">
        <f>INDEX(Direct_Cost_Splits_Network,MATCH($H17,RIN_Asset_Cat_Network,0),MATCH($S$4,Direct_Cost_Type,0))*L17*HLOOKUP(U$5,Escalators!$I$25:$U$30,3,FALSE)</f>
        <v>0</v>
      </c>
      <c r="V17" s="128">
        <f>INDEX(Direct_Cost_Splits_Network,MATCH($H17,RIN_Asset_Cat_Network,0),MATCH($S$4,Direct_Cost_Type,0))*M17*HLOOKUP(V$5,Escalators!$I$25:$U$30,3,FALSE)</f>
        <v>0</v>
      </c>
      <c r="W17" s="128">
        <f>INDEX(Direct_Cost_Splits_Network,MATCH($H17,RIN_Asset_Cat_Network,0),MATCH($S$4,Direct_Cost_Type,0))*N17*HLOOKUP(W$5,Escalators!$I$25:$U$30,3,FALSE)</f>
        <v>0</v>
      </c>
      <c r="X17" s="128">
        <f>INDEX(Direct_Cost_Splits_Network,MATCH($H17,RIN_Asset_Cat_Network,0),MATCH($S$4,Direct_Cost_Type,0))*O17*HLOOKUP(X$5,Escalators!$I$25:$U$30,3,FALSE)</f>
        <v>0</v>
      </c>
      <c r="Y17" s="128">
        <f>INDEX(Direct_Cost_Splits_Network,MATCH($H17,RIN_Asset_Cat_Network,0),MATCH($S$4,Direct_Cost_Type,0))*P17*HLOOKUP(Y$5,Escalators!$I$25:$U$30,3,FALSE)</f>
        <v>0</v>
      </c>
      <c r="Z17" s="128">
        <f>INDEX(Direct_Cost_Splits_Network,MATCH($H17,RIN_Asset_Cat_Network,0),MATCH($S$4,Direct_Cost_Type,0))*Q17*HLOOKUP(Z$5,Escalators!$I$25:$U$30,3,FALSE)</f>
        <v>0</v>
      </c>
      <c r="AA17" s="129"/>
      <c r="AB17" s="128">
        <f>INDEX(Direct_Cost_Splits_Network,MATCH($H17,RIN_Asset_Cat_Network,0),MATCH($AG$4,Direct_Cost_Type,0))*$J17*INDEX(Act_Type_Augex_Splits,MATCH($I17,Act_Type_Augex,0),MATCH(AB$4,Mat_Type,0))*INDEX(Escalators!$I$44:$U$49,MATCH(AB$4,Escalators!$C$44:$C$49,0),MATCH(AB$5,Escalators!$I$43:$U$43,0))</f>
        <v>0</v>
      </c>
      <c r="AC17" s="128">
        <f>INDEX(Direct_Cost_Splits_Network,MATCH($H17,RIN_Asset_Cat_Network,0),MATCH($AG$4,Direct_Cost_Type,0))*$J17*INDEX(Act_Type_Augex_Splits,MATCH($I17,Act_Type_Augex,0),MATCH(AC$4,Mat_Type,0))*INDEX(Escalators!$I$44:$U$49,MATCH(AC$4,Escalators!$C$44:$C$49,0),MATCH(AC$5,Escalators!$I$43:$U$43,0))</f>
        <v>0</v>
      </c>
      <c r="AD17" s="128">
        <f>INDEX(Direct_Cost_Splits_Network,MATCH($H17,RIN_Asset_Cat_Network,0),MATCH($AG$4,Direct_Cost_Type,0))*$J17*INDEX(Act_Type_Augex_Splits,MATCH($I17,Act_Type_Augex,0),MATCH(AD$4,Mat_Type,0))*INDEX(Escalators!$I$44:$U$49,MATCH(AD$4,Escalators!$C$44:$C$49,0),MATCH(AD$5,Escalators!$I$43:$U$43,0))</f>
        <v>0</v>
      </c>
      <c r="AE17" s="128">
        <f>INDEX(Direct_Cost_Splits_Network,MATCH($H17,RIN_Asset_Cat_Network,0),MATCH($AG$4,Direct_Cost_Type,0))*$J17*INDEX(Act_Type_Augex_Splits,MATCH($I17,Act_Type_Augex,0),MATCH(AE$4,Mat_Type,0))*INDEX(Escalators!$I$44:$U$49,MATCH(AE$4,Escalators!$C$44:$C$49,0),MATCH(AE$5,Escalators!$I$43:$U$43,0))</f>
        <v>0</v>
      </c>
      <c r="AF17" s="128">
        <f>INDEX(Direct_Cost_Splits_Network,MATCH($H17,RIN_Asset_Cat_Network,0),MATCH($AG$4,Direct_Cost_Type,0))*$J17*INDEX(Act_Type_Augex_Splits,MATCH($I17,Act_Type_Augex,0),MATCH(AF$4,Mat_Type,0))*INDEX(Escalators!$I$44:$U$49,MATCH(AF$4,Escalators!$C$44:$C$49,0),MATCH(AF$5,Escalators!$I$43:$U$43,0))</f>
        <v>0</v>
      </c>
      <c r="AG17" s="128">
        <f t="shared" ref="AG17:AG27" si="68">SUM(AB17:AF17)</f>
        <v>0</v>
      </c>
      <c r="AH17" s="128">
        <f>INDEX(Direct_Cost_Splits_Network,MATCH($H17,RIN_Asset_Cat_Network,0),MATCH($AY$4,Direct_Cost_Type,0))*$K17*INDEX(Act_Type_Augex_Splits,MATCH($I17,Act_Type_Augex,0),MATCH(AH$4,Mat_Type,0))*INDEX(Escalators!$I$44:$U$49,MATCH(AH$4,Escalators!$C$44:$C$49,0),MATCH(AH$5,Escalators!$I$43:$U$43,0))</f>
        <v>0</v>
      </c>
      <c r="AI17" s="128">
        <f>INDEX(Direct_Cost_Splits_Network,MATCH($H17,RIN_Asset_Cat_Network,0),MATCH($AY$4,Direct_Cost_Type,0))*$K17*INDEX(Act_Type_Augex_Splits,MATCH($I17,Act_Type_Augex,0),MATCH(AI$4,Mat_Type,0))*INDEX(Escalators!$I$44:$U$49,MATCH(AI$4,Escalators!$C$44:$C$49,0),MATCH(AI$5,Escalators!$I$43:$U$43,0))</f>
        <v>0</v>
      </c>
      <c r="AJ17" s="128">
        <f>INDEX(Direct_Cost_Splits_Network,MATCH($H17,RIN_Asset_Cat_Network,0),MATCH($AY$4,Direct_Cost_Type,0))*$K17*INDEX(Act_Type_Augex_Splits,MATCH($I17,Act_Type_Augex,0),MATCH(AJ$4,Mat_Type,0))*INDEX(Escalators!$I$44:$U$49,MATCH(AJ$4,Escalators!$C$44:$C$49,0),MATCH(AJ$5,Escalators!$I$43:$U$43,0))</f>
        <v>0</v>
      </c>
      <c r="AK17" s="128">
        <f>INDEX(Direct_Cost_Splits_Network,MATCH($H17,RIN_Asset_Cat_Network,0),MATCH($AY$4,Direct_Cost_Type,0))*$K17*INDEX(Act_Type_Augex_Splits,MATCH($I17,Act_Type_Augex,0),MATCH(AK$4,Mat_Type,0))*INDEX(Escalators!$I$44:$U$49,MATCH(AK$4,Escalators!$C$44:$C$49,0),MATCH(AK$5,Escalators!$I$43:$U$43,0))</f>
        <v>0</v>
      </c>
      <c r="AL17" s="128">
        <f>INDEX(Direct_Cost_Splits_Network,MATCH($H17,RIN_Asset_Cat_Network,0),MATCH($AY$4,Direct_Cost_Type,0))*$K17*INDEX(Act_Type_Augex_Splits,MATCH($I17,Act_Type_Augex,0),MATCH(AL$4,Mat_Type,0))*INDEX(Escalators!$I$44:$U$49,MATCH(AL$4,Escalators!$C$44:$C$49,0),MATCH(AL$5,Escalators!$I$43:$U$43,0))</f>
        <v>0</v>
      </c>
      <c r="AM17" s="128">
        <f t="shared" ref="AM17:AM27" si="69">SUM(AH17:AL17)</f>
        <v>0</v>
      </c>
      <c r="AN17" s="128">
        <f>INDEX(Direct_Cost_Splits_Network,MATCH($H17,RIN_Asset_Cat_Network,0),MATCH($AY$4,Direct_Cost_Type,0))*$L17*INDEX(Act_Type_Augex_Splits,MATCH($I17,Act_Type_Augex,0),MATCH(AN$4,Mat_Type,0))*INDEX(Escalators!$I$44:$U$49,MATCH(AN$4,Escalators!$C$44:$C$49,0),MATCH(AN$5,Escalators!$I$43:$U$43,0))</f>
        <v>0</v>
      </c>
      <c r="AO17" s="128">
        <f>INDEX(Direct_Cost_Splits_Network,MATCH($H17,RIN_Asset_Cat_Network,0),MATCH($AY$4,Direct_Cost_Type,0))*$L17*INDEX(Act_Type_Augex_Splits,MATCH($I17,Act_Type_Augex,0),MATCH(AO$4,Mat_Type,0))*INDEX(Escalators!$I$44:$U$49,MATCH(AO$4,Escalators!$C$44:$C$49,0),MATCH(AO$5,Escalators!$I$43:$U$43,0))</f>
        <v>0</v>
      </c>
      <c r="AP17" s="128">
        <f>INDEX(Direct_Cost_Splits_Network,MATCH($H17,RIN_Asset_Cat_Network,0),MATCH($AY$4,Direct_Cost_Type,0))*$L17*INDEX(Act_Type_Augex_Splits,MATCH($I17,Act_Type_Augex,0),MATCH(AP$4,Mat_Type,0))*INDEX(Escalators!$I$44:$U$49,MATCH(AP$4,Escalators!$C$44:$C$49,0),MATCH(AP$5,Escalators!$I$43:$U$43,0))</f>
        <v>0</v>
      </c>
      <c r="AQ17" s="128">
        <f>INDEX(Direct_Cost_Splits_Network,MATCH($H17,RIN_Asset_Cat_Network,0),MATCH($AY$4,Direct_Cost_Type,0))*$L17*INDEX(Act_Type_Augex_Splits,MATCH($I17,Act_Type_Augex,0),MATCH(AQ$4,Mat_Type,0))*INDEX(Escalators!$I$44:$U$49,MATCH(AQ$4,Escalators!$C$44:$C$49,0),MATCH(AQ$5,Escalators!$I$43:$U$43,0))</f>
        <v>0</v>
      </c>
      <c r="AR17" s="128">
        <f>INDEX(Direct_Cost_Splits_Network,MATCH($H17,RIN_Asset_Cat_Network,0),MATCH($AY$4,Direct_Cost_Type,0))*$L17*INDEX(Act_Type_Augex_Splits,MATCH($I17,Act_Type_Augex,0),MATCH(AR$4,Mat_Type,0))*INDEX(Escalators!$I$44:$U$49,MATCH(AR$4,Escalators!$C$44:$C$49,0),MATCH(AR$5,Escalators!$I$43:$U$43,0))</f>
        <v>0</v>
      </c>
      <c r="AS17" s="128">
        <f t="shared" ref="AS17:AS30" si="70">SUM(AN17:AR17)</f>
        <v>0</v>
      </c>
      <c r="AT17" s="128">
        <f>INDEX(Direct_Cost_Splits_Network,MATCH($H17,RIN_Asset_Cat_Network,0),MATCH($AY$4,Direct_Cost_Type,0))*$M17*INDEX(Act_Type_Augex_Splits,MATCH($I17,Act_Type_Augex,0),MATCH(AT$4,Mat_Type,0))*INDEX(Escalators!$I$44:$U$49,MATCH(AT$4,Escalators!$C$44:$C$49,0),MATCH(AT$5,Escalators!$I$43:$U$43,0))</f>
        <v>0</v>
      </c>
      <c r="AU17" s="128">
        <f>INDEX(Direct_Cost_Splits_Network,MATCH($H17,RIN_Asset_Cat_Network,0),MATCH($AY$4,Direct_Cost_Type,0))*$M17*INDEX(Act_Type_Augex_Splits,MATCH($I17,Act_Type_Augex,0),MATCH(AU$4,Mat_Type,0))*INDEX(Escalators!$I$44:$U$49,MATCH(AU$4,Escalators!$C$44:$C$49,0),MATCH(AU$5,Escalators!$I$43:$U$43,0))</f>
        <v>0</v>
      </c>
      <c r="AV17" s="128">
        <f>INDEX(Direct_Cost_Splits_Network,MATCH($H17,RIN_Asset_Cat_Network,0),MATCH($AY$4,Direct_Cost_Type,0))*$M17*INDEX(Act_Type_Augex_Splits,MATCH($I17,Act_Type_Augex,0),MATCH(AV$4,Mat_Type,0))*INDEX(Escalators!$I$44:$U$49,MATCH(AV$4,Escalators!$C$44:$C$49,0),MATCH(AV$5,Escalators!$I$43:$U$43,0))</f>
        <v>0</v>
      </c>
      <c r="AW17" s="128">
        <f>INDEX(Direct_Cost_Splits_Network,MATCH($H17,RIN_Asset_Cat_Network,0),MATCH($AY$4,Direct_Cost_Type,0))*$M17*INDEX(Act_Type_Augex_Splits,MATCH($I17,Act_Type_Augex,0),MATCH(AW$4,Mat_Type,0))*INDEX(Escalators!$I$44:$U$49,MATCH(AW$4,Escalators!$C$44:$C$49,0),MATCH(AW$5,Escalators!$I$43:$U$43,0))</f>
        <v>0</v>
      </c>
      <c r="AX17" s="128">
        <f>INDEX(Direct_Cost_Splits_Network,MATCH($H17,RIN_Asset_Cat_Network,0),MATCH($AY$4,Direct_Cost_Type,0))*$M17*INDEX(Act_Type_Augex_Splits,MATCH($I17,Act_Type_Augex,0),MATCH(AX$4,Mat_Type,0))*INDEX(Escalators!$I$44:$U$49,MATCH(AX$4,Escalators!$C$44:$C$49,0),MATCH(AX$5,Escalators!$I$43:$U$43,0))</f>
        <v>0</v>
      </c>
      <c r="AY17" s="128">
        <f t="shared" ref="AY17:AY27" si="71">SUM(AT17:AX17)</f>
        <v>0</v>
      </c>
      <c r="AZ17" s="128">
        <f>INDEX(Direct_Cost_Splits_Network,MATCH($H17,RIN_Asset_Cat_Network,0),MATCH($BE$4,Direct_Cost_Type,0))*$N17*INDEX(Act_Type_Augex_Splits,MATCH($I17,Act_Type_Augex,0),MATCH(AZ$4,Mat_Type,0))*INDEX(Escalators!$I$44:$U$49,MATCH(AZ$4,Escalators!$C$44:$C$49,0),MATCH(AZ$5,Escalators!$I$43:$U$43,0))</f>
        <v>0</v>
      </c>
      <c r="BA17" s="128">
        <f>INDEX(Direct_Cost_Splits_Network,MATCH($H17,RIN_Asset_Cat_Network,0),MATCH($BE$4,Direct_Cost_Type,0))*$N17*INDEX(Act_Type_Augex_Splits,MATCH($I17,Act_Type_Augex,0),MATCH(BA$4,Mat_Type,0))*INDEX(Escalators!$I$44:$U$49,MATCH(BA$4,Escalators!$C$44:$C$49,0),MATCH(BA$5,Escalators!$I$43:$U$43,0))</f>
        <v>0</v>
      </c>
      <c r="BB17" s="128">
        <f>INDEX(Direct_Cost_Splits_Network,MATCH($H17,RIN_Asset_Cat_Network,0),MATCH($BE$4,Direct_Cost_Type,0))*$N17*INDEX(Act_Type_Augex_Splits,MATCH($I17,Act_Type_Augex,0),MATCH(BB$4,Mat_Type,0))*INDEX(Escalators!$I$44:$U$49,MATCH(BB$4,Escalators!$C$44:$C$49,0),MATCH(BB$5,Escalators!$I$43:$U$43,0))</f>
        <v>0</v>
      </c>
      <c r="BC17" s="128">
        <f>INDEX(Direct_Cost_Splits_Network,MATCH($H17,RIN_Asset_Cat_Network,0),MATCH($BE$4,Direct_Cost_Type,0))*$N17*INDEX(Act_Type_Augex_Splits,MATCH($I17,Act_Type_Augex,0),MATCH(BC$4,Mat_Type,0))*INDEX(Escalators!$I$44:$U$49,MATCH(BC$4,Escalators!$C$44:$C$49,0),MATCH(BC$5,Escalators!$I$43:$U$43,0))</f>
        <v>0</v>
      </c>
      <c r="BD17" s="128">
        <f>INDEX(Direct_Cost_Splits_Network,MATCH($H17,RIN_Asset_Cat_Network,0),MATCH($BE$4,Direct_Cost_Type,0))*$N17*INDEX(Act_Type_Augex_Splits,MATCH($I17,Act_Type_Augex,0),MATCH(BD$4,Mat_Type,0))*INDEX(Escalators!$I$44:$U$49,MATCH(BD$4,Escalators!$C$44:$C$49,0),MATCH(BD$5,Escalators!$I$43:$U$43,0))</f>
        <v>0</v>
      </c>
      <c r="BE17" s="128">
        <f t="shared" ref="BE17:BE27" si="72">SUM(AZ17:BD17)</f>
        <v>0</v>
      </c>
      <c r="BF17" s="128">
        <f>INDEX(Direct_Cost_Splits_Network,MATCH($H17,RIN_Asset_Cat_Network,0),MATCH($BK$4,Direct_Cost_Type,0))*$O17*INDEX(Act_Type_Augex_Splits,MATCH($I17,Act_Type_Augex,0),MATCH(BF$4,Mat_Type,0))*INDEX(Escalators!$I$44:$U$49,MATCH(BF$4,Escalators!$C$44:$C$49,0),MATCH(BF$5,Escalators!$I$43:$U$43,0))</f>
        <v>0</v>
      </c>
      <c r="BG17" s="128">
        <f>INDEX(Direct_Cost_Splits_Network,MATCH($H17,RIN_Asset_Cat_Network,0),MATCH($BK$4,Direct_Cost_Type,0))*$O17*INDEX(Act_Type_Augex_Splits,MATCH($I17,Act_Type_Augex,0),MATCH(BG$4,Mat_Type,0))*INDEX(Escalators!$I$44:$U$49,MATCH(BG$4,Escalators!$C$44:$C$49,0),MATCH(BG$5,Escalators!$I$43:$U$43,0))</f>
        <v>0</v>
      </c>
      <c r="BH17" s="128">
        <f>INDEX(Direct_Cost_Splits_Network,MATCH($H17,RIN_Asset_Cat_Network,0),MATCH($BK$4,Direct_Cost_Type,0))*$O17*INDEX(Act_Type_Augex_Splits,MATCH($I17,Act_Type_Augex,0),MATCH(BH$4,Mat_Type,0))*INDEX(Escalators!$I$44:$U$49,MATCH(BH$4,Escalators!$C$44:$C$49,0),MATCH(BH$5,Escalators!$I$43:$U$43,0))</f>
        <v>0</v>
      </c>
      <c r="BI17" s="128">
        <f>INDEX(Direct_Cost_Splits_Network,MATCH($H17,RIN_Asset_Cat_Network,0),MATCH($BK$4,Direct_Cost_Type,0))*$O17*INDEX(Act_Type_Augex_Splits,MATCH($I17,Act_Type_Augex,0),MATCH(BI$4,Mat_Type,0))*INDEX(Escalators!$I$44:$U$49,MATCH(BI$4,Escalators!$C$44:$C$49,0),MATCH(BI$5,Escalators!$I$43:$U$43,0))</f>
        <v>0</v>
      </c>
      <c r="BJ17" s="128">
        <f>INDEX(Direct_Cost_Splits_Network,MATCH($H17,RIN_Asset_Cat_Network,0),MATCH($BK$4,Direct_Cost_Type,0))*$O17*INDEX(Act_Type_Augex_Splits,MATCH($I17,Act_Type_Augex,0),MATCH(BJ$4,Mat_Type,0))*INDEX(Escalators!$I$44:$U$49,MATCH(BJ$4,Escalators!$C$44:$C$49,0),MATCH(BJ$5,Escalators!$I$43:$U$43,0))</f>
        <v>0</v>
      </c>
      <c r="BK17" s="128">
        <f t="shared" ref="BK17:BK27" si="73">SUM(BF17:BJ17)</f>
        <v>0</v>
      </c>
      <c r="BL17" s="128">
        <f>INDEX(Direct_Cost_Splits_Network,MATCH($H17,RIN_Asset_Cat_Network,0),MATCH($BQ$4,Direct_Cost_Type,0))*$P17*INDEX(Act_Type_Augex_Splits,MATCH($I17,Act_Type_Augex,0),MATCH(BL$4,Mat_Type,0))*INDEX(Escalators!$I$44:$U$49,MATCH(BL$4,Escalators!$C$44:$C$49,0),MATCH(BL$5,Escalators!$I$43:$U$43,0))</f>
        <v>0</v>
      </c>
      <c r="BM17" s="128">
        <f>INDEX(Direct_Cost_Splits_Network,MATCH($H17,RIN_Asset_Cat_Network,0),MATCH($BQ$4,Direct_Cost_Type,0))*$P17*INDEX(Act_Type_Augex_Splits,MATCH($I17,Act_Type_Augex,0),MATCH(BM$4,Mat_Type,0))*INDEX(Escalators!$I$44:$U$49,MATCH(BM$4,Escalators!$C$44:$C$49,0),MATCH(BM$5,Escalators!$I$43:$U$43,0))</f>
        <v>0</v>
      </c>
      <c r="BN17" s="128">
        <f>INDEX(Direct_Cost_Splits_Network,MATCH($H17,RIN_Asset_Cat_Network,0),MATCH($BQ$4,Direct_Cost_Type,0))*$P17*INDEX(Act_Type_Augex_Splits,MATCH($I17,Act_Type_Augex,0),MATCH(BN$4,Mat_Type,0))*INDEX(Escalators!$I$44:$U$49,MATCH(BN$4,Escalators!$C$44:$C$49,0),MATCH(BN$5,Escalators!$I$43:$U$43,0))</f>
        <v>0</v>
      </c>
      <c r="BO17" s="128">
        <f>INDEX(Direct_Cost_Splits_Network,MATCH($H17,RIN_Asset_Cat_Network,0),MATCH($BQ$4,Direct_Cost_Type,0))*$P17*INDEX(Act_Type_Augex_Splits,MATCH($I17,Act_Type_Augex,0),MATCH(BO$4,Mat_Type,0))*INDEX(Escalators!$I$44:$U$49,MATCH(BO$4,Escalators!$C$44:$C$49,0),MATCH(BO$5,Escalators!$I$43:$U$43,0))</f>
        <v>0</v>
      </c>
      <c r="BP17" s="128">
        <f>INDEX(Direct_Cost_Splits_Network,MATCH($H17,RIN_Asset_Cat_Network,0),MATCH($BQ$4,Direct_Cost_Type,0))*$P17*INDEX(Act_Type_Augex_Splits,MATCH($I17,Act_Type_Augex,0),MATCH(BP$4,Mat_Type,0))*INDEX(Escalators!$I$44:$U$49,MATCH(BP$4,Escalators!$C$44:$C$49,0),MATCH(BP$5,Escalators!$I$43:$U$43,0))</f>
        <v>0</v>
      </c>
      <c r="BQ17" s="128">
        <f t="shared" ref="BQ17:BQ27" si="74">SUM(BL17:BP17)</f>
        <v>0</v>
      </c>
      <c r="BR17" s="128">
        <f>INDEX(Direct_Cost_Splits_Network,MATCH($H17,RIN_Asset_Cat_Network,0),MATCH($BW$4,Direct_Cost_Type,0))*$Q17*INDEX(Act_Type_Augex_Splits,MATCH($I17,Act_Type_Augex,0),MATCH(BR$4,Mat_Type,0))*INDEX(Escalators!$I$44:$U$49,MATCH(BR$4,Escalators!$C$44:$C$49,0),MATCH(BR$5,Escalators!$I$43:$U$43,0))</f>
        <v>0</v>
      </c>
      <c r="BS17" s="128">
        <f>INDEX(Direct_Cost_Splits_Network,MATCH($H17,RIN_Asset_Cat_Network,0),MATCH($BW$4,Direct_Cost_Type,0))*$Q17*INDEX(Act_Type_Augex_Splits,MATCH($I17,Act_Type_Augex,0),MATCH(BS$4,Mat_Type,0))*INDEX(Escalators!$I$44:$U$49,MATCH(BS$4,Escalators!$C$44:$C$49,0),MATCH(BS$5,Escalators!$I$43:$U$43,0))</f>
        <v>0</v>
      </c>
      <c r="BT17" s="128">
        <f>INDEX(Direct_Cost_Splits_Network,MATCH($H17,RIN_Asset_Cat_Network,0),MATCH($BW$4,Direct_Cost_Type,0))*$Q17*INDEX(Act_Type_Augex_Splits,MATCH($I17,Act_Type_Augex,0),MATCH(BT$4,Mat_Type,0))*INDEX(Escalators!$I$44:$U$49,MATCH(BT$4,Escalators!$C$44:$C$49,0),MATCH(BT$5,Escalators!$I$43:$U$43,0))</f>
        <v>0</v>
      </c>
      <c r="BU17" s="128">
        <f>INDEX(Direct_Cost_Splits_Network,MATCH($H17,RIN_Asset_Cat_Network,0),MATCH($BW$4,Direct_Cost_Type,0))*$Q17*INDEX(Act_Type_Augex_Splits,MATCH($I17,Act_Type_Augex,0),MATCH(BU$4,Mat_Type,0))*INDEX(Escalators!$I$44:$U$49,MATCH(BU$4,Escalators!$C$44:$C$49,0),MATCH(BU$5,Escalators!$I$43:$U$43,0))</f>
        <v>0</v>
      </c>
      <c r="BV17" s="128">
        <f>INDEX(Direct_Cost_Splits_Network,MATCH($H17,RIN_Asset_Cat_Network,0),MATCH($BW$4,Direct_Cost_Type,0))*$Q17*INDEX(Act_Type_Augex_Splits,MATCH($I17,Act_Type_Augex,0),MATCH(BV$4,Mat_Type,0))*INDEX(Escalators!$I$44:$U$49,MATCH(BV$4,Escalators!$C$44:$C$49,0),MATCH(BV$5,Escalators!$I$43:$U$43,0))</f>
        <v>0</v>
      </c>
      <c r="BW17" s="128">
        <f t="shared" ref="BW17:BW27" si="75">SUM(BR17:BV17)</f>
        <v>0</v>
      </c>
      <c r="BX17" s="129"/>
      <c r="BY17" s="128">
        <f>INDEX(Direct_Cost_Splits_Network,MATCH($H17,RIN_Asset_Cat_Network,0),MATCH($BY$4,Direct_Cost_Type,0))*J17*HLOOKUP(BY$5,Escalators!$I$25:$U$30,6,FALSE)</f>
        <v>0</v>
      </c>
      <c r="BZ17" s="128">
        <f>INDEX(Direct_Cost_Splits_Network,MATCH($H17,RIN_Asset_Cat_Network,0),MATCH($BY$4,Direct_Cost_Type,0))*K17*HLOOKUP(BZ$5,Escalators!$I$25:$U$30,6,FALSE)</f>
        <v>0</v>
      </c>
      <c r="CA17" s="128">
        <f>INDEX(Direct_Cost_Splits_Network,MATCH($H17,RIN_Asset_Cat_Network,0),MATCH($BY$4,Direct_Cost_Type,0))*L17*HLOOKUP(CA$5,Escalators!$I$25:$U$30,6,FALSE)</f>
        <v>0</v>
      </c>
      <c r="CB17" s="128">
        <f>INDEX(Direct_Cost_Splits_Network,MATCH($H17,RIN_Asset_Cat_Network,0),MATCH($BY$4,Direct_Cost_Type,0))*M17*HLOOKUP(CB$5,Escalators!$I$25:$U$30,6,FALSE)</f>
        <v>0</v>
      </c>
      <c r="CC17" s="128">
        <f>INDEX(Direct_Cost_Splits_Network,MATCH($H17,RIN_Asset_Cat_Network,0),MATCH($BY$4,Direct_Cost_Type,0))*N17*HLOOKUP(CC$5,Escalators!$I$25:$U$30,6,FALSE)</f>
        <v>0</v>
      </c>
      <c r="CD17" s="128">
        <f>INDEX(Direct_Cost_Splits_Network,MATCH($H17,RIN_Asset_Cat_Network,0),MATCH($BY$4,Direct_Cost_Type,0))*O17*HLOOKUP(CD$5,Escalators!$I$25:$U$30,6,FALSE)</f>
        <v>0</v>
      </c>
      <c r="CE17" s="128">
        <f>INDEX(Direct_Cost_Splits_Network,MATCH($H17,RIN_Asset_Cat_Network,0),MATCH($BY$4,Direct_Cost_Type,0))*P17*HLOOKUP(CE$5,Escalators!$I$25:$U$30,6,FALSE)</f>
        <v>0</v>
      </c>
      <c r="CF17" s="128">
        <f>INDEX(Direct_Cost_Splits_Network,MATCH($H17,RIN_Asset_Cat_Network,0),MATCH($BY$4,Direct_Cost_Type,0))*Q17*HLOOKUP(CF$5,Escalators!$I$25:$U$30,6,FALSE)</f>
        <v>0</v>
      </c>
      <c r="CG17" s="129"/>
      <c r="CH17" s="675">
        <f t="shared" ref="CH17:CH27" si="76">INDEX(Direct_Cost_Splits_Network,MATCH($H17,RIN_Asset_Cat_Network,0),MATCH($CH$4,Direct_Cost_Type,0))*J17</f>
        <v>0</v>
      </c>
      <c r="CI17" s="675">
        <f t="shared" ref="CI17:CI30" si="77">INDEX(Direct_Cost_Splits_Network,MATCH($H17,RIN_Asset_Cat_Network,0),MATCH($CH$4,Direct_Cost_Type,0))*K17</f>
        <v>0</v>
      </c>
      <c r="CJ17" s="675">
        <f t="shared" ref="CJ17:CJ30" si="78">INDEX(Direct_Cost_Splits_Network,MATCH($H17,RIN_Asset_Cat_Network,0),MATCH($CH$4,Direct_Cost_Type,0))*L17</f>
        <v>0</v>
      </c>
      <c r="CK17" s="675">
        <f t="shared" ref="CK17:CK27" si="79">INDEX(Direct_Cost_Splits_Network,MATCH($H17,RIN_Asset_Cat_Network,0),MATCH($CH$4,Direct_Cost_Type,0))*M17</f>
        <v>0</v>
      </c>
      <c r="CL17" s="675">
        <f t="shared" ref="CL17:CL27" si="80">INDEX(Direct_Cost_Splits_Network,MATCH($H17,RIN_Asset_Cat_Network,0),MATCH($CH$4,Direct_Cost_Type,0))*N17</f>
        <v>0</v>
      </c>
      <c r="CM17" s="675">
        <f t="shared" ref="CM17:CM27" si="81">INDEX(Direct_Cost_Splits_Network,MATCH($H17,RIN_Asset_Cat_Network,0),MATCH($CH$4,Direct_Cost_Type,0))*O17</f>
        <v>0</v>
      </c>
      <c r="CN17" s="675">
        <f t="shared" ref="CN17:CN27" si="82">INDEX(Direct_Cost_Splits_Network,MATCH($H17,RIN_Asset_Cat_Network,0),MATCH($CH$4,Direct_Cost_Type,0))*P17</f>
        <v>0</v>
      </c>
      <c r="CO17" s="675">
        <f t="shared" ref="CO17:CO27" si="83">INDEX(Direct_Cost_Splits_Network,MATCH($H17,RIN_Asset_Cat_Network,0),MATCH($CH$4,Direct_Cost_Type,0))*Q17</f>
        <v>0</v>
      </c>
      <c r="CP17" s="129"/>
      <c r="CQ17" s="128">
        <f t="shared" si="18"/>
        <v>0</v>
      </c>
      <c r="CR17" s="128">
        <f t="shared" si="9"/>
        <v>0</v>
      </c>
      <c r="CS17" s="128">
        <f t="shared" si="19"/>
        <v>0</v>
      </c>
      <c r="CT17" s="128">
        <f t="shared" si="20"/>
        <v>0</v>
      </c>
      <c r="CU17" s="128">
        <f t="shared" si="21"/>
        <v>0</v>
      </c>
      <c r="CV17" s="128">
        <f t="shared" si="22"/>
        <v>0</v>
      </c>
      <c r="CW17" s="128">
        <f t="shared" si="23"/>
        <v>0</v>
      </c>
      <c r="CX17" s="128">
        <f t="shared" si="24"/>
        <v>0</v>
      </c>
      <c r="CZ17" s="39"/>
    </row>
    <row r="18" spans="2:104">
      <c r="B18" s="75" t="s">
        <v>426</v>
      </c>
      <c r="C18" s="75" t="s">
        <v>418</v>
      </c>
      <c r="D18" s="75" t="s">
        <v>538</v>
      </c>
      <c r="E18" s="75" t="s">
        <v>45</v>
      </c>
      <c r="F18" s="75" t="s">
        <v>51</v>
      </c>
      <c r="G18" s="75" t="s">
        <v>10</v>
      </c>
      <c r="H18" s="75" t="s">
        <v>164</v>
      </c>
      <c r="I18" s="75" t="s">
        <v>214</v>
      </c>
      <c r="J18" s="128"/>
      <c r="K18" s="128"/>
      <c r="L18" s="128"/>
      <c r="M18" s="128"/>
      <c r="N18" s="128"/>
      <c r="O18" s="128"/>
      <c r="P18" s="128"/>
      <c r="Q18" s="128"/>
      <c r="R18" s="129"/>
      <c r="S18" s="128">
        <f>INDEX(Direct_Cost_Splits_Network,MATCH($H18,RIN_Asset_Cat_Network,0),MATCH($S$4,Direct_Cost_Type,0))*J18*HLOOKUP(S$5,Escalators!$I$25:$U$30,3,FALSE)</f>
        <v>0</v>
      </c>
      <c r="T18" s="128">
        <f>INDEX(Direct_Cost_Splits_Network,MATCH($H18,RIN_Asset_Cat_Network,0),MATCH($S$4,Direct_Cost_Type,0))*K18*HLOOKUP(T$5,Escalators!$I$25:$U$30,3,FALSE)</f>
        <v>0</v>
      </c>
      <c r="U18" s="128">
        <f>INDEX(Direct_Cost_Splits_Network,MATCH($H18,RIN_Asset_Cat_Network,0),MATCH($S$4,Direct_Cost_Type,0))*L18*HLOOKUP(U$5,Escalators!$I$25:$U$30,3,FALSE)</f>
        <v>0</v>
      </c>
      <c r="V18" s="128">
        <f>INDEX(Direct_Cost_Splits_Network,MATCH($H18,RIN_Asset_Cat_Network,0),MATCH($S$4,Direct_Cost_Type,0))*M18*HLOOKUP(V$5,Escalators!$I$25:$U$30,3,FALSE)</f>
        <v>0</v>
      </c>
      <c r="W18" s="128">
        <f>INDEX(Direct_Cost_Splits_Network,MATCH($H18,RIN_Asset_Cat_Network,0),MATCH($S$4,Direct_Cost_Type,0))*N18*HLOOKUP(W$5,Escalators!$I$25:$U$30,3,FALSE)</f>
        <v>0</v>
      </c>
      <c r="X18" s="128">
        <f>INDEX(Direct_Cost_Splits_Network,MATCH($H18,RIN_Asset_Cat_Network,0),MATCH($S$4,Direct_Cost_Type,0))*O18*HLOOKUP(X$5,Escalators!$I$25:$U$30,3,FALSE)</f>
        <v>0</v>
      </c>
      <c r="Y18" s="128">
        <f>INDEX(Direct_Cost_Splits_Network,MATCH($H18,RIN_Asset_Cat_Network,0),MATCH($S$4,Direct_Cost_Type,0))*P18*HLOOKUP(Y$5,Escalators!$I$25:$U$30,3,FALSE)</f>
        <v>0</v>
      </c>
      <c r="Z18" s="128">
        <f>INDEX(Direct_Cost_Splits_Network,MATCH($H18,RIN_Asset_Cat_Network,0),MATCH($S$4,Direct_Cost_Type,0))*Q18*HLOOKUP(Z$5,Escalators!$I$25:$U$30,3,FALSE)</f>
        <v>0</v>
      </c>
      <c r="AA18" s="129"/>
      <c r="AB18" s="128">
        <f>INDEX(Direct_Cost_Splits_Network,MATCH($H18,RIN_Asset_Cat_Network,0),MATCH($AG$4,Direct_Cost_Type,0))*$J18*INDEX(Act_Type_Augex_Splits,MATCH($I18,Act_Type_Augex,0),MATCH(AB$4,Mat_Type,0))*INDEX(Escalators!$I$44:$U$49,MATCH(AB$4,Escalators!$C$44:$C$49,0),MATCH(AB$5,Escalators!$I$43:$U$43,0))</f>
        <v>0</v>
      </c>
      <c r="AC18" s="128">
        <f>INDEX(Direct_Cost_Splits_Network,MATCH($H18,RIN_Asset_Cat_Network,0),MATCH($AG$4,Direct_Cost_Type,0))*$J18*INDEX(Act_Type_Augex_Splits,MATCH($I18,Act_Type_Augex,0),MATCH(AC$4,Mat_Type,0))*INDEX(Escalators!$I$44:$U$49,MATCH(AC$4,Escalators!$C$44:$C$49,0),MATCH(AC$5,Escalators!$I$43:$U$43,0))</f>
        <v>0</v>
      </c>
      <c r="AD18" s="128">
        <f>INDEX(Direct_Cost_Splits_Network,MATCH($H18,RIN_Asset_Cat_Network,0),MATCH($AG$4,Direct_Cost_Type,0))*$J18*INDEX(Act_Type_Augex_Splits,MATCH($I18,Act_Type_Augex,0),MATCH(AD$4,Mat_Type,0))*INDEX(Escalators!$I$44:$U$49,MATCH(AD$4,Escalators!$C$44:$C$49,0),MATCH(AD$5,Escalators!$I$43:$U$43,0))</f>
        <v>0</v>
      </c>
      <c r="AE18" s="128">
        <f>INDEX(Direct_Cost_Splits_Network,MATCH($H18,RIN_Asset_Cat_Network,0),MATCH($AG$4,Direct_Cost_Type,0))*$J18*INDEX(Act_Type_Augex_Splits,MATCH($I18,Act_Type_Augex,0),MATCH(AE$4,Mat_Type,0))*INDEX(Escalators!$I$44:$U$49,MATCH(AE$4,Escalators!$C$44:$C$49,0),MATCH(AE$5,Escalators!$I$43:$U$43,0))</f>
        <v>0</v>
      </c>
      <c r="AF18" s="128">
        <f>INDEX(Direct_Cost_Splits_Network,MATCH($H18,RIN_Asset_Cat_Network,0),MATCH($AG$4,Direct_Cost_Type,0))*$J18*INDEX(Act_Type_Augex_Splits,MATCH($I18,Act_Type_Augex,0),MATCH(AF$4,Mat_Type,0))*INDEX(Escalators!$I$44:$U$49,MATCH(AF$4,Escalators!$C$44:$C$49,0),MATCH(AF$5,Escalators!$I$43:$U$43,0))</f>
        <v>0</v>
      </c>
      <c r="AG18" s="128">
        <f t="shared" si="68"/>
        <v>0</v>
      </c>
      <c r="AH18" s="128">
        <f>INDEX(Direct_Cost_Splits_Network,MATCH($H18,RIN_Asset_Cat_Network,0),MATCH($AY$4,Direct_Cost_Type,0))*$K18*INDEX(Act_Type_Augex_Splits,MATCH($I18,Act_Type_Augex,0),MATCH(AH$4,Mat_Type,0))*INDEX(Escalators!$I$44:$U$49,MATCH(AH$4,Escalators!$C$44:$C$49,0),MATCH(AH$5,Escalators!$I$43:$U$43,0))</f>
        <v>0</v>
      </c>
      <c r="AI18" s="128">
        <f>INDEX(Direct_Cost_Splits_Network,MATCH($H18,RIN_Asset_Cat_Network,0),MATCH($AY$4,Direct_Cost_Type,0))*$K18*INDEX(Act_Type_Augex_Splits,MATCH($I18,Act_Type_Augex,0),MATCH(AI$4,Mat_Type,0))*INDEX(Escalators!$I$44:$U$49,MATCH(AI$4,Escalators!$C$44:$C$49,0),MATCH(AI$5,Escalators!$I$43:$U$43,0))</f>
        <v>0</v>
      </c>
      <c r="AJ18" s="128">
        <f>INDEX(Direct_Cost_Splits_Network,MATCH($H18,RIN_Asset_Cat_Network,0),MATCH($AY$4,Direct_Cost_Type,0))*$K18*INDEX(Act_Type_Augex_Splits,MATCH($I18,Act_Type_Augex,0),MATCH(AJ$4,Mat_Type,0))*INDEX(Escalators!$I$44:$U$49,MATCH(AJ$4,Escalators!$C$44:$C$49,0),MATCH(AJ$5,Escalators!$I$43:$U$43,0))</f>
        <v>0</v>
      </c>
      <c r="AK18" s="128">
        <f>INDEX(Direct_Cost_Splits_Network,MATCH($H18,RIN_Asset_Cat_Network,0),MATCH($AY$4,Direct_Cost_Type,0))*$K18*INDEX(Act_Type_Augex_Splits,MATCH($I18,Act_Type_Augex,0),MATCH(AK$4,Mat_Type,0))*INDEX(Escalators!$I$44:$U$49,MATCH(AK$4,Escalators!$C$44:$C$49,0),MATCH(AK$5,Escalators!$I$43:$U$43,0))</f>
        <v>0</v>
      </c>
      <c r="AL18" s="128">
        <f>INDEX(Direct_Cost_Splits_Network,MATCH($H18,RIN_Asset_Cat_Network,0),MATCH($AY$4,Direct_Cost_Type,0))*$K18*INDEX(Act_Type_Augex_Splits,MATCH($I18,Act_Type_Augex,0),MATCH(AL$4,Mat_Type,0))*INDEX(Escalators!$I$44:$U$49,MATCH(AL$4,Escalators!$C$44:$C$49,0),MATCH(AL$5,Escalators!$I$43:$U$43,0))</f>
        <v>0</v>
      </c>
      <c r="AM18" s="128">
        <f t="shared" si="69"/>
        <v>0</v>
      </c>
      <c r="AN18" s="128">
        <f>INDEX(Direct_Cost_Splits_Network,MATCH($H18,RIN_Asset_Cat_Network,0),MATCH($AY$4,Direct_Cost_Type,0))*$L18*INDEX(Act_Type_Augex_Splits,MATCH($I18,Act_Type_Augex,0),MATCH(AN$4,Mat_Type,0))*INDEX(Escalators!$I$44:$U$49,MATCH(AN$4,Escalators!$C$44:$C$49,0),MATCH(AN$5,Escalators!$I$43:$U$43,0))</f>
        <v>0</v>
      </c>
      <c r="AO18" s="128">
        <f>INDEX(Direct_Cost_Splits_Network,MATCH($H18,RIN_Asset_Cat_Network,0),MATCH($AY$4,Direct_Cost_Type,0))*$L18*INDEX(Act_Type_Augex_Splits,MATCH($I18,Act_Type_Augex,0),MATCH(AO$4,Mat_Type,0))*INDEX(Escalators!$I$44:$U$49,MATCH(AO$4,Escalators!$C$44:$C$49,0),MATCH(AO$5,Escalators!$I$43:$U$43,0))</f>
        <v>0</v>
      </c>
      <c r="AP18" s="128">
        <f>INDEX(Direct_Cost_Splits_Network,MATCH($H18,RIN_Asset_Cat_Network,0),MATCH($AY$4,Direct_Cost_Type,0))*$L18*INDEX(Act_Type_Augex_Splits,MATCH($I18,Act_Type_Augex,0),MATCH(AP$4,Mat_Type,0))*INDEX(Escalators!$I$44:$U$49,MATCH(AP$4,Escalators!$C$44:$C$49,0),MATCH(AP$5,Escalators!$I$43:$U$43,0))</f>
        <v>0</v>
      </c>
      <c r="AQ18" s="128">
        <f>INDEX(Direct_Cost_Splits_Network,MATCH($H18,RIN_Asset_Cat_Network,0),MATCH($AY$4,Direct_Cost_Type,0))*$L18*INDEX(Act_Type_Augex_Splits,MATCH($I18,Act_Type_Augex,0),MATCH(AQ$4,Mat_Type,0))*INDEX(Escalators!$I$44:$U$49,MATCH(AQ$4,Escalators!$C$44:$C$49,0),MATCH(AQ$5,Escalators!$I$43:$U$43,0))</f>
        <v>0</v>
      </c>
      <c r="AR18" s="128">
        <f>INDEX(Direct_Cost_Splits_Network,MATCH($H18,RIN_Asset_Cat_Network,0),MATCH($AY$4,Direct_Cost_Type,0))*$L18*INDEX(Act_Type_Augex_Splits,MATCH($I18,Act_Type_Augex,0),MATCH(AR$4,Mat_Type,0))*INDEX(Escalators!$I$44:$U$49,MATCH(AR$4,Escalators!$C$44:$C$49,0),MATCH(AR$5,Escalators!$I$43:$U$43,0))</f>
        <v>0</v>
      </c>
      <c r="AS18" s="128">
        <f t="shared" si="70"/>
        <v>0</v>
      </c>
      <c r="AT18" s="128">
        <f>INDEX(Direct_Cost_Splits_Network,MATCH($H18,RIN_Asset_Cat_Network,0),MATCH($AY$4,Direct_Cost_Type,0))*$M18*INDEX(Act_Type_Augex_Splits,MATCH($I18,Act_Type_Augex,0),MATCH(AT$4,Mat_Type,0))*INDEX(Escalators!$I$44:$U$49,MATCH(AT$4,Escalators!$C$44:$C$49,0),MATCH(AT$5,Escalators!$I$43:$U$43,0))</f>
        <v>0</v>
      </c>
      <c r="AU18" s="128">
        <f>INDEX(Direct_Cost_Splits_Network,MATCH($H18,RIN_Asset_Cat_Network,0),MATCH($AY$4,Direct_Cost_Type,0))*$M18*INDEX(Act_Type_Augex_Splits,MATCH($I18,Act_Type_Augex,0),MATCH(AU$4,Mat_Type,0))*INDEX(Escalators!$I$44:$U$49,MATCH(AU$4,Escalators!$C$44:$C$49,0),MATCH(AU$5,Escalators!$I$43:$U$43,0))</f>
        <v>0</v>
      </c>
      <c r="AV18" s="128">
        <f>INDEX(Direct_Cost_Splits_Network,MATCH($H18,RIN_Asset_Cat_Network,0),MATCH($AY$4,Direct_Cost_Type,0))*$M18*INDEX(Act_Type_Augex_Splits,MATCH($I18,Act_Type_Augex,0),MATCH(AV$4,Mat_Type,0))*INDEX(Escalators!$I$44:$U$49,MATCH(AV$4,Escalators!$C$44:$C$49,0),MATCH(AV$5,Escalators!$I$43:$U$43,0))</f>
        <v>0</v>
      </c>
      <c r="AW18" s="128">
        <f>INDEX(Direct_Cost_Splits_Network,MATCH($H18,RIN_Asset_Cat_Network,0),MATCH($AY$4,Direct_Cost_Type,0))*$M18*INDEX(Act_Type_Augex_Splits,MATCH($I18,Act_Type_Augex,0),MATCH(AW$4,Mat_Type,0))*INDEX(Escalators!$I$44:$U$49,MATCH(AW$4,Escalators!$C$44:$C$49,0),MATCH(AW$5,Escalators!$I$43:$U$43,0))</f>
        <v>0</v>
      </c>
      <c r="AX18" s="128">
        <f>INDEX(Direct_Cost_Splits_Network,MATCH($H18,RIN_Asset_Cat_Network,0),MATCH($AY$4,Direct_Cost_Type,0))*$M18*INDEX(Act_Type_Augex_Splits,MATCH($I18,Act_Type_Augex,0),MATCH(AX$4,Mat_Type,0))*INDEX(Escalators!$I$44:$U$49,MATCH(AX$4,Escalators!$C$44:$C$49,0),MATCH(AX$5,Escalators!$I$43:$U$43,0))</f>
        <v>0</v>
      </c>
      <c r="AY18" s="128">
        <f t="shared" si="71"/>
        <v>0</v>
      </c>
      <c r="AZ18" s="128">
        <f>INDEX(Direct_Cost_Splits_Network,MATCH($H18,RIN_Asset_Cat_Network,0),MATCH($BE$4,Direct_Cost_Type,0))*$N18*INDEX(Act_Type_Augex_Splits,MATCH($I18,Act_Type_Augex,0),MATCH(AZ$4,Mat_Type,0))*INDEX(Escalators!$I$44:$U$49,MATCH(AZ$4,Escalators!$C$44:$C$49,0),MATCH(AZ$5,Escalators!$I$43:$U$43,0))</f>
        <v>0</v>
      </c>
      <c r="BA18" s="128">
        <f>INDEX(Direct_Cost_Splits_Network,MATCH($H18,RIN_Asset_Cat_Network,0),MATCH($BE$4,Direct_Cost_Type,0))*$N18*INDEX(Act_Type_Augex_Splits,MATCH($I18,Act_Type_Augex,0),MATCH(BA$4,Mat_Type,0))*INDEX(Escalators!$I$44:$U$49,MATCH(BA$4,Escalators!$C$44:$C$49,0),MATCH(BA$5,Escalators!$I$43:$U$43,0))</f>
        <v>0</v>
      </c>
      <c r="BB18" s="128">
        <f>INDEX(Direct_Cost_Splits_Network,MATCH($H18,RIN_Asset_Cat_Network,0),MATCH($BE$4,Direct_Cost_Type,0))*$N18*INDEX(Act_Type_Augex_Splits,MATCH($I18,Act_Type_Augex,0),MATCH(BB$4,Mat_Type,0))*INDEX(Escalators!$I$44:$U$49,MATCH(BB$4,Escalators!$C$44:$C$49,0),MATCH(BB$5,Escalators!$I$43:$U$43,0))</f>
        <v>0</v>
      </c>
      <c r="BC18" s="128">
        <f>INDEX(Direct_Cost_Splits_Network,MATCH($H18,RIN_Asset_Cat_Network,0),MATCH($BE$4,Direct_Cost_Type,0))*$N18*INDEX(Act_Type_Augex_Splits,MATCH($I18,Act_Type_Augex,0),MATCH(BC$4,Mat_Type,0))*INDEX(Escalators!$I$44:$U$49,MATCH(BC$4,Escalators!$C$44:$C$49,0),MATCH(BC$5,Escalators!$I$43:$U$43,0))</f>
        <v>0</v>
      </c>
      <c r="BD18" s="128">
        <f>INDEX(Direct_Cost_Splits_Network,MATCH($H18,RIN_Asset_Cat_Network,0),MATCH($BE$4,Direct_Cost_Type,0))*$N18*INDEX(Act_Type_Augex_Splits,MATCH($I18,Act_Type_Augex,0),MATCH(BD$4,Mat_Type,0))*INDEX(Escalators!$I$44:$U$49,MATCH(BD$4,Escalators!$C$44:$C$49,0),MATCH(BD$5,Escalators!$I$43:$U$43,0))</f>
        <v>0</v>
      </c>
      <c r="BE18" s="128">
        <f t="shared" si="72"/>
        <v>0</v>
      </c>
      <c r="BF18" s="128">
        <f>INDEX(Direct_Cost_Splits_Network,MATCH($H18,RIN_Asset_Cat_Network,0),MATCH($BK$4,Direct_Cost_Type,0))*$O18*INDEX(Act_Type_Augex_Splits,MATCH($I18,Act_Type_Augex,0),MATCH(BF$4,Mat_Type,0))*INDEX(Escalators!$I$44:$U$49,MATCH(BF$4,Escalators!$C$44:$C$49,0),MATCH(BF$5,Escalators!$I$43:$U$43,0))</f>
        <v>0</v>
      </c>
      <c r="BG18" s="128">
        <f>INDEX(Direct_Cost_Splits_Network,MATCH($H18,RIN_Asset_Cat_Network,0),MATCH($BK$4,Direct_Cost_Type,0))*$O18*INDEX(Act_Type_Augex_Splits,MATCH($I18,Act_Type_Augex,0),MATCH(BG$4,Mat_Type,0))*INDEX(Escalators!$I$44:$U$49,MATCH(BG$4,Escalators!$C$44:$C$49,0),MATCH(BG$5,Escalators!$I$43:$U$43,0))</f>
        <v>0</v>
      </c>
      <c r="BH18" s="128">
        <f>INDEX(Direct_Cost_Splits_Network,MATCH($H18,RIN_Asset_Cat_Network,0),MATCH($BK$4,Direct_Cost_Type,0))*$O18*INDEX(Act_Type_Augex_Splits,MATCH($I18,Act_Type_Augex,0),MATCH(BH$4,Mat_Type,0))*INDEX(Escalators!$I$44:$U$49,MATCH(BH$4,Escalators!$C$44:$C$49,0),MATCH(BH$5,Escalators!$I$43:$U$43,0))</f>
        <v>0</v>
      </c>
      <c r="BI18" s="128">
        <f>INDEX(Direct_Cost_Splits_Network,MATCH($H18,RIN_Asset_Cat_Network,0),MATCH($BK$4,Direct_Cost_Type,0))*$O18*INDEX(Act_Type_Augex_Splits,MATCH($I18,Act_Type_Augex,0),MATCH(BI$4,Mat_Type,0))*INDEX(Escalators!$I$44:$U$49,MATCH(BI$4,Escalators!$C$44:$C$49,0),MATCH(BI$5,Escalators!$I$43:$U$43,0))</f>
        <v>0</v>
      </c>
      <c r="BJ18" s="128">
        <f>INDEX(Direct_Cost_Splits_Network,MATCH($H18,RIN_Asset_Cat_Network,0),MATCH($BK$4,Direct_Cost_Type,0))*$O18*INDEX(Act_Type_Augex_Splits,MATCH($I18,Act_Type_Augex,0),MATCH(BJ$4,Mat_Type,0))*INDEX(Escalators!$I$44:$U$49,MATCH(BJ$4,Escalators!$C$44:$C$49,0),MATCH(BJ$5,Escalators!$I$43:$U$43,0))</f>
        <v>0</v>
      </c>
      <c r="BK18" s="128">
        <f t="shared" si="73"/>
        <v>0</v>
      </c>
      <c r="BL18" s="128">
        <f>INDEX(Direct_Cost_Splits_Network,MATCH($H18,RIN_Asset_Cat_Network,0),MATCH($BQ$4,Direct_Cost_Type,0))*$P18*INDEX(Act_Type_Augex_Splits,MATCH($I18,Act_Type_Augex,0),MATCH(BL$4,Mat_Type,0))*INDEX(Escalators!$I$44:$U$49,MATCH(BL$4,Escalators!$C$44:$C$49,0),MATCH(BL$5,Escalators!$I$43:$U$43,0))</f>
        <v>0</v>
      </c>
      <c r="BM18" s="128">
        <f>INDEX(Direct_Cost_Splits_Network,MATCH($H18,RIN_Asset_Cat_Network,0),MATCH($BQ$4,Direct_Cost_Type,0))*$P18*INDEX(Act_Type_Augex_Splits,MATCH($I18,Act_Type_Augex,0),MATCH(BM$4,Mat_Type,0))*INDEX(Escalators!$I$44:$U$49,MATCH(BM$4,Escalators!$C$44:$C$49,0),MATCH(BM$5,Escalators!$I$43:$U$43,0))</f>
        <v>0</v>
      </c>
      <c r="BN18" s="128">
        <f>INDEX(Direct_Cost_Splits_Network,MATCH($H18,RIN_Asset_Cat_Network,0),MATCH($BQ$4,Direct_Cost_Type,0))*$P18*INDEX(Act_Type_Augex_Splits,MATCH($I18,Act_Type_Augex,0),MATCH(BN$4,Mat_Type,0))*INDEX(Escalators!$I$44:$U$49,MATCH(BN$4,Escalators!$C$44:$C$49,0),MATCH(BN$5,Escalators!$I$43:$U$43,0))</f>
        <v>0</v>
      </c>
      <c r="BO18" s="128">
        <f>INDEX(Direct_Cost_Splits_Network,MATCH($H18,RIN_Asset_Cat_Network,0),MATCH($BQ$4,Direct_Cost_Type,0))*$P18*INDEX(Act_Type_Augex_Splits,MATCH($I18,Act_Type_Augex,0),MATCH(BO$4,Mat_Type,0))*INDEX(Escalators!$I$44:$U$49,MATCH(BO$4,Escalators!$C$44:$C$49,0),MATCH(BO$5,Escalators!$I$43:$U$43,0))</f>
        <v>0</v>
      </c>
      <c r="BP18" s="128">
        <f>INDEX(Direct_Cost_Splits_Network,MATCH($H18,RIN_Asset_Cat_Network,0),MATCH($BQ$4,Direct_Cost_Type,0))*$P18*INDEX(Act_Type_Augex_Splits,MATCH($I18,Act_Type_Augex,0),MATCH(BP$4,Mat_Type,0))*INDEX(Escalators!$I$44:$U$49,MATCH(BP$4,Escalators!$C$44:$C$49,0),MATCH(BP$5,Escalators!$I$43:$U$43,0))</f>
        <v>0</v>
      </c>
      <c r="BQ18" s="128">
        <f t="shared" si="74"/>
        <v>0</v>
      </c>
      <c r="BR18" s="128">
        <f>INDEX(Direct_Cost_Splits_Network,MATCH($H18,RIN_Asset_Cat_Network,0),MATCH($BW$4,Direct_Cost_Type,0))*$Q18*INDEX(Act_Type_Augex_Splits,MATCH($I18,Act_Type_Augex,0),MATCH(BR$4,Mat_Type,0))*INDEX(Escalators!$I$44:$U$49,MATCH(BR$4,Escalators!$C$44:$C$49,0),MATCH(BR$5,Escalators!$I$43:$U$43,0))</f>
        <v>0</v>
      </c>
      <c r="BS18" s="128">
        <f>INDEX(Direct_Cost_Splits_Network,MATCH($H18,RIN_Asset_Cat_Network,0),MATCH($BW$4,Direct_Cost_Type,0))*$Q18*INDEX(Act_Type_Augex_Splits,MATCH($I18,Act_Type_Augex,0),MATCH(BS$4,Mat_Type,0))*INDEX(Escalators!$I$44:$U$49,MATCH(BS$4,Escalators!$C$44:$C$49,0),MATCH(BS$5,Escalators!$I$43:$U$43,0))</f>
        <v>0</v>
      </c>
      <c r="BT18" s="128">
        <f>INDEX(Direct_Cost_Splits_Network,MATCH($H18,RIN_Asset_Cat_Network,0),MATCH($BW$4,Direct_Cost_Type,0))*$Q18*INDEX(Act_Type_Augex_Splits,MATCH($I18,Act_Type_Augex,0),MATCH(BT$4,Mat_Type,0))*INDEX(Escalators!$I$44:$U$49,MATCH(BT$4,Escalators!$C$44:$C$49,0),MATCH(BT$5,Escalators!$I$43:$U$43,0))</f>
        <v>0</v>
      </c>
      <c r="BU18" s="128">
        <f>INDEX(Direct_Cost_Splits_Network,MATCH($H18,RIN_Asset_Cat_Network,0),MATCH($BW$4,Direct_Cost_Type,0))*$Q18*INDEX(Act_Type_Augex_Splits,MATCH($I18,Act_Type_Augex,0),MATCH(BU$4,Mat_Type,0))*INDEX(Escalators!$I$44:$U$49,MATCH(BU$4,Escalators!$C$44:$C$49,0),MATCH(BU$5,Escalators!$I$43:$U$43,0))</f>
        <v>0</v>
      </c>
      <c r="BV18" s="128">
        <f>INDEX(Direct_Cost_Splits_Network,MATCH($H18,RIN_Asset_Cat_Network,0),MATCH($BW$4,Direct_Cost_Type,0))*$Q18*INDEX(Act_Type_Augex_Splits,MATCH($I18,Act_Type_Augex,0),MATCH(BV$4,Mat_Type,0))*INDEX(Escalators!$I$44:$U$49,MATCH(BV$4,Escalators!$C$44:$C$49,0),MATCH(BV$5,Escalators!$I$43:$U$43,0))</f>
        <v>0</v>
      </c>
      <c r="BW18" s="128">
        <f t="shared" si="75"/>
        <v>0</v>
      </c>
      <c r="BX18" s="129"/>
      <c r="BY18" s="128">
        <f>INDEX(Direct_Cost_Splits_Network,MATCH($H18,RIN_Asset_Cat_Network,0),MATCH($BY$4,Direct_Cost_Type,0))*J18*HLOOKUP(BY$5,Escalators!$I$25:$U$30,6,FALSE)</f>
        <v>0</v>
      </c>
      <c r="BZ18" s="128">
        <f>INDEX(Direct_Cost_Splits_Network,MATCH($H18,RIN_Asset_Cat_Network,0),MATCH($BY$4,Direct_Cost_Type,0))*K18*HLOOKUP(BZ$5,Escalators!$I$25:$U$30,6,FALSE)</f>
        <v>0</v>
      </c>
      <c r="CA18" s="128">
        <f>INDEX(Direct_Cost_Splits_Network,MATCH($H18,RIN_Asset_Cat_Network,0),MATCH($BY$4,Direct_Cost_Type,0))*L18*HLOOKUP(CA$5,Escalators!$I$25:$U$30,6,FALSE)</f>
        <v>0</v>
      </c>
      <c r="CB18" s="128">
        <f>INDEX(Direct_Cost_Splits_Network,MATCH($H18,RIN_Asset_Cat_Network,0),MATCH($BY$4,Direct_Cost_Type,0))*M18*HLOOKUP(CB$5,Escalators!$I$25:$U$30,6,FALSE)</f>
        <v>0</v>
      </c>
      <c r="CC18" s="128">
        <f>INDEX(Direct_Cost_Splits_Network,MATCH($H18,RIN_Asset_Cat_Network,0),MATCH($BY$4,Direct_Cost_Type,0))*N18*HLOOKUP(CC$5,Escalators!$I$25:$U$30,6,FALSE)</f>
        <v>0</v>
      </c>
      <c r="CD18" s="128">
        <f>INDEX(Direct_Cost_Splits_Network,MATCH($H18,RIN_Asset_Cat_Network,0),MATCH($BY$4,Direct_Cost_Type,0))*O18*HLOOKUP(CD$5,Escalators!$I$25:$U$30,6,FALSE)</f>
        <v>0</v>
      </c>
      <c r="CE18" s="128">
        <f>INDEX(Direct_Cost_Splits_Network,MATCH($H18,RIN_Asset_Cat_Network,0),MATCH($BY$4,Direct_Cost_Type,0))*P18*HLOOKUP(CE$5,Escalators!$I$25:$U$30,6,FALSE)</f>
        <v>0</v>
      </c>
      <c r="CF18" s="128">
        <f>INDEX(Direct_Cost_Splits_Network,MATCH($H18,RIN_Asset_Cat_Network,0),MATCH($BY$4,Direct_Cost_Type,0))*Q18*HLOOKUP(CF$5,Escalators!$I$25:$U$30,6,FALSE)</f>
        <v>0</v>
      </c>
      <c r="CG18" s="129"/>
      <c r="CH18" s="675">
        <f t="shared" si="76"/>
        <v>0</v>
      </c>
      <c r="CI18" s="675">
        <f t="shared" si="77"/>
        <v>0</v>
      </c>
      <c r="CJ18" s="675">
        <f t="shared" si="78"/>
        <v>0</v>
      </c>
      <c r="CK18" s="675">
        <f t="shared" si="79"/>
        <v>0</v>
      </c>
      <c r="CL18" s="675">
        <f t="shared" si="80"/>
        <v>0</v>
      </c>
      <c r="CM18" s="675">
        <f t="shared" si="81"/>
        <v>0</v>
      </c>
      <c r="CN18" s="675">
        <f t="shared" si="82"/>
        <v>0</v>
      </c>
      <c r="CO18" s="675">
        <f t="shared" si="83"/>
        <v>0</v>
      </c>
      <c r="CP18" s="129"/>
      <c r="CQ18" s="128">
        <f t="shared" si="18"/>
        <v>0</v>
      </c>
      <c r="CR18" s="128">
        <f t="shared" si="9"/>
        <v>0</v>
      </c>
      <c r="CS18" s="128">
        <f t="shared" si="19"/>
        <v>0</v>
      </c>
      <c r="CT18" s="128">
        <f t="shared" si="20"/>
        <v>0</v>
      </c>
      <c r="CU18" s="128">
        <f t="shared" si="21"/>
        <v>0</v>
      </c>
      <c r="CV18" s="128">
        <f t="shared" si="22"/>
        <v>0</v>
      </c>
      <c r="CW18" s="128">
        <f t="shared" si="23"/>
        <v>0</v>
      </c>
      <c r="CX18" s="128">
        <f t="shared" si="24"/>
        <v>0</v>
      </c>
      <c r="CZ18" s="39"/>
    </row>
    <row r="19" spans="2:104">
      <c r="B19" s="75" t="s">
        <v>426</v>
      </c>
      <c r="C19" s="75" t="s">
        <v>419</v>
      </c>
      <c r="D19" s="75" t="s">
        <v>538</v>
      </c>
      <c r="E19" s="75" t="s">
        <v>45</v>
      </c>
      <c r="F19" s="75" t="s">
        <v>51</v>
      </c>
      <c r="G19" s="75" t="s">
        <v>10</v>
      </c>
      <c r="H19" s="75" t="s">
        <v>164</v>
      </c>
      <c r="I19" s="75" t="s">
        <v>214</v>
      </c>
      <c r="J19" s="128"/>
      <c r="K19" s="128"/>
      <c r="L19" s="128"/>
      <c r="M19" s="128"/>
      <c r="N19" s="128"/>
      <c r="O19" s="128"/>
      <c r="P19" s="128"/>
      <c r="Q19" s="128"/>
      <c r="R19" s="129"/>
      <c r="S19" s="128">
        <f>INDEX(Direct_Cost_Splits_Network,MATCH($H19,RIN_Asset_Cat_Network,0),MATCH($S$4,Direct_Cost_Type,0))*J19*HLOOKUP(S$5,Escalators!$I$25:$U$30,3,FALSE)</f>
        <v>0</v>
      </c>
      <c r="T19" s="128">
        <f>INDEX(Direct_Cost_Splits_Network,MATCH($H19,RIN_Asset_Cat_Network,0),MATCH($S$4,Direct_Cost_Type,0))*K19*HLOOKUP(T$5,Escalators!$I$25:$U$30,3,FALSE)</f>
        <v>0</v>
      </c>
      <c r="U19" s="128">
        <f>INDEX(Direct_Cost_Splits_Network,MATCH($H19,RIN_Asset_Cat_Network,0),MATCH($S$4,Direct_Cost_Type,0))*L19*HLOOKUP(U$5,Escalators!$I$25:$U$30,3,FALSE)</f>
        <v>0</v>
      </c>
      <c r="V19" s="128">
        <f>INDEX(Direct_Cost_Splits_Network,MATCH($H19,RIN_Asset_Cat_Network,0),MATCH($S$4,Direct_Cost_Type,0))*M19*HLOOKUP(V$5,Escalators!$I$25:$U$30,3,FALSE)</f>
        <v>0</v>
      </c>
      <c r="W19" s="128">
        <f>INDEX(Direct_Cost_Splits_Network,MATCH($H19,RIN_Asset_Cat_Network,0),MATCH($S$4,Direct_Cost_Type,0))*N19*HLOOKUP(W$5,Escalators!$I$25:$U$30,3,FALSE)</f>
        <v>0</v>
      </c>
      <c r="X19" s="128">
        <f>INDEX(Direct_Cost_Splits_Network,MATCH($H19,RIN_Asset_Cat_Network,0),MATCH($S$4,Direct_Cost_Type,0))*O19*HLOOKUP(X$5,Escalators!$I$25:$U$30,3,FALSE)</f>
        <v>0</v>
      </c>
      <c r="Y19" s="128">
        <f>INDEX(Direct_Cost_Splits_Network,MATCH($H19,RIN_Asset_Cat_Network,0),MATCH($S$4,Direct_Cost_Type,0))*P19*HLOOKUP(Y$5,Escalators!$I$25:$U$30,3,FALSE)</f>
        <v>0</v>
      </c>
      <c r="Z19" s="128">
        <f>INDEX(Direct_Cost_Splits_Network,MATCH($H19,RIN_Asset_Cat_Network,0),MATCH($S$4,Direct_Cost_Type,0))*Q19*HLOOKUP(Z$5,Escalators!$I$25:$U$30,3,FALSE)</f>
        <v>0</v>
      </c>
      <c r="AA19" s="129"/>
      <c r="AB19" s="128">
        <f>INDEX(Direct_Cost_Splits_Network,MATCH($H19,RIN_Asset_Cat_Network,0),MATCH($AG$4,Direct_Cost_Type,0))*$J19*INDEX(Act_Type_Augex_Splits,MATCH($I19,Act_Type_Augex,0),MATCH(AB$4,Mat_Type,0))*INDEX(Escalators!$I$44:$U$49,MATCH(AB$4,Escalators!$C$44:$C$49,0),MATCH(AB$5,Escalators!$I$43:$U$43,0))</f>
        <v>0</v>
      </c>
      <c r="AC19" s="128">
        <f>INDEX(Direct_Cost_Splits_Network,MATCH($H19,RIN_Asset_Cat_Network,0),MATCH($AG$4,Direct_Cost_Type,0))*$J19*INDEX(Act_Type_Augex_Splits,MATCH($I19,Act_Type_Augex,0),MATCH(AC$4,Mat_Type,0))*INDEX(Escalators!$I$44:$U$49,MATCH(AC$4,Escalators!$C$44:$C$49,0),MATCH(AC$5,Escalators!$I$43:$U$43,0))</f>
        <v>0</v>
      </c>
      <c r="AD19" s="128">
        <f>INDEX(Direct_Cost_Splits_Network,MATCH($H19,RIN_Asset_Cat_Network,0),MATCH($AG$4,Direct_Cost_Type,0))*$J19*INDEX(Act_Type_Augex_Splits,MATCH($I19,Act_Type_Augex,0),MATCH(AD$4,Mat_Type,0))*INDEX(Escalators!$I$44:$U$49,MATCH(AD$4,Escalators!$C$44:$C$49,0),MATCH(AD$5,Escalators!$I$43:$U$43,0))</f>
        <v>0</v>
      </c>
      <c r="AE19" s="128">
        <f>INDEX(Direct_Cost_Splits_Network,MATCH($H19,RIN_Asset_Cat_Network,0),MATCH($AG$4,Direct_Cost_Type,0))*$J19*INDEX(Act_Type_Augex_Splits,MATCH($I19,Act_Type_Augex,0),MATCH(AE$4,Mat_Type,0))*INDEX(Escalators!$I$44:$U$49,MATCH(AE$4,Escalators!$C$44:$C$49,0),MATCH(AE$5,Escalators!$I$43:$U$43,0))</f>
        <v>0</v>
      </c>
      <c r="AF19" s="128">
        <f>INDEX(Direct_Cost_Splits_Network,MATCH($H19,RIN_Asset_Cat_Network,0),MATCH($AG$4,Direct_Cost_Type,0))*$J19*INDEX(Act_Type_Augex_Splits,MATCH($I19,Act_Type_Augex,0),MATCH(AF$4,Mat_Type,0))*INDEX(Escalators!$I$44:$U$49,MATCH(AF$4,Escalators!$C$44:$C$49,0),MATCH(AF$5,Escalators!$I$43:$U$43,0))</f>
        <v>0</v>
      </c>
      <c r="AG19" s="128">
        <f t="shared" si="68"/>
        <v>0</v>
      </c>
      <c r="AH19" s="128">
        <f>INDEX(Direct_Cost_Splits_Network,MATCH($H19,RIN_Asset_Cat_Network,0),MATCH($AY$4,Direct_Cost_Type,0))*$K19*INDEX(Act_Type_Augex_Splits,MATCH($I19,Act_Type_Augex,0),MATCH(AH$4,Mat_Type,0))*INDEX(Escalators!$I$44:$U$49,MATCH(AH$4,Escalators!$C$44:$C$49,0),MATCH(AH$5,Escalators!$I$43:$U$43,0))</f>
        <v>0</v>
      </c>
      <c r="AI19" s="128">
        <f>INDEX(Direct_Cost_Splits_Network,MATCH($H19,RIN_Asset_Cat_Network,0),MATCH($AY$4,Direct_Cost_Type,0))*$K19*INDEX(Act_Type_Augex_Splits,MATCH($I19,Act_Type_Augex,0),MATCH(AI$4,Mat_Type,0))*INDEX(Escalators!$I$44:$U$49,MATCH(AI$4,Escalators!$C$44:$C$49,0),MATCH(AI$5,Escalators!$I$43:$U$43,0))</f>
        <v>0</v>
      </c>
      <c r="AJ19" s="128">
        <f>INDEX(Direct_Cost_Splits_Network,MATCH($H19,RIN_Asset_Cat_Network,0),MATCH($AY$4,Direct_Cost_Type,0))*$K19*INDEX(Act_Type_Augex_Splits,MATCH($I19,Act_Type_Augex,0),MATCH(AJ$4,Mat_Type,0))*INDEX(Escalators!$I$44:$U$49,MATCH(AJ$4,Escalators!$C$44:$C$49,0),MATCH(AJ$5,Escalators!$I$43:$U$43,0))</f>
        <v>0</v>
      </c>
      <c r="AK19" s="128">
        <f>INDEX(Direct_Cost_Splits_Network,MATCH($H19,RIN_Asset_Cat_Network,0),MATCH($AY$4,Direct_Cost_Type,0))*$K19*INDEX(Act_Type_Augex_Splits,MATCH($I19,Act_Type_Augex,0),MATCH(AK$4,Mat_Type,0))*INDEX(Escalators!$I$44:$U$49,MATCH(AK$4,Escalators!$C$44:$C$49,0),MATCH(AK$5,Escalators!$I$43:$U$43,0))</f>
        <v>0</v>
      </c>
      <c r="AL19" s="128">
        <f>INDEX(Direct_Cost_Splits_Network,MATCH($H19,RIN_Asset_Cat_Network,0),MATCH($AY$4,Direct_Cost_Type,0))*$K19*INDEX(Act_Type_Augex_Splits,MATCH($I19,Act_Type_Augex,0),MATCH(AL$4,Mat_Type,0))*INDEX(Escalators!$I$44:$U$49,MATCH(AL$4,Escalators!$C$44:$C$49,0),MATCH(AL$5,Escalators!$I$43:$U$43,0))</f>
        <v>0</v>
      </c>
      <c r="AM19" s="128">
        <f t="shared" si="69"/>
        <v>0</v>
      </c>
      <c r="AN19" s="128">
        <f>INDEX(Direct_Cost_Splits_Network,MATCH($H19,RIN_Asset_Cat_Network,0),MATCH($AY$4,Direct_Cost_Type,0))*$L19*INDEX(Act_Type_Augex_Splits,MATCH($I19,Act_Type_Augex,0),MATCH(AN$4,Mat_Type,0))*INDEX(Escalators!$I$44:$U$49,MATCH(AN$4,Escalators!$C$44:$C$49,0),MATCH(AN$5,Escalators!$I$43:$U$43,0))</f>
        <v>0</v>
      </c>
      <c r="AO19" s="128">
        <f>INDEX(Direct_Cost_Splits_Network,MATCH($H19,RIN_Asset_Cat_Network,0),MATCH($AY$4,Direct_Cost_Type,0))*$L19*INDEX(Act_Type_Augex_Splits,MATCH($I19,Act_Type_Augex,0),MATCH(AO$4,Mat_Type,0))*INDEX(Escalators!$I$44:$U$49,MATCH(AO$4,Escalators!$C$44:$C$49,0),MATCH(AO$5,Escalators!$I$43:$U$43,0))</f>
        <v>0</v>
      </c>
      <c r="AP19" s="128">
        <f>INDEX(Direct_Cost_Splits_Network,MATCH($H19,RIN_Asset_Cat_Network,0),MATCH($AY$4,Direct_Cost_Type,0))*$L19*INDEX(Act_Type_Augex_Splits,MATCH($I19,Act_Type_Augex,0),MATCH(AP$4,Mat_Type,0))*INDEX(Escalators!$I$44:$U$49,MATCH(AP$4,Escalators!$C$44:$C$49,0),MATCH(AP$5,Escalators!$I$43:$U$43,0))</f>
        <v>0</v>
      </c>
      <c r="AQ19" s="128">
        <f>INDEX(Direct_Cost_Splits_Network,MATCH($H19,RIN_Asset_Cat_Network,0),MATCH($AY$4,Direct_Cost_Type,0))*$L19*INDEX(Act_Type_Augex_Splits,MATCH($I19,Act_Type_Augex,0),MATCH(AQ$4,Mat_Type,0))*INDEX(Escalators!$I$44:$U$49,MATCH(AQ$4,Escalators!$C$44:$C$49,0),MATCH(AQ$5,Escalators!$I$43:$U$43,0))</f>
        <v>0</v>
      </c>
      <c r="AR19" s="128">
        <f>INDEX(Direct_Cost_Splits_Network,MATCH($H19,RIN_Asset_Cat_Network,0),MATCH($AY$4,Direct_Cost_Type,0))*$L19*INDEX(Act_Type_Augex_Splits,MATCH($I19,Act_Type_Augex,0),MATCH(AR$4,Mat_Type,0))*INDEX(Escalators!$I$44:$U$49,MATCH(AR$4,Escalators!$C$44:$C$49,0),MATCH(AR$5,Escalators!$I$43:$U$43,0))</f>
        <v>0</v>
      </c>
      <c r="AS19" s="128">
        <f t="shared" si="70"/>
        <v>0</v>
      </c>
      <c r="AT19" s="128">
        <f>INDEX(Direct_Cost_Splits_Network,MATCH($H19,RIN_Asset_Cat_Network,0),MATCH($AY$4,Direct_Cost_Type,0))*$M19*INDEX(Act_Type_Augex_Splits,MATCH($I19,Act_Type_Augex,0),MATCH(AT$4,Mat_Type,0))*INDEX(Escalators!$I$44:$U$49,MATCH(AT$4,Escalators!$C$44:$C$49,0),MATCH(AT$5,Escalators!$I$43:$U$43,0))</f>
        <v>0</v>
      </c>
      <c r="AU19" s="128">
        <f>INDEX(Direct_Cost_Splits_Network,MATCH($H19,RIN_Asset_Cat_Network,0),MATCH($AY$4,Direct_Cost_Type,0))*$M19*INDEX(Act_Type_Augex_Splits,MATCH($I19,Act_Type_Augex,0),MATCH(AU$4,Mat_Type,0))*INDEX(Escalators!$I$44:$U$49,MATCH(AU$4,Escalators!$C$44:$C$49,0),MATCH(AU$5,Escalators!$I$43:$U$43,0))</f>
        <v>0</v>
      </c>
      <c r="AV19" s="128">
        <f>INDEX(Direct_Cost_Splits_Network,MATCH($H19,RIN_Asset_Cat_Network,0),MATCH($AY$4,Direct_Cost_Type,0))*$M19*INDEX(Act_Type_Augex_Splits,MATCH($I19,Act_Type_Augex,0),MATCH(AV$4,Mat_Type,0))*INDEX(Escalators!$I$44:$U$49,MATCH(AV$4,Escalators!$C$44:$C$49,0),MATCH(AV$5,Escalators!$I$43:$U$43,0))</f>
        <v>0</v>
      </c>
      <c r="AW19" s="128">
        <f>INDEX(Direct_Cost_Splits_Network,MATCH($H19,RIN_Asset_Cat_Network,0),MATCH($AY$4,Direct_Cost_Type,0))*$M19*INDEX(Act_Type_Augex_Splits,MATCH($I19,Act_Type_Augex,0),MATCH(AW$4,Mat_Type,0))*INDEX(Escalators!$I$44:$U$49,MATCH(AW$4,Escalators!$C$44:$C$49,0),MATCH(AW$5,Escalators!$I$43:$U$43,0))</f>
        <v>0</v>
      </c>
      <c r="AX19" s="128">
        <f>INDEX(Direct_Cost_Splits_Network,MATCH($H19,RIN_Asset_Cat_Network,0),MATCH($AY$4,Direct_Cost_Type,0))*$M19*INDEX(Act_Type_Augex_Splits,MATCH($I19,Act_Type_Augex,0),MATCH(AX$4,Mat_Type,0))*INDEX(Escalators!$I$44:$U$49,MATCH(AX$4,Escalators!$C$44:$C$49,0),MATCH(AX$5,Escalators!$I$43:$U$43,0))</f>
        <v>0</v>
      </c>
      <c r="AY19" s="128">
        <f t="shared" si="71"/>
        <v>0</v>
      </c>
      <c r="AZ19" s="128">
        <f>INDEX(Direct_Cost_Splits_Network,MATCH($H19,RIN_Asset_Cat_Network,0),MATCH($BE$4,Direct_Cost_Type,0))*$N19*INDEX(Act_Type_Augex_Splits,MATCH($I19,Act_Type_Augex,0),MATCH(AZ$4,Mat_Type,0))*INDEX(Escalators!$I$44:$U$49,MATCH(AZ$4,Escalators!$C$44:$C$49,0),MATCH(AZ$5,Escalators!$I$43:$U$43,0))</f>
        <v>0</v>
      </c>
      <c r="BA19" s="128">
        <f>INDEX(Direct_Cost_Splits_Network,MATCH($H19,RIN_Asset_Cat_Network,0),MATCH($BE$4,Direct_Cost_Type,0))*$N19*INDEX(Act_Type_Augex_Splits,MATCH($I19,Act_Type_Augex,0),MATCH(BA$4,Mat_Type,0))*INDEX(Escalators!$I$44:$U$49,MATCH(BA$4,Escalators!$C$44:$C$49,0),MATCH(BA$5,Escalators!$I$43:$U$43,0))</f>
        <v>0</v>
      </c>
      <c r="BB19" s="128">
        <f>INDEX(Direct_Cost_Splits_Network,MATCH($H19,RIN_Asset_Cat_Network,0),MATCH($BE$4,Direct_Cost_Type,0))*$N19*INDEX(Act_Type_Augex_Splits,MATCH($I19,Act_Type_Augex,0),MATCH(BB$4,Mat_Type,0))*INDEX(Escalators!$I$44:$U$49,MATCH(BB$4,Escalators!$C$44:$C$49,0),MATCH(BB$5,Escalators!$I$43:$U$43,0))</f>
        <v>0</v>
      </c>
      <c r="BC19" s="128">
        <f>INDEX(Direct_Cost_Splits_Network,MATCH($H19,RIN_Asset_Cat_Network,0),MATCH($BE$4,Direct_Cost_Type,0))*$N19*INDEX(Act_Type_Augex_Splits,MATCH($I19,Act_Type_Augex,0),MATCH(BC$4,Mat_Type,0))*INDEX(Escalators!$I$44:$U$49,MATCH(BC$4,Escalators!$C$44:$C$49,0),MATCH(BC$5,Escalators!$I$43:$U$43,0))</f>
        <v>0</v>
      </c>
      <c r="BD19" s="128">
        <f>INDEX(Direct_Cost_Splits_Network,MATCH($H19,RIN_Asset_Cat_Network,0),MATCH($BE$4,Direct_Cost_Type,0))*$N19*INDEX(Act_Type_Augex_Splits,MATCH($I19,Act_Type_Augex,0),MATCH(BD$4,Mat_Type,0))*INDEX(Escalators!$I$44:$U$49,MATCH(BD$4,Escalators!$C$44:$C$49,0),MATCH(BD$5,Escalators!$I$43:$U$43,0))</f>
        <v>0</v>
      </c>
      <c r="BE19" s="128">
        <f t="shared" si="72"/>
        <v>0</v>
      </c>
      <c r="BF19" s="128">
        <f>INDEX(Direct_Cost_Splits_Network,MATCH($H19,RIN_Asset_Cat_Network,0),MATCH($BK$4,Direct_Cost_Type,0))*$O19*INDEX(Act_Type_Augex_Splits,MATCH($I19,Act_Type_Augex,0),MATCH(BF$4,Mat_Type,0))*INDEX(Escalators!$I$44:$U$49,MATCH(BF$4,Escalators!$C$44:$C$49,0),MATCH(BF$5,Escalators!$I$43:$U$43,0))</f>
        <v>0</v>
      </c>
      <c r="BG19" s="128">
        <f>INDEX(Direct_Cost_Splits_Network,MATCH($H19,RIN_Asset_Cat_Network,0),MATCH($BK$4,Direct_Cost_Type,0))*$O19*INDEX(Act_Type_Augex_Splits,MATCH($I19,Act_Type_Augex,0),MATCH(BG$4,Mat_Type,0))*INDEX(Escalators!$I$44:$U$49,MATCH(BG$4,Escalators!$C$44:$C$49,0),MATCH(BG$5,Escalators!$I$43:$U$43,0))</f>
        <v>0</v>
      </c>
      <c r="BH19" s="128">
        <f>INDEX(Direct_Cost_Splits_Network,MATCH($H19,RIN_Asset_Cat_Network,0),MATCH($BK$4,Direct_Cost_Type,0))*$O19*INDEX(Act_Type_Augex_Splits,MATCH($I19,Act_Type_Augex,0),MATCH(BH$4,Mat_Type,0))*INDEX(Escalators!$I$44:$U$49,MATCH(BH$4,Escalators!$C$44:$C$49,0),MATCH(BH$5,Escalators!$I$43:$U$43,0))</f>
        <v>0</v>
      </c>
      <c r="BI19" s="128">
        <f>INDEX(Direct_Cost_Splits_Network,MATCH($H19,RIN_Asset_Cat_Network,0),MATCH($BK$4,Direct_Cost_Type,0))*$O19*INDEX(Act_Type_Augex_Splits,MATCH($I19,Act_Type_Augex,0),MATCH(BI$4,Mat_Type,0))*INDEX(Escalators!$I$44:$U$49,MATCH(BI$4,Escalators!$C$44:$C$49,0),MATCH(BI$5,Escalators!$I$43:$U$43,0))</f>
        <v>0</v>
      </c>
      <c r="BJ19" s="128">
        <f>INDEX(Direct_Cost_Splits_Network,MATCH($H19,RIN_Asset_Cat_Network,0),MATCH($BK$4,Direct_Cost_Type,0))*$O19*INDEX(Act_Type_Augex_Splits,MATCH($I19,Act_Type_Augex,0),MATCH(BJ$4,Mat_Type,0))*INDEX(Escalators!$I$44:$U$49,MATCH(BJ$4,Escalators!$C$44:$C$49,0),MATCH(BJ$5,Escalators!$I$43:$U$43,0))</f>
        <v>0</v>
      </c>
      <c r="BK19" s="128">
        <f t="shared" si="73"/>
        <v>0</v>
      </c>
      <c r="BL19" s="128">
        <f>INDEX(Direct_Cost_Splits_Network,MATCH($H19,RIN_Asset_Cat_Network,0),MATCH($BQ$4,Direct_Cost_Type,0))*$P19*INDEX(Act_Type_Augex_Splits,MATCH($I19,Act_Type_Augex,0),MATCH(BL$4,Mat_Type,0))*INDEX(Escalators!$I$44:$U$49,MATCH(BL$4,Escalators!$C$44:$C$49,0),MATCH(BL$5,Escalators!$I$43:$U$43,0))</f>
        <v>0</v>
      </c>
      <c r="BM19" s="128">
        <f>INDEX(Direct_Cost_Splits_Network,MATCH($H19,RIN_Asset_Cat_Network,0),MATCH($BQ$4,Direct_Cost_Type,0))*$P19*INDEX(Act_Type_Augex_Splits,MATCH($I19,Act_Type_Augex,0),MATCH(BM$4,Mat_Type,0))*INDEX(Escalators!$I$44:$U$49,MATCH(BM$4,Escalators!$C$44:$C$49,0),MATCH(BM$5,Escalators!$I$43:$U$43,0))</f>
        <v>0</v>
      </c>
      <c r="BN19" s="128">
        <f>INDEX(Direct_Cost_Splits_Network,MATCH($H19,RIN_Asset_Cat_Network,0),MATCH($BQ$4,Direct_Cost_Type,0))*$P19*INDEX(Act_Type_Augex_Splits,MATCH($I19,Act_Type_Augex,0),MATCH(BN$4,Mat_Type,0))*INDEX(Escalators!$I$44:$U$49,MATCH(BN$4,Escalators!$C$44:$C$49,0),MATCH(BN$5,Escalators!$I$43:$U$43,0))</f>
        <v>0</v>
      </c>
      <c r="BO19" s="128">
        <f>INDEX(Direct_Cost_Splits_Network,MATCH($H19,RIN_Asset_Cat_Network,0),MATCH($BQ$4,Direct_Cost_Type,0))*$P19*INDEX(Act_Type_Augex_Splits,MATCH($I19,Act_Type_Augex,0),MATCH(BO$4,Mat_Type,0))*INDEX(Escalators!$I$44:$U$49,MATCH(BO$4,Escalators!$C$44:$C$49,0),MATCH(BO$5,Escalators!$I$43:$U$43,0))</f>
        <v>0</v>
      </c>
      <c r="BP19" s="128">
        <f>INDEX(Direct_Cost_Splits_Network,MATCH($H19,RIN_Asset_Cat_Network,0),MATCH($BQ$4,Direct_Cost_Type,0))*$P19*INDEX(Act_Type_Augex_Splits,MATCH($I19,Act_Type_Augex,0),MATCH(BP$4,Mat_Type,0))*INDEX(Escalators!$I$44:$U$49,MATCH(BP$4,Escalators!$C$44:$C$49,0),MATCH(BP$5,Escalators!$I$43:$U$43,0))</f>
        <v>0</v>
      </c>
      <c r="BQ19" s="128">
        <f t="shared" si="74"/>
        <v>0</v>
      </c>
      <c r="BR19" s="128">
        <f>INDEX(Direct_Cost_Splits_Network,MATCH($H19,RIN_Asset_Cat_Network,0),MATCH($BW$4,Direct_Cost_Type,0))*$Q19*INDEX(Act_Type_Augex_Splits,MATCH($I19,Act_Type_Augex,0),MATCH(BR$4,Mat_Type,0))*INDEX(Escalators!$I$44:$U$49,MATCH(BR$4,Escalators!$C$44:$C$49,0),MATCH(BR$5,Escalators!$I$43:$U$43,0))</f>
        <v>0</v>
      </c>
      <c r="BS19" s="128">
        <f>INDEX(Direct_Cost_Splits_Network,MATCH($H19,RIN_Asset_Cat_Network,0),MATCH($BW$4,Direct_Cost_Type,0))*$Q19*INDEX(Act_Type_Augex_Splits,MATCH($I19,Act_Type_Augex,0),MATCH(BS$4,Mat_Type,0))*INDEX(Escalators!$I$44:$U$49,MATCH(BS$4,Escalators!$C$44:$C$49,0),MATCH(BS$5,Escalators!$I$43:$U$43,0))</f>
        <v>0</v>
      </c>
      <c r="BT19" s="128">
        <f>INDEX(Direct_Cost_Splits_Network,MATCH($H19,RIN_Asset_Cat_Network,0),MATCH($BW$4,Direct_Cost_Type,0))*$Q19*INDEX(Act_Type_Augex_Splits,MATCH($I19,Act_Type_Augex,0),MATCH(BT$4,Mat_Type,0))*INDEX(Escalators!$I$44:$U$49,MATCH(BT$4,Escalators!$C$44:$C$49,0),MATCH(BT$5,Escalators!$I$43:$U$43,0))</f>
        <v>0</v>
      </c>
      <c r="BU19" s="128">
        <f>INDEX(Direct_Cost_Splits_Network,MATCH($H19,RIN_Asset_Cat_Network,0),MATCH($BW$4,Direct_Cost_Type,0))*$Q19*INDEX(Act_Type_Augex_Splits,MATCH($I19,Act_Type_Augex,0),MATCH(BU$4,Mat_Type,0))*INDEX(Escalators!$I$44:$U$49,MATCH(BU$4,Escalators!$C$44:$C$49,0),MATCH(BU$5,Escalators!$I$43:$U$43,0))</f>
        <v>0</v>
      </c>
      <c r="BV19" s="128">
        <f>INDEX(Direct_Cost_Splits_Network,MATCH($H19,RIN_Asset_Cat_Network,0),MATCH($BW$4,Direct_Cost_Type,0))*$Q19*INDEX(Act_Type_Augex_Splits,MATCH($I19,Act_Type_Augex,0),MATCH(BV$4,Mat_Type,0))*INDEX(Escalators!$I$44:$U$49,MATCH(BV$4,Escalators!$C$44:$C$49,0),MATCH(BV$5,Escalators!$I$43:$U$43,0))</f>
        <v>0</v>
      </c>
      <c r="BW19" s="128">
        <f t="shared" si="75"/>
        <v>0</v>
      </c>
      <c r="BX19" s="129"/>
      <c r="BY19" s="128">
        <f>INDEX(Direct_Cost_Splits_Network,MATCH($H19,RIN_Asset_Cat_Network,0),MATCH($BY$4,Direct_Cost_Type,0))*J19*HLOOKUP(BY$5,Escalators!$I$25:$U$30,6,FALSE)</f>
        <v>0</v>
      </c>
      <c r="BZ19" s="128">
        <f>INDEX(Direct_Cost_Splits_Network,MATCH($H19,RIN_Asset_Cat_Network,0),MATCH($BY$4,Direct_Cost_Type,0))*K19*HLOOKUP(BZ$5,Escalators!$I$25:$U$30,6,FALSE)</f>
        <v>0</v>
      </c>
      <c r="CA19" s="128">
        <f>INDEX(Direct_Cost_Splits_Network,MATCH($H19,RIN_Asset_Cat_Network,0),MATCH($BY$4,Direct_Cost_Type,0))*L19*HLOOKUP(CA$5,Escalators!$I$25:$U$30,6,FALSE)</f>
        <v>0</v>
      </c>
      <c r="CB19" s="128">
        <f>INDEX(Direct_Cost_Splits_Network,MATCH($H19,RIN_Asset_Cat_Network,0),MATCH($BY$4,Direct_Cost_Type,0))*M19*HLOOKUP(CB$5,Escalators!$I$25:$U$30,6,FALSE)</f>
        <v>0</v>
      </c>
      <c r="CC19" s="128">
        <f>INDEX(Direct_Cost_Splits_Network,MATCH($H19,RIN_Asset_Cat_Network,0),MATCH($BY$4,Direct_Cost_Type,0))*N19*HLOOKUP(CC$5,Escalators!$I$25:$U$30,6,FALSE)</f>
        <v>0</v>
      </c>
      <c r="CD19" s="128">
        <f>INDEX(Direct_Cost_Splits_Network,MATCH($H19,RIN_Asset_Cat_Network,0),MATCH($BY$4,Direct_Cost_Type,0))*O19*HLOOKUP(CD$5,Escalators!$I$25:$U$30,6,FALSE)</f>
        <v>0</v>
      </c>
      <c r="CE19" s="128">
        <f>INDEX(Direct_Cost_Splits_Network,MATCH($H19,RIN_Asset_Cat_Network,0),MATCH($BY$4,Direct_Cost_Type,0))*P19*HLOOKUP(CE$5,Escalators!$I$25:$U$30,6,FALSE)</f>
        <v>0</v>
      </c>
      <c r="CF19" s="128">
        <f>INDEX(Direct_Cost_Splits_Network,MATCH($H19,RIN_Asset_Cat_Network,0),MATCH($BY$4,Direct_Cost_Type,0))*Q19*HLOOKUP(CF$5,Escalators!$I$25:$U$30,6,FALSE)</f>
        <v>0</v>
      </c>
      <c r="CG19" s="129"/>
      <c r="CH19" s="675">
        <f t="shared" si="76"/>
        <v>0</v>
      </c>
      <c r="CI19" s="675">
        <f t="shared" si="77"/>
        <v>0</v>
      </c>
      <c r="CJ19" s="675">
        <f t="shared" si="78"/>
        <v>0</v>
      </c>
      <c r="CK19" s="675">
        <f t="shared" si="79"/>
        <v>0</v>
      </c>
      <c r="CL19" s="675">
        <f t="shared" si="80"/>
        <v>0</v>
      </c>
      <c r="CM19" s="675">
        <f t="shared" si="81"/>
        <v>0</v>
      </c>
      <c r="CN19" s="675">
        <f t="shared" si="82"/>
        <v>0</v>
      </c>
      <c r="CO19" s="675">
        <f t="shared" si="83"/>
        <v>0</v>
      </c>
      <c r="CP19" s="129"/>
      <c r="CQ19" s="128">
        <f t="shared" si="18"/>
        <v>0</v>
      </c>
      <c r="CR19" s="128">
        <f t="shared" si="9"/>
        <v>0</v>
      </c>
      <c r="CS19" s="128">
        <f t="shared" si="19"/>
        <v>0</v>
      </c>
      <c r="CT19" s="128">
        <f t="shared" si="20"/>
        <v>0</v>
      </c>
      <c r="CU19" s="128">
        <f t="shared" si="21"/>
        <v>0</v>
      </c>
      <c r="CV19" s="128">
        <f t="shared" si="22"/>
        <v>0</v>
      </c>
      <c r="CW19" s="128">
        <f t="shared" si="23"/>
        <v>0</v>
      </c>
      <c r="CX19" s="128">
        <f t="shared" si="24"/>
        <v>0</v>
      </c>
      <c r="CZ19" s="39"/>
    </row>
    <row r="20" spans="2:104">
      <c r="B20" s="75" t="s">
        <v>426</v>
      </c>
      <c r="C20" s="75" t="s">
        <v>420</v>
      </c>
      <c r="D20" s="75" t="s">
        <v>538</v>
      </c>
      <c r="E20" s="75" t="s">
        <v>45</v>
      </c>
      <c r="F20" s="75" t="s">
        <v>51</v>
      </c>
      <c r="G20" s="75" t="s">
        <v>10</v>
      </c>
      <c r="H20" s="75" t="s">
        <v>164</v>
      </c>
      <c r="I20" s="75" t="s">
        <v>214</v>
      </c>
      <c r="J20" s="128"/>
      <c r="K20" s="128"/>
      <c r="L20" s="128"/>
      <c r="M20" s="128"/>
      <c r="N20" s="128"/>
      <c r="O20" s="128"/>
      <c r="P20" s="128"/>
      <c r="Q20" s="128"/>
      <c r="R20" s="129"/>
      <c r="S20" s="128">
        <f>INDEX(Direct_Cost_Splits_Network,MATCH($H20,RIN_Asset_Cat_Network,0),MATCH($S$4,Direct_Cost_Type,0))*J20*HLOOKUP(S$5,Escalators!$I$25:$U$30,3,FALSE)</f>
        <v>0</v>
      </c>
      <c r="T20" s="128">
        <f>INDEX(Direct_Cost_Splits_Network,MATCH($H20,RIN_Asset_Cat_Network,0),MATCH($S$4,Direct_Cost_Type,0))*K20*HLOOKUP(T$5,Escalators!$I$25:$U$30,3,FALSE)</f>
        <v>0</v>
      </c>
      <c r="U20" s="128">
        <f>INDEX(Direct_Cost_Splits_Network,MATCH($H20,RIN_Asset_Cat_Network,0),MATCH($S$4,Direct_Cost_Type,0))*L20*HLOOKUP(U$5,Escalators!$I$25:$U$30,3,FALSE)</f>
        <v>0</v>
      </c>
      <c r="V20" s="128">
        <f>INDEX(Direct_Cost_Splits_Network,MATCH($H20,RIN_Asset_Cat_Network,0),MATCH($S$4,Direct_Cost_Type,0))*M20*HLOOKUP(V$5,Escalators!$I$25:$U$30,3,FALSE)</f>
        <v>0</v>
      </c>
      <c r="W20" s="128">
        <f>INDEX(Direct_Cost_Splits_Network,MATCH($H20,RIN_Asset_Cat_Network,0),MATCH($S$4,Direct_Cost_Type,0))*N20*HLOOKUP(W$5,Escalators!$I$25:$U$30,3,FALSE)</f>
        <v>0</v>
      </c>
      <c r="X20" s="128">
        <f>INDEX(Direct_Cost_Splits_Network,MATCH($H20,RIN_Asset_Cat_Network,0),MATCH($S$4,Direct_Cost_Type,0))*O20*HLOOKUP(X$5,Escalators!$I$25:$U$30,3,FALSE)</f>
        <v>0</v>
      </c>
      <c r="Y20" s="128">
        <f>INDEX(Direct_Cost_Splits_Network,MATCH($H20,RIN_Asset_Cat_Network,0),MATCH($S$4,Direct_Cost_Type,0))*P20*HLOOKUP(Y$5,Escalators!$I$25:$U$30,3,FALSE)</f>
        <v>0</v>
      </c>
      <c r="Z20" s="128">
        <f>INDEX(Direct_Cost_Splits_Network,MATCH($H20,RIN_Asset_Cat_Network,0),MATCH($S$4,Direct_Cost_Type,0))*Q20*HLOOKUP(Z$5,Escalators!$I$25:$U$30,3,FALSE)</f>
        <v>0</v>
      </c>
      <c r="AA20" s="129"/>
      <c r="AB20" s="128">
        <f>INDEX(Direct_Cost_Splits_Network,MATCH($H20,RIN_Asset_Cat_Network,0),MATCH($AG$4,Direct_Cost_Type,0))*$J20*INDEX(Act_Type_Augex_Splits,MATCH($I20,Act_Type_Augex,0),MATCH(AB$4,Mat_Type,0))*INDEX(Escalators!$I$44:$U$49,MATCH(AB$4,Escalators!$C$44:$C$49,0),MATCH(AB$5,Escalators!$I$43:$U$43,0))</f>
        <v>0</v>
      </c>
      <c r="AC20" s="128">
        <f>INDEX(Direct_Cost_Splits_Network,MATCH($H20,RIN_Asset_Cat_Network,0),MATCH($AG$4,Direct_Cost_Type,0))*$J20*INDEX(Act_Type_Augex_Splits,MATCH($I20,Act_Type_Augex,0),MATCH(AC$4,Mat_Type,0))*INDEX(Escalators!$I$44:$U$49,MATCH(AC$4,Escalators!$C$44:$C$49,0),MATCH(AC$5,Escalators!$I$43:$U$43,0))</f>
        <v>0</v>
      </c>
      <c r="AD20" s="128">
        <f>INDEX(Direct_Cost_Splits_Network,MATCH($H20,RIN_Asset_Cat_Network,0),MATCH($AG$4,Direct_Cost_Type,0))*$J20*INDEX(Act_Type_Augex_Splits,MATCH($I20,Act_Type_Augex,0),MATCH(AD$4,Mat_Type,0))*INDEX(Escalators!$I$44:$U$49,MATCH(AD$4,Escalators!$C$44:$C$49,0),MATCH(AD$5,Escalators!$I$43:$U$43,0))</f>
        <v>0</v>
      </c>
      <c r="AE20" s="128">
        <f>INDEX(Direct_Cost_Splits_Network,MATCH($H20,RIN_Asset_Cat_Network,0),MATCH($AG$4,Direct_Cost_Type,0))*$J20*INDEX(Act_Type_Augex_Splits,MATCH($I20,Act_Type_Augex,0),MATCH(AE$4,Mat_Type,0))*INDEX(Escalators!$I$44:$U$49,MATCH(AE$4,Escalators!$C$44:$C$49,0),MATCH(AE$5,Escalators!$I$43:$U$43,0))</f>
        <v>0</v>
      </c>
      <c r="AF20" s="128">
        <f>INDEX(Direct_Cost_Splits_Network,MATCH($H20,RIN_Asset_Cat_Network,0),MATCH($AG$4,Direct_Cost_Type,0))*$J20*INDEX(Act_Type_Augex_Splits,MATCH($I20,Act_Type_Augex,0),MATCH(AF$4,Mat_Type,0))*INDEX(Escalators!$I$44:$U$49,MATCH(AF$4,Escalators!$C$44:$C$49,0),MATCH(AF$5,Escalators!$I$43:$U$43,0))</f>
        <v>0</v>
      </c>
      <c r="AG20" s="128">
        <f t="shared" si="68"/>
        <v>0</v>
      </c>
      <c r="AH20" s="128">
        <f>INDEX(Direct_Cost_Splits_Network,MATCH($H20,RIN_Asset_Cat_Network,0),MATCH($AY$4,Direct_Cost_Type,0))*$K20*INDEX(Act_Type_Augex_Splits,MATCH($I20,Act_Type_Augex,0),MATCH(AH$4,Mat_Type,0))*INDEX(Escalators!$I$44:$U$49,MATCH(AH$4,Escalators!$C$44:$C$49,0),MATCH(AH$5,Escalators!$I$43:$U$43,0))</f>
        <v>0</v>
      </c>
      <c r="AI20" s="128">
        <f>INDEX(Direct_Cost_Splits_Network,MATCH($H20,RIN_Asset_Cat_Network,0),MATCH($AY$4,Direct_Cost_Type,0))*$K20*INDEX(Act_Type_Augex_Splits,MATCH($I20,Act_Type_Augex,0),MATCH(AI$4,Mat_Type,0))*INDEX(Escalators!$I$44:$U$49,MATCH(AI$4,Escalators!$C$44:$C$49,0),MATCH(AI$5,Escalators!$I$43:$U$43,0))</f>
        <v>0</v>
      </c>
      <c r="AJ20" s="128">
        <f>INDEX(Direct_Cost_Splits_Network,MATCH($H20,RIN_Asset_Cat_Network,0),MATCH($AY$4,Direct_Cost_Type,0))*$K20*INDEX(Act_Type_Augex_Splits,MATCH($I20,Act_Type_Augex,0),MATCH(AJ$4,Mat_Type,0))*INDEX(Escalators!$I$44:$U$49,MATCH(AJ$4,Escalators!$C$44:$C$49,0),MATCH(AJ$5,Escalators!$I$43:$U$43,0))</f>
        <v>0</v>
      </c>
      <c r="AK20" s="128">
        <f>INDEX(Direct_Cost_Splits_Network,MATCH($H20,RIN_Asset_Cat_Network,0),MATCH($AY$4,Direct_Cost_Type,0))*$K20*INDEX(Act_Type_Augex_Splits,MATCH($I20,Act_Type_Augex,0),MATCH(AK$4,Mat_Type,0))*INDEX(Escalators!$I$44:$U$49,MATCH(AK$4,Escalators!$C$44:$C$49,0),MATCH(AK$5,Escalators!$I$43:$U$43,0))</f>
        <v>0</v>
      </c>
      <c r="AL20" s="128">
        <f>INDEX(Direct_Cost_Splits_Network,MATCH($H20,RIN_Asset_Cat_Network,0),MATCH($AY$4,Direct_Cost_Type,0))*$K20*INDEX(Act_Type_Augex_Splits,MATCH($I20,Act_Type_Augex,0),MATCH(AL$4,Mat_Type,0))*INDEX(Escalators!$I$44:$U$49,MATCH(AL$4,Escalators!$C$44:$C$49,0),MATCH(AL$5,Escalators!$I$43:$U$43,0))</f>
        <v>0</v>
      </c>
      <c r="AM20" s="128">
        <f t="shared" si="69"/>
        <v>0</v>
      </c>
      <c r="AN20" s="128">
        <f>INDEX(Direct_Cost_Splits_Network,MATCH($H20,RIN_Asset_Cat_Network,0),MATCH($AY$4,Direct_Cost_Type,0))*$L20*INDEX(Act_Type_Augex_Splits,MATCH($I20,Act_Type_Augex,0),MATCH(AN$4,Mat_Type,0))*INDEX(Escalators!$I$44:$U$49,MATCH(AN$4,Escalators!$C$44:$C$49,0),MATCH(AN$5,Escalators!$I$43:$U$43,0))</f>
        <v>0</v>
      </c>
      <c r="AO20" s="128">
        <f>INDEX(Direct_Cost_Splits_Network,MATCH($H20,RIN_Asset_Cat_Network,0),MATCH($AY$4,Direct_Cost_Type,0))*$L20*INDEX(Act_Type_Augex_Splits,MATCH($I20,Act_Type_Augex,0),MATCH(AO$4,Mat_Type,0))*INDEX(Escalators!$I$44:$U$49,MATCH(AO$4,Escalators!$C$44:$C$49,0),MATCH(AO$5,Escalators!$I$43:$U$43,0))</f>
        <v>0</v>
      </c>
      <c r="AP20" s="128">
        <f>INDEX(Direct_Cost_Splits_Network,MATCH($H20,RIN_Asset_Cat_Network,0),MATCH($AY$4,Direct_Cost_Type,0))*$L20*INDEX(Act_Type_Augex_Splits,MATCH($I20,Act_Type_Augex,0),MATCH(AP$4,Mat_Type,0))*INDEX(Escalators!$I$44:$U$49,MATCH(AP$4,Escalators!$C$44:$C$49,0),MATCH(AP$5,Escalators!$I$43:$U$43,0))</f>
        <v>0</v>
      </c>
      <c r="AQ20" s="128">
        <f>INDEX(Direct_Cost_Splits_Network,MATCH($H20,RIN_Asset_Cat_Network,0),MATCH($AY$4,Direct_Cost_Type,0))*$L20*INDEX(Act_Type_Augex_Splits,MATCH($I20,Act_Type_Augex,0),MATCH(AQ$4,Mat_Type,0))*INDEX(Escalators!$I$44:$U$49,MATCH(AQ$4,Escalators!$C$44:$C$49,0),MATCH(AQ$5,Escalators!$I$43:$U$43,0))</f>
        <v>0</v>
      </c>
      <c r="AR20" s="128">
        <f>INDEX(Direct_Cost_Splits_Network,MATCH($H20,RIN_Asset_Cat_Network,0),MATCH($AY$4,Direct_Cost_Type,0))*$L20*INDEX(Act_Type_Augex_Splits,MATCH($I20,Act_Type_Augex,0),MATCH(AR$4,Mat_Type,0))*INDEX(Escalators!$I$44:$U$49,MATCH(AR$4,Escalators!$C$44:$C$49,0),MATCH(AR$5,Escalators!$I$43:$U$43,0))</f>
        <v>0</v>
      </c>
      <c r="AS20" s="128">
        <f t="shared" si="70"/>
        <v>0</v>
      </c>
      <c r="AT20" s="128">
        <f>INDEX(Direct_Cost_Splits_Network,MATCH($H20,RIN_Asset_Cat_Network,0),MATCH($AY$4,Direct_Cost_Type,0))*$M20*INDEX(Act_Type_Augex_Splits,MATCH($I20,Act_Type_Augex,0),MATCH(AT$4,Mat_Type,0))*INDEX(Escalators!$I$44:$U$49,MATCH(AT$4,Escalators!$C$44:$C$49,0),MATCH(AT$5,Escalators!$I$43:$U$43,0))</f>
        <v>0</v>
      </c>
      <c r="AU20" s="128">
        <f>INDEX(Direct_Cost_Splits_Network,MATCH($H20,RIN_Asset_Cat_Network,0),MATCH($AY$4,Direct_Cost_Type,0))*$M20*INDEX(Act_Type_Augex_Splits,MATCH($I20,Act_Type_Augex,0),MATCH(AU$4,Mat_Type,0))*INDEX(Escalators!$I$44:$U$49,MATCH(AU$4,Escalators!$C$44:$C$49,0),MATCH(AU$5,Escalators!$I$43:$U$43,0))</f>
        <v>0</v>
      </c>
      <c r="AV20" s="128">
        <f>INDEX(Direct_Cost_Splits_Network,MATCH($H20,RIN_Asset_Cat_Network,0),MATCH($AY$4,Direct_Cost_Type,0))*$M20*INDEX(Act_Type_Augex_Splits,MATCH($I20,Act_Type_Augex,0),MATCH(AV$4,Mat_Type,0))*INDEX(Escalators!$I$44:$U$49,MATCH(AV$4,Escalators!$C$44:$C$49,0),MATCH(AV$5,Escalators!$I$43:$U$43,0))</f>
        <v>0</v>
      </c>
      <c r="AW20" s="128">
        <f>INDEX(Direct_Cost_Splits_Network,MATCH($H20,RIN_Asset_Cat_Network,0),MATCH($AY$4,Direct_Cost_Type,0))*$M20*INDEX(Act_Type_Augex_Splits,MATCH($I20,Act_Type_Augex,0),MATCH(AW$4,Mat_Type,0))*INDEX(Escalators!$I$44:$U$49,MATCH(AW$4,Escalators!$C$44:$C$49,0),MATCH(AW$5,Escalators!$I$43:$U$43,0))</f>
        <v>0</v>
      </c>
      <c r="AX20" s="128">
        <f>INDEX(Direct_Cost_Splits_Network,MATCH($H20,RIN_Asset_Cat_Network,0),MATCH($AY$4,Direct_Cost_Type,0))*$M20*INDEX(Act_Type_Augex_Splits,MATCH($I20,Act_Type_Augex,0),MATCH(AX$4,Mat_Type,0))*INDEX(Escalators!$I$44:$U$49,MATCH(AX$4,Escalators!$C$44:$C$49,0),MATCH(AX$5,Escalators!$I$43:$U$43,0))</f>
        <v>0</v>
      </c>
      <c r="AY20" s="128">
        <f t="shared" si="71"/>
        <v>0</v>
      </c>
      <c r="AZ20" s="128">
        <f>INDEX(Direct_Cost_Splits_Network,MATCH($H20,RIN_Asset_Cat_Network,0),MATCH($BE$4,Direct_Cost_Type,0))*$N20*INDEX(Act_Type_Augex_Splits,MATCH($I20,Act_Type_Augex,0),MATCH(AZ$4,Mat_Type,0))*INDEX(Escalators!$I$44:$U$49,MATCH(AZ$4,Escalators!$C$44:$C$49,0),MATCH(AZ$5,Escalators!$I$43:$U$43,0))</f>
        <v>0</v>
      </c>
      <c r="BA20" s="128">
        <f>INDEX(Direct_Cost_Splits_Network,MATCH($H20,RIN_Asset_Cat_Network,0),MATCH($BE$4,Direct_Cost_Type,0))*$N20*INDEX(Act_Type_Augex_Splits,MATCH($I20,Act_Type_Augex,0),MATCH(BA$4,Mat_Type,0))*INDEX(Escalators!$I$44:$U$49,MATCH(BA$4,Escalators!$C$44:$C$49,0),MATCH(BA$5,Escalators!$I$43:$U$43,0))</f>
        <v>0</v>
      </c>
      <c r="BB20" s="128">
        <f>INDEX(Direct_Cost_Splits_Network,MATCH($H20,RIN_Asset_Cat_Network,0),MATCH($BE$4,Direct_Cost_Type,0))*$N20*INDEX(Act_Type_Augex_Splits,MATCH($I20,Act_Type_Augex,0),MATCH(BB$4,Mat_Type,0))*INDEX(Escalators!$I$44:$U$49,MATCH(BB$4,Escalators!$C$44:$C$49,0),MATCH(BB$5,Escalators!$I$43:$U$43,0))</f>
        <v>0</v>
      </c>
      <c r="BC20" s="128">
        <f>INDEX(Direct_Cost_Splits_Network,MATCH($H20,RIN_Asset_Cat_Network,0),MATCH($BE$4,Direct_Cost_Type,0))*$N20*INDEX(Act_Type_Augex_Splits,MATCH($I20,Act_Type_Augex,0),MATCH(BC$4,Mat_Type,0))*INDEX(Escalators!$I$44:$U$49,MATCH(BC$4,Escalators!$C$44:$C$49,0),MATCH(BC$5,Escalators!$I$43:$U$43,0))</f>
        <v>0</v>
      </c>
      <c r="BD20" s="128">
        <f>INDEX(Direct_Cost_Splits_Network,MATCH($H20,RIN_Asset_Cat_Network,0),MATCH($BE$4,Direct_Cost_Type,0))*$N20*INDEX(Act_Type_Augex_Splits,MATCH($I20,Act_Type_Augex,0),MATCH(BD$4,Mat_Type,0))*INDEX(Escalators!$I$44:$U$49,MATCH(BD$4,Escalators!$C$44:$C$49,0),MATCH(BD$5,Escalators!$I$43:$U$43,0))</f>
        <v>0</v>
      </c>
      <c r="BE20" s="128">
        <f t="shared" si="72"/>
        <v>0</v>
      </c>
      <c r="BF20" s="128">
        <f>INDEX(Direct_Cost_Splits_Network,MATCH($H20,RIN_Asset_Cat_Network,0),MATCH($BK$4,Direct_Cost_Type,0))*$O20*INDEX(Act_Type_Augex_Splits,MATCH($I20,Act_Type_Augex,0),MATCH(BF$4,Mat_Type,0))*INDEX(Escalators!$I$44:$U$49,MATCH(BF$4,Escalators!$C$44:$C$49,0),MATCH(BF$5,Escalators!$I$43:$U$43,0))</f>
        <v>0</v>
      </c>
      <c r="BG20" s="128">
        <f>INDEX(Direct_Cost_Splits_Network,MATCH($H20,RIN_Asset_Cat_Network,0),MATCH($BK$4,Direct_Cost_Type,0))*$O20*INDEX(Act_Type_Augex_Splits,MATCH($I20,Act_Type_Augex,0),MATCH(BG$4,Mat_Type,0))*INDEX(Escalators!$I$44:$U$49,MATCH(BG$4,Escalators!$C$44:$C$49,0),MATCH(BG$5,Escalators!$I$43:$U$43,0))</f>
        <v>0</v>
      </c>
      <c r="BH20" s="128">
        <f>INDEX(Direct_Cost_Splits_Network,MATCH($H20,RIN_Asset_Cat_Network,0),MATCH($BK$4,Direct_Cost_Type,0))*$O20*INDEX(Act_Type_Augex_Splits,MATCH($I20,Act_Type_Augex,0),MATCH(BH$4,Mat_Type,0))*INDEX(Escalators!$I$44:$U$49,MATCH(BH$4,Escalators!$C$44:$C$49,0),MATCH(BH$5,Escalators!$I$43:$U$43,0))</f>
        <v>0</v>
      </c>
      <c r="BI20" s="128">
        <f>INDEX(Direct_Cost_Splits_Network,MATCH($H20,RIN_Asset_Cat_Network,0),MATCH($BK$4,Direct_Cost_Type,0))*$O20*INDEX(Act_Type_Augex_Splits,MATCH($I20,Act_Type_Augex,0),MATCH(BI$4,Mat_Type,0))*INDEX(Escalators!$I$44:$U$49,MATCH(BI$4,Escalators!$C$44:$C$49,0),MATCH(BI$5,Escalators!$I$43:$U$43,0))</f>
        <v>0</v>
      </c>
      <c r="BJ20" s="128">
        <f>INDEX(Direct_Cost_Splits_Network,MATCH($H20,RIN_Asset_Cat_Network,0),MATCH($BK$4,Direct_Cost_Type,0))*$O20*INDEX(Act_Type_Augex_Splits,MATCH($I20,Act_Type_Augex,0),MATCH(BJ$4,Mat_Type,0))*INDEX(Escalators!$I$44:$U$49,MATCH(BJ$4,Escalators!$C$44:$C$49,0),MATCH(BJ$5,Escalators!$I$43:$U$43,0))</f>
        <v>0</v>
      </c>
      <c r="BK20" s="128">
        <f t="shared" si="73"/>
        <v>0</v>
      </c>
      <c r="BL20" s="128">
        <f>INDEX(Direct_Cost_Splits_Network,MATCH($H20,RIN_Asset_Cat_Network,0),MATCH($BQ$4,Direct_Cost_Type,0))*$P20*INDEX(Act_Type_Augex_Splits,MATCH($I20,Act_Type_Augex,0),MATCH(BL$4,Mat_Type,0))*INDEX(Escalators!$I$44:$U$49,MATCH(BL$4,Escalators!$C$44:$C$49,0),MATCH(BL$5,Escalators!$I$43:$U$43,0))</f>
        <v>0</v>
      </c>
      <c r="BM20" s="128">
        <f>INDEX(Direct_Cost_Splits_Network,MATCH($H20,RIN_Asset_Cat_Network,0),MATCH($BQ$4,Direct_Cost_Type,0))*$P20*INDEX(Act_Type_Augex_Splits,MATCH($I20,Act_Type_Augex,0),MATCH(BM$4,Mat_Type,0))*INDEX(Escalators!$I$44:$U$49,MATCH(BM$4,Escalators!$C$44:$C$49,0),MATCH(BM$5,Escalators!$I$43:$U$43,0))</f>
        <v>0</v>
      </c>
      <c r="BN20" s="128">
        <f>INDEX(Direct_Cost_Splits_Network,MATCH($H20,RIN_Asset_Cat_Network,0),MATCH($BQ$4,Direct_Cost_Type,0))*$P20*INDEX(Act_Type_Augex_Splits,MATCH($I20,Act_Type_Augex,0),MATCH(BN$4,Mat_Type,0))*INDEX(Escalators!$I$44:$U$49,MATCH(BN$4,Escalators!$C$44:$C$49,0),MATCH(BN$5,Escalators!$I$43:$U$43,0))</f>
        <v>0</v>
      </c>
      <c r="BO20" s="128">
        <f>INDEX(Direct_Cost_Splits_Network,MATCH($H20,RIN_Asset_Cat_Network,0),MATCH($BQ$4,Direct_Cost_Type,0))*$P20*INDEX(Act_Type_Augex_Splits,MATCH($I20,Act_Type_Augex,0),MATCH(BO$4,Mat_Type,0))*INDEX(Escalators!$I$44:$U$49,MATCH(BO$4,Escalators!$C$44:$C$49,0),MATCH(BO$5,Escalators!$I$43:$U$43,0))</f>
        <v>0</v>
      </c>
      <c r="BP20" s="128">
        <f>INDEX(Direct_Cost_Splits_Network,MATCH($H20,RIN_Asset_Cat_Network,0),MATCH($BQ$4,Direct_Cost_Type,0))*$P20*INDEX(Act_Type_Augex_Splits,MATCH($I20,Act_Type_Augex,0),MATCH(BP$4,Mat_Type,0))*INDEX(Escalators!$I$44:$U$49,MATCH(BP$4,Escalators!$C$44:$C$49,0),MATCH(BP$5,Escalators!$I$43:$U$43,0))</f>
        <v>0</v>
      </c>
      <c r="BQ20" s="128">
        <f t="shared" si="74"/>
        <v>0</v>
      </c>
      <c r="BR20" s="128">
        <f>INDEX(Direct_Cost_Splits_Network,MATCH($H20,RIN_Asset_Cat_Network,0),MATCH($BW$4,Direct_Cost_Type,0))*$Q20*INDEX(Act_Type_Augex_Splits,MATCH($I20,Act_Type_Augex,0),MATCH(BR$4,Mat_Type,0))*INDEX(Escalators!$I$44:$U$49,MATCH(BR$4,Escalators!$C$44:$C$49,0),MATCH(BR$5,Escalators!$I$43:$U$43,0))</f>
        <v>0</v>
      </c>
      <c r="BS20" s="128">
        <f>INDEX(Direct_Cost_Splits_Network,MATCH($H20,RIN_Asset_Cat_Network,0),MATCH($BW$4,Direct_Cost_Type,0))*$Q20*INDEX(Act_Type_Augex_Splits,MATCH($I20,Act_Type_Augex,0),MATCH(BS$4,Mat_Type,0))*INDEX(Escalators!$I$44:$U$49,MATCH(BS$4,Escalators!$C$44:$C$49,0),MATCH(BS$5,Escalators!$I$43:$U$43,0))</f>
        <v>0</v>
      </c>
      <c r="BT20" s="128">
        <f>INDEX(Direct_Cost_Splits_Network,MATCH($H20,RIN_Asset_Cat_Network,0),MATCH($BW$4,Direct_Cost_Type,0))*$Q20*INDEX(Act_Type_Augex_Splits,MATCH($I20,Act_Type_Augex,0),MATCH(BT$4,Mat_Type,0))*INDEX(Escalators!$I$44:$U$49,MATCH(BT$4,Escalators!$C$44:$C$49,0),MATCH(BT$5,Escalators!$I$43:$U$43,0))</f>
        <v>0</v>
      </c>
      <c r="BU20" s="128">
        <f>INDEX(Direct_Cost_Splits_Network,MATCH($H20,RIN_Asset_Cat_Network,0),MATCH($BW$4,Direct_Cost_Type,0))*$Q20*INDEX(Act_Type_Augex_Splits,MATCH($I20,Act_Type_Augex,0),MATCH(BU$4,Mat_Type,0))*INDEX(Escalators!$I$44:$U$49,MATCH(BU$4,Escalators!$C$44:$C$49,0),MATCH(BU$5,Escalators!$I$43:$U$43,0))</f>
        <v>0</v>
      </c>
      <c r="BV20" s="128">
        <f>INDEX(Direct_Cost_Splits_Network,MATCH($H20,RIN_Asset_Cat_Network,0),MATCH($BW$4,Direct_Cost_Type,0))*$Q20*INDEX(Act_Type_Augex_Splits,MATCH($I20,Act_Type_Augex,0),MATCH(BV$4,Mat_Type,0))*INDEX(Escalators!$I$44:$U$49,MATCH(BV$4,Escalators!$C$44:$C$49,0),MATCH(BV$5,Escalators!$I$43:$U$43,0))</f>
        <v>0</v>
      </c>
      <c r="BW20" s="128">
        <f t="shared" si="75"/>
        <v>0</v>
      </c>
      <c r="BX20" s="129"/>
      <c r="BY20" s="128">
        <f>INDEX(Direct_Cost_Splits_Network,MATCH($H20,RIN_Asset_Cat_Network,0),MATCH($BY$4,Direct_Cost_Type,0))*J20*HLOOKUP(BY$5,Escalators!$I$25:$U$30,6,FALSE)</f>
        <v>0</v>
      </c>
      <c r="BZ20" s="128">
        <f>INDEX(Direct_Cost_Splits_Network,MATCH($H20,RIN_Asset_Cat_Network,0),MATCH($BY$4,Direct_Cost_Type,0))*K20*HLOOKUP(BZ$5,Escalators!$I$25:$U$30,6,FALSE)</f>
        <v>0</v>
      </c>
      <c r="CA20" s="128">
        <f>INDEX(Direct_Cost_Splits_Network,MATCH($H20,RIN_Asset_Cat_Network,0),MATCH($BY$4,Direct_Cost_Type,0))*L20*HLOOKUP(CA$5,Escalators!$I$25:$U$30,6,FALSE)</f>
        <v>0</v>
      </c>
      <c r="CB20" s="128">
        <f>INDEX(Direct_Cost_Splits_Network,MATCH($H20,RIN_Asset_Cat_Network,0),MATCH($BY$4,Direct_Cost_Type,0))*M20*HLOOKUP(CB$5,Escalators!$I$25:$U$30,6,FALSE)</f>
        <v>0</v>
      </c>
      <c r="CC20" s="128">
        <f>INDEX(Direct_Cost_Splits_Network,MATCH($H20,RIN_Asset_Cat_Network,0),MATCH($BY$4,Direct_Cost_Type,0))*N20*HLOOKUP(CC$5,Escalators!$I$25:$U$30,6,FALSE)</f>
        <v>0</v>
      </c>
      <c r="CD20" s="128">
        <f>INDEX(Direct_Cost_Splits_Network,MATCH($H20,RIN_Asset_Cat_Network,0),MATCH($BY$4,Direct_Cost_Type,0))*O20*HLOOKUP(CD$5,Escalators!$I$25:$U$30,6,FALSE)</f>
        <v>0</v>
      </c>
      <c r="CE20" s="128">
        <f>INDEX(Direct_Cost_Splits_Network,MATCH($H20,RIN_Asset_Cat_Network,0),MATCH($BY$4,Direct_Cost_Type,0))*P20*HLOOKUP(CE$5,Escalators!$I$25:$U$30,6,FALSE)</f>
        <v>0</v>
      </c>
      <c r="CF20" s="128">
        <f>INDEX(Direct_Cost_Splits_Network,MATCH($H20,RIN_Asset_Cat_Network,0),MATCH($BY$4,Direct_Cost_Type,0))*Q20*HLOOKUP(CF$5,Escalators!$I$25:$U$30,6,FALSE)</f>
        <v>0</v>
      </c>
      <c r="CG20" s="129"/>
      <c r="CH20" s="675">
        <f t="shared" si="76"/>
        <v>0</v>
      </c>
      <c r="CI20" s="675">
        <f t="shared" si="77"/>
        <v>0</v>
      </c>
      <c r="CJ20" s="675">
        <f t="shared" si="78"/>
        <v>0</v>
      </c>
      <c r="CK20" s="675">
        <f t="shared" si="79"/>
        <v>0</v>
      </c>
      <c r="CL20" s="675">
        <f t="shared" si="80"/>
        <v>0</v>
      </c>
      <c r="CM20" s="675">
        <f t="shared" si="81"/>
        <v>0</v>
      </c>
      <c r="CN20" s="675">
        <f t="shared" si="82"/>
        <v>0</v>
      </c>
      <c r="CO20" s="675">
        <f t="shared" si="83"/>
        <v>0</v>
      </c>
      <c r="CP20" s="129"/>
      <c r="CQ20" s="128">
        <f t="shared" si="18"/>
        <v>0</v>
      </c>
      <c r="CR20" s="128">
        <f t="shared" si="9"/>
        <v>0</v>
      </c>
      <c r="CS20" s="128">
        <f t="shared" si="19"/>
        <v>0</v>
      </c>
      <c r="CT20" s="128">
        <f t="shared" si="20"/>
        <v>0</v>
      </c>
      <c r="CU20" s="128">
        <f t="shared" si="21"/>
        <v>0</v>
      </c>
      <c r="CV20" s="128">
        <f t="shared" si="22"/>
        <v>0</v>
      </c>
      <c r="CW20" s="128">
        <f t="shared" si="23"/>
        <v>0</v>
      </c>
      <c r="CX20" s="128">
        <f t="shared" si="24"/>
        <v>0</v>
      </c>
      <c r="CZ20" s="39"/>
    </row>
    <row r="21" spans="2:104">
      <c r="B21" s="75" t="s">
        <v>426</v>
      </c>
      <c r="C21" s="75" t="s">
        <v>421</v>
      </c>
      <c r="D21" s="75" t="s">
        <v>538</v>
      </c>
      <c r="E21" s="75" t="s">
        <v>45</v>
      </c>
      <c r="F21" s="75" t="s">
        <v>51</v>
      </c>
      <c r="G21" s="75" t="s">
        <v>10</v>
      </c>
      <c r="H21" s="75" t="s">
        <v>164</v>
      </c>
      <c r="I21" s="75" t="s">
        <v>214</v>
      </c>
      <c r="J21" s="128"/>
      <c r="K21" s="128"/>
      <c r="L21" s="128"/>
      <c r="M21" s="128">
        <v>0</v>
      </c>
      <c r="N21" s="128">
        <v>0</v>
      </c>
      <c r="O21" s="128">
        <v>0</v>
      </c>
      <c r="P21" s="128">
        <v>0</v>
      </c>
      <c r="Q21" s="128">
        <v>0</v>
      </c>
      <c r="R21" s="129"/>
      <c r="S21" s="128">
        <f>INDEX(Direct_Cost_Splits_Network,MATCH($H21,RIN_Asset_Cat_Network,0),MATCH($S$4,Direct_Cost_Type,0))*J21*HLOOKUP(S$5,Escalators!$I$25:$U$30,3,FALSE)</f>
        <v>0</v>
      </c>
      <c r="T21" s="128">
        <f>INDEX(Direct_Cost_Splits_Network,MATCH($H21,RIN_Asset_Cat_Network,0),MATCH($S$4,Direct_Cost_Type,0))*K21*HLOOKUP(T$5,Escalators!$I$25:$U$30,3,FALSE)</f>
        <v>0</v>
      </c>
      <c r="U21" s="128">
        <f>INDEX(Direct_Cost_Splits_Network,MATCH($H21,RIN_Asset_Cat_Network,0),MATCH($S$4,Direct_Cost_Type,0))*L21*HLOOKUP(U$5,Escalators!$I$25:$U$30,3,FALSE)</f>
        <v>0</v>
      </c>
      <c r="V21" s="128">
        <f>INDEX(Direct_Cost_Splits_Network,MATCH($H21,RIN_Asset_Cat_Network,0),MATCH($S$4,Direct_Cost_Type,0))*M21*HLOOKUP(V$5,Escalators!$I$25:$U$30,3,FALSE)</f>
        <v>0</v>
      </c>
      <c r="W21" s="128">
        <f>INDEX(Direct_Cost_Splits_Network,MATCH($H21,RIN_Asset_Cat_Network,0),MATCH($S$4,Direct_Cost_Type,0))*N21*HLOOKUP(W$5,Escalators!$I$25:$U$30,3,FALSE)</f>
        <v>0</v>
      </c>
      <c r="X21" s="128">
        <f>INDEX(Direct_Cost_Splits_Network,MATCH($H21,RIN_Asset_Cat_Network,0),MATCH($S$4,Direct_Cost_Type,0))*O21*HLOOKUP(X$5,Escalators!$I$25:$U$30,3,FALSE)</f>
        <v>0</v>
      </c>
      <c r="Y21" s="128">
        <f>INDEX(Direct_Cost_Splits_Network,MATCH($H21,RIN_Asset_Cat_Network,0),MATCH($S$4,Direct_Cost_Type,0))*P21*HLOOKUP(Y$5,Escalators!$I$25:$U$30,3,FALSE)</f>
        <v>0</v>
      </c>
      <c r="Z21" s="128">
        <f>INDEX(Direct_Cost_Splits_Network,MATCH($H21,RIN_Asset_Cat_Network,0),MATCH($S$4,Direct_Cost_Type,0))*Q21*HLOOKUP(Z$5,Escalators!$I$25:$U$30,3,FALSE)</f>
        <v>0</v>
      </c>
      <c r="AA21" s="129"/>
      <c r="AB21" s="128">
        <f>INDEX(Direct_Cost_Splits_Network,MATCH($H21,RIN_Asset_Cat_Network,0),MATCH($AG$4,Direct_Cost_Type,0))*$J21*INDEX(Act_Type_Augex_Splits,MATCH($I21,Act_Type_Augex,0),MATCH(AB$4,Mat_Type,0))*INDEX(Escalators!$I$44:$U$49,MATCH(AB$4,Escalators!$C$44:$C$49,0),MATCH(AB$5,Escalators!$I$43:$U$43,0))</f>
        <v>0</v>
      </c>
      <c r="AC21" s="128">
        <f>INDEX(Direct_Cost_Splits_Network,MATCH($H21,RIN_Asset_Cat_Network,0),MATCH($AG$4,Direct_Cost_Type,0))*$J21*INDEX(Act_Type_Augex_Splits,MATCH($I21,Act_Type_Augex,0),MATCH(AC$4,Mat_Type,0))*INDEX(Escalators!$I$44:$U$49,MATCH(AC$4,Escalators!$C$44:$C$49,0),MATCH(AC$5,Escalators!$I$43:$U$43,0))</f>
        <v>0</v>
      </c>
      <c r="AD21" s="128">
        <f>INDEX(Direct_Cost_Splits_Network,MATCH($H21,RIN_Asset_Cat_Network,0),MATCH($AG$4,Direct_Cost_Type,0))*$J21*INDEX(Act_Type_Augex_Splits,MATCH($I21,Act_Type_Augex,0),MATCH(AD$4,Mat_Type,0))*INDEX(Escalators!$I$44:$U$49,MATCH(AD$4,Escalators!$C$44:$C$49,0),MATCH(AD$5,Escalators!$I$43:$U$43,0))</f>
        <v>0</v>
      </c>
      <c r="AE21" s="128">
        <f>INDEX(Direct_Cost_Splits_Network,MATCH($H21,RIN_Asset_Cat_Network,0),MATCH($AG$4,Direct_Cost_Type,0))*$J21*INDEX(Act_Type_Augex_Splits,MATCH($I21,Act_Type_Augex,0),MATCH(AE$4,Mat_Type,0))*INDEX(Escalators!$I$44:$U$49,MATCH(AE$4,Escalators!$C$44:$C$49,0),MATCH(AE$5,Escalators!$I$43:$U$43,0))</f>
        <v>0</v>
      </c>
      <c r="AF21" s="128">
        <f>INDEX(Direct_Cost_Splits_Network,MATCH($H21,RIN_Asset_Cat_Network,0),MATCH($AG$4,Direct_Cost_Type,0))*$J21*INDEX(Act_Type_Augex_Splits,MATCH($I21,Act_Type_Augex,0),MATCH(AF$4,Mat_Type,0))*INDEX(Escalators!$I$44:$U$49,MATCH(AF$4,Escalators!$C$44:$C$49,0),MATCH(AF$5,Escalators!$I$43:$U$43,0))</f>
        <v>0</v>
      </c>
      <c r="AG21" s="128">
        <f t="shared" si="68"/>
        <v>0</v>
      </c>
      <c r="AH21" s="128">
        <f>INDEX(Direct_Cost_Splits_Network,MATCH($H21,RIN_Asset_Cat_Network,0),MATCH($AY$4,Direct_Cost_Type,0))*$K21*INDEX(Act_Type_Augex_Splits,MATCH($I21,Act_Type_Augex,0),MATCH(AH$4,Mat_Type,0))*INDEX(Escalators!$I$44:$U$49,MATCH(AH$4,Escalators!$C$44:$C$49,0),MATCH(AH$5,Escalators!$I$43:$U$43,0))</f>
        <v>0</v>
      </c>
      <c r="AI21" s="128">
        <f>INDEX(Direct_Cost_Splits_Network,MATCH($H21,RIN_Asset_Cat_Network,0),MATCH($AY$4,Direct_Cost_Type,0))*$K21*INDEX(Act_Type_Augex_Splits,MATCH($I21,Act_Type_Augex,0),MATCH(AI$4,Mat_Type,0))*INDEX(Escalators!$I$44:$U$49,MATCH(AI$4,Escalators!$C$44:$C$49,0),MATCH(AI$5,Escalators!$I$43:$U$43,0))</f>
        <v>0</v>
      </c>
      <c r="AJ21" s="128">
        <f>INDEX(Direct_Cost_Splits_Network,MATCH($H21,RIN_Asset_Cat_Network,0),MATCH($AY$4,Direct_Cost_Type,0))*$K21*INDEX(Act_Type_Augex_Splits,MATCH($I21,Act_Type_Augex,0),MATCH(AJ$4,Mat_Type,0))*INDEX(Escalators!$I$44:$U$49,MATCH(AJ$4,Escalators!$C$44:$C$49,0),MATCH(AJ$5,Escalators!$I$43:$U$43,0))</f>
        <v>0</v>
      </c>
      <c r="AK21" s="128">
        <f>INDEX(Direct_Cost_Splits_Network,MATCH($H21,RIN_Asset_Cat_Network,0),MATCH($AY$4,Direct_Cost_Type,0))*$K21*INDEX(Act_Type_Augex_Splits,MATCH($I21,Act_Type_Augex,0),MATCH(AK$4,Mat_Type,0))*INDEX(Escalators!$I$44:$U$49,MATCH(AK$4,Escalators!$C$44:$C$49,0),MATCH(AK$5,Escalators!$I$43:$U$43,0))</f>
        <v>0</v>
      </c>
      <c r="AL21" s="128">
        <f>INDEX(Direct_Cost_Splits_Network,MATCH($H21,RIN_Asset_Cat_Network,0),MATCH($AY$4,Direct_Cost_Type,0))*$K21*INDEX(Act_Type_Augex_Splits,MATCH($I21,Act_Type_Augex,0),MATCH(AL$4,Mat_Type,0))*INDEX(Escalators!$I$44:$U$49,MATCH(AL$4,Escalators!$C$44:$C$49,0),MATCH(AL$5,Escalators!$I$43:$U$43,0))</f>
        <v>0</v>
      </c>
      <c r="AM21" s="128">
        <f t="shared" si="69"/>
        <v>0</v>
      </c>
      <c r="AN21" s="128">
        <f>INDEX(Direct_Cost_Splits_Network,MATCH($H21,RIN_Asset_Cat_Network,0),MATCH($AY$4,Direct_Cost_Type,0))*$L21*INDEX(Act_Type_Augex_Splits,MATCH($I21,Act_Type_Augex,0),MATCH(AN$4,Mat_Type,0))*INDEX(Escalators!$I$44:$U$49,MATCH(AN$4,Escalators!$C$44:$C$49,0),MATCH(AN$5,Escalators!$I$43:$U$43,0))</f>
        <v>0</v>
      </c>
      <c r="AO21" s="128">
        <f>INDEX(Direct_Cost_Splits_Network,MATCH($H21,RIN_Asset_Cat_Network,0),MATCH($AY$4,Direct_Cost_Type,0))*$L21*INDEX(Act_Type_Augex_Splits,MATCH($I21,Act_Type_Augex,0),MATCH(AO$4,Mat_Type,0))*INDEX(Escalators!$I$44:$U$49,MATCH(AO$4,Escalators!$C$44:$C$49,0),MATCH(AO$5,Escalators!$I$43:$U$43,0))</f>
        <v>0</v>
      </c>
      <c r="AP21" s="128">
        <f>INDEX(Direct_Cost_Splits_Network,MATCH($H21,RIN_Asset_Cat_Network,0),MATCH($AY$4,Direct_Cost_Type,0))*$L21*INDEX(Act_Type_Augex_Splits,MATCH($I21,Act_Type_Augex,0),MATCH(AP$4,Mat_Type,0))*INDEX(Escalators!$I$44:$U$49,MATCH(AP$4,Escalators!$C$44:$C$49,0),MATCH(AP$5,Escalators!$I$43:$U$43,0))</f>
        <v>0</v>
      </c>
      <c r="AQ21" s="128">
        <f>INDEX(Direct_Cost_Splits_Network,MATCH($H21,RIN_Asset_Cat_Network,0),MATCH($AY$4,Direct_Cost_Type,0))*$L21*INDEX(Act_Type_Augex_Splits,MATCH($I21,Act_Type_Augex,0),MATCH(AQ$4,Mat_Type,0))*INDEX(Escalators!$I$44:$U$49,MATCH(AQ$4,Escalators!$C$44:$C$49,0),MATCH(AQ$5,Escalators!$I$43:$U$43,0))</f>
        <v>0</v>
      </c>
      <c r="AR21" s="128">
        <f>INDEX(Direct_Cost_Splits_Network,MATCH($H21,RIN_Asset_Cat_Network,0),MATCH($AY$4,Direct_Cost_Type,0))*$L21*INDEX(Act_Type_Augex_Splits,MATCH($I21,Act_Type_Augex,0),MATCH(AR$4,Mat_Type,0))*INDEX(Escalators!$I$44:$U$49,MATCH(AR$4,Escalators!$C$44:$C$49,0),MATCH(AR$5,Escalators!$I$43:$U$43,0))</f>
        <v>0</v>
      </c>
      <c r="AS21" s="128">
        <f t="shared" si="70"/>
        <v>0</v>
      </c>
      <c r="AT21" s="128">
        <f>INDEX(Direct_Cost_Splits_Network,MATCH($H21,RIN_Asset_Cat_Network,0),MATCH($AY$4,Direct_Cost_Type,0))*$M21*INDEX(Act_Type_Augex_Splits,MATCH($I21,Act_Type_Augex,0),MATCH(AT$4,Mat_Type,0))*INDEX(Escalators!$I$44:$U$49,MATCH(AT$4,Escalators!$C$44:$C$49,0),MATCH(AT$5,Escalators!$I$43:$U$43,0))</f>
        <v>0</v>
      </c>
      <c r="AU21" s="128">
        <f>INDEX(Direct_Cost_Splits_Network,MATCH($H21,RIN_Asset_Cat_Network,0),MATCH($AY$4,Direct_Cost_Type,0))*$M21*INDEX(Act_Type_Augex_Splits,MATCH($I21,Act_Type_Augex,0),MATCH(AU$4,Mat_Type,0))*INDEX(Escalators!$I$44:$U$49,MATCH(AU$4,Escalators!$C$44:$C$49,0),MATCH(AU$5,Escalators!$I$43:$U$43,0))</f>
        <v>0</v>
      </c>
      <c r="AV21" s="128">
        <f>INDEX(Direct_Cost_Splits_Network,MATCH($H21,RIN_Asset_Cat_Network,0),MATCH($AY$4,Direct_Cost_Type,0))*$M21*INDEX(Act_Type_Augex_Splits,MATCH($I21,Act_Type_Augex,0),MATCH(AV$4,Mat_Type,0))*INDEX(Escalators!$I$44:$U$49,MATCH(AV$4,Escalators!$C$44:$C$49,0),MATCH(AV$5,Escalators!$I$43:$U$43,0))</f>
        <v>0</v>
      </c>
      <c r="AW21" s="128">
        <f>INDEX(Direct_Cost_Splits_Network,MATCH($H21,RIN_Asset_Cat_Network,0),MATCH($AY$4,Direct_Cost_Type,0))*$M21*INDEX(Act_Type_Augex_Splits,MATCH($I21,Act_Type_Augex,0),MATCH(AW$4,Mat_Type,0))*INDEX(Escalators!$I$44:$U$49,MATCH(AW$4,Escalators!$C$44:$C$49,0),MATCH(AW$5,Escalators!$I$43:$U$43,0))</f>
        <v>0</v>
      </c>
      <c r="AX21" s="128">
        <f>INDEX(Direct_Cost_Splits_Network,MATCH($H21,RIN_Asset_Cat_Network,0),MATCH($AY$4,Direct_Cost_Type,0))*$M21*INDEX(Act_Type_Augex_Splits,MATCH($I21,Act_Type_Augex,0),MATCH(AX$4,Mat_Type,0))*INDEX(Escalators!$I$44:$U$49,MATCH(AX$4,Escalators!$C$44:$C$49,0),MATCH(AX$5,Escalators!$I$43:$U$43,0))</f>
        <v>0</v>
      </c>
      <c r="AY21" s="128">
        <f t="shared" si="71"/>
        <v>0</v>
      </c>
      <c r="AZ21" s="128">
        <f>INDEX(Direct_Cost_Splits_Network,MATCH($H21,RIN_Asset_Cat_Network,0),MATCH($BE$4,Direct_Cost_Type,0))*$N21*INDEX(Act_Type_Augex_Splits,MATCH($I21,Act_Type_Augex,0),MATCH(AZ$4,Mat_Type,0))*INDEX(Escalators!$I$44:$U$49,MATCH(AZ$4,Escalators!$C$44:$C$49,0),MATCH(AZ$5,Escalators!$I$43:$U$43,0))</f>
        <v>0</v>
      </c>
      <c r="BA21" s="128">
        <f>INDEX(Direct_Cost_Splits_Network,MATCH($H21,RIN_Asset_Cat_Network,0),MATCH($BE$4,Direct_Cost_Type,0))*$N21*INDEX(Act_Type_Augex_Splits,MATCH($I21,Act_Type_Augex,0),MATCH(BA$4,Mat_Type,0))*INDEX(Escalators!$I$44:$U$49,MATCH(BA$4,Escalators!$C$44:$C$49,0),MATCH(BA$5,Escalators!$I$43:$U$43,0))</f>
        <v>0</v>
      </c>
      <c r="BB21" s="128">
        <f>INDEX(Direct_Cost_Splits_Network,MATCH($H21,RIN_Asset_Cat_Network,0),MATCH($BE$4,Direct_Cost_Type,0))*$N21*INDEX(Act_Type_Augex_Splits,MATCH($I21,Act_Type_Augex,0),MATCH(BB$4,Mat_Type,0))*INDEX(Escalators!$I$44:$U$49,MATCH(BB$4,Escalators!$C$44:$C$49,0),MATCH(BB$5,Escalators!$I$43:$U$43,0))</f>
        <v>0</v>
      </c>
      <c r="BC21" s="128">
        <f>INDEX(Direct_Cost_Splits_Network,MATCH($H21,RIN_Asset_Cat_Network,0),MATCH($BE$4,Direct_Cost_Type,0))*$N21*INDEX(Act_Type_Augex_Splits,MATCH($I21,Act_Type_Augex,0),MATCH(BC$4,Mat_Type,0))*INDEX(Escalators!$I$44:$U$49,MATCH(BC$4,Escalators!$C$44:$C$49,0),MATCH(BC$5,Escalators!$I$43:$U$43,0))</f>
        <v>0</v>
      </c>
      <c r="BD21" s="128">
        <f>INDEX(Direct_Cost_Splits_Network,MATCH($H21,RIN_Asset_Cat_Network,0),MATCH($BE$4,Direct_Cost_Type,0))*$N21*INDEX(Act_Type_Augex_Splits,MATCH($I21,Act_Type_Augex,0),MATCH(BD$4,Mat_Type,0))*INDEX(Escalators!$I$44:$U$49,MATCH(BD$4,Escalators!$C$44:$C$49,0),MATCH(BD$5,Escalators!$I$43:$U$43,0))</f>
        <v>0</v>
      </c>
      <c r="BE21" s="128">
        <f t="shared" si="72"/>
        <v>0</v>
      </c>
      <c r="BF21" s="128">
        <f>INDEX(Direct_Cost_Splits_Network,MATCH($H21,RIN_Asset_Cat_Network,0),MATCH($BK$4,Direct_Cost_Type,0))*$O21*INDEX(Act_Type_Augex_Splits,MATCH($I21,Act_Type_Augex,0),MATCH(BF$4,Mat_Type,0))*INDEX(Escalators!$I$44:$U$49,MATCH(BF$4,Escalators!$C$44:$C$49,0),MATCH(BF$5,Escalators!$I$43:$U$43,0))</f>
        <v>0</v>
      </c>
      <c r="BG21" s="128">
        <f>INDEX(Direct_Cost_Splits_Network,MATCH($H21,RIN_Asset_Cat_Network,0),MATCH($BK$4,Direct_Cost_Type,0))*$O21*INDEX(Act_Type_Augex_Splits,MATCH($I21,Act_Type_Augex,0),MATCH(BG$4,Mat_Type,0))*INDEX(Escalators!$I$44:$U$49,MATCH(BG$4,Escalators!$C$44:$C$49,0),MATCH(BG$5,Escalators!$I$43:$U$43,0))</f>
        <v>0</v>
      </c>
      <c r="BH21" s="128">
        <f>INDEX(Direct_Cost_Splits_Network,MATCH($H21,RIN_Asset_Cat_Network,0),MATCH($BK$4,Direct_Cost_Type,0))*$O21*INDEX(Act_Type_Augex_Splits,MATCH($I21,Act_Type_Augex,0),MATCH(BH$4,Mat_Type,0))*INDEX(Escalators!$I$44:$U$49,MATCH(BH$4,Escalators!$C$44:$C$49,0),MATCH(BH$5,Escalators!$I$43:$U$43,0))</f>
        <v>0</v>
      </c>
      <c r="BI21" s="128">
        <f>INDEX(Direct_Cost_Splits_Network,MATCH($H21,RIN_Asset_Cat_Network,0),MATCH($BK$4,Direct_Cost_Type,0))*$O21*INDEX(Act_Type_Augex_Splits,MATCH($I21,Act_Type_Augex,0),MATCH(BI$4,Mat_Type,0))*INDEX(Escalators!$I$44:$U$49,MATCH(BI$4,Escalators!$C$44:$C$49,0),MATCH(BI$5,Escalators!$I$43:$U$43,0))</f>
        <v>0</v>
      </c>
      <c r="BJ21" s="128">
        <f>INDEX(Direct_Cost_Splits_Network,MATCH($H21,RIN_Asset_Cat_Network,0),MATCH($BK$4,Direct_Cost_Type,0))*$O21*INDEX(Act_Type_Augex_Splits,MATCH($I21,Act_Type_Augex,0),MATCH(BJ$4,Mat_Type,0))*INDEX(Escalators!$I$44:$U$49,MATCH(BJ$4,Escalators!$C$44:$C$49,0),MATCH(BJ$5,Escalators!$I$43:$U$43,0))</f>
        <v>0</v>
      </c>
      <c r="BK21" s="128">
        <f t="shared" si="73"/>
        <v>0</v>
      </c>
      <c r="BL21" s="128">
        <f>INDEX(Direct_Cost_Splits_Network,MATCH($H21,RIN_Asset_Cat_Network,0),MATCH($BQ$4,Direct_Cost_Type,0))*$P21*INDEX(Act_Type_Augex_Splits,MATCH($I21,Act_Type_Augex,0),MATCH(BL$4,Mat_Type,0))*INDEX(Escalators!$I$44:$U$49,MATCH(BL$4,Escalators!$C$44:$C$49,0),MATCH(BL$5,Escalators!$I$43:$U$43,0))</f>
        <v>0</v>
      </c>
      <c r="BM21" s="128">
        <f>INDEX(Direct_Cost_Splits_Network,MATCH($H21,RIN_Asset_Cat_Network,0),MATCH($BQ$4,Direct_Cost_Type,0))*$P21*INDEX(Act_Type_Augex_Splits,MATCH($I21,Act_Type_Augex,0),MATCH(BM$4,Mat_Type,0))*INDEX(Escalators!$I$44:$U$49,MATCH(BM$4,Escalators!$C$44:$C$49,0),MATCH(BM$5,Escalators!$I$43:$U$43,0))</f>
        <v>0</v>
      </c>
      <c r="BN21" s="128">
        <f>INDEX(Direct_Cost_Splits_Network,MATCH($H21,RIN_Asset_Cat_Network,0),MATCH($BQ$4,Direct_Cost_Type,0))*$P21*INDEX(Act_Type_Augex_Splits,MATCH($I21,Act_Type_Augex,0),MATCH(BN$4,Mat_Type,0))*INDEX(Escalators!$I$44:$U$49,MATCH(BN$4,Escalators!$C$44:$C$49,0),MATCH(BN$5,Escalators!$I$43:$U$43,0))</f>
        <v>0</v>
      </c>
      <c r="BO21" s="128">
        <f>INDEX(Direct_Cost_Splits_Network,MATCH($H21,RIN_Asset_Cat_Network,0),MATCH($BQ$4,Direct_Cost_Type,0))*$P21*INDEX(Act_Type_Augex_Splits,MATCH($I21,Act_Type_Augex,0),MATCH(BO$4,Mat_Type,0))*INDEX(Escalators!$I$44:$U$49,MATCH(BO$4,Escalators!$C$44:$C$49,0),MATCH(BO$5,Escalators!$I$43:$U$43,0))</f>
        <v>0</v>
      </c>
      <c r="BP21" s="128">
        <f>INDEX(Direct_Cost_Splits_Network,MATCH($H21,RIN_Asset_Cat_Network,0),MATCH($BQ$4,Direct_Cost_Type,0))*$P21*INDEX(Act_Type_Augex_Splits,MATCH($I21,Act_Type_Augex,0),MATCH(BP$4,Mat_Type,0))*INDEX(Escalators!$I$44:$U$49,MATCH(BP$4,Escalators!$C$44:$C$49,0),MATCH(BP$5,Escalators!$I$43:$U$43,0))</f>
        <v>0</v>
      </c>
      <c r="BQ21" s="128">
        <f t="shared" si="74"/>
        <v>0</v>
      </c>
      <c r="BR21" s="128">
        <f>INDEX(Direct_Cost_Splits_Network,MATCH($H21,RIN_Asset_Cat_Network,0),MATCH($BW$4,Direct_Cost_Type,0))*$Q21*INDEX(Act_Type_Augex_Splits,MATCH($I21,Act_Type_Augex,0),MATCH(BR$4,Mat_Type,0))*INDEX(Escalators!$I$44:$U$49,MATCH(BR$4,Escalators!$C$44:$C$49,0),MATCH(BR$5,Escalators!$I$43:$U$43,0))</f>
        <v>0</v>
      </c>
      <c r="BS21" s="128">
        <f>INDEX(Direct_Cost_Splits_Network,MATCH($H21,RIN_Asset_Cat_Network,0),MATCH($BW$4,Direct_Cost_Type,0))*$Q21*INDEX(Act_Type_Augex_Splits,MATCH($I21,Act_Type_Augex,0),MATCH(BS$4,Mat_Type,0))*INDEX(Escalators!$I$44:$U$49,MATCH(BS$4,Escalators!$C$44:$C$49,0),MATCH(BS$5,Escalators!$I$43:$U$43,0))</f>
        <v>0</v>
      </c>
      <c r="BT21" s="128">
        <f>INDEX(Direct_Cost_Splits_Network,MATCH($H21,RIN_Asset_Cat_Network,0),MATCH($BW$4,Direct_Cost_Type,0))*$Q21*INDEX(Act_Type_Augex_Splits,MATCH($I21,Act_Type_Augex,0),MATCH(BT$4,Mat_Type,0))*INDEX(Escalators!$I$44:$U$49,MATCH(BT$4,Escalators!$C$44:$C$49,0),MATCH(BT$5,Escalators!$I$43:$U$43,0))</f>
        <v>0</v>
      </c>
      <c r="BU21" s="128">
        <f>INDEX(Direct_Cost_Splits_Network,MATCH($H21,RIN_Asset_Cat_Network,0),MATCH($BW$4,Direct_Cost_Type,0))*$Q21*INDEX(Act_Type_Augex_Splits,MATCH($I21,Act_Type_Augex,0),MATCH(BU$4,Mat_Type,0))*INDEX(Escalators!$I$44:$U$49,MATCH(BU$4,Escalators!$C$44:$C$49,0),MATCH(BU$5,Escalators!$I$43:$U$43,0))</f>
        <v>0</v>
      </c>
      <c r="BV21" s="128">
        <f>INDEX(Direct_Cost_Splits_Network,MATCH($H21,RIN_Asset_Cat_Network,0),MATCH($BW$4,Direct_Cost_Type,0))*$Q21*INDEX(Act_Type_Augex_Splits,MATCH($I21,Act_Type_Augex,0),MATCH(BV$4,Mat_Type,0))*INDEX(Escalators!$I$44:$U$49,MATCH(BV$4,Escalators!$C$44:$C$49,0),MATCH(BV$5,Escalators!$I$43:$U$43,0))</f>
        <v>0</v>
      </c>
      <c r="BW21" s="128">
        <f t="shared" si="75"/>
        <v>0</v>
      </c>
      <c r="BX21" s="129"/>
      <c r="BY21" s="128">
        <f>INDEX(Direct_Cost_Splits_Network,MATCH($H21,RIN_Asset_Cat_Network,0),MATCH($BY$4,Direct_Cost_Type,0))*J21*HLOOKUP(BY$5,Escalators!$I$25:$U$30,6,FALSE)</f>
        <v>0</v>
      </c>
      <c r="BZ21" s="128">
        <f>INDEX(Direct_Cost_Splits_Network,MATCH($H21,RIN_Asset_Cat_Network,0),MATCH($BY$4,Direct_Cost_Type,0))*K21*HLOOKUP(BZ$5,Escalators!$I$25:$U$30,6,FALSE)</f>
        <v>0</v>
      </c>
      <c r="CA21" s="128">
        <f>INDEX(Direct_Cost_Splits_Network,MATCH($H21,RIN_Asset_Cat_Network,0),MATCH($BY$4,Direct_Cost_Type,0))*L21*HLOOKUP(CA$5,Escalators!$I$25:$U$30,6,FALSE)</f>
        <v>0</v>
      </c>
      <c r="CB21" s="128">
        <f>INDEX(Direct_Cost_Splits_Network,MATCH($H21,RIN_Asset_Cat_Network,0),MATCH($BY$4,Direct_Cost_Type,0))*M21*HLOOKUP(CB$5,Escalators!$I$25:$U$30,6,FALSE)</f>
        <v>0</v>
      </c>
      <c r="CC21" s="128">
        <f>INDEX(Direct_Cost_Splits_Network,MATCH($H21,RIN_Asset_Cat_Network,0),MATCH($BY$4,Direct_Cost_Type,0))*N21*HLOOKUP(CC$5,Escalators!$I$25:$U$30,6,FALSE)</f>
        <v>0</v>
      </c>
      <c r="CD21" s="128">
        <f>INDEX(Direct_Cost_Splits_Network,MATCH($H21,RIN_Asset_Cat_Network,0),MATCH($BY$4,Direct_Cost_Type,0))*O21*HLOOKUP(CD$5,Escalators!$I$25:$U$30,6,FALSE)</f>
        <v>0</v>
      </c>
      <c r="CE21" s="128">
        <f>INDEX(Direct_Cost_Splits_Network,MATCH($H21,RIN_Asset_Cat_Network,0),MATCH($BY$4,Direct_Cost_Type,0))*P21*HLOOKUP(CE$5,Escalators!$I$25:$U$30,6,FALSE)</f>
        <v>0</v>
      </c>
      <c r="CF21" s="128">
        <f>INDEX(Direct_Cost_Splits_Network,MATCH($H21,RIN_Asset_Cat_Network,0),MATCH($BY$4,Direct_Cost_Type,0))*Q21*HLOOKUP(CF$5,Escalators!$I$25:$U$30,6,FALSE)</f>
        <v>0</v>
      </c>
      <c r="CG21" s="129"/>
      <c r="CH21" s="675">
        <f t="shared" si="76"/>
        <v>0</v>
      </c>
      <c r="CI21" s="675">
        <f t="shared" si="77"/>
        <v>0</v>
      </c>
      <c r="CJ21" s="675">
        <f t="shared" si="78"/>
        <v>0</v>
      </c>
      <c r="CK21" s="675">
        <f t="shared" si="79"/>
        <v>0</v>
      </c>
      <c r="CL21" s="675">
        <f t="shared" si="80"/>
        <v>0</v>
      </c>
      <c r="CM21" s="675">
        <f t="shared" si="81"/>
        <v>0</v>
      </c>
      <c r="CN21" s="675">
        <f t="shared" si="82"/>
        <v>0</v>
      </c>
      <c r="CO21" s="675">
        <f t="shared" si="83"/>
        <v>0</v>
      </c>
      <c r="CP21" s="129"/>
      <c r="CQ21" s="128">
        <f t="shared" si="18"/>
        <v>0</v>
      </c>
      <c r="CR21" s="128">
        <f t="shared" si="9"/>
        <v>0</v>
      </c>
      <c r="CS21" s="128">
        <f t="shared" si="19"/>
        <v>0</v>
      </c>
      <c r="CT21" s="128">
        <f t="shared" si="20"/>
        <v>0</v>
      </c>
      <c r="CU21" s="128">
        <f t="shared" si="21"/>
        <v>0</v>
      </c>
      <c r="CV21" s="128">
        <f t="shared" si="22"/>
        <v>0</v>
      </c>
      <c r="CW21" s="128">
        <f t="shared" si="23"/>
        <v>0</v>
      </c>
      <c r="CX21" s="128">
        <f t="shared" si="24"/>
        <v>0</v>
      </c>
      <c r="CZ21" s="39"/>
    </row>
    <row r="22" spans="2:104">
      <c r="B22" s="75" t="s">
        <v>426</v>
      </c>
      <c r="C22" s="75" t="s">
        <v>610</v>
      </c>
      <c r="D22" s="75" t="s">
        <v>538</v>
      </c>
      <c r="E22" s="75" t="s">
        <v>45</v>
      </c>
      <c r="F22" s="75" t="s">
        <v>51</v>
      </c>
      <c r="G22" s="75" t="s">
        <v>10</v>
      </c>
      <c r="H22" s="75" t="s">
        <v>152</v>
      </c>
      <c r="I22" s="75" t="s">
        <v>5</v>
      </c>
      <c r="J22" s="128"/>
      <c r="K22" s="128"/>
      <c r="L22" s="128"/>
      <c r="M22" s="128">
        <v>500</v>
      </c>
      <c r="N22" s="128">
        <v>500</v>
      </c>
      <c r="O22" s="128">
        <v>500</v>
      </c>
      <c r="P22" s="128">
        <v>500</v>
      </c>
      <c r="Q22" s="128">
        <v>500</v>
      </c>
      <c r="R22" s="129"/>
      <c r="S22" s="128">
        <f>INDEX(Direct_Cost_Splits_Network,MATCH($H22,RIN_Asset_Cat_Network,0),MATCH($S$4,Direct_Cost_Type,0))*J22*HLOOKUP(S$5,Escalators!$I$25:$U$30,3,FALSE)</f>
        <v>0</v>
      </c>
      <c r="T22" s="128">
        <f>INDEX(Direct_Cost_Splits_Network,MATCH($H22,RIN_Asset_Cat_Network,0),MATCH($S$4,Direct_Cost_Type,0))*K22*HLOOKUP(T$5,Escalators!$I$25:$U$30,3,FALSE)</f>
        <v>0</v>
      </c>
      <c r="U22" s="128">
        <f>INDEX(Direct_Cost_Splits_Network,MATCH($H22,RIN_Asset_Cat_Network,0),MATCH($S$4,Direct_Cost_Type,0))*L22*HLOOKUP(U$5,Escalators!$I$25:$U$30,3,FALSE)</f>
        <v>0</v>
      </c>
      <c r="V22" s="128">
        <f>INDEX(Direct_Cost_Splits_Network,MATCH($H22,RIN_Asset_Cat_Network,0),MATCH($S$4,Direct_Cost_Type,0))*M22*HLOOKUP(V$5,Escalators!$I$25:$U$30,3,FALSE)</f>
        <v>79.979120177808355</v>
      </c>
      <c r="W22" s="128">
        <f>INDEX(Direct_Cost_Splits_Network,MATCH($H22,RIN_Asset_Cat_Network,0),MATCH($S$4,Direct_Cost_Type,0))*N22*HLOOKUP(W$5,Escalators!$I$25:$U$30,3,FALSE)</f>
        <v>80.375888070363729</v>
      </c>
      <c r="X22" s="128">
        <f>INDEX(Direct_Cost_Splits_Network,MATCH($H22,RIN_Asset_Cat_Network,0),MATCH($S$4,Direct_Cost_Type,0))*O22*HLOOKUP(X$5,Escalators!$I$25:$U$30,3,FALSE)</f>
        <v>80.899342286584996</v>
      </c>
      <c r="Y22" s="128">
        <f>INDEX(Direct_Cost_Splits_Network,MATCH($H22,RIN_Asset_Cat_Network,0),MATCH($S$4,Direct_Cost_Type,0))*P22*HLOOKUP(Y$5,Escalators!$I$25:$U$30,3,FALSE)</f>
        <v>81.703048167455378</v>
      </c>
      <c r="Z22" s="128">
        <f>INDEX(Direct_Cost_Splits_Network,MATCH($H22,RIN_Asset_Cat_Network,0),MATCH($S$4,Direct_Cost_Type,0))*Q22*HLOOKUP(Z$5,Escalators!$I$25:$U$30,3,FALSE)</f>
        <v>82.771350146542972</v>
      </c>
      <c r="AA22" s="129"/>
      <c r="AB22" s="128">
        <f>INDEX(Direct_Cost_Splits_Network,MATCH($H22,RIN_Asset_Cat_Network,0),MATCH($AG$4,Direct_Cost_Type,0))*$J22*INDEX(Act_Type_Augex_Splits,MATCH($I22,Act_Type_Augex,0),MATCH(AB$4,Mat_Type,0))*INDEX(Escalators!$I$44:$U$49,MATCH(AB$4,Escalators!$C$44:$C$49,0),MATCH(AB$5,Escalators!$I$43:$U$43,0))</f>
        <v>0</v>
      </c>
      <c r="AC22" s="128">
        <f>INDEX(Direct_Cost_Splits_Network,MATCH($H22,RIN_Asset_Cat_Network,0),MATCH($AG$4,Direct_Cost_Type,0))*$J22*INDEX(Act_Type_Augex_Splits,MATCH($I22,Act_Type_Augex,0),MATCH(AC$4,Mat_Type,0))*INDEX(Escalators!$I$44:$U$49,MATCH(AC$4,Escalators!$C$44:$C$49,0),MATCH(AC$5,Escalators!$I$43:$U$43,0))</f>
        <v>0</v>
      </c>
      <c r="AD22" s="128">
        <f>INDEX(Direct_Cost_Splits_Network,MATCH($H22,RIN_Asset_Cat_Network,0),MATCH($AG$4,Direct_Cost_Type,0))*$J22*INDEX(Act_Type_Augex_Splits,MATCH($I22,Act_Type_Augex,0),MATCH(AD$4,Mat_Type,0))*INDEX(Escalators!$I$44:$U$49,MATCH(AD$4,Escalators!$C$44:$C$49,0),MATCH(AD$5,Escalators!$I$43:$U$43,0))</f>
        <v>0</v>
      </c>
      <c r="AE22" s="128">
        <f>INDEX(Direct_Cost_Splits_Network,MATCH($H22,RIN_Asset_Cat_Network,0),MATCH($AG$4,Direct_Cost_Type,0))*$J22*INDEX(Act_Type_Augex_Splits,MATCH($I22,Act_Type_Augex,0),MATCH(AE$4,Mat_Type,0))*INDEX(Escalators!$I$44:$U$49,MATCH(AE$4,Escalators!$C$44:$C$49,0),MATCH(AE$5,Escalators!$I$43:$U$43,0))</f>
        <v>0</v>
      </c>
      <c r="AF22" s="128">
        <f>INDEX(Direct_Cost_Splits_Network,MATCH($H22,RIN_Asset_Cat_Network,0),MATCH($AG$4,Direct_Cost_Type,0))*$J22*INDEX(Act_Type_Augex_Splits,MATCH($I22,Act_Type_Augex,0),MATCH(AF$4,Mat_Type,0))*INDEX(Escalators!$I$44:$U$49,MATCH(AF$4,Escalators!$C$44:$C$49,0),MATCH(AF$5,Escalators!$I$43:$U$43,0))</f>
        <v>0</v>
      </c>
      <c r="AG22" s="128">
        <f t="shared" si="68"/>
        <v>0</v>
      </c>
      <c r="AH22" s="128">
        <f>INDEX(Direct_Cost_Splits_Network,MATCH($H22,RIN_Asset_Cat_Network,0),MATCH($AY$4,Direct_Cost_Type,0))*$K22*INDEX(Act_Type_Augex_Splits,MATCH($I22,Act_Type_Augex,0),MATCH(AH$4,Mat_Type,0))*INDEX(Escalators!$I$44:$U$49,MATCH(AH$4,Escalators!$C$44:$C$49,0),MATCH(AH$5,Escalators!$I$43:$U$43,0))</f>
        <v>0</v>
      </c>
      <c r="AI22" s="128">
        <f>INDEX(Direct_Cost_Splits_Network,MATCH($H22,RIN_Asset_Cat_Network,0),MATCH($AY$4,Direct_Cost_Type,0))*$K22*INDEX(Act_Type_Augex_Splits,MATCH($I22,Act_Type_Augex,0),MATCH(AI$4,Mat_Type,0))*INDEX(Escalators!$I$44:$U$49,MATCH(AI$4,Escalators!$C$44:$C$49,0),MATCH(AI$5,Escalators!$I$43:$U$43,0))</f>
        <v>0</v>
      </c>
      <c r="AJ22" s="128">
        <f>INDEX(Direct_Cost_Splits_Network,MATCH($H22,RIN_Asset_Cat_Network,0),MATCH($AY$4,Direct_Cost_Type,0))*$K22*INDEX(Act_Type_Augex_Splits,MATCH($I22,Act_Type_Augex,0),MATCH(AJ$4,Mat_Type,0))*INDEX(Escalators!$I$44:$U$49,MATCH(AJ$4,Escalators!$C$44:$C$49,0),MATCH(AJ$5,Escalators!$I$43:$U$43,0))</f>
        <v>0</v>
      </c>
      <c r="AK22" s="128">
        <f>INDEX(Direct_Cost_Splits_Network,MATCH($H22,RIN_Asset_Cat_Network,0),MATCH($AY$4,Direct_Cost_Type,0))*$K22*INDEX(Act_Type_Augex_Splits,MATCH($I22,Act_Type_Augex,0),MATCH(AK$4,Mat_Type,0))*INDEX(Escalators!$I$44:$U$49,MATCH(AK$4,Escalators!$C$44:$C$49,0),MATCH(AK$5,Escalators!$I$43:$U$43,0))</f>
        <v>0</v>
      </c>
      <c r="AL22" s="128">
        <f>INDEX(Direct_Cost_Splits_Network,MATCH($H22,RIN_Asset_Cat_Network,0),MATCH($AY$4,Direct_Cost_Type,0))*$K22*INDEX(Act_Type_Augex_Splits,MATCH($I22,Act_Type_Augex,0),MATCH(AL$4,Mat_Type,0))*INDEX(Escalators!$I$44:$U$49,MATCH(AL$4,Escalators!$C$44:$C$49,0),MATCH(AL$5,Escalators!$I$43:$U$43,0))</f>
        <v>0</v>
      </c>
      <c r="AM22" s="128">
        <f t="shared" si="69"/>
        <v>0</v>
      </c>
      <c r="AN22" s="128">
        <f>INDEX(Direct_Cost_Splits_Network,MATCH($H22,RIN_Asset_Cat_Network,0),MATCH($AY$4,Direct_Cost_Type,0))*$L22*INDEX(Act_Type_Augex_Splits,MATCH($I22,Act_Type_Augex,0),MATCH(AN$4,Mat_Type,0))*INDEX(Escalators!$I$44:$U$49,MATCH(AN$4,Escalators!$C$44:$C$49,0),MATCH(AN$5,Escalators!$I$43:$U$43,0))</f>
        <v>0</v>
      </c>
      <c r="AO22" s="128">
        <f>INDEX(Direct_Cost_Splits_Network,MATCH($H22,RIN_Asset_Cat_Network,0),MATCH($AY$4,Direct_Cost_Type,0))*$L22*INDEX(Act_Type_Augex_Splits,MATCH($I22,Act_Type_Augex,0),MATCH(AO$4,Mat_Type,0))*INDEX(Escalators!$I$44:$U$49,MATCH(AO$4,Escalators!$C$44:$C$49,0),MATCH(AO$5,Escalators!$I$43:$U$43,0))</f>
        <v>0</v>
      </c>
      <c r="AP22" s="128">
        <f>INDEX(Direct_Cost_Splits_Network,MATCH($H22,RIN_Asset_Cat_Network,0),MATCH($AY$4,Direct_Cost_Type,0))*$L22*INDEX(Act_Type_Augex_Splits,MATCH($I22,Act_Type_Augex,0),MATCH(AP$4,Mat_Type,0))*INDEX(Escalators!$I$44:$U$49,MATCH(AP$4,Escalators!$C$44:$C$49,0),MATCH(AP$5,Escalators!$I$43:$U$43,0))</f>
        <v>0</v>
      </c>
      <c r="AQ22" s="128">
        <f>INDEX(Direct_Cost_Splits_Network,MATCH($H22,RIN_Asset_Cat_Network,0),MATCH($AY$4,Direct_Cost_Type,0))*$L22*INDEX(Act_Type_Augex_Splits,MATCH($I22,Act_Type_Augex,0),MATCH(AQ$4,Mat_Type,0))*INDEX(Escalators!$I$44:$U$49,MATCH(AQ$4,Escalators!$C$44:$C$49,0),MATCH(AQ$5,Escalators!$I$43:$U$43,0))</f>
        <v>0</v>
      </c>
      <c r="AR22" s="128">
        <f>INDEX(Direct_Cost_Splits_Network,MATCH($H22,RIN_Asset_Cat_Network,0),MATCH($AY$4,Direct_Cost_Type,0))*$L22*INDEX(Act_Type_Augex_Splits,MATCH($I22,Act_Type_Augex,0),MATCH(AR$4,Mat_Type,0))*INDEX(Escalators!$I$44:$U$49,MATCH(AR$4,Escalators!$C$44:$C$49,0),MATCH(AR$5,Escalators!$I$43:$U$43,0))</f>
        <v>0</v>
      </c>
      <c r="AS22" s="128">
        <f t="shared" si="70"/>
        <v>0</v>
      </c>
      <c r="AT22" s="128">
        <f>INDEX(Direct_Cost_Splits_Network,MATCH($H22,RIN_Asset_Cat_Network,0),MATCH($AY$4,Direct_Cost_Type,0))*$M22*INDEX(Act_Type_Augex_Splits,MATCH($I22,Act_Type_Augex,0),MATCH(AT$4,Mat_Type,0))*INDEX(Escalators!$I$44:$U$49,MATCH(AT$4,Escalators!$C$44:$C$49,0),MATCH(AT$5,Escalators!$I$43:$U$43,0))</f>
        <v>15.440954877598683</v>
      </c>
      <c r="AU22" s="128">
        <f>INDEX(Direct_Cost_Splits_Network,MATCH($H22,RIN_Asset_Cat_Network,0),MATCH($AY$4,Direct_Cost_Type,0))*$M22*INDEX(Act_Type_Augex_Splits,MATCH($I22,Act_Type_Augex,0),MATCH(AU$4,Mat_Type,0))*INDEX(Escalators!$I$44:$U$49,MATCH(AU$4,Escalators!$C$44:$C$49,0),MATCH(AU$5,Escalators!$I$43:$U$43,0))</f>
        <v>15.440954877598683</v>
      </c>
      <c r="AV22" s="128">
        <f>INDEX(Direct_Cost_Splits_Network,MATCH($H22,RIN_Asset_Cat_Network,0),MATCH($AY$4,Direct_Cost_Type,0))*$M22*INDEX(Act_Type_Augex_Splits,MATCH($I22,Act_Type_Augex,0),MATCH(AV$4,Mat_Type,0))*INDEX(Escalators!$I$44:$U$49,MATCH(AV$4,Escalators!$C$44:$C$49,0),MATCH(AV$5,Escalators!$I$43:$U$43,0))</f>
        <v>15.440954877598683</v>
      </c>
      <c r="AW22" s="128">
        <f>INDEX(Direct_Cost_Splits_Network,MATCH($H22,RIN_Asset_Cat_Network,0),MATCH($AY$4,Direct_Cost_Type,0))*$M22*INDEX(Act_Type_Augex_Splits,MATCH($I22,Act_Type_Augex,0),MATCH(AW$4,Mat_Type,0))*INDEX(Escalators!$I$44:$U$49,MATCH(AW$4,Escalators!$C$44:$C$49,0),MATCH(AW$5,Escalators!$I$43:$U$43,0))</f>
        <v>0</v>
      </c>
      <c r="AX22" s="128">
        <f>INDEX(Direct_Cost_Splits_Network,MATCH($H22,RIN_Asset_Cat_Network,0),MATCH($AY$4,Direct_Cost_Type,0))*$M22*INDEX(Act_Type_Augex_Splits,MATCH($I22,Act_Type_Augex,0),MATCH(AX$4,Mat_Type,0))*INDEX(Escalators!$I$44:$U$49,MATCH(AX$4,Escalators!$C$44:$C$49,0),MATCH(AX$5,Escalators!$I$43:$U$43,0))</f>
        <v>108.08668414319077</v>
      </c>
      <c r="AY22" s="128">
        <f t="shared" si="71"/>
        <v>154.40954877598682</v>
      </c>
      <c r="AZ22" s="128">
        <f>INDEX(Direct_Cost_Splits_Network,MATCH($H22,RIN_Asset_Cat_Network,0),MATCH($BE$4,Direct_Cost_Type,0))*$N22*INDEX(Act_Type_Augex_Splits,MATCH($I22,Act_Type_Augex,0),MATCH(AZ$4,Mat_Type,0))*INDEX(Escalators!$I$44:$U$49,MATCH(AZ$4,Escalators!$C$44:$C$49,0),MATCH(AZ$5,Escalators!$I$43:$U$43,0))</f>
        <v>15.440954877598683</v>
      </c>
      <c r="BA22" s="128">
        <f>INDEX(Direct_Cost_Splits_Network,MATCH($H22,RIN_Asset_Cat_Network,0),MATCH($BE$4,Direct_Cost_Type,0))*$N22*INDEX(Act_Type_Augex_Splits,MATCH($I22,Act_Type_Augex,0),MATCH(BA$4,Mat_Type,0))*INDEX(Escalators!$I$44:$U$49,MATCH(BA$4,Escalators!$C$44:$C$49,0),MATCH(BA$5,Escalators!$I$43:$U$43,0))</f>
        <v>15.440954877598683</v>
      </c>
      <c r="BB22" s="128">
        <f>INDEX(Direct_Cost_Splits_Network,MATCH($H22,RIN_Asset_Cat_Network,0),MATCH($BE$4,Direct_Cost_Type,0))*$N22*INDEX(Act_Type_Augex_Splits,MATCH($I22,Act_Type_Augex,0),MATCH(BB$4,Mat_Type,0))*INDEX(Escalators!$I$44:$U$49,MATCH(BB$4,Escalators!$C$44:$C$49,0),MATCH(BB$5,Escalators!$I$43:$U$43,0))</f>
        <v>15.440954877598683</v>
      </c>
      <c r="BC22" s="128">
        <f>INDEX(Direct_Cost_Splits_Network,MATCH($H22,RIN_Asset_Cat_Network,0),MATCH($BE$4,Direct_Cost_Type,0))*$N22*INDEX(Act_Type_Augex_Splits,MATCH($I22,Act_Type_Augex,0),MATCH(BC$4,Mat_Type,0))*INDEX(Escalators!$I$44:$U$49,MATCH(BC$4,Escalators!$C$44:$C$49,0),MATCH(BC$5,Escalators!$I$43:$U$43,0))</f>
        <v>0</v>
      </c>
      <c r="BD22" s="128">
        <f>INDEX(Direct_Cost_Splits_Network,MATCH($H22,RIN_Asset_Cat_Network,0),MATCH($BE$4,Direct_Cost_Type,0))*$N22*INDEX(Act_Type_Augex_Splits,MATCH($I22,Act_Type_Augex,0),MATCH(BD$4,Mat_Type,0))*INDEX(Escalators!$I$44:$U$49,MATCH(BD$4,Escalators!$C$44:$C$49,0),MATCH(BD$5,Escalators!$I$43:$U$43,0))</f>
        <v>108.08668414319077</v>
      </c>
      <c r="BE22" s="128">
        <f t="shared" si="72"/>
        <v>154.40954877598682</v>
      </c>
      <c r="BF22" s="128">
        <f>INDEX(Direct_Cost_Splits_Network,MATCH($H22,RIN_Asset_Cat_Network,0),MATCH($BK$4,Direct_Cost_Type,0))*$O22*INDEX(Act_Type_Augex_Splits,MATCH($I22,Act_Type_Augex,0),MATCH(BF$4,Mat_Type,0))*INDEX(Escalators!$I$44:$U$49,MATCH(BF$4,Escalators!$C$44:$C$49,0),MATCH(BF$5,Escalators!$I$43:$U$43,0))</f>
        <v>15.440954877598683</v>
      </c>
      <c r="BG22" s="128">
        <f>INDEX(Direct_Cost_Splits_Network,MATCH($H22,RIN_Asset_Cat_Network,0),MATCH($BK$4,Direct_Cost_Type,0))*$O22*INDEX(Act_Type_Augex_Splits,MATCH($I22,Act_Type_Augex,0),MATCH(BG$4,Mat_Type,0))*INDEX(Escalators!$I$44:$U$49,MATCH(BG$4,Escalators!$C$44:$C$49,0),MATCH(BG$5,Escalators!$I$43:$U$43,0))</f>
        <v>15.440954877598683</v>
      </c>
      <c r="BH22" s="128">
        <f>INDEX(Direct_Cost_Splits_Network,MATCH($H22,RIN_Asset_Cat_Network,0),MATCH($BK$4,Direct_Cost_Type,0))*$O22*INDEX(Act_Type_Augex_Splits,MATCH($I22,Act_Type_Augex,0),MATCH(BH$4,Mat_Type,0))*INDEX(Escalators!$I$44:$U$49,MATCH(BH$4,Escalators!$C$44:$C$49,0),MATCH(BH$5,Escalators!$I$43:$U$43,0))</f>
        <v>15.440954877598683</v>
      </c>
      <c r="BI22" s="128">
        <f>INDEX(Direct_Cost_Splits_Network,MATCH($H22,RIN_Asset_Cat_Network,0),MATCH($BK$4,Direct_Cost_Type,0))*$O22*INDEX(Act_Type_Augex_Splits,MATCH($I22,Act_Type_Augex,0),MATCH(BI$4,Mat_Type,0))*INDEX(Escalators!$I$44:$U$49,MATCH(BI$4,Escalators!$C$44:$C$49,0),MATCH(BI$5,Escalators!$I$43:$U$43,0))</f>
        <v>0</v>
      </c>
      <c r="BJ22" s="128">
        <f>INDEX(Direct_Cost_Splits_Network,MATCH($H22,RIN_Asset_Cat_Network,0),MATCH($BK$4,Direct_Cost_Type,0))*$O22*INDEX(Act_Type_Augex_Splits,MATCH($I22,Act_Type_Augex,0),MATCH(BJ$4,Mat_Type,0))*INDEX(Escalators!$I$44:$U$49,MATCH(BJ$4,Escalators!$C$44:$C$49,0),MATCH(BJ$5,Escalators!$I$43:$U$43,0))</f>
        <v>108.08668414319077</v>
      </c>
      <c r="BK22" s="128">
        <f t="shared" si="73"/>
        <v>154.40954877598682</v>
      </c>
      <c r="BL22" s="128">
        <f>INDEX(Direct_Cost_Splits_Network,MATCH($H22,RIN_Asset_Cat_Network,0),MATCH($BQ$4,Direct_Cost_Type,0))*$P22*INDEX(Act_Type_Augex_Splits,MATCH($I22,Act_Type_Augex,0),MATCH(BL$4,Mat_Type,0))*INDEX(Escalators!$I$44:$U$49,MATCH(BL$4,Escalators!$C$44:$C$49,0),MATCH(BL$5,Escalators!$I$43:$U$43,0))</f>
        <v>15.440954877598683</v>
      </c>
      <c r="BM22" s="128">
        <f>INDEX(Direct_Cost_Splits_Network,MATCH($H22,RIN_Asset_Cat_Network,0),MATCH($BQ$4,Direct_Cost_Type,0))*$P22*INDEX(Act_Type_Augex_Splits,MATCH($I22,Act_Type_Augex,0),MATCH(BM$4,Mat_Type,0))*INDEX(Escalators!$I$44:$U$49,MATCH(BM$4,Escalators!$C$44:$C$49,0),MATCH(BM$5,Escalators!$I$43:$U$43,0))</f>
        <v>15.440954877598683</v>
      </c>
      <c r="BN22" s="128">
        <f>INDEX(Direct_Cost_Splits_Network,MATCH($H22,RIN_Asset_Cat_Network,0),MATCH($BQ$4,Direct_Cost_Type,0))*$P22*INDEX(Act_Type_Augex_Splits,MATCH($I22,Act_Type_Augex,0),MATCH(BN$4,Mat_Type,0))*INDEX(Escalators!$I$44:$U$49,MATCH(BN$4,Escalators!$C$44:$C$49,0),MATCH(BN$5,Escalators!$I$43:$U$43,0))</f>
        <v>15.440954877598683</v>
      </c>
      <c r="BO22" s="128">
        <f>INDEX(Direct_Cost_Splits_Network,MATCH($H22,RIN_Asset_Cat_Network,0),MATCH($BQ$4,Direct_Cost_Type,0))*$P22*INDEX(Act_Type_Augex_Splits,MATCH($I22,Act_Type_Augex,0),MATCH(BO$4,Mat_Type,0))*INDEX(Escalators!$I$44:$U$49,MATCH(BO$4,Escalators!$C$44:$C$49,0),MATCH(BO$5,Escalators!$I$43:$U$43,0))</f>
        <v>0</v>
      </c>
      <c r="BP22" s="128">
        <f>INDEX(Direct_Cost_Splits_Network,MATCH($H22,RIN_Asset_Cat_Network,0),MATCH($BQ$4,Direct_Cost_Type,0))*$P22*INDEX(Act_Type_Augex_Splits,MATCH($I22,Act_Type_Augex,0),MATCH(BP$4,Mat_Type,0))*INDEX(Escalators!$I$44:$U$49,MATCH(BP$4,Escalators!$C$44:$C$49,0),MATCH(BP$5,Escalators!$I$43:$U$43,0))</f>
        <v>108.08668414319077</v>
      </c>
      <c r="BQ22" s="128">
        <f t="shared" si="74"/>
        <v>154.40954877598682</v>
      </c>
      <c r="BR22" s="128">
        <f>INDEX(Direct_Cost_Splits_Network,MATCH($H22,RIN_Asset_Cat_Network,0),MATCH($BW$4,Direct_Cost_Type,0))*$Q22*INDEX(Act_Type_Augex_Splits,MATCH($I22,Act_Type_Augex,0),MATCH(BR$4,Mat_Type,0))*INDEX(Escalators!$I$44:$U$49,MATCH(BR$4,Escalators!$C$44:$C$49,0),MATCH(BR$5,Escalators!$I$43:$U$43,0))</f>
        <v>15.440954877598683</v>
      </c>
      <c r="BS22" s="128">
        <f>INDEX(Direct_Cost_Splits_Network,MATCH($H22,RIN_Asset_Cat_Network,0),MATCH($BW$4,Direct_Cost_Type,0))*$Q22*INDEX(Act_Type_Augex_Splits,MATCH($I22,Act_Type_Augex,0),MATCH(BS$4,Mat_Type,0))*INDEX(Escalators!$I$44:$U$49,MATCH(BS$4,Escalators!$C$44:$C$49,0),MATCH(BS$5,Escalators!$I$43:$U$43,0))</f>
        <v>15.440954877598683</v>
      </c>
      <c r="BT22" s="128">
        <f>INDEX(Direct_Cost_Splits_Network,MATCH($H22,RIN_Asset_Cat_Network,0),MATCH($BW$4,Direct_Cost_Type,0))*$Q22*INDEX(Act_Type_Augex_Splits,MATCH($I22,Act_Type_Augex,0),MATCH(BT$4,Mat_Type,0))*INDEX(Escalators!$I$44:$U$49,MATCH(BT$4,Escalators!$C$44:$C$49,0),MATCH(BT$5,Escalators!$I$43:$U$43,0))</f>
        <v>15.440954877598683</v>
      </c>
      <c r="BU22" s="128">
        <f>INDEX(Direct_Cost_Splits_Network,MATCH($H22,RIN_Asset_Cat_Network,0),MATCH($BW$4,Direct_Cost_Type,0))*$Q22*INDEX(Act_Type_Augex_Splits,MATCH($I22,Act_Type_Augex,0),MATCH(BU$4,Mat_Type,0))*INDEX(Escalators!$I$44:$U$49,MATCH(BU$4,Escalators!$C$44:$C$49,0),MATCH(BU$5,Escalators!$I$43:$U$43,0))</f>
        <v>0</v>
      </c>
      <c r="BV22" s="128">
        <f>INDEX(Direct_Cost_Splits_Network,MATCH($H22,RIN_Asset_Cat_Network,0),MATCH($BW$4,Direct_Cost_Type,0))*$Q22*INDEX(Act_Type_Augex_Splits,MATCH($I22,Act_Type_Augex,0),MATCH(BV$4,Mat_Type,0))*INDEX(Escalators!$I$44:$U$49,MATCH(BV$4,Escalators!$C$44:$C$49,0),MATCH(BV$5,Escalators!$I$43:$U$43,0))</f>
        <v>108.08668414319077</v>
      </c>
      <c r="BW22" s="128">
        <f t="shared" si="75"/>
        <v>154.40954877598682</v>
      </c>
      <c r="BX22" s="129"/>
      <c r="BY22" s="128">
        <f>INDEX(Direct_Cost_Splits_Network,MATCH($H22,RIN_Asset_Cat_Network,0),MATCH($BY$4,Direct_Cost_Type,0))*J22*HLOOKUP(BY$5,Escalators!$I$25:$U$30,6,FALSE)</f>
        <v>0</v>
      </c>
      <c r="BZ22" s="128">
        <f>INDEX(Direct_Cost_Splits_Network,MATCH($H22,RIN_Asset_Cat_Network,0),MATCH($BY$4,Direct_Cost_Type,0))*K22*HLOOKUP(BZ$5,Escalators!$I$25:$U$30,6,FALSE)</f>
        <v>0</v>
      </c>
      <c r="CA22" s="128">
        <f>INDEX(Direct_Cost_Splits_Network,MATCH($H22,RIN_Asset_Cat_Network,0),MATCH($BY$4,Direct_Cost_Type,0))*L22*HLOOKUP(CA$5,Escalators!$I$25:$U$30,6,FALSE)</f>
        <v>0</v>
      </c>
      <c r="CB22" s="128">
        <f>INDEX(Direct_Cost_Splits_Network,MATCH($H22,RIN_Asset_Cat_Network,0),MATCH($BY$4,Direct_Cost_Type,0))*M22*HLOOKUP(CB$5,Escalators!$I$25:$U$30,6,FALSE)</f>
        <v>210.35238910213752</v>
      </c>
      <c r="CC22" s="128">
        <f>INDEX(Direct_Cost_Splits_Network,MATCH($H22,RIN_Asset_Cat_Network,0),MATCH($BY$4,Direct_Cost_Type,0))*N22*HLOOKUP(CC$5,Escalators!$I$25:$U$30,6,FALSE)</f>
        <v>210.35238910213752</v>
      </c>
      <c r="CD22" s="128">
        <f>INDEX(Direct_Cost_Splits_Network,MATCH($H22,RIN_Asset_Cat_Network,0),MATCH($BY$4,Direct_Cost_Type,0))*O22*HLOOKUP(CD$5,Escalators!$I$25:$U$30,6,FALSE)</f>
        <v>210.35238910213752</v>
      </c>
      <c r="CE22" s="128">
        <f>INDEX(Direct_Cost_Splits_Network,MATCH($H22,RIN_Asset_Cat_Network,0),MATCH($BY$4,Direct_Cost_Type,0))*P22*HLOOKUP(CE$5,Escalators!$I$25:$U$30,6,FALSE)</f>
        <v>210.35238910213752</v>
      </c>
      <c r="CF22" s="128">
        <f>INDEX(Direct_Cost_Splits_Network,MATCH($H22,RIN_Asset_Cat_Network,0),MATCH($BY$4,Direct_Cost_Type,0))*Q22*HLOOKUP(CF$5,Escalators!$I$25:$U$30,6,FALSE)</f>
        <v>210.35238910213752</v>
      </c>
      <c r="CG22" s="129"/>
      <c r="CH22" s="675">
        <f t="shared" si="76"/>
        <v>0</v>
      </c>
      <c r="CI22" s="675">
        <f t="shared" si="77"/>
        <v>0</v>
      </c>
      <c r="CJ22" s="675">
        <f t="shared" si="78"/>
        <v>0</v>
      </c>
      <c r="CK22" s="675">
        <f t="shared" si="79"/>
        <v>57.791399862790065</v>
      </c>
      <c r="CL22" s="675">
        <f t="shared" si="80"/>
        <v>57.791399862790065</v>
      </c>
      <c r="CM22" s="675">
        <f t="shared" si="81"/>
        <v>57.791399862790065</v>
      </c>
      <c r="CN22" s="675">
        <f t="shared" si="82"/>
        <v>57.791399862790065</v>
      </c>
      <c r="CO22" s="675">
        <f t="shared" si="83"/>
        <v>57.791399862790065</v>
      </c>
      <c r="CP22" s="129"/>
      <c r="CQ22" s="128">
        <f t="shared" si="18"/>
        <v>0</v>
      </c>
      <c r="CR22" s="128">
        <f t="shared" si="9"/>
        <v>0</v>
      </c>
      <c r="CS22" s="128">
        <f t="shared" si="19"/>
        <v>0</v>
      </c>
      <c r="CT22" s="128">
        <f t="shared" si="20"/>
        <v>502.53245791872274</v>
      </c>
      <c r="CU22" s="128">
        <f t="shared" si="21"/>
        <v>502.92922581127812</v>
      </c>
      <c r="CV22" s="128">
        <f t="shared" si="22"/>
        <v>503.45268002749941</v>
      </c>
      <c r="CW22" s="128">
        <f t="shared" si="23"/>
        <v>504.25638590836979</v>
      </c>
      <c r="CX22" s="128">
        <f t="shared" si="24"/>
        <v>505.32468788745734</v>
      </c>
      <c r="CZ22" s="39"/>
    </row>
    <row r="23" spans="2:104">
      <c r="B23" s="75" t="s">
        <v>426</v>
      </c>
      <c r="C23" s="75" t="s">
        <v>577</v>
      </c>
      <c r="D23" s="75" t="s">
        <v>422</v>
      </c>
      <c r="E23" s="75" t="s">
        <v>45</v>
      </c>
      <c r="F23" s="75" t="s">
        <v>51</v>
      </c>
      <c r="G23" s="75" t="s">
        <v>10</v>
      </c>
      <c r="H23" s="75" t="s">
        <v>165</v>
      </c>
      <c r="I23" s="75" t="s">
        <v>215</v>
      </c>
      <c r="J23" s="128"/>
      <c r="K23" s="128"/>
      <c r="L23" s="128"/>
      <c r="M23" s="128">
        <v>500</v>
      </c>
      <c r="N23" s="128">
        <v>500</v>
      </c>
      <c r="O23" s="128">
        <v>500</v>
      </c>
      <c r="P23" s="128">
        <v>500</v>
      </c>
      <c r="Q23" s="128">
        <v>500</v>
      </c>
      <c r="R23" s="129"/>
      <c r="S23" s="128">
        <f>INDEX(Direct_Cost_Splits_Network,MATCH($H23,RIN_Asset_Cat_Network,0),MATCH($S$4,Direct_Cost_Type,0))*J23*HLOOKUP(S$5,Escalators!$I$25:$U$30,3,FALSE)</f>
        <v>0</v>
      </c>
      <c r="T23" s="128">
        <f>INDEX(Direct_Cost_Splits_Network,MATCH($H23,RIN_Asset_Cat_Network,0),MATCH($S$4,Direct_Cost_Type,0))*K23*HLOOKUP(T$5,Escalators!$I$25:$U$30,3,FALSE)</f>
        <v>0</v>
      </c>
      <c r="U23" s="128">
        <f>INDEX(Direct_Cost_Splits_Network,MATCH($H23,RIN_Asset_Cat_Network,0),MATCH($S$4,Direct_Cost_Type,0))*L23*HLOOKUP(U$5,Escalators!$I$25:$U$30,3,FALSE)</f>
        <v>0</v>
      </c>
      <c r="V23" s="128">
        <f>INDEX(Direct_Cost_Splits_Network,MATCH($H23,RIN_Asset_Cat_Network,0),MATCH($S$4,Direct_Cost_Type,0))*M23*HLOOKUP(V$5,Escalators!$I$25:$U$30,3,FALSE)</f>
        <v>79.97912017780834</v>
      </c>
      <c r="W23" s="128">
        <f>INDEX(Direct_Cost_Splits_Network,MATCH($H23,RIN_Asset_Cat_Network,0),MATCH($S$4,Direct_Cost_Type,0))*N23*HLOOKUP(W$5,Escalators!$I$25:$U$30,3,FALSE)</f>
        <v>80.375888070363715</v>
      </c>
      <c r="X23" s="128">
        <f>INDEX(Direct_Cost_Splits_Network,MATCH($H23,RIN_Asset_Cat_Network,0),MATCH($S$4,Direct_Cost_Type,0))*O23*HLOOKUP(X$5,Escalators!$I$25:$U$30,3,FALSE)</f>
        <v>80.899342286584982</v>
      </c>
      <c r="Y23" s="128">
        <f>INDEX(Direct_Cost_Splits_Network,MATCH($H23,RIN_Asset_Cat_Network,0),MATCH($S$4,Direct_Cost_Type,0))*P23*HLOOKUP(Y$5,Escalators!$I$25:$U$30,3,FALSE)</f>
        <v>81.703048167455364</v>
      </c>
      <c r="Z23" s="128">
        <f>INDEX(Direct_Cost_Splits_Network,MATCH($H23,RIN_Asset_Cat_Network,0),MATCH($S$4,Direct_Cost_Type,0))*Q23*HLOOKUP(Z$5,Escalators!$I$25:$U$30,3,FALSE)</f>
        <v>82.771350146542957</v>
      </c>
      <c r="AA23" s="129"/>
      <c r="AB23" s="128">
        <f>INDEX(Direct_Cost_Splits_Network,MATCH($H23,RIN_Asset_Cat_Network,0),MATCH($AG$4,Direct_Cost_Type,0))*$J23*INDEX(Act_Type_Augex_Splits,MATCH($I23,Act_Type_Augex,0),MATCH(AB$4,Mat_Type,0))*INDEX(Escalators!$I$44:$U$49,MATCH(AB$4,Escalators!$C$44:$C$49,0),MATCH(AB$5,Escalators!$I$43:$U$43,0))</f>
        <v>0</v>
      </c>
      <c r="AC23" s="128">
        <f>INDEX(Direct_Cost_Splits_Network,MATCH($H23,RIN_Asset_Cat_Network,0),MATCH($AG$4,Direct_Cost_Type,0))*$J23*INDEX(Act_Type_Augex_Splits,MATCH($I23,Act_Type_Augex,0),MATCH(AC$4,Mat_Type,0))*INDEX(Escalators!$I$44:$U$49,MATCH(AC$4,Escalators!$C$44:$C$49,0),MATCH(AC$5,Escalators!$I$43:$U$43,0))</f>
        <v>0</v>
      </c>
      <c r="AD23" s="128">
        <f>INDEX(Direct_Cost_Splits_Network,MATCH($H23,RIN_Asset_Cat_Network,0),MATCH($AG$4,Direct_Cost_Type,0))*$J23*INDEX(Act_Type_Augex_Splits,MATCH($I23,Act_Type_Augex,0),MATCH(AD$4,Mat_Type,0))*INDEX(Escalators!$I$44:$U$49,MATCH(AD$4,Escalators!$C$44:$C$49,0),MATCH(AD$5,Escalators!$I$43:$U$43,0))</f>
        <v>0</v>
      </c>
      <c r="AE23" s="128">
        <f>INDEX(Direct_Cost_Splits_Network,MATCH($H23,RIN_Asset_Cat_Network,0),MATCH($AG$4,Direct_Cost_Type,0))*$J23*INDEX(Act_Type_Augex_Splits,MATCH($I23,Act_Type_Augex,0),MATCH(AE$4,Mat_Type,0))*INDEX(Escalators!$I$44:$U$49,MATCH(AE$4,Escalators!$C$44:$C$49,0),MATCH(AE$5,Escalators!$I$43:$U$43,0))</f>
        <v>0</v>
      </c>
      <c r="AF23" s="128">
        <f>INDEX(Direct_Cost_Splits_Network,MATCH($H23,RIN_Asset_Cat_Network,0),MATCH($AG$4,Direct_Cost_Type,0))*$J23*INDEX(Act_Type_Augex_Splits,MATCH($I23,Act_Type_Augex,0),MATCH(AF$4,Mat_Type,0))*INDEX(Escalators!$I$44:$U$49,MATCH(AF$4,Escalators!$C$44:$C$49,0),MATCH(AF$5,Escalators!$I$43:$U$43,0))</f>
        <v>0</v>
      </c>
      <c r="AG23" s="128">
        <f t="shared" si="68"/>
        <v>0</v>
      </c>
      <c r="AH23" s="128">
        <f>INDEX(Direct_Cost_Splits_Network,MATCH($H23,RIN_Asset_Cat_Network,0),MATCH($AY$4,Direct_Cost_Type,0))*$K23*INDEX(Act_Type_Augex_Splits,MATCH($I23,Act_Type_Augex,0),MATCH(AH$4,Mat_Type,0))*INDEX(Escalators!$I$44:$U$49,MATCH(AH$4,Escalators!$C$44:$C$49,0),MATCH(AH$5,Escalators!$I$43:$U$43,0))</f>
        <v>0</v>
      </c>
      <c r="AI23" s="128">
        <f>INDEX(Direct_Cost_Splits_Network,MATCH($H23,RIN_Asset_Cat_Network,0),MATCH($AY$4,Direct_Cost_Type,0))*$K23*INDEX(Act_Type_Augex_Splits,MATCH($I23,Act_Type_Augex,0),MATCH(AI$4,Mat_Type,0))*INDEX(Escalators!$I$44:$U$49,MATCH(AI$4,Escalators!$C$44:$C$49,0),MATCH(AI$5,Escalators!$I$43:$U$43,0))</f>
        <v>0</v>
      </c>
      <c r="AJ23" s="128">
        <f>INDEX(Direct_Cost_Splits_Network,MATCH($H23,RIN_Asset_Cat_Network,0),MATCH($AY$4,Direct_Cost_Type,0))*$K23*INDEX(Act_Type_Augex_Splits,MATCH($I23,Act_Type_Augex,0),MATCH(AJ$4,Mat_Type,0))*INDEX(Escalators!$I$44:$U$49,MATCH(AJ$4,Escalators!$C$44:$C$49,0),MATCH(AJ$5,Escalators!$I$43:$U$43,0))</f>
        <v>0</v>
      </c>
      <c r="AK23" s="128">
        <f>INDEX(Direct_Cost_Splits_Network,MATCH($H23,RIN_Asset_Cat_Network,0),MATCH($AY$4,Direct_Cost_Type,0))*$K23*INDEX(Act_Type_Augex_Splits,MATCH($I23,Act_Type_Augex,0),MATCH(AK$4,Mat_Type,0))*INDEX(Escalators!$I$44:$U$49,MATCH(AK$4,Escalators!$C$44:$C$49,0),MATCH(AK$5,Escalators!$I$43:$U$43,0))</f>
        <v>0</v>
      </c>
      <c r="AL23" s="128">
        <f>INDEX(Direct_Cost_Splits_Network,MATCH($H23,RIN_Asset_Cat_Network,0),MATCH($AY$4,Direct_Cost_Type,0))*$K23*INDEX(Act_Type_Augex_Splits,MATCH($I23,Act_Type_Augex,0),MATCH(AL$4,Mat_Type,0))*INDEX(Escalators!$I$44:$U$49,MATCH(AL$4,Escalators!$C$44:$C$49,0),MATCH(AL$5,Escalators!$I$43:$U$43,0))</f>
        <v>0</v>
      </c>
      <c r="AM23" s="128">
        <f t="shared" si="69"/>
        <v>0</v>
      </c>
      <c r="AN23" s="128">
        <f>INDEX(Direct_Cost_Splits_Network,MATCH($H23,RIN_Asset_Cat_Network,0),MATCH($AY$4,Direct_Cost_Type,0))*$L23*INDEX(Act_Type_Augex_Splits,MATCH($I23,Act_Type_Augex,0),MATCH(AN$4,Mat_Type,0))*INDEX(Escalators!$I$44:$U$49,MATCH(AN$4,Escalators!$C$44:$C$49,0),MATCH(AN$5,Escalators!$I$43:$U$43,0))</f>
        <v>0</v>
      </c>
      <c r="AO23" s="128">
        <f>INDEX(Direct_Cost_Splits_Network,MATCH($H23,RIN_Asset_Cat_Network,0),MATCH($AY$4,Direct_Cost_Type,0))*$L23*INDEX(Act_Type_Augex_Splits,MATCH($I23,Act_Type_Augex,0),MATCH(AO$4,Mat_Type,0))*INDEX(Escalators!$I$44:$U$49,MATCH(AO$4,Escalators!$C$44:$C$49,0),MATCH(AO$5,Escalators!$I$43:$U$43,0))</f>
        <v>0</v>
      </c>
      <c r="AP23" s="128">
        <f>INDEX(Direct_Cost_Splits_Network,MATCH($H23,RIN_Asset_Cat_Network,0),MATCH($AY$4,Direct_Cost_Type,0))*$L23*INDEX(Act_Type_Augex_Splits,MATCH($I23,Act_Type_Augex,0),MATCH(AP$4,Mat_Type,0))*INDEX(Escalators!$I$44:$U$49,MATCH(AP$4,Escalators!$C$44:$C$49,0),MATCH(AP$5,Escalators!$I$43:$U$43,0))</f>
        <v>0</v>
      </c>
      <c r="AQ23" s="128">
        <f>INDEX(Direct_Cost_Splits_Network,MATCH($H23,RIN_Asset_Cat_Network,0),MATCH($AY$4,Direct_Cost_Type,0))*$L23*INDEX(Act_Type_Augex_Splits,MATCH($I23,Act_Type_Augex,0),MATCH(AQ$4,Mat_Type,0))*INDEX(Escalators!$I$44:$U$49,MATCH(AQ$4,Escalators!$C$44:$C$49,0),MATCH(AQ$5,Escalators!$I$43:$U$43,0))</f>
        <v>0</v>
      </c>
      <c r="AR23" s="128">
        <f>INDEX(Direct_Cost_Splits_Network,MATCH($H23,RIN_Asset_Cat_Network,0),MATCH($AY$4,Direct_Cost_Type,0))*$L23*INDEX(Act_Type_Augex_Splits,MATCH($I23,Act_Type_Augex,0),MATCH(AR$4,Mat_Type,0))*INDEX(Escalators!$I$44:$U$49,MATCH(AR$4,Escalators!$C$44:$C$49,0),MATCH(AR$5,Escalators!$I$43:$U$43,0))</f>
        <v>0</v>
      </c>
      <c r="AS23" s="128">
        <f t="shared" si="70"/>
        <v>0</v>
      </c>
      <c r="AT23" s="128">
        <f>INDEX(Direct_Cost_Splits_Network,MATCH($H23,RIN_Asset_Cat_Network,0),MATCH($AY$4,Direct_Cost_Type,0))*$M23*INDEX(Act_Type_Augex_Splits,MATCH($I23,Act_Type_Augex,0),MATCH(AT$4,Mat_Type,0))*INDEX(Escalators!$I$44:$U$49,MATCH(AT$4,Escalators!$C$44:$C$49,0),MATCH(AT$5,Escalators!$I$43:$U$43,0))</f>
        <v>103.45439767991118</v>
      </c>
      <c r="AU23" s="128">
        <f>INDEX(Direct_Cost_Splits_Network,MATCH($H23,RIN_Asset_Cat_Network,0),MATCH($AY$4,Direct_Cost_Type,0))*$M23*INDEX(Act_Type_Augex_Splits,MATCH($I23,Act_Type_Augex,0),MATCH(AU$4,Mat_Type,0))*INDEX(Escalators!$I$44:$U$49,MATCH(AU$4,Escalators!$C$44:$C$49,0),MATCH(AU$5,Escalators!$I$43:$U$43,0))</f>
        <v>0</v>
      </c>
      <c r="AV23" s="128">
        <f>INDEX(Direct_Cost_Splits_Network,MATCH($H23,RIN_Asset_Cat_Network,0),MATCH($AY$4,Direct_Cost_Type,0))*$M23*INDEX(Act_Type_Augex_Splits,MATCH($I23,Act_Type_Augex,0),MATCH(AV$4,Mat_Type,0))*INDEX(Escalators!$I$44:$U$49,MATCH(AV$4,Escalators!$C$44:$C$49,0),MATCH(AV$5,Escalators!$I$43:$U$43,0))</f>
        <v>20.073241340878287</v>
      </c>
      <c r="AW23" s="128">
        <f>INDEX(Direct_Cost_Splits_Network,MATCH($H23,RIN_Asset_Cat_Network,0),MATCH($AY$4,Direct_Cost_Type,0))*$M23*INDEX(Act_Type_Augex_Splits,MATCH($I23,Act_Type_Augex,0),MATCH(AW$4,Mat_Type,0))*INDEX(Escalators!$I$44:$U$49,MATCH(AW$4,Escalators!$C$44:$C$49,0),MATCH(AW$5,Escalators!$I$43:$U$43,0))</f>
        <v>0</v>
      </c>
      <c r="AX23" s="128">
        <f>INDEX(Direct_Cost_Splits_Network,MATCH($H23,RIN_Asset_Cat_Network,0),MATCH($AY$4,Direct_Cost_Type,0))*$M23*INDEX(Act_Type_Augex_Splits,MATCH($I23,Act_Type_Augex,0),MATCH(AX$4,Mat_Type,0))*INDEX(Escalators!$I$44:$U$49,MATCH(AX$4,Escalators!$C$44:$C$49,0),MATCH(AX$5,Escalators!$I$43:$U$43,0))</f>
        <v>30.881909755197366</v>
      </c>
      <c r="AY23" s="128">
        <f t="shared" si="71"/>
        <v>154.40954877598682</v>
      </c>
      <c r="AZ23" s="128">
        <f>INDEX(Direct_Cost_Splits_Network,MATCH($H23,RIN_Asset_Cat_Network,0),MATCH($BE$4,Direct_Cost_Type,0))*$N23*INDEX(Act_Type_Augex_Splits,MATCH($I23,Act_Type_Augex,0),MATCH(AZ$4,Mat_Type,0))*INDEX(Escalators!$I$44:$U$49,MATCH(AZ$4,Escalators!$C$44:$C$49,0),MATCH(AZ$5,Escalators!$I$43:$U$43,0))</f>
        <v>103.45439767991118</v>
      </c>
      <c r="BA23" s="128">
        <f>INDEX(Direct_Cost_Splits_Network,MATCH($H23,RIN_Asset_Cat_Network,0),MATCH($BE$4,Direct_Cost_Type,0))*$N23*INDEX(Act_Type_Augex_Splits,MATCH($I23,Act_Type_Augex,0),MATCH(BA$4,Mat_Type,0))*INDEX(Escalators!$I$44:$U$49,MATCH(BA$4,Escalators!$C$44:$C$49,0),MATCH(BA$5,Escalators!$I$43:$U$43,0))</f>
        <v>0</v>
      </c>
      <c r="BB23" s="128">
        <f>INDEX(Direct_Cost_Splits_Network,MATCH($H23,RIN_Asset_Cat_Network,0),MATCH($BE$4,Direct_Cost_Type,0))*$N23*INDEX(Act_Type_Augex_Splits,MATCH($I23,Act_Type_Augex,0),MATCH(BB$4,Mat_Type,0))*INDEX(Escalators!$I$44:$U$49,MATCH(BB$4,Escalators!$C$44:$C$49,0),MATCH(BB$5,Escalators!$I$43:$U$43,0))</f>
        <v>20.073241340878287</v>
      </c>
      <c r="BC23" s="128">
        <f>INDEX(Direct_Cost_Splits_Network,MATCH($H23,RIN_Asset_Cat_Network,0),MATCH($BE$4,Direct_Cost_Type,0))*$N23*INDEX(Act_Type_Augex_Splits,MATCH($I23,Act_Type_Augex,0),MATCH(BC$4,Mat_Type,0))*INDEX(Escalators!$I$44:$U$49,MATCH(BC$4,Escalators!$C$44:$C$49,0),MATCH(BC$5,Escalators!$I$43:$U$43,0))</f>
        <v>0</v>
      </c>
      <c r="BD23" s="128">
        <f>INDEX(Direct_Cost_Splits_Network,MATCH($H23,RIN_Asset_Cat_Network,0),MATCH($BE$4,Direct_Cost_Type,0))*$N23*INDEX(Act_Type_Augex_Splits,MATCH($I23,Act_Type_Augex,0),MATCH(BD$4,Mat_Type,0))*INDEX(Escalators!$I$44:$U$49,MATCH(BD$4,Escalators!$C$44:$C$49,0),MATCH(BD$5,Escalators!$I$43:$U$43,0))</f>
        <v>30.881909755197366</v>
      </c>
      <c r="BE23" s="128">
        <f t="shared" si="72"/>
        <v>154.40954877598682</v>
      </c>
      <c r="BF23" s="128">
        <f>INDEX(Direct_Cost_Splits_Network,MATCH($H23,RIN_Asset_Cat_Network,0),MATCH($BK$4,Direct_Cost_Type,0))*$O23*INDEX(Act_Type_Augex_Splits,MATCH($I23,Act_Type_Augex,0),MATCH(BF$4,Mat_Type,0))*INDEX(Escalators!$I$44:$U$49,MATCH(BF$4,Escalators!$C$44:$C$49,0),MATCH(BF$5,Escalators!$I$43:$U$43,0))</f>
        <v>103.45439767991118</v>
      </c>
      <c r="BG23" s="128">
        <f>INDEX(Direct_Cost_Splits_Network,MATCH($H23,RIN_Asset_Cat_Network,0),MATCH($BK$4,Direct_Cost_Type,0))*$O23*INDEX(Act_Type_Augex_Splits,MATCH($I23,Act_Type_Augex,0),MATCH(BG$4,Mat_Type,0))*INDEX(Escalators!$I$44:$U$49,MATCH(BG$4,Escalators!$C$44:$C$49,0),MATCH(BG$5,Escalators!$I$43:$U$43,0))</f>
        <v>0</v>
      </c>
      <c r="BH23" s="128">
        <f>INDEX(Direct_Cost_Splits_Network,MATCH($H23,RIN_Asset_Cat_Network,0),MATCH($BK$4,Direct_Cost_Type,0))*$O23*INDEX(Act_Type_Augex_Splits,MATCH($I23,Act_Type_Augex,0),MATCH(BH$4,Mat_Type,0))*INDEX(Escalators!$I$44:$U$49,MATCH(BH$4,Escalators!$C$44:$C$49,0),MATCH(BH$5,Escalators!$I$43:$U$43,0))</f>
        <v>20.073241340878287</v>
      </c>
      <c r="BI23" s="128">
        <f>INDEX(Direct_Cost_Splits_Network,MATCH($H23,RIN_Asset_Cat_Network,0),MATCH($BK$4,Direct_Cost_Type,0))*$O23*INDEX(Act_Type_Augex_Splits,MATCH($I23,Act_Type_Augex,0),MATCH(BI$4,Mat_Type,0))*INDEX(Escalators!$I$44:$U$49,MATCH(BI$4,Escalators!$C$44:$C$49,0),MATCH(BI$5,Escalators!$I$43:$U$43,0))</f>
        <v>0</v>
      </c>
      <c r="BJ23" s="128">
        <f>INDEX(Direct_Cost_Splits_Network,MATCH($H23,RIN_Asset_Cat_Network,0),MATCH($BK$4,Direct_Cost_Type,0))*$O23*INDEX(Act_Type_Augex_Splits,MATCH($I23,Act_Type_Augex,0),MATCH(BJ$4,Mat_Type,0))*INDEX(Escalators!$I$44:$U$49,MATCH(BJ$4,Escalators!$C$44:$C$49,0),MATCH(BJ$5,Escalators!$I$43:$U$43,0))</f>
        <v>30.881909755197366</v>
      </c>
      <c r="BK23" s="128">
        <f t="shared" si="73"/>
        <v>154.40954877598682</v>
      </c>
      <c r="BL23" s="128">
        <f>INDEX(Direct_Cost_Splits_Network,MATCH($H23,RIN_Asset_Cat_Network,0),MATCH($BQ$4,Direct_Cost_Type,0))*$P23*INDEX(Act_Type_Augex_Splits,MATCH($I23,Act_Type_Augex,0),MATCH(BL$4,Mat_Type,0))*INDEX(Escalators!$I$44:$U$49,MATCH(BL$4,Escalators!$C$44:$C$49,0),MATCH(BL$5,Escalators!$I$43:$U$43,0))</f>
        <v>103.45439767991118</v>
      </c>
      <c r="BM23" s="128">
        <f>INDEX(Direct_Cost_Splits_Network,MATCH($H23,RIN_Asset_Cat_Network,0),MATCH($BQ$4,Direct_Cost_Type,0))*$P23*INDEX(Act_Type_Augex_Splits,MATCH($I23,Act_Type_Augex,0),MATCH(BM$4,Mat_Type,0))*INDEX(Escalators!$I$44:$U$49,MATCH(BM$4,Escalators!$C$44:$C$49,0),MATCH(BM$5,Escalators!$I$43:$U$43,0))</f>
        <v>0</v>
      </c>
      <c r="BN23" s="128">
        <f>INDEX(Direct_Cost_Splits_Network,MATCH($H23,RIN_Asset_Cat_Network,0),MATCH($BQ$4,Direct_Cost_Type,0))*$P23*INDEX(Act_Type_Augex_Splits,MATCH($I23,Act_Type_Augex,0),MATCH(BN$4,Mat_Type,0))*INDEX(Escalators!$I$44:$U$49,MATCH(BN$4,Escalators!$C$44:$C$49,0),MATCH(BN$5,Escalators!$I$43:$U$43,0))</f>
        <v>20.073241340878287</v>
      </c>
      <c r="BO23" s="128">
        <f>INDEX(Direct_Cost_Splits_Network,MATCH($H23,RIN_Asset_Cat_Network,0),MATCH($BQ$4,Direct_Cost_Type,0))*$P23*INDEX(Act_Type_Augex_Splits,MATCH($I23,Act_Type_Augex,0),MATCH(BO$4,Mat_Type,0))*INDEX(Escalators!$I$44:$U$49,MATCH(BO$4,Escalators!$C$44:$C$49,0),MATCH(BO$5,Escalators!$I$43:$U$43,0))</f>
        <v>0</v>
      </c>
      <c r="BP23" s="128">
        <f>INDEX(Direct_Cost_Splits_Network,MATCH($H23,RIN_Asset_Cat_Network,0),MATCH($BQ$4,Direct_Cost_Type,0))*$P23*INDEX(Act_Type_Augex_Splits,MATCH($I23,Act_Type_Augex,0),MATCH(BP$4,Mat_Type,0))*INDEX(Escalators!$I$44:$U$49,MATCH(BP$4,Escalators!$C$44:$C$49,0),MATCH(BP$5,Escalators!$I$43:$U$43,0))</f>
        <v>30.881909755197366</v>
      </c>
      <c r="BQ23" s="128">
        <f t="shared" si="74"/>
        <v>154.40954877598682</v>
      </c>
      <c r="BR23" s="128">
        <f>INDEX(Direct_Cost_Splits_Network,MATCH($H23,RIN_Asset_Cat_Network,0),MATCH($BW$4,Direct_Cost_Type,0))*$Q23*INDEX(Act_Type_Augex_Splits,MATCH($I23,Act_Type_Augex,0),MATCH(BR$4,Mat_Type,0))*INDEX(Escalators!$I$44:$U$49,MATCH(BR$4,Escalators!$C$44:$C$49,0),MATCH(BR$5,Escalators!$I$43:$U$43,0))</f>
        <v>103.45439767991118</v>
      </c>
      <c r="BS23" s="128">
        <f>INDEX(Direct_Cost_Splits_Network,MATCH($H23,RIN_Asset_Cat_Network,0),MATCH($BW$4,Direct_Cost_Type,0))*$Q23*INDEX(Act_Type_Augex_Splits,MATCH($I23,Act_Type_Augex,0),MATCH(BS$4,Mat_Type,0))*INDEX(Escalators!$I$44:$U$49,MATCH(BS$4,Escalators!$C$44:$C$49,0),MATCH(BS$5,Escalators!$I$43:$U$43,0))</f>
        <v>0</v>
      </c>
      <c r="BT23" s="128">
        <f>INDEX(Direct_Cost_Splits_Network,MATCH($H23,RIN_Asset_Cat_Network,0),MATCH($BW$4,Direct_Cost_Type,0))*$Q23*INDEX(Act_Type_Augex_Splits,MATCH($I23,Act_Type_Augex,0),MATCH(BT$4,Mat_Type,0))*INDEX(Escalators!$I$44:$U$49,MATCH(BT$4,Escalators!$C$44:$C$49,0),MATCH(BT$5,Escalators!$I$43:$U$43,0))</f>
        <v>20.073241340878287</v>
      </c>
      <c r="BU23" s="128">
        <f>INDEX(Direct_Cost_Splits_Network,MATCH($H23,RIN_Asset_Cat_Network,0),MATCH($BW$4,Direct_Cost_Type,0))*$Q23*INDEX(Act_Type_Augex_Splits,MATCH($I23,Act_Type_Augex,0),MATCH(BU$4,Mat_Type,0))*INDEX(Escalators!$I$44:$U$49,MATCH(BU$4,Escalators!$C$44:$C$49,0),MATCH(BU$5,Escalators!$I$43:$U$43,0))</f>
        <v>0</v>
      </c>
      <c r="BV23" s="128">
        <f>INDEX(Direct_Cost_Splits_Network,MATCH($H23,RIN_Asset_Cat_Network,0),MATCH($BW$4,Direct_Cost_Type,0))*$Q23*INDEX(Act_Type_Augex_Splits,MATCH($I23,Act_Type_Augex,0),MATCH(BV$4,Mat_Type,0))*INDEX(Escalators!$I$44:$U$49,MATCH(BV$4,Escalators!$C$44:$C$49,0),MATCH(BV$5,Escalators!$I$43:$U$43,0))</f>
        <v>30.881909755197366</v>
      </c>
      <c r="BW23" s="128">
        <f t="shared" si="75"/>
        <v>154.40954877598682</v>
      </c>
      <c r="BX23" s="129"/>
      <c r="BY23" s="128">
        <f>INDEX(Direct_Cost_Splits_Network,MATCH($H23,RIN_Asset_Cat_Network,0),MATCH($BY$4,Direct_Cost_Type,0))*J23*HLOOKUP(BY$5,Escalators!$I$25:$U$30,6,FALSE)</f>
        <v>0</v>
      </c>
      <c r="BZ23" s="128">
        <f>INDEX(Direct_Cost_Splits_Network,MATCH($H23,RIN_Asset_Cat_Network,0),MATCH($BY$4,Direct_Cost_Type,0))*K23*HLOOKUP(BZ$5,Escalators!$I$25:$U$30,6,FALSE)</f>
        <v>0</v>
      </c>
      <c r="CA23" s="128">
        <f>INDEX(Direct_Cost_Splits_Network,MATCH($H23,RIN_Asset_Cat_Network,0),MATCH($BY$4,Direct_Cost_Type,0))*L23*HLOOKUP(CA$5,Escalators!$I$25:$U$30,6,FALSE)</f>
        <v>0</v>
      </c>
      <c r="CB23" s="128">
        <f>INDEX(Direct_Cost_Splits_Network,MATCH($H23,RIN_Asset_Cat_Network,0),MATCH($BY$4,Direct_Cost_Type,0))*M23*HLOOKUP(CB$5,Escalators!$I$25:$U$30,6,FALSE)</f>
        <v>210.35238910213749</v>
      </c>
      <c r="CC23" s="128">
        <f>INDEX(Direct_Cost_Splits_Network,MATCH($H23,RIN_Asset_Cat_Network,0),MATCH($BY$4,Direct_Cost_Type,0))*N23*HLOOKUP(CC$5,Escalators!$I$25:$U$30,6,FALSE)</f>
        <v>210.35238910213749</v>
      </c>
      <c r="CD23" s="128">
        <f>INDEX(Direct_Cost_Splits_Network,MATCH($H23,RIN_Asset_Cat_Network,0),MATCH($BY$4,Direct_Cost_Type,0))*O23*HLOOKUP(CD$5,Escalators!$I$25:$U$30,6,FALSE)</f>
        <v>210.35238910213749</v>
      </c>
      <c r="CE23" s="128">
        <f>INDEX(Direct_Cost_Splits_Network,MATCH($H23,RIN_Asset_Cat_Network,0),MATCH($BY$4,Direct_Cost_Type,0))*P23*HLOOKUP(CE$5,Escalators!$I$25:$U$30,6,FALSE)</f>
        <v>210.35238910213749</v>
      </c>
      <c r="CF23" s="128">
        <f>INDEX(Direct_Cost_Splits_Network,MATCH($H23,RIN_Asset_Cat_Network,0),MATCH($BY$4,Direct_Cost_Type,0))*Q23*HLOOKUP(CF$5,Escalators!$I$25:$U$30,6,FALSE)</f>
        <v>210.35238910213749</v>
      </c>
      <c r="CG23" s="129"/>
      <c r="CH23" s="675">
        <f t="shared" si="76"/>
        <v>0</v>
      </c>
      <c r="CI23" s="675">
        <f t="shared" si="77"/>
        <v>0</v>
      </c>
      <c r="CJ23" s="675">
        <f t="shared" si="78"/>
        <v>0</v>
      </c>
      <c r="CK23" s="675">
        <f t="shared" si="79"/>
        <v>57.791399862790065</v>
      </c>
      <c r="CL23" s="675">
        <f t="shared" si="80"/>
        <v>57.791399862790065</v>
      </c>
      <c r="CM23" s="675">
        <f t="shared" si="81"/>
        <v>57.791399862790065</v>
      </c>
      <c r="CN23" s="675">
        <f t="shared" si="82"/>
        <v>57.791399862790065</v>
      </c>
      <c r="CO23" s="675">
        <f t="shared" si="83"/>
        <v>57.791399862790065</v>
      </c>
      <c r="CP23" s="129"/>
      <c r="CQ23" s="128">
        <f t="shared" si="18"/>
        <v>0</v>
      </c>
      <c r="CR23" s="128">
        <f t="shared" si="9"/>
        <v>0</v>
      </c>
      <c r="CS23" s="128">
        <f t="shared" si="19"/>
        <v>0</v>
      </c>
      <c r="CT23" s="128">
        <f t="shared" si="20"/>
        <v>502.53245791872268</v>
      </c>
      <c r="CU23" s="128">
        <f t="shared" si="21"/>
        <v>502.92922581127812</v>
      </c>
      <c r="CV23" s="128">
        <f t="shared" si="22"/>
        <v>503.45268002749935</v>
      </c>
      <c r="CW23" s="128">
        <f t="shared" si="23"/>
        <v>504.25638590836974</v>
      </c>
      <c r="CX23" s="128">
        <f t="shared" si="24"/>
        <v>505.32468788745734</v>
      </c>
      <c r="CZ23" s="39"/>
    </row>
    <row r="24" spans="2:104">
      <c r="B24" s="75" t="s">
        <v>426</v>
      </c>
      <c r="C24" s="75" t="s">
        <v>578</v>
      </c>
      <c r="D24" s="75" t="s">
        <v>422</v>
      </c>
      <c r="E24" s="75" t="s">
        <v>45</v>
      </c>
      <c r="F24" s="75" t="s">
        <v>51</v>
      </c>
      <c r="G24" s="75" t="s">
        <v>10</v>
      </c>
      <c r="H24" s="75" t="s">
        <v>165</v>
      </c>
      <c r="I24" s="75" t="s">
        <v>215</v>
      </c>
      <c r="J24" s="128"/>
      <c r="K24" s="128"/>
      <c r="L24" s="128"/>
      <c r="M24" s="128">
        <v>1205</v>
      </c>
      <c r="N24" s="128">
        <v>1210</v>
      </c>
      <c r="O24" s="128">
        <v>1100</v>
      </c>
      <c r="P24" s="128">
        <v>1010</v>
      </c>
      <c r="Q24" s="128">
        <v>970</v>
      </c>
      <c r="R24" s="129"/>
      <c r="S24" s="128">
        <f>INDEX(Direct_Cost_Splits_Network,MATCH($H24,RIN_Asset_Cat_Network,0),MATCH($S$4,Direct_Cost_Type,0))*J24*HLOOKUP(S$5,Escalators!$I$25:$U$30,3,FALSE)</f>
        <v>0</v>
      </c>
      <c r="T24" s="128">
        <f>INDEX(Direct_Cost_Splits_Network,MATCH($H24,RIN_Asset_Cat_Network,0),MATCH($S$4,Direct_Cost_Type,0))*K24*HLOOKUP(T$5,Escalators!$I$25:$U$30,3,FALSE)</f>
        <v>0</v>
      </c>
      <c r="U24" s="128">
        <f>INDEX(Direct_Cost_Splits_Network,MATCH($H24,RIN_Asset_Cat_Network,0),MATCH($S$4,Direct_Cost_Type,0))*L24*HLOOKUP(U$5,Escalators!$I$25:$U$30,3,FALSE)</f>
        <v>0</v>
      </c>
      <c r="V24" s="128">
        <f>INDEX(Direct_Cost_Splits_Network,MATCH($H24,RIN_Asset_Cat_Network,0),MATCH($S$4,Direct_Cost_Type,0))*M24*HLOOKUP(V$5,Escalators!$I$25:$U$30,3,FALSE)</f>
        <v>192.74967962851809</v>
      </c>
      <c r="W24" s="128">
        <f>INDEX(Direct_Cost_Splits_Network,MATCH($H24,RIN_Asset_Cat_Network,0),MATCH($S$4,Direct_Cost_Type,0))*N24*HLOOKUP(W$5,Escalators!$I$25:$U$30,3,FALSE)</f>
        <v>194.50964913028017</v>
      </c>
      <c r="X24" s="128">
        <f>INDEX(Direct_Cost_Splits_Network,MATCH($H24,RIN_Asset_Cat_Network,0),MATCH($S$4,Direct_Cost_Type,0))*O24*HLOOKUP(X$5,Escalators!$I$25:$U$30,3,FALSE)</f>
        <v>177.97855303048698</v>
      </c>
      <c r="Y24" s="128">
        <f>INDEX(Direct_Cost_Splits_Network,MATCH($H24,RIN_Asset_Cat_Network,0),MATCH($S$4,Direct_Cost_Type,0))*P24*HLOOKUP(Y$5,Escalators!$I$25:$U$30,3,FALSE)</f>
        <v>165.04015729825983</v>
      </c>
      <c r="Z24" s="128">
        <f>INDEX(Direct_Cost_Splits_Network,MATCH($H24,RIN_Asset_Cat_Network,0),MATCH($S$4,Direct_Cost_Type,0))*Q24*HLOOKUP(Z$5,Escalators!$I$25:$U$30,3,FALSE)</f>
        <v>160.57641928429337</v>
      </c>
      <c r="AA24" s="129"/>
      <c r="AB24" s="128">
        <f>INDEX(Direct_Cost_Splits_Network,MATCH($H24,RIN_Asset_Cat_Network,0),MATCH($AG$4,Direct_Cost_Type,0))*$J24*INDEX(Act_Type_Augex_Splits,MATCH($I24,Act_Type_Augex,0),MATCH(AB$4,Mat_Type,0))*INDEX(Escalators!$I$44:$U$49,MATCH(AB$4,Escalators!$C$44:$C$49,0),MATCH(AB$5,Escalators!$I$43:$U$43,0))</f>
        <v>0</v>
      </c>
      <c r="AC24" s="128">
        <f>INDEX(Direct_Cost_Splits_Network,MATCH($H24,RIN_Asset_Cat_Network,0),MATCH($AG$4,Direct_Cost_Type,0))*$J24*INDEX(Act_Type_Augex_Splits,MATCH($I24,Act_Type_Augex,0),MATCH(AC$4,Mat_Type,0))*INDEX(Escalators!$I$44:$U$49,MATCH(AC$4,Escalators!$C$44:$C$49,0),MATCH(AC$5,Escalators!$I$43:$U$43,0))</f>
        <v>0</v>
      </c>
      <c r="AD24" s="128">
        <f>INDEX(Direct_Cost_Splits_Network,MATCH($H24,RIN_Asset_Cat_Network,0),MATCH($AG$4,Direct_Cost_Type,0))*$J24*INDEX(Act_Type_Augex_Splits,MATCH($I24,Act_Type_Augex,0),MATCH(AD$4,Mat_Type,0))*INDEX(Escalators!$I$44:$U$49,MATCH(AD$4,Escalators!$C$44:$C$49,0),MATCH(AD$5,Escalators!$I$43:$U$43,0))</f>
        <v>0</v>
      </c>
      <c r="AE24" s="128">
        <f>INDEX(Direct_Cost_Splits_Network,MATCH($H24,RIN_Asset_Cat_Network,0),MATCH($AG$4,Direct_Cost_Type,0))*$J24*INDEX(Act_Type_Augex_Splits,MATCH($I24,Act_Type_Augex,0),MATCH(AE$4,Mat_Type,0))*INDEX(Escalators!$I$44:$U$49,MATCH(AE$4,Escalators!$C$44:$C$49,0),MATCH(AE$5,Escalators!$I$43:$U$43,0))</f>
        <v>0</v>
      </c>
      <c r="AF24" s="128">
        <f>INDEX(Direct_Cost_Splits_Network,MATCH($H24,RIN_Asset_Cat_Network,0),MATCH($AG$4,Direct_Cost_Type,0))*$J24*INDEX(Act_Type_Augex_Splits,MATCH($I24,Act_Type_Augex,0),MATCH(AF$4,Mat_Type,0))*INDEX(Escalators!$I$44:$U$49,MATCH(AF$4,Escalators!$C$44:$C$49,0),MATCH(AF$5,Escalators!$I$43:$U$43,0))</f>
        <v>0</v>
      </c>
      <c r="AG24" s="128">
        <f t="shared" si="68"/>
        <v>0</v>
      </c>
      <c r="AH24" s="128">
        <f>INDEX(Direct_Cost_Splits_Network,MATCH($H24,RIN_Asset_Cat_Network,0),MATCH($AY$4,Direct_Cost_Type,0))*$K24*INDEX(Act_Type_Augex_Splits,MATCH($I24,Act_Type_Augex,0),MATCH(AH$4,Mat_Type,0))*INDEX(Escalators!$I$44:$U$49,MATCH(AH$4,Escalators!$C$44:$C$49,0),MATCH(AH$5,Escalators!$I$43:$U$43,0))</f>
        <v>0</v>
      </c>
      <c r="AI24" s="128">
        <f>INDEX(Direct_Cost_Splits_Network,MATCH($H24,RIN_Asset_Cat_Network,0),MATCH($AY$4,Direct_Cost_Type,0))*$K24*INDEX(Act_Type_Augex_Splits,MATCH($I24,Act_Type_Augex,0),MATCH(AI$4,Mat_Type,0))*INDEX(Escalators!$I$44:$U$49,MATCH(AI$4,Escalators!$C$44:$C$49,0),MATCH(AI$5,Escalators!$I$43:$U$43,0))</f>
        <v>0</v>
      </c>
      <c r="AJ24" s="128">
        <f>INDEX(Direct_Cost_Splits_Network,MATCH($H24,RIN_Asset_Cat_Network,0),MATCH($AY$4,Direct_Cost_Type,0))*$K24*INDEX(Act_Type_Augex_Splits,MATCH($I24,Act_Type_Augex,0),MATCH(AJ$4,Mat_Type,0))*INDEX(Escalators!$I$44:$U$49,MATCH(AJ$4,Escalators!$C$44:$C$49,0),MATCH(AJ$5,Escalators!$I$43:$U$43,0))</f>
        <v>0</v>
      </c>
      <c r="AK24" s="128">
        <f>INDEX(Direct_Cost_Splits_Network,MATCH($H24,RIN_Asset_Cat_Network,0),MATCH($AY$4,Direct_Cost_Type,0))*$K24*INDEX(Act_Type_Augex_Splits,MATCH($I24,Act_Type_Augex,0),MATCH(AK$4,Mat_Type,0))*INDEX(Escalators!$I$44:$U$49,MATCH(AK$4,Escalators!$C$44:$C$49,0),MATCH(AK$5,Escalators!$I$43:$U$43,0))</f>
        <v>0</v>
      </c>
      <c r="AL24" s="128">
        <f>INDEX(Direct_Cost_Splits_Network,MATCH($H24,RIN_Asset_Cat_Network,0),MATCH($AY$4,Direct_Cost_Type,0))*$K24*INDEX(Act_Type_Augex_Splits,MATCH($I24,Act_Type_Augex,0),MATCH(AL$4,Mat_Type,0))*INDEX(Escalators!$I$44:$U$49,MATCH(AL$4,Escalators!$C$44:$C$49,0),MATCH(AL$5,Escalators!$I$43:$U$43,0))</f>
        <v>0</v>
      </c>
      <c r="AM24" s="128">
        <f t="shared" si="69"/>
        <v>0</v>
      </c>
      <c r="AN24" s="128">
        <f>INDEX(Direct_Cost_Splits_Network,MATCH($H24,RIN_Asset_Cat_Network,0),MATCH($AY$4,Direct_Cost_Type,0))*$L24*INDEX(Act_Type_Augex_Splits,MATCH($I24,Act_Type_Augex,0),MATCH(AN$4,Mat_Type,0))*INDEX(Escalators!$I$44:$U$49,MATCH(AN$4,Escalators!$C$44:$C$49,0),MATCH(AN$5,Escalators!$I$43:$U$43,0))</f>
        <v>0</v>
      </c>
      <c r="AO24" s="128">
        <f>INDEX(Direct_Cost_Splits_Network,MATCH($H24,RIN_Asset_Cat_Network,0),MATCH($AY$4,Direct_Cost_Type,0))*$L24*INDEX(Act_Type_Augex_Splits,MATCH($I24,Act_Type_Augex,0),MATCH(AO$4,Mat_Type,0))*INDEX(Escalators!$I$44:$U$49,MATCH(AO$4,Escalators!$C$44:$C$49,0),MATCH(AO$5,Escalators!$I$43:$U$43,0))</f>
        <v>0</v>
      </c>
      <c r="AP24" s="128">
        <f>INDEX(Direct_Cost_Splits_Network,MATCH($H24,RIN_Asset_Cat_Network,0),MATCH($AY$4,Direct_Cost_Type,0))*$L24*INDEX(Act_Type_Augex_Splits,MATCH($I24,Act_Type_Augex,0),MATCH(AP$4,Mat_Type,0))*INDEX(Escalators!$I$44:$U$49,MATCH(AP$4,Escalators!$C$44:$C$49,0),MATCH(AP$5,Escalators!$I$43:$U$43,0))</f>
        <v>0</v>
      </c>
      <c r="AQ24" s="128">
        <f>INDEX(Direct_Cost_Splits_Network,MATCH($H24,RIN_Asset_Cat_Network,0),MATCH($AY$4,Direct_Cost_Type,0))*$L24*INDEX(Act_Type_Augex_Splits,MATCH($I24,Act_Type_Augex,0),MATCH(AQ$4,Mat_Type,0))*INDEX(Escalators!$I$44:$U$49,MATCH(AQ$4,Escalators!$C$44:$C$49,0),MATCH(AQ$5,Escalators!$I$43:$U$43,0))</f>
        <v>0</v>
      </c>
      <c r="AR24" s="128">
        <f>INDEX(Direct_Cost_Splits_Network,MATCH($H24,RIN_Asset_Cat_Network,0),MATCH($AY$4,Direct_Cost_Type,0))*$L24*INDEX(Act_Type_Augex_Splits,MATCH($I24,Act_Type_Augex,0),MATCH(AR$4,Mat_Type,0))*INDEX(Escalators!$I$44:$U$49,MATCH(AR$4,Escalators!$C$44:$C$49,0),MATCH(AR$5,Escalators!$I$43:$U$43,0))</f>
        <v>0</v>
      </c>
      <c r="AS24" s="128">
        <f t="shared" si="70"/>
        <v>0</v>
      </c>
      <c r="AT24" s="128">
        <f>INDEX(Direct_Cost_Splits_Network,MATCH($H24,RIN_Asset_Cat_Network,0),MATCH($AY$4,Direct_Cost_Type,0))*$M24*INDEX(Act_Type_Augex_Splits,MATCH($I24,Act_Type_Augex,0),MATCH(AT$4,Mat_Type,0))*INDEX(Escalators!$I$44:$U$49,MATCH(AT$4,Escalators!$C$44:$C$49,0),MATCH(AT$5,Escalators!$I$43:$U$43,0))</f>
        <v>249.32509840858592</v>
      </c>
      <c r="AU24" s="128">
        <f>INDEX(Direct_Cost_Splits_Network,MATCH($H24,RIN_Asset_Cat_Network,0),MATCH($AY$4,Direct_Cost_Type,0))*$M24*INDEX(Act_Type_Augex_Splits,MATCH($I24,Act_Type_Augex,0),MATCH(AU$4,Mat_Type,0))*INDEX(Escalators!$I$44:$U$49,MATCH(AU$4,Escalators!$C$44:$C$49,0),MATCH(AU$5,Escalators!$I$43:$U$43,0))</f>
        <v>0</v>
      </c>
      <c r="AV24" s="128">
        <f>INDEX(Direct_Cost_Splits_Network,MATCH($H24,RIN_Asset_Cat_Network,0),MATCH($AY$4,Direct_Cost_Type,0))*$M24*INDEX(Act_Type_Augex_Splits,MATCH($I24,Act_Type_Augex,0),MATCH(AV$4,Mat_Type,0))*INDEX(Escalators!$I$44:$U$49,MATCH(AV$4,Escalators!$C$44:$C$49,0),MATCH(AV$5,Escalators!$I$43:$U$43,0))</f>
        <v>48.376511631516671</v>
      </c>
      <c r="AW24" s="128">
        <f>INDEX(Direct_Cost_Splits_Network,MATCH($H24,RIN_Asset_Cat_Network,0),MATCH($AY$4,Direct_Cost_Type,0))*$M24*INDEX(Act_Type_Augex_Splits,MATCH($I24,Act_Type_Augex,0),MATCH(AW$4,Mat_Type,0))*INDEX(Escalators!$I$44:$U$49,MATCH(AW$4,Escalators!$C$44:$C$49,0),MATCH(AW$5,Escalators!$I$43:$U$43,0))</f>
        <v>0</v>
      </c>
      <c r="AX24" s="128">
        <f>INDEX(Direct_Cost_Splits_Network,MATCH($H24,RIN_Asset_Cat_Network,0),MATCH($AY$4,Direct_Cost_Type,0))*$M24*INDEX(Act_Type_Augex_Splits,MATCH($I24,Act_Type_Augex,0),MATCH(AX$4,Mat_Type,0))*INDEX(Escalators!$I$44:$U$49,MATCH(AX$4,Escalators!$C$44:$C$49,0),MATCH(AX$5,Escalators!$I$43:$U$43,0))</f>
        <v>74.425402510025648</v>
      </c>
      <c r="AY24" s="128">
        <f t="shared" si="71"/>
        <v>372.12701255012826</v>
      </c>
      <c r="AZ24" s="128">
        <f>INDEX(Direct_Cost_Splits_Network,MATCH($H24,RIN_Asset_Cat_Network,0),MATCH($BE$4,Direct_Cost_Type,0))*$N24*INDEX(Act_Type_Augex_Splits,MATCH($I24,Act_Type_Augex,0),MATCH(AZ$4,Mat_Type,0))*INDEX(Escalators!$I$44:$U$49,MATCH(AZ$4,Escalators!$C$44:$C$49,0),MATCH(AZ$5,Escalators!$I$43:$U$43,0))</f>
        <v>250.35964238538503</v>
      </c>
      <c r="BA24" s="128">
        <f>INDEX(Direct_Cost_Splits_Network,MATCH($H24,RIN_Asset_Cat_Network,0),MATCH($BE$4,Direct_Cost_Type,0))*$N24*INDEX(Act_Type_Augex_Splits,MATCH($I24,Act_Type_Augex,0),MATCH(BA$4,Mat_Type,0))*INDEX(Escalators!$I$44:$U$49,MATCH(BA$4,Escalators!$C$44:$C$49,0),MATCH(BA$5,Escalators!$I$43:$U$43,0))</f>
        <v>0</v>
      </c>
      <c r="BB24" s="128">
        <f>INDEX(Direct_Cost_Splits_Network,MATCH($H24,RIN_Asset_Cat_Network,0),MATCH($BE$4,Direct_Cost_Type,0))*$N24*INDEX(Act_Type_Augex_Splits,MATCH($I24,Act_Type_Augex,0),MATCH(BB$4,Mat_Type,0))*INDEX(Escalators!$I$44:$U$49,MATCH(BB$4,Escalators!$C$44:$C$49,0),MATCH(BB$5,Escalators!$I$43:$U$43,0))</f>
        <v>48.57724404492545</v>
      </c>
      <c r="BC24" s="128">
        <f>INDEX(Direct_Cost_Splits_Network,MATCH($H24,RIN_Asset_Cat_Network,0),MATCH($BE$4,Direct_Cost_Type,0))*$N24*INDEX(Act_Type_Augex_Splits,MATCH($I24,Act_Type_Augex,0),MATCH(BC$4,Mat_Type,0))*INDEX(Escalators!$I$44:$U$49,MATCH(BC$4,Escalators!$C$44:$C$49,0),MATCH(BC$5,Escalators!$I$43:$U$43,0))</f>
        <v>0</v>
      </c>
      <c r="BD24" s="128">
        <f>INDEX(Direct_Cost_Splits_Network,MATCH($H24,RIN_Asset_Cat_Network,0),MATCH($BE$4,Direct_Cost_Type,0))*$N24*INDEX(Act_Type_Augex_Splits,MATCH($I24,Act_Type_Augex,0),MATCH(BD$4,Mat_Type,0))*INDEX(Escalators!$I$44:$U$49,MATCH(BD$4,Escalators!$C$44:$C$49,0),MATCH(BD$5,Escalators!$I$43:$U$43,0))</f>
        <v>74.734221607577624</v>
      </c>
      <c r="BE24" s="128">
        <f t="shared" si="72"/>
        <v>373.67110803788813</v>
      </c>
      <c r="BF24" s="128">
        <f>INDEX(Direct_Cost_Splits_Network,MATCH($H24,RIN_Asset_Cat_Network,0),MATCH($BK$4,Direct_Cost_Type,0))*$O24*INDEX(Act_Type_Augex_Splits,MATCH($I24,Act_Type_Augex,0),MATCH(BF$4,Mat_Type,0))*INDEX(Escalators!$I$44:$U$49,MATCH(BF$4,Escalators!$C$44:$C$49,0),MATCH(BF$5,Escalators!$I$43:$U$43,0))</f>
        <v>227.59967489580458</v>
      </c>
      <c r="BG24" s="128">
        <f>INDEX(Direct_Cost_Splits_Network,MATCH($H24,RIN_Asset_Cat_Network,0),MATCH($BK$4,Direct_Cost_Type,0))*$O24*INDEX(Act_Type_Augex_Splits,MATCH($I24,Act_Type_Augex,0),MATCH(BG$4,Mat_Type,0))*INDEX(Escalators!$I$44:$U$49,MATCH(BG$4,Escalators!$C$44:$C$49,0),MATCH(BG$5,Escalators!$I$43:$U$43,0))</f>
        <v>0</v>
      </c>
      <c r="BH24" s="128">
        <f>INDEX(Direct_Cost_Splits_Network,MATCH($H24,RIN_Asset_Cat_Network,0),MATCH($BK$4,Direct_Cost_Type,0))*$O24*INDEX(Act_Type_Augex_Splits,MATCH($I24,Act_Type_Augex,0),MATCH(BH$4,Mat_Type,0))*INDEX(Escalators!$I$44:$U$49,MATCH(BH$4,Escalators!$C$44:$C$49,0),MATCH(BH$5,Escalators!$I$43:$U$43,0))</f>
        <v>44.161130949932229</v>
      </c>
      <c r="BI24" s="128">
        <f>INDEX(Direct_Cost_Splits_Network,MATCH($H24,RIN_Asset_Cat_Network,0),MATCH($BK$4,Direct_Cost_Type,0))*$O24*INDEX(Act_Type_Augex_Splits,MATCH($I24,Act_Type_Augex,0),MATCH(BI$4,Mat_Type,0))*INDEX(Escalators!$I$44:$U$49,MATCH(BI$4,Escalators!$C$44:$C$49,0),MATCH(BI$5,Escalators!$I$43:$U$43,0))</f>
        <v>0</v>
      </c>
      <c r="BJ24" s="128">
        <f>INDEX(Direct_Cost_Splits_Network,MATCH($H24,RIN_Asset_Cat_Network,0),MATCH($BK$4,Direct_Cost_Type,0))*$O24*INDEX(Act_Type_Augex_Splits,MATCH($I24,Act_Type_Augex,0),MATCH(BJ$4,Mat_Type,0))*INDEX(Escalators!$I$44:$U$49,MATCH(BJ$4,Escalators!$C$44:$C$49,0),MATCH(BJ$5,Escalators!$I$43:$U$43,0))</f>
        <v>67.940201461434199</v>
      </c>
      <c r="BK24" s="128">
        <f t="shared" si="73"/>
        <v>339.70100730717098</v>
      </c>
      <c r="BL24" s="128">
        <f>INDEX(Direct_Cost_Splits_Network,MATCH($H24,RIN_Asset_Cat_Network,0),MATCH($BQ$4,Direct_Cost_Type,0))*$P24*INDEX(Act_Type_Augex_Splits,MATCH($I24,Act_Type_Augex,0),MATCH(BL$4,Mat_Type,0))*INDEX(Escalators!$I$44:$U$49,MATCH(BL$4,Escalators!$C$44:$C$49,0),MATCH(BL$5,Escalators!$I$43:$U$43,0))</f>
        <v>208.97788331342053</v>
      </c>
      <c r="BM24" s="128">
        <f>INDEX(Direct_Cost_Splits_Network,MATCH($H24,RIN_Asset_Cat_Network,0),MATCH($BQ$4,Direct_Cost_Type,0))*$P24*INDEX(Act_Type_Augex_Splits,MATCH($I24,Act_Type_Augex,0),MATCH(BM$4,Mat_Type,0))*INDEX(Escalators!$I$44:$U$49,MATCH(BM$4,Escalators!$C$44:$C$49,0),MATCH(BM$5,Escalators!$I$43:$U$43,0))</f>
        <v>0</v>
      </c>
      <c r="BN24" s="128">
        <f>INDEX(Direct_Cost_Splits_Network,MATCH($H24,RIN_Asset_Cat_Network,0),MATCH($BQ$4,Direct_Cost_Type,0))*$P24*INDEX(Act_Type_Augex_Splits,MATCH($I24,Act_Type_Augex,0),MATCH(BN$4,Mat_Type,0))*INDEX(Escalators!$I$44:$U$49,MATCH(BN$4,Escalators!$C$44:$C$49,0),MATCH(BN$5,Escalators!$I$43:$U$43,0))</f>
        <v>40.547947508574133</v>
      </c>
      <c r="BO24" s="128">
        <f>INDEX(Direct_Cost_Splits_Network,MATCH($H24,RIN_Asset_Cat_Network,0),MATCH($BQ$4,Direct_Cost_Type,0))*$P24*INDEX(Act_Type_Augex_Splits,MATCH($I24,Act_Type_Augex,0),MATCH(BO$4,Mat_Type,0))*INDEX(Escalators!$I$44:$U$49,MATCH(BO$4,Escalators!$C$44:$C$49,0),MATCH(BO$5,Escalators!$I$43:$U$43,0))</f>
        <v>0</v>
      </c>
      <c r="BP24" s="128">
        <f>INDEX(Direct_Cost_Splits_Network,MATCH($H24,RIN_Asset_Cat_Network,0),MATCH($BQ$4,Direct_Cost_Type,0))*$P24*INDEX(Act_Type_Augex_Splits,MATCH($I24,Act_Type_Augex,0),MATCH(BP$4,Mat_Type,0))*INDEX(Escalators!$I$44:$U$49,MATCH(BP$4,Escalators!$C$44:$C$49,0),MATCH(BP$5,Escalators!$I$43:$U$43,0))</f>
        <v>62.381457705498669</v>
      </c>
      <c r="BQ24" s="128">
        <f t="shared" si="74"/>
        <v>311.90728852749334</v>
      </c>
      <c r="BR24" s="128">
        <f>INDEX(Direct_Cost_Splits_Network,MATCH($H24,RIN_Asset_Cat_Network,0),MATCH($BW$4,Direct_Cost_Type,0))*$Q24*INDEX(Act_Type_Augex_Splits,MATCH($I24,Act_Type_Augex,0),MATCH(BR$4,Mat_Type,0))*INDEX(Escalators!$I$44:$U$49,MATCH(BR$4,Escalators!$C$44:$C$49,0),MATCH(BR$5,Escalators!$I$43:$U$43,0))</f>
        <v>200.70153149902765</v>
      </c>
      <c r="BS24" s="128">
        <f>INDEX(Direct_Cost_Splits_Network,MATCH($H24,RIN_Asset_Cat_Network,0),MATCH($BW$4,Direct_Cost_Type,0))*$Q24*INDEX(Act_Type_Augex_Splits,MATCH($I24,Act_Type_Augex,0),MATCH(BS$4,Mat_Type,0))*INDEX(Escalators!$I$44:$U$49,MATCH(BS$4,Escalators!$C$44:$C$49,0),MATCH(BS$5,Escalators!$I$43:$U$43,0))</f>
        <v>0</v>
      </c>
      <c r="BT24" s="128">
        <f>INDEX(Direct_Cost_Splits_Network,MATCH($H24,RIN_Asset_Cat_Network,0),MATCH($BW$4,Direct_Cost_Type,0))*$Q24*INDEX(Act_Type_Augex_Splits,MATCH($I24,Act_Type_Augex,0),MATCH(BT$4,Mat_Type,0))*INDEX(Escalators!$I$44:$U$49,MATCH(BT$4,Escalators!$C$44:$C$49,0),MATCH(BT$5,Escalators!$I$43:$U$43,0))</f>
        <v>38.942088201303875</v>
      </c>
      <c r="BU24" s="128">
        <f>INDEX(Direct_Cost_Splits_Network,MATCH($H24,RIN_Asset_Cat_Network,0),MATCH($BW$4,Direct_Cost_Type,0))*$Q24*INDEX(Act_Type_Augex_Splits,MATCH($I24,Act_Type_Augex,0),MATCH(BU$4,Mat_Type,0))*INDEX(Escalators!$I$44:$U$49,MATCH(BU$4,Escalators!$C$44:$C$49,0),MATCH(BU$5,Escalators!$I$43:$U$43,0))</f>
        <v>0</v>
      </c>
      <c r="BV24" s="128">
        <f>INDEX(Direct_Cost_Splits_Network,MATCH($H24,RIN_Asset_Cat_Network,0),MATCH($BW$4,Direct_Cost_Type,0))*$Q24*INDEX(Act_Type_Augex_Splits,MATCH($I24,Act_Type_Augex,0),MATCH(BV$4,Mat_Type,0))*INDEX(Escalators!$I$44:$U$49,MATCH(BV$4,Escalators!$C$44:$C$49,0),MATCH(BV$5,Escalators!$I$43:$U$43,0))</f>
        <v>59.910904925082882</v>
      </c>
      <c r="BW24" s="128">
        <f t="shared" si="75"/>
        <v>299.55452462541439</v>
      </c>
      <c r="BX24" s="129"/>
      <c r="BY24" s="128">
        <f>INDEX(Direct_Cost_Splits_Network,MATCH($H24,RIN_Asset_Cat_Network,0),MATCH($BY$4,Direct_Cost_Type,0))*J24*HLOOKUP(BY$5,Escalators!$I$25:$U$30,6,FALSE)</f>
        <v>0</v>
      </c>
      <c r="BZ24" s="128">
        <f>INDEX(Direct_Cost_Splits_Network,MATCH($H24,RIN_Asset_Cat_Network,0),MATCH($BY$4,Direct_Cost_Type,0))*K24*HLOOKUP(BZ$5,Escalators!$I$25:$U$30,6,FALSE)</f>
        <v>0</v>
      </c>
      <c r="CA24" s="128">
        <f>INDEX(Direct_Cost_Splits_Network,MATCH($H24,RIN_Asset_Cat_Network,0),MATCH($BY$4,Direct_Cost_Type,0))*L24*HLOOKUP(CA$5,Escalators!$I$25:$U$30,6,FALSE)</f>
        <v>0</v>
      </c>
      <c r="CB24" s="128">
        <f>INDEX(Direct_Cost_Splits_Network,MATCH($H24,RIN_Asset_Cat_Network,0),MATCH($BY$4,Direct_Cost_Type,0))*M24*HLOOKUP(CB$5,Escalators!$I$25:$U$30,6,FALSE)</f>
        <v>506.94925773615137</v>
      </c>
      <c r="CC24" s="128">
        <f>INDEX(Direct_Cost_Splits_Network,MATCH($H24,RIN_Asset_Cat_Network,0),MATCH($BY$4,Direct_Cost_Type,0))*N24*HLOOKUP(CC$5,Escalators!$I$25:$U$30,6,FALSE)</f>
        <v>509.05278162717275</v>
      </c>
      <c r="CD24" s="128">
        <f>INDEX(Direct_Cost_Splits_Network,MATCH($H24,RIN_Asset_Cat_Network,0),MATCH($BY$4,Direct_Cost_Type,0))*O24*HLOOKUP(CD$5,Escalators!$I$25:$U$30,6,FALSE)</f>
        <v>462.77525602470246</v>
      </c>
      <c r="CE24" s="128">
        <f>INDEX(Direct_Cost_Splits_Network,MATCH($H24,RIN_Asset_Cat_Network,0),MATCH($BY$4,Direct_Cost_Type,0))*P24*HLOOKUP(CE$5,Escalators!$I$25:$U$30,6,FALSE)</f>
        <v>424.91182598631775</v>
      </c>
      <c r="CF24" s="128">
        <f>INDEX(Direct_Cost_Splits_Network,MATCH($H24,RIN_Asset_Cat_Network,0),MATCH($BY$4,Direct_Cost_Type,0))*Q24*HLOOKUP(CF$5,Escalators!$I$25:$U$30,6,FALSE)</f>
        <v>408.08363485814675</v>
      </c>
      <c r="CG24" s="129"/>
      <c r="CH24" s="675">
        <f t="shared" si="76"/>
        <v>0</v>
      </c>
      <c r="CI24" s="675">
        <f t="shared" si="77"/>
        <v>0</v>
      </c>
      <c r="CJ24" s="675">
        <f t="shared" si="78"/>
        <v>0</v>
      </c>
      <c r="CK24" s="675">
        <f t="shared" si="79"/>
        <v>139.27727366932407</v>
      </c>
      <c r="CL24" s="675">
        <f t="shared" si="80"/>
        <v>139.85518766795195</v>
      </c>
      <c r="CM24" s="675">
        <f t="shared" si="81"/>
        <v>127.14107969813816</v>
      </c>
      <c r="CN24" s="675">
        <f t="shared" si="82"/>
        <v>116.73862772283594</v>
      </c>
      <c r="CO24" s="675">
        <f t="shared" si="83"/>
        <v>112.11531573381274</v>
      </c>
      <c r="CP24" s="129"/>
      <c r="CQ24" s="128">
        <f t="shared" si="18"/>
        <v>0</v>
      </c>
      <c r="CR24" s="128">
        <f t="shared" si="9"/>
        <v>0</v>
      </c>
      <c r="CS24" s="128">
        <f t="shared" si="19"/>
        <v>0</v>
      </c>
      <c r="CT24" s="128">
        <f t="shared" si="20"/>
        <v>1211.1032235841219</v>
      </c>
      <c r="CU24" s="128">
        <f t="shared" si="21"/>
        <v>1217.0887264632929</v>
      </c>
      <c r="CV24" s="128">
        <f t="shared" si="22"/>
        <v>1107.5958960604985</v>
      </c>
      <c r="CW24" s="128">
        <f t="shared" si="23"/>
        <v>1018.5978995349069</v>
      </c>
      <c r="CX24" s="128">
        <f t="shared" si="24"/>
        <v>980.32989450166724</v>
      </c>
      <c r="CZ24" s="39"/>
    </row>
    <row r="25" spans="2:104">
      <c r="B25" s="75" t="s">
        <v>426</v>
      </c>
      <c r="C25" s="75" t="s">
        <v>579</v>
      </c>
      <c r="D25" s="75" t="s">
        <v>422</v>
      </c>
      <c r="E25" s="75" t="s">
        <v>45</v>
      </c>
      <c r="F25" s="75" t="s">
        <v>51</v>
      </c>
      <c r="G25" s="75" t="s">
        <v>10</v>
      </c>
      <c r="H25" s="75" t="s">
        <v>165</v>
      </c>
      <c r="I25" s="75" t="s">
        <v>215</v>
      </c>
      <c r="J25" s="128"/>
      <c r="K25" s="128"/>
      <c r="L25" s="128"/>
      <c r="M25" s="128">
        <v>250</v>
      </c>
      <c r="N25" s="128">
        <v>250</v>
      </c>
      <c r="O25" s="128">
        <v>250</v>
      </c>
      <c r="P25" s="128">
        <v>250</v>
      </c>
      <c r="Q25" s="128">
        <v>250</v>
      </c>
      <c r="R25" s="129"/>
      <c r="S25" s="128">
        <f>INDEX(Direct_Cost_Splits_Network,MATCH($H25,RIN_Asset_Cat_Network,0),MATCH($S$4,Direct_Cost_Type,0))*J25*HLOOKUP(S$5,Escalators!$I$25:$U$30,3,FALSE)</f>
        <v>0</v>
      </c>
      <c r="T25" s="128">
        <f>INDEX(Direct_Cost_Splits_Network,MATCH($H25,RIN_Asset_Cat_Network,0),MATCH($S$4,Direct_Cost_Type,0))*K25*HLOOKUP(T$5,Escalators!$I$25:$U$30,3,FALSE)</f>
        <v>0</v>
      </c>
      <c r="U25" s="128">
        <f>INDEX(Direct_Cost_Splits_Network,MATCH($H25,RIN_Asset_Cat_Network,0),MATCH($S$4,Direct_Cost_Type,0))*L25*HLOOKUP(U$5,Escalators!$I$25:$U$30,3,FALSE)</f>
        <v>0</v>
      </c>
      <c r="V25" s="128">
        <f>INDEX(Direct_Cost_Splits_Network,MATCH($H25,RIN_Asset_Cat_Network,0),MATCH($S$4,Direct_Cost_Type,0))*M25*HLOOKUP(V$5,Escalators!$I$25:$U$30,3,FALSE)</f>
        <v>39.98956008890417</v>
      </c>
      <c r="W25" s="128">
        <f>INDEX(Direct_Cost_Splits_Network,MATCH($H25,RIN_Asset_Cat_Network,0),MATCH($S$4,Direct_Cost_Type,0))*N25*HLOOKUP(W$5,Escalators!$I$25:$U$30,3,FALSE)</f>
        <v>40.187944035181857</v>
      </c>
      <c r="X25" s="128">
        <f>INDEX(Direct_Cost_Splits_Network,MATCH($H25,RIN_Asset_Cat_Network,0),MATCH($S$4,Direct_Cost_Type,0))*O25*HLOOKUP(X$5,Escalators!$I$25:$U$30,3,FALSE)</f>
        <v>40.449671143292491</v>
      </c>
      <c r="Y25" s="128">
        <f>INDEX(Direct_Cost_Splits_Network,MATCH($H25,RIN_Asset_Cat_Network,0),MATCH($S$4,Direct_Cost_Type,0))*P25*HLOOKUP(Y$5,Escalators!$I$25:$U$30,3,FALSE)</f>
        <v>40.851524083727682</v>
      </c>
      <c r="Z25" s="128">
        <f>INDEX(Direct_Cost_Splits_Network,MATCH($H25,RIN_Asset_Cat_Network,0),MATCH($S$4,Direct_Cost_Type,0))*Q25*HLOOKUP(Z$5,Escalators!$I$25:$U$30,3,FALSE)</f>
        <v>41.385675073271479</v>
      </c>
      <c r="AA25" s="129"/>
      <c r="AB25" s="128">
        <f>INDEX(Direct_Cost_Splits_Network,MATCH($H25,RIN_Asset_Cat_Network,0),MATCH($AG$4,Direct_Cost_Type,0))*$J25*INDEX(Act_Type_Augex_Splits,MATCH($I25,Act_Type_Augex,0),MATCH(AB$4,Mat_Type,0))*INDEX(Escalators!$I$44:$U$49,MATCH(AB$4,Escalators!$C$44:$C$49,0),MATCH(AB$5,Escalators!$I$43:$U$43,0))</f>
        <v>0</v>
      </c>
      <c r="AC25" s="128">
        <f>INDEX(Direct_Cost_Splits_Network,MATCH($H25,RIN_Asset_Cat_Network,0),MATCH($AG$4,Direct_Cost_Type,0))*$J25*INDEX(Act_Type_Augex_Splits,MATCH($I25,Act_Type_Augex,0),MATCH(AC$4,Mat_Type,0))*INDEX(Escalators!$I$44:$U$49,MATCH(AC$4,Escalators!$C$44:$C$49,0),MATCH(AC$5,Escalators!$I$43:$U$43,0))</f>
        <v>0</v>
      </c>
      <c r="AD25" s="128">
        <f>INDEX(Direct_Cost_Splits_Network,MATCH($H25,RIN_Asset_Cat_Network,0),MATCH($AG$4,Direct_Cost_Type,0))*$J25*INDEX(Act_Type_Augex_Splits,MATCH($I25,Act_Type_Augex,0),MATCH(AD$4,Mat_Type,0))*INDEX(Escalators!$I$44:$U$49,MATCH(AD$4,Escalators!$C$44:$C$49,0),MATCH(AD$5,Escalators!$I$43:$U$43,0))</f>
        <v>0</v>
      </c>
      <c r="AE25" s="128">
        <f>INDEX(Direct_Cost_Splits_Network,MATCH($H25,RIN_Asset_Cat_Network,0),MATCH($AG$4,Direct_Cost_Type,0))*$J25*INDEX(Act_Type_Augex_Splits,MATCH($I25,Act_Type_Augex,0),MATCH(AE$4,Mat_Type,0))*INDEX(Escalators!$I$44:$U$49,MATCH(AE$4,Escalators!$C$44:$C$49,0),MATCH(AE$5,Escalators!$I$43:$U$43,0))</f>
        <v>0</v>
      </c>
      <c r="AF25" s="128">
        <f>INDEX(Direct_Cost_Splits_Network,MATCH($H25,RIN_Asset_Cat_Network,0),MATCH($AG$4,Direct_Cost_Type,0))*$J25*INDEX(Act_Type_Augex_Splits,MATCH($I25,Act_Type_Augex,0),MATCH(AF$4,Mat_Type,0))*INDEX(Escalators!$I$44:$U$49,MATCH(AF$4,Escalators!$C$44:$C$49,0),MATCH(AF$5,Escalators!$I$43:$U$43,0))</f>
        <v>0</v>
      </c>
      <c r="AG25" s="128">
        <f t="shared" si="68"/>
        <v>0</v>
      </c>
      <c r="AH25" s="128">
        <f>INDEX(Direct_Cost_Splits_Network,MATCH($H25,RIN_Asset_Cat_Network,0),MATCH($AY$4,Direct_Cost_Type,0))*$K25*INDEX(Act_Type_Augex_Splits,MATCH($I25,Act_Type_Augex,0),MATCH(AH$4,Mat_Type,0))*INDEX(Escalators!$I$44:$U$49,MATCH(AH$4,Escalators!$C$44:$C$49,0),MATCH(AH$5,Escalators!$I$43:$U$43,0))</f>
        <v>0</v>
      </c>
      <c r="AI25" s="128">
        <f>INDEX(Direct_Cost_Splits_Network,MATCH($H25,RIN_Asset_Cat_Network,0),MATCH($AY$4,Direct_Cost_Type,0))*$K25*INDEX(Act_Type_Augex_Splits,MATCH($I25,Act_Type_Augex,0),MATCH(AI$4,Mat_Type,0))*INDEX(Escalators!$I$44:$U$49,MATCH(AI$4,Escalators!$C$44:$C$49,0),MATCH(AI$5,Escalators!$I$43:$U$43,0))</f>
        <v>0</v>
      </c>
      <c r="AJ25" s="128">
        <f>INDEX(Direct_Cost_Splits_Network,MATCH($H25,RIN_Asset_Cat_Network,0),MATCH($AY$4,Direct_Cost_Type,0))*$K25*INDEX(Act_Type_Augex_Splits,MATCH($I25,Act_Type_Augex,0),MATCH(AJ$4,Mat_Type,0))*INDEX(Escalators!$I$44:$U$49,MATCH(AJ$4,Escalators!$C$44:$C$49,0),MATCH(AJ$5,Escalators!$I$43:$U$43,0))</f>
        <v>0</v>
      </c>
      <c r="AK25" s="128">
        <f>INDEX(Direct_Cost_Splits_Network,MATCH($H25,RIN_Asset_Cat_Network,0),MATCH($AY$4,Direct_Cost_Type,0))*$K25*INDEX(Act_Type_Augex_Splits,MATCH($I25,Act_Type_Augex,0),MATCH(AK$4,Mat_Type,0))*INDEX(Escalators!$I$44:$U$49,MATCH(AK$4,Escalators!$C$44:$C$49,0),MATCH(AK$5,Escalators!$I$43:$U$43,0))</f>
        <v>0</v>
      </c>
      <c r="AL25" s="128">
        <f>INDEX(Direct_Cost_Splits_Network,MATCH($H25,RIN_Asset_Cat_Network,0),MATCH($AY$4,Direct_Cost_Type,0))*$K25*INDEX(Act_Type_Augex_Splits,MATCH($I25,Act_Type_Augex,0),MATCH(AL$4,Mat_Type,0))*INDEX(Escalators!$I$44:$U$49,MATCH(AL$4,Escalators!$C$44:$C$49,0),MATCH(AL$5,Escalators!$I$43:$U$43,0))</f>
        <v>0</v>
      </c>
      <c r="AM25" s="128">
        <f t="shared" si="69"/>
        <v>0</v>
      </c>
      <c r="AN25" s="128">
        <f>INDEX(Direct_Cost_Splits_Network,MATCH($H25,RIN_Asset_Cat_Network,0),MATCH($AY$4,Direct_Cost_Type,0))*$L25*INDEX(Act_Type_Augex_Splits,MATCH($I25,Act_Type_Augex,0),MATCH(AN$4,Mat_Type,0))*INDEX(Escalators!$I$44:$U$49,MATCH(AN$4,Escalators!$C$44:$C$49,0),MATCH(AN$5,Escalators!$I$43:$U$43,0))</f>
        <v>0</v>
      </c>
      <c r="AO25" s="128">
        <f>INDEX(Direct_Cost_Splits_Network,MATCH($H25,RIN_Asset_Cat_Network,0),MATCH($AY$4,Direct_Cost_Type,0))*$L25*INDEX(Act_Type_Augex_Splits,MATCH($I25,Act_Type_Augex,0),MATCH(AO$4,Mat_Type,0))*INDEX(Escalators!$I$44:$U$49,MATCH(AO$4,Escalators!$C$44:$C$49,0),MATCH(AO$5,Escalators!$I$43:$U$43,0))</f>
        <v>0</v>
      </c>
      <c r="AP25" s="128">
        <f>INDEX(Direct_Cost_Splits_Network,MATCH($H25,RIN_Asset_Cat_Network,0),MATCH($AY$4,Direct_Cost_Type,0))*$L25*INDEX(Act_Type_Augex_Splits,MATCH($I25,Act_Type_Augex,0),MATCH(AP$4,Mat_Type,0))*INDEX(Escalators!$I$44:$U$49,MATCH(AP$4,Escalators!$C$44:$C$49,0),MATCH(AP$5,Escalators!$I$43:$U$43,0))</f>
        <v>0</v>
      </c>
      <c r="AQ25" s="128">
        <f>INDEX(Direct_Cost_Splits_Network,MATCH($H25,RIN_Asset_Cat_Network,0),MATCH($AY$4,Direct_Cost_Type,0))*$L25*INDEX(Act_Type_Augex_Splits,MATCH($I25,Act_Type_Augex,0),MATCH(AQ$4,Mat_Type,0))*INDEX(Escalators!$I$44:$U$49,MATCH(AQ$4,Escalators!$C$44:$C$49,0),MATCH(AQ$5,Escalators!$I$43:$U$43,0))</f>
        <v>0</v>
      </c>
      <c r="AR25" s="128">
        <f>INDEX(Direct_Cost_Splits_Network,MATCH($H25,RIN_Asset_Cat_Network,0),MATCH($AY$4,Direct_Cost_Type,0))*$L25*INDEX(Act_Type_Augex_Splits,MATCH($I25,Act_Type_Augex,0),MATCH(AR$4,Mat_Type,0))*INDEX(Escalators!$I$44:$U$49,MATCH(AR$4,Escalators!$C$44:$C$49,0),MATCH(AR$5,Escalators!$I$43:$U$43,0))</f>
        <v>0</v>
      </c>
      <c r="AS25" s="128">
        <f t="shared" si="70"/>
        <v>0</v>
      </c>
      <c r="AT25" s="128">
        <f>INDEX(Direct_Cost_Splits_Network,MATCH($H25,RIN_Asset_Cat_Network,0),MATCH($AY$4,Direct_Cost_Type,0))*$M25*INDEX(Act_Type_Augex_Splits,MATCH($I25,Act_Type_Augex,0),MATCH(AT$4,Mat_Type,0))*INDEX(Escalators!$I$44:$U$49,MATCH(AT$4,Escalators!$C$44:$C$49,0),MATCH(AT$5,Escalators!$I$43:$U$43,0))</f>
        <v>51.727198839955591</v>
      </c>
      <c r="AU25" s="128">
        <f>INDEX(Direct_Cost_Splits_Network,MATCH($H25,RIN_Asset_Cat_Network,0),MATCH($AY$4,Direct_Cost_Type,0))*$M25*INDEX(Act_Type_Augex_Splits,MATCH($I25,Act_Type_Augex,0),MATCH(AU$4,Mat_Type,0))*INDEX(Escalators!$I$44:$U$49,MATCH(AU$4,Escalators!$C$44:$C$49,0),MATCH(AU$5,Escalators!$I$43:$U$43,0))</f>
        <v>0</v>
      </c>
      <c r="AV25" s="128">
        <f>INDEX(Direct_Cost_Splits_Network,MATCH($H25,RIN_Asset_Cat_Network,0),MATCH($AY$4,Direct_Cost_Type,0))*$M25*INDEX(Act_Type_Augex_Splits,MATCH($I25,Act_Type_Augex,0),MATCH(AV$4,Mat_Type,0))*INDEX(Escalators!$I$44:$U$49,MATCH(AV$4,Escalators!$C$44:$C$49,0),MATCH(AV$5,Escalators!$I$43:$U$43,0))</f>
        <v>10.036620670439143</v>
      </c>
      <c r="AW25" s="128">
        <f>INDEX(Direct_Cost_Splits_Network,MATCH($H25,RIN_Asset_Cat_Network,0),MATCH($AY$4,Direct_Cost_Type,0))*$M25*INDEX(Act_Type_Augex_Splits,MATCH($I25,Act_Type_Augex,0),MATCH(AW$4,Mat_Type,0))*INDEX(Escalators!$I$44:$U$49,MATCH(AW$4,Escalators!$C$44:$C$49,0),MATCH(AW$5,Escalators!$I$43:$U$43,0))</f>
        <v>0</v>
      </c>
      <c r="AX25" s="128">
        <f>INDEX(Direct_Cost_Splits_Network,MATCH($H25,RIN_Asset_Cat_Network,0),MATCH($AY$4,Direct_Cost_Type,0))*$M25*INDEX(Act_Type_Augex_Splits,MATCH($I25,Act_Type_Augex,0),MATCH(AX$4,Mat_Type,0))*INDEX(Escalators!$I$44:$U$49,MATCH(AX$4,Escalators!$C$44:$C$49,0),MATCH(AX$5,Escalators!$I$43:$U$43,0))</f>
        <v>15.440954877598683</v>
      </c>
      <c r="AY25" s="128">
        <f t="shared" si="71"/>
        <v>77.20477438799341</v>
      </c>
      <c r="AZ25" s="128">
        <f>INDEX(Direct_Cost_Splits_Network,MATCH($H25,RIN_Asset_Cat_Network,0),MATCH($BE$4,Direct_Cost_Type,0))*$N25*INDEX(Act_Type_Augex_Splits,MATCH($I25,Act_Type_Augex,0),MATCH(AZ$4,Mat_Type,0))*INDEX(Escalators!$I$44:$U$49,MATCH(AZ$4,Escalators!$C$44:$C$49,0),MATCH(AZ$5,Escalators!$I$43:$U$43,0))</f>
        <v>51.727198839955591</v>
      </c>
      <c r="BA25" s="128">
        <f>INDEX(Direct_Cost_Splits_Network,MATCH($H25,RIN_Asset_Cat_Network,0),MATCH($BE$4,Direct_Cost_Type,0))*$N25*INDEX(Act_Type_Augex_Splits,MATCH($I25,Act_Type_Augex,0),MATCH(BA$4,Mat_Type,0))*INDEX(Escalators!$I$44:$U$49,MATCH(BA$4,Escalators!$C$44:$C$49,0),MATCH(BA$5,Escalators!$I$43:$U$43,0))</f>
        <v>0</v>
      </c>
      <c r="BB25" s="128">
        <f>INDEX(Direct_Cost_Splits_Network,MATCH($H25,RIN_Asset_Cat_Network,0),MATCH($BE$4,Direct_Cost_Type,0))*$N25*INDEX(Act_Type_Augex_Splits,MATCH($I25,Act_Type_Augex,0),MATCH(BB$4,Mat_Type,0))*INDEX(Escalators!$I$44:$U$49,MATCH(BB$4,Escalators!$C$44:$C$49,0),MATCH(BB$5,Escalators!$I$43:$U$43,0))</f>
        <v>10.036620670439143</v>
      </c>
      <c r="BC25" s="128">
        <f>INDEX(Direct_Cost_Splits_Network,MATCH($H25,RIN_Asset_Cat_Network,0),MATCH($BE$4,Direct_Cost_Type,0))*$N25*INDEX(Act_Type_Augex_Splits,MATCH($I25,Act_Type_Augex,0),MATCH(BC$4,Mat_Type,0))*INDEX(Escalators!$I$44:$U$49,MATCH(BC$4,Escalators!$C$44:$C$49,0),MATCH(BC$5,Escalators!$I$43:$U$43,0))</f>
        <v>0</v>
      </c>
      <c r="BD25" s="128">
        <f>INDEX(Direct_Cost_Splits_Network,MATCH($H25,RIN_Asset_Cat_Network,0),MATCH($BE$4,Direct_Cost_Type,0))*$N25*INDEX(Act_Type_Augex_Splits,MATCH($I25,Act_Type_Augex,0),MATCH(BD$4,Mat_Type,0))*INDEX(Escalators!$I$44:$U$49,MATCH(BD$4,Escalators!$C$44:$C$49,0),MATCH(BD$5,Escalators!$I$43:$U$43,0))</f>
        <v>15.440954877598683</v>
      </c>
      <c r="BE25" s="128">
        <f t="shared" si="72"/>
        <v>77.20477438799341</v>
      </c>
      <c r="BF25" s="128">
        <f>INDEX(Direct_Cost_Splits_Network,MATCH($H25,RIN_Asset_Cat_Network,0),MATCH($BK$4,Direct_Cost_Type,0))*$O25*INDEX(Act_Type_Augex_Splits,MATCH($I25,Act_Type_Augex,0),MATCH(BF$4,Mat_Type,0))*INDEX(Escalators!$I$44:$U$49,MATCH(BF$4,Escalators!$C$44:$C$49,0),MATCH(BF$5,Escalators!$I$43:$U$43,0))</f>
        <v>51.727198839955591</v>
      </c>
      <c r="BG25" s="128">
        <f>INDEX(Direct_Cost_Splits_Network,MATCH($H25,RIN_Asset_Cat_Network,0),MATCH($BK$4,Direct_Cost_Type,0))*$O25*INDEX(Act_Type_Augex_Splits,MATCH($I25,Act_Type_Augex,0),MATCH(BG$4,Mat_Type,0))*INDEX(Escalators!$I$44:$U$49,MATCH(BG$4,Escalators!$C$44:$C$49,0),MATCH(BG$5,Escalators!$I$43:$U$43,0))</f>
        <v>0</v>
      </c>
      <c r="BH25" s="128">
        <f>INDEX(Direct_Cost_Splits_Network,MATCH($H25,RIN_Asset_Cat_Network,0),MATCH($BK$4,Direct_Cost_Type,0))*$O25*INDEX(Act_Type_Augex_Splits,MATCH($I25,Act_Type_Augex,0),MATCH(BH$4,Mat_Type,0))*INDEX(Escalators!$I$44:$U$49,MATCH(BH$4,Escalators!$C$44:$C$49,0),MATCH(BH$5,Escalators!$I$43:$U$43,0))</f>
        <v>10.036620670439143</v>
      </c>
      <c r="BI25" s="128">
        <f>INDEX(Direct_Cost_Splits_Network,MATCH($H25,RIN_Asset_Cat_Network,0),MATCH($BK$4,Direct_Cost_Type,0))*$O25*INDEX(Act_Type_Augex_Splits,MATCH($I25,Act_Type_Augex,0),MATCH(BI$4,Mat_Type,0))*INDEX(Escalators!$I$44:$U$49,MATCH(BI$4,Escalators!$C$44:$C$49,0),MATCH(BI$5,Escalators!$I$43:$U$43,0))</f>
        <v>0</v>
      </c>
      <c r="BJ25" s="128">
        <f>INDEX(Direct_Cost_Splits_Network,MATCH($H25,RIN_Asset_Cat_Network,0),MATCH($BK$4,Direct_Cost_Type,0))*$O25*INDEX(Act_Type_Augex_Splits,MATCH($I25,Act_Type_Augex,0),MATCH(BJ$4,Mat_Type,0))*INDEX(Escalators!$I$44:$U$49,MATCH(BJ$4,Escalators!$C$44:$C$49,0),MATCH(BJ$5,Escalators!$I$43:$U$43,0))</f>
        <v>15.440954877598683</v>
      </c>
      <c r="BK25" s="128">
        <f t="shared" si="73"/>
        <v>77.20477438799341</v>
      </c>
      <c r="BL25" s="128">
        <f>INDEX(Direct_Cost_Splits_Network,MATCH($H25,RIN_Asset_Cat_Network,0),MATCH($BQ$4,Direct_Cost_Type,0))*$P25*INDEX(Act_Type_Augex_Splits,MATCH($I25,Act_Type_Augex,0),MATCH(BL$4,Mat_Type,0))*INDEX(Escalators!$I$44:$U$49,MATCH(BL$4,Escalators!$C$44:$C$49,0),MATCH(BL$5,Escalators!$I$43:$U$43,0))</f>
        <v>51.727198839955591</v>
      </c>
      <c r="BM25" s="128">
        <f>INDEX(Direct_Cost_Splits_Network,MATCH($H25,RIN_Asset_Cat_Network,0),MATCH($BQ$4,Direct_Cost_Type,0))*$P25*INDEX(Act_Type_Augex_Splits,MATCH($I25,Act_Type_Augex,0),MATCH(BM$4,Mat_Type,0))*INDEX(Escalators!$I$44:$U$49,MATCH(BM$4,Escalators!$C$44:$C$49,0),MATCH(BM$5,Escalators!$I$43:$U$43,0))</f>
        <v>0</v>
      </c>
      <c r="BN25" s="128">
        <f>INDEX(Direct_Cost_Splits_Network,MATCH($H25,RIN_Asset_Cat_Network,0),MATCH($BQ$4,Direct_Cost_Type,0))*$P25*INDEX(Act_Type_Augex_Splits,MATCH($I25,Act_Type_Augex,0),MATCH(BN$4,Mat_Type,0))*INDEX(Escalators!$I$44:$U$49,MATCH(BN$4,Escalators!$C$44:$C$49,0),MATCH(BN$5,Escalators!$I$43:$U$43,0))</f>
        <v>10.036620670439143</v>
      </c>
      <c r="BO25" s="128">
        <f>INDEX(Direct_Cost_Splits_Network,MATCH($H25,RIN_Asset_Cat_Network,0),MATCH($BQ$4,Direct_Cost_Type,0))*$P25*INDEX(Act_Type_Augex_Splits,MATCH($I25,Act_Type_Augex,0),MATCH(BO$4,Mat_Type,0))*INDEX(Escalators!$I$44:$U$49,MATCH(BO$4,Escalators!$C$44:$C$49,0),MATCH(BO$5,Escalators!$I$43:$U$43,0))</f>
        <v>0</v>
      </c>
      <c r="BP25" s="128">
        <f>INDEX(Direct_Cost_Splits_Network,MATCH($H25,RIN_Asset_Cat_Network,0),MATCH($BQ$4,Direct_Cost_Type,0))*$P25*INDEX(Act_Type_Augex_Splits,MATCH($I25,Act_Type_Augex,0),MATCH(BP$4,Mat_Type,0))*INDEX(Escalators!$I$44:$U$49,MATCH(BP$4,Escalators!$C$44:$C$49,0),MATCH(BP$5,Escalators!$I$43:$U$43,0))</f>
        <v>15.440954877598683</v>
      </c>
      <c r="BQ25" s="128">
        <f t="shared" si="74"/>
        <v>77.20477438799341</v>
      </c>
      <c r="BR25" s="128">
        <f>INDEX(Direct_Cost_Splits_Network,MATCH($H25,RIN_Asset_Cat_Network,0),MATCH($BW$4,Direct_Cost_Type,0))*$Q25*INDEX(Act_Type_Augex_Splits,MATCH($I25,Act_Type_Augex,0),MATCH(BR$4,Mat_Type,0))*INDEX(Escalators!$I$44:$U$49,MATCH(BR$4,Escalators!$C$44:$C$49,0),MATCH(BR$5,Escalators!$I$43:$U$43,0))</f>
        <v>51.727198839955591</v>
      </c>
      <c r="BS25" s="128">
        <f>INDEX(Direct_Cost_Splits_Network,MATCH($H25,RIN_Asset_Cat_Network,0),MATCH($BW$4,Direct_Cost_Type,0))*$Q25*INDEX(Act_Type_Augex_Splits,MATCH($I25,Act_Type_Augex,0),MATCH(BS$4,Mat_Type,0))*INDEX(Escalators!$I$44:$U$49,MATCH(BS$4,Escalators!$C$44:$C$49,0),MATCH(BS$5,Escalators!$I$43:$U$43,0))</f>
        <v>0</v>
      </c>
      <c r="BT25" s="128">
        <f>INDEX(Direct_Cost_Splits_Network,MATCH($H25,RIN_Asset_Cat_Network,0),MATCH($BW$4,Direct_Cost_Type,0))*$Q25*INDEX(Act_Type_Augex_Splits,MATCH($I25,Act_Type_Augex,0),MATCH(BT$4,Mat_Type,0))*INDEX(Escalators!$I$44:$U$49,MATCH(BT$4,Escalators!$C$44:$C$49,0),MATCH(BT$5,Escalators!$I$43:$U$43,0))</f>
        <v>10.036620670439143</v>
      </c>
      <c r="BU25" s="128">
        <f>INDEX(Direct_Cost_Splits_Network,MATCH($H25,RIN_Asset_Cat_Network,0),MATCH($BW$4,Direct_Cost_Type,0))*$Q25*INDEX(Act_Type_Augex_Splits,MATCH($I25,Act_Type_Augex,0),MATCH(BU$4,Mat_Type,0))*INDEX(Escalators!$I$44:$U$49,MATCH(BU$4,Escalators!$C$44:$C$49,0),MATCH(BU$5,Escalators!$I$43:$U$43,0))</f>
        <v>0</v>
      </c>
      <c r="BV25" s="128">
        <f>INDEX(Direct_Cost_Splits_Network,MATCH($H25,RIN_Asset_Cat_Network,0),MATCH($BW$4,Direct_Cost_Type,0))*$Q25*INDEX(Act_Type_Augex_Splits,MATCH($I25,Act_Type_Augex,0),MATCH(BV$4,Mat_Type,0))*INDEX(Escalators!$I$44:$U$49,MATCH(BV$4,Escalators!$C$44:$C$49,0),MATCH(BV$5,Escalators!$I$43:$U$43,0))</f>
        <v>15.440954877598683</v>
      </c>
      <c r="BW25" s="128">
        <f t="shared" si="75"/>
        <v>77.20477438799341</v>
      </c>
      <c r="BX25" s="129"/>
      <c r="BY25" s="128">
        <f>INDEX(Direct_Cost_Splits_Network,MATCH($H25,RIN_Asset_Cat_Network,0),MATCH($BY$4,Direct_Cost_Type,0))*J25*HLOOKUP(BY$5,Escalators!$I$25:$U$30,6,FALSE)</f>
        <v>0</v>
      </c>
      <c r="BZ25" s="128">
        <f>INDEX(Direct_Cost_Splits_Network,MATCH($H25,RIN_Asset_Cat_Network,0),MATCH($BY$4,Direct_Cost_Type,0))*K25*HLOOKUP(BZ$5,Escalators!$I$25:$U$30,6,FALSE)</f>
        <v>0</v>
      </c>
      <c r="CA25" s="128">
        <f>INDEX(Direct_Cost_Splits_Network,MATCH($H25,RIN_Asset_Cat_Network,0),MATCH($BY$4,Direct_Cost_Type,0))*L25*HLOOKUP(CA$5,Escalators!$I$25:$U$30,6,FALSE)</f>
        <v>0</v>
      </c>
      <c r="CB25" s="128">
        <f>INDEX(Direct_Cost_Splits_Network,MATCH($H25,RIN_Asset_Cat_Network,0),MATCH($BY$4,Direct_Cost_Type,0))*M25*HLOOKUP(CB$5,Escalators!$I$25:$U$30,6,FALSE)</f>
        <v>105.17619455106875</v>
      </c>
      <c r="CC25" s="128">
        <f>INDEX(Direct_Cost_Splits_Network,MATCH($H25,RIN_Asset_Cat_Network,0),MATCH($BY$4,Direct_Cost_Type,0))*N25*HLOOKUP(CC$5,Escalators!$I$25:$U$30,6,FALSE)</f>
        <v>105.17619455106875</v>
      </c>
      <c r="CD25" s="128">
        <f>INDEX(Direct_Cost_Splits_Network,MATCH($H25,RIN_Asset_Cat_Network,0),MATCH($BY$4,Direct_Cost_Type,0))*O25*HLOOKUP(CD$5,Escalators!$I$25:$U$30,6,FALSE)</f>
        <v>105.17619455106875</v>
      </c>
      <c r="CE25" s="128">
        <f>INDEX(Direct_Cost_Splits_Network,MATCH($H25,RIN_Asset_Cat_Network,0),MATCH($BY$4,Direct_Cost_Type,0))*P25*HLOOKUP(CE$5,Escalators!$I$25:$U$30,6,FALSE)</f>
        <v>105.17619455106875</v>
      </c>
      <c r="CF25" s="128">
        <f>INDEX(Direct_Cost_Splits_Network,MATCH($H25,RIN_Asset_Cat_Network,0),MATCH($BY$4,Direct_Cost_Type,0))*Q25*HLOOKUP(CF$5,Escalators!$I$25:$U$30,6,FALSE)</f>
        <v>105.17619455106875</v>
      </c>
      <c r="CG25" s="129"/>
      <c r="CH25" s="675">
        <f t="shared" si="76"/>
        <v>0</v>
      </c>
      <c r="CI25" s="675">
        <f t="shared" si="77"/>
        <v>0</v>
      </c>
      <c r="CJ25" s="675">
        <f t="shared" si="78"/>
        <v>0</v>
      </c>
      <c r="CK25" s="675">
        <f t="shared" si="79"/>
        <v>28.895699931395033</v>
      </c>
      <c r="CL25" s="675">
        <f t="shared" si="80"/>
        <v>28.895699931395033</v>
      </c>
      <c r="CM25" s="675">
        <f t="shared" si="81"/>
        <v>28.895699931395033</v>
      </c>
      <c r="CN25" s="675">
        <f t="shared" si="82"/>
        <v>28.895699931395033</v>
      </c>
      <c r="CO25" s="675">
        <f t="shared" si="83"/>
        <v>28.895699931395033</v>
      </c>
      <c r="CP25" s="129"/>
      <c r="CQ25" s="128">
        <f t="shared" si="18"/>
        <v>0</v>
      </c>
      <c r="CR25" s="128">
        <f t="shared" si="9"/>
        <v>0</v>
      </c>
      <c r="CS25" s="128">
        <f t="shared" si="19"/>
        <v>0</v>
      </c>
      <c r="CT25" s="128">
        <f t="shared" si="20"/>
        <v>251.26622895936134</v>
      </c>
      <c r="CU25" s="128">
        <f t="shared" si="21"/>
        <v>251.46461290563906</v>
      </c>
      <c r="CV25" s="128">
        <f t="shared" si="22"/>
        <v>251.72634001374968</v>
      </c>
      <c r="CW25" s="128">
        <f t="shared" si="23"/>
        <v>252.12819295418487</v>
      </c>
      <c r="CX25" s="128">
        <f t="shared" si="24"/>
        <v>252.66234394372867</v>
      </c>
      <c r="CZ25" s="39"/>
    </row>
    <row r="26" spans="2:104">
      <c r="B26" s="75" t="s">
        <v>426</v>
      </c>
      <c r="C26" s="75" t="s">
        <v>462</v>
      </c>
      <c r="D26" s="75" t="s">
        <v>108</v>
      </c>
      <c r="E26" s="75" t="s">
        <v>45</v>
      </c>
      <c r="F26" s="75" t="s">
        <v>51</v>
      </c>
      <c r="G26" s="75" t="s">
        <v>10</v>
      </c>
      <c r="H26" s="75" t="s">
        <v>165</v>
      </c>
      <c r="I26" s="75" t="s">
        <v>250</v>
      </c>
      <c r="J26" s="128"/>
      <c r="K26" s="128"/>
      <c r="L26" s="128"/>
      <c r="M26" s="128">
        <v>2090</v>
      </c>
      <c r="N26" s="128">
        <v>2090</v>
      </c>
      <c r="O26" s="128">
        <v>2090</v>
      </c>
      <c r="P26" s="128">
        <v>2090</v>
      </c>
      <c r="Q26" s="128">
        <v>2090</v>
      </c>
      <c r="R26" s="129"/>
      <c r="S26" s="128">
        <f>INDEX(Direct_Cost_Splits_Network,MATCH($H26,RIN_Asset_Cat_Network,0),MATCH($S$4,Direct_Cost_Type,0))*J26*HLOOKUP(S$5,Escalators!$I$25:$U$30,3,FALSE)</f>
        <v>0</v>
      </c>
      <c r="T26" s="128">
        <f>INDEX(Direct_Cost_Splits_Network,MATCH($H26,RIN_Asset_Cat_Network,0),MATCH($S$4,Direct_Cost_Type,0))*K26*HLOOKUP(T$5,Escalators!$I$25:$U$30,3,FALSE)</f>
        <v>0</v>
      </c>
      <c r="U26" s="128">
        <f>INDEX(Direct_Cost_Splits_Network,MATCH($H26,RIN_Asset_Cat_Network,0),MATCH($S$4,Direct_Cost_Type,0))*L26*HLOOKUP(U$5,Escalators!$I$25:$U$30,3,FALSE)</f>
        <v>0</v>
      </c>
      <c r="V26" s="128">
        <f>INDEX(Direct_Cost_Splits_Network,MATCH($H26,RIN_Asset_Cat_Network,0),MATCH($S$4,Direct_Cost_Type,0))*M26*HLOOKUP(V$5,Escalators!$I$25:$U$30,3,FALSE)</f>
        <v>334.31272234323887</v>
      </c>
      <c r="W26" s="128">
        <f>INDEX(Direct_Cost_Splits_Network,MATCH($H26,RIN_Asset_Cat_Network,0),MATCH($S$4,Direct_Cost_Type,0))*N26*HLOOKUP(W$5,Escalators!$I$25:$U$30,3,FALSE)</f>
        <v>335.97121213412032</v>
      </c>
      <c r="X26" s="128">
        <f>INDEX(Direct_Cost_Splits_Network,MATCH($H26,RIN_Asset_Cat_Network,0),MATCH($S$4,Direct_Cost_Type,0))*O26*HLOOKUP(X$5,Escalators!$I$25:$U$30,3,FALSE)</f>
        <v>338.15925075792524</v>
      </c>
      <c r="Y26" s="128">
        <f>INDEX(Direct_Cost_Splits_Network,MATCH($H26,RIN_Asset_Cat_Network,0),MATCH($S$4,Direct_Cost_Type,0))*P26*HLOOKUP(Y$5,Escalators!$I$25:$U$30,3,FALSE)</f>
        <v>341.51874133996341</v>
      </c>
      <c r="Z26" s="128">
        <f>INDEX(Direct_Cost_Splits_Network,MATCH($H26,RIN_Asset_Cat_Network,0),MATCH($S$4,Direct_Cost_Type,0))*Q26*HLOOKUP(Z$5,Escalators!$I$25:$U$30,3,FALSE)</f>
        <v>345.98424361254956</v>
      </c>
      <c r="AA26" s="129"/>
      <c r="AB26" s="128">
        <f>INDEX(Direct_Cost_Splits_Network,MATCH($H26,RIN_Asset_Cat_Network,0),MATCH($AG$4,Direct_Cost_Type,0))*$J26*INDEX(Act_Type_Augex_Splits,MATCH($I26,Act_Type_Augex,0),MATCH(AB$4,Mat_Type,0))*INDEX(Escalators!$I$44:$U$49,MATCH(AB$4,Escalators!$C$44:$C$49,0),MATCH(AB$5,Escalators!$I$43:$U$43,0))</f>
        <v>0</v>
      </c>
      <c r="AC26" s="128">
        <f>INDEX(Direct_Cost_Splits_Network,MATCH($H26,RIN_Asset_Cat_Network,0),MATCH($AG$4,Direct_Cost_Type,0))*$J26*INDEX(Act_Type_Augex_Splits,MATCH($I26,Act_Type_Augex,0),MATCH(AC$4,Mat_Type,0))*INDEX(Escalators!$I$44:$U$49,MATCH(AC$4,Escalators!$C$44:$C$49,0),MATCH(AC$5,Escalators!$I$43:$U$43,0))</f>
        <v>0</v>
      </c>
      <c r="AD26" s="128">
        <f>INDEX(Direct_Cost_Splits_Network,MATCH($H26,RIN_Asset_Cat_Network,0),MATCH($AG$4,Direct_Cost_Type,0))*$J26*INDEX(Act_Type_Augex_Splits,MATCH($I26,Act_Type_Augex,0),MATCH(AD$4,Mat_Type,0))*INDEX(Escalators!$I$44:$U$49,MATCH(AD$4,Escalators!$C$44:$C$49,0),MATCH(AD$5,Escalators!$I$43:$U$43,0))</f>
        <v>0</v>
      </c>
      <c r="AE26" s="128">
        <f>INDEX(Direct_Cost_Splits_Network,MATCH($H26,RIN_Asset_Cat_Network,0),MATCH($AG$4,Direct_Cost_Type,0))*$J26*INDEX(Act_Type_Augex_Splits,MATCH($I26,Act_Type_Augex,0),MATCH(AE$4,Mat_Type,0))*INDEX(Escalators!$I$44:$U$49,MATCH(AE$4,Escalators!$C$44:$C$49,0),MATCH(AE$5,Escalators!$I$43:$U$43,0))</f>
        <v>0</v>
      </c>
      <c r="AF26" s="128">
        <f>INDEX(Direct_Cost_Splits_Network,MATCH($H26,RIN_Asset_Cat_Network,0),MATCH($AG$4,Direct_Cost_Type,0))*$J26*INDEX(Act_Type_Augex_Splits,MATCH($I26,Act_Type_Augex,0),MATCH(AF$4,Mat_Type,0))*INDEX(Escalators!$I$44:$U$49,MATCH(AF$4,Escalators!$C$44:$C$49,0),MATCH(AF$5,Escalators!$I$43:$U$43,0))</f>
        <v>0</v>
      </c>
      <c r="AG26" s="128">
        <f t="shared" si="68"/>
        <v>0</v>
      </c>
      <c r="AH26" s="128">
        <f>INDEX(Direct_Cost_Splits_Network,MATCH($H26,RIN_Asset_Cat_Network,0),MATCH($AY$4,Direct_Cost_Type,0))*$K26*INDEX(Act_Type_Augex_Splits,MATCH($I26,Act_Type_Augex,0),MATCH(AH$4,Mat_Type,0))*INDEX(Escalators!$I$44:$U$49,MATCH(AH$4,Escalators!$C$44:$C$49,0),MATCH(AH$5,Escalators!$I$43:$U$43,0))</f>
        <v>0</v>
      </c>
      <c r="AI26" s="128">
        <f>INDEX(Direct_Cost_Splits_Network,MATCH($H26,RIN_Asset_Cat_Network,0),MATCH($AY$4,Direct_Cost_Type,0))*$K26*INDEX(Act_Type_Augex_Splits,MATCH($I26,Act_Type_Augex,0),MATCH(AI$4,Mat_Type,0))*INDEX(Escalators!$I$44:$U$49,MATCH(AI$4,Escalators!$C$44:$C$49,0),MATCH(AI$5,Escalators!$I$43:$U$43,0))</f>
        <v>0</v>
      </c>
      <c r="AJ26" s="128">
        <f>INDEX(Direct_Cost_Splits_Network,MATCH($H26,RIN_Asset_Cat_Network,0),MATCH($AY$4,Direct_Cost_Type,0))*$K26*INDEX(Act_Type_Augex_Splits,MATCH($I26,Act_Type_Augex,0),MATCH(AJ$4,Mat_Type,0))*INDEX(Escalators!$I$44:$U$49,MATCH(AJ$4,Escalators!$C$44:$C$49,0),MATCH(AJ$5,Escalators!$I$43:$U$43,0))</f>
        <v>0</v>
      </c>
      <c r="AK26" s="128">
        <f>INDEX(Direct_Cost_Splits_Network,MATCH($H26,RIN_Asset_Cat_Network,0),MATCH($AY$4,Direct_Cost_Type,0))*$K26*INDEX(Act_Type_Augex_Splits,MATCH($I26,Act_Type_Augex,0),MATCH(AK$4,Mat_Type,0))*INDEX(Escalators!$I$44:$U$49,MATCH(AK$4,Escalators!$C$44:$C$49,0),MATCH(AK$5,Escalators!$I$43:$U$43,0))</f>
        <v>0</v>
      </c>
      <c r="AL26" s="128">
        <f>INDEX(Direct_Cost_Splits_Network,MATCH($H26,RIN_Asset_Cat_Network,0),MATCH($AY$4,Direct_Cost_Type,0))*$K26*INDEX(Act_Type_Augex_Splits,MATCH($I26,Act_Type_Augex,0),MATCH(AL$4,Mat_Type,0))*INDEX(Escalators!$I$44:$U$49,MATCH(AL$4,Escalators!$C$44:$C$49,0),MATCH(AL$5,Escalators!$I$43:$U$43,0))</f>
        <v>0</v>
      </c>
      <c r="AM26" s="128">
        <f t="shared" si="69"/>
        <v>0</v>
      </c>
      <c r="AN26" s="128">
        <f>INDEX(Direct_Cost_Splits_Network,MATCH($H26,RIN_Asset_Cat_Network,0),MATCH($AY$4,Direct_Cost_Type,0))*$L26*INDEX(Act_Type_Augex_Splits,MATCH($I26,Act_Type_Augex,0),MATCH(AN$4,Mat_Type,0))*INDEX(Escalators!$I$44:$U$49,MATCH(AN$4,Escalators!$C$44:$C$49,0),MATCH(AN$5,Escalators!$I$43:$U$43,0))</f>
        <v>0</v>
      </c>
      <c r="AO26" s="128">
        <f>INDEX(Direct_Cost_Splits_Network,MATCH($H26,RIN_Asset_Cat_Network,0),MATCH($AY$4,Direct_Cost_Type,0))*$L26*INDEX(Act_Type_Augex_Splits,MATCH($I26,Act_Type_Augex,0),MATCH(AO$4,Mat_Type,0))*INDEX(Escalators!$I$44:$U$49,MATCH(AO$4,Escalators!$C$44:$C$49,0),MATCH(AO$5,Escalators!$I$43:$U$43,0))</f>
        <v>0</v>
      </c>
      <c r="AP26" s="128">
        <f>INDEX(Direct_Cost_Splits_Network,MATCH($H26,RIN_Asset_Cat_Network,0),MATCH($AY$4,Direct_Cost_Type,0))*$L26*INDEX(Act_Type_Augex_Splits,MATCH($I26,Act_Type_Augex,0),MATCH(AP$4,Mat_Type,0))*INDEX(Escalators!$I$44:$U$49,MATCH(AP$4,Escalators!$C$44:$C$49,0),MATCH(AP$5,Escalators!$I$43:$U$43,0))</f>
        <v>0</v>
      </c>
      <c r="AQ26" s="128">
        <f>INDEX(Direct_Cost_Splits_Network,MATCH($H26,RIN_Asset_Cat_Network,0),MATCH($AY$4,Direct_Cost_Type,0))*$L26*INDEX(Act_Type_Augex_Splits,MATCH($I26,Act_Type_Augex,0),MATCH(AQ$4,Mat_Type,0))*INDEX(Escalators!$I$44:$U$49,MATCH(AQ$4,Escalators!$C$44:$C$49,0),MATCH(AQ$5,Escalators!$I$43:$U$43,0))</f>
        <v>0</v>
      </c>
      <c r="AR26" s="128">
        <f>INDEX(Direct_Cost_Splits_Network,MATCH($H26,RIN_Asset_Cat_Network,0),MATCH($AY$4,Direct_Cost_Type,0))*$L26*INDEX(Act_Type_Augex_Splits,MATCH($I26,Act_Type_Augex,0),MATCH(AR$4,Mat_Type,0))*INDEX(Escalators!$I$44:$U$49,MATCH(AR$4,Escalators!$C$44:$C$49,0),MATCH(AR$5,Escalators!$I$43:$U$43,0))</f>
        <v>0</v>
      </c>
      <c r="AS26" s="128">
        <f t="shared" si="70"/>
        <v>0</v>
      </c>
      <c r="AT26" s="128">
        <f>INDEX(Direct_Cost_Splits_Network,MATCH($H26,RIN_Asset_Cat_Network,0),MATCH($AY$4,Direct_Cost_Type,0))*$M26*INDEX(Act_Type_Augex_Splits,MATCH($I26,Act_Type_Augex,0),MATCH(AT$4,Mat_Type,0))*INDEX(Escalators!$I$44:$U$49,MATCH(AT$4,Escalators!$C$44:$C$49,0),MATCH(AT$5,Escalators!$I$43:$U$43,0))</f>
        <v>432.43938230202866</v>
      </c>
      <c r="AU26" s="128">
        <f>INDEX(Direct_Cost_Splits_Network,MATCH($H26,RIN_Asset_Cat_Network,0),MATCH($AY$4,Direct_Cost_Type,0))*$M26*INDEX(Act_Type_Augex_Splits,MATCH($I26,Act_Type_Augex,0),MATCH(AU$4,Mat_Type,0))*INDEX(Escalators!$I$44:$U$49,MATCH(AU$4,Escalators!$C$44:$C$49,0),MATCH(AU$5,Escalators!$I$43:$U$43,0))</f>
        <v>0</v>
      </c>
      <c r="AV26" s="128">
        <f>INDEX(Direct_Cost_Splits_Network,MATCH($H26,RIN_Asset_Cat_Network,0),MATCH($AY$4,Direct_Cost_Type,0))*$M26*INDEX(Act_Type_Augex_Splits,MATCH($I26,Act_Type_Augex,0),MATCH(AV$4,Mat_Type,0))*INDEX(Escalators!$I$44:$U$49,MATCH(AV$4,Escalators!$C$44:$C$49,0),MATCH(AV$5,Escalators!$I$43:$U$43,0))</f>
        <v>83.906148804871222</v>
      </c>
      <c r="AW26" s="128">
        <f>INDEX(Direct_Cost_Splits_Network,MATCH($H26,RIN_Asset_Cat_Network,0),MATCH($AY$4,Direct_Cost_Type,0))*$M26*INDEX(Act_Type_Augex_Splits,MATCH($I26,Act_Type_Augex,0),MATCH(AW$4,Mat_Type,0))*INDEX(Escalators!$I$44:$U$49,MATCH(AW$4,Escalators!$C$44:$C$49,0),MATCH(AW$5,Escalators!$I$43:$U$43,0))</f>
        <v>0</v>
      </c>
      <c r="AX26" s="128">
        <f>INDEX(Direct_Cost_Splits_Network,MATCH($H26,RIN_Asset_Cat_Network,0),MATCH($AY$4,Direct_Cost_Type,0))*$M26*INDEX(Act_Type_Augex_Splits,MATCH($I26,Act_Type_Augex,0),MATCH(AX$4,Mat_Type,0))*INDEX(Escalators!$I$44:$U$49,MATCH(AX$4,Escalators!$C$44:$C$49,0),MATCH(AX$5,Escalators!$I$43:$U$43,0))</f>
        <v>129.08638277672497</v>
      </c>
      <c r="AY26" s="128">
        <f t="shared" si="71"/>
        <v>645.43191388362493</v>
      </c>
      <c r="AZ26" s="128">
        <f>INDEX(Direct_Cost_Splits_Network,MATCH($H26,RIN_Asset_Cat_Network,0),MATCH($BE$4,Direct_Cost_Type,0))*$N26*INDEX(Act_Type_Augex_Splits,MATCH($I26,Act_Type_Augex,0),MATCH(AZ$4,Mat_Type,0))*INDEX(Escalators!$I$44:$U$49,MATCH(AZ$4,Escalators!$C$44:$C$49,0),MATCH(AZ$5,Escalators!$I$43:$U$43,0))</f>
        <v>432.43938230202866</v>
      </c>
      <c r="BA26" s="128">
        <f>INDEX(Direct_Cost_Splits_Network,MATCH($H26,RIN_Asset_Cat_Network,0),MATCH($BE$4,Direct_Cost_Type,0))*$N26*INDEX(Act_Type_Augex_Splits,MATCH($I26,Act_Type_Augex,0),MATCH(BA$4,Mat_Type,0))*INDEX(Escalators!$I$44:$U$49,MATCH(BA$4,Escalators!$C$44:$C$49,0),MATCH(BA$5,Escalators!$I$43:$U$43,0))</f>
        <v>0</v>
      </c>
      <c r="BB26" s="128">
        <f>INDEX(Direct_Cost_Splits_Network,MATCH($H26,RIN_Asset_Cat_Network,0),MATCH($BE$4,Direct_Cost_Type,0))*$N26*INDEX(Act_Type_Augex_Splits,MATCH($I26,Act_Type_Augex,0),MATCH(BB$4,Mat_Type,0))*INDEX(Escalators!$I$44:$U$49,MATCH(BB$4,Escalators!$C$44:$C$49,0),MATCH(BB$5,Escalators!$I$43:$U$43,0))</f>
        <v>83.906148804871222</v>
      </c>
      <c r="BC26" s="128">
        <f>INDEX(Direct_Cost_Splits_Network,MATCH($H26,RIN_Asset_Cat_Network,0),MATCH($BE$4,Direct_Cost_Type,0))*$N26*INDEX(Act_Type_Augex_Splits,MATCH($I26,Act_Type_Augex,0),MATCH(BC$4,Mat_Type,0))*INDEX(Escalators!$I$44:$U$49,MATCH(BC$4,Escalators!$C$44:$C$49,0),MATCH(BC$5,Escalators!$I$43:$U$43,0))</f>
        <v>0</v>
      </c>
      <c r="BD26" s="128">
        <f>INDEX(Direct_Cost_Splits_Network,MATCH($H26,RIN_Asset_Cat_Network,0),MATCH($BE$4,Direct_Cost_Type,0))*$N26*INDEX(Act_Type_Augex_Splits,MATCH($I26,Act_Type_Augex,0),MATCH(BD$4,Mat_Type,0))*INDEX(Escalators!$I$44:$U$49,MATCH(BD$4,Escalators!$C$44:$C$49,0),MATCH(BD$5,Escalators!$I$43:$U$43,0))</f>
        <v>129.08638277672497</v>
      </c>
      <c r="BE26" s="128">
        <f t="shared" si="72"/>
        <v>645.43191388362493</v>
      </c>
      <c r="BF26" s="128">
        <f>INDEX(Direct_Cost_Splits_Network,MATCH($H26,RIN_Asset_Cat_Network,0),MATCH($BK$4,Direct_Cost_Type,0))*$O26*INDEX(Act_Type_Augex_Splits,MATCH($I26,Act_Type_Augex,0),MATCH(BF$4,Mat_Type,0))*INDEX(Escalators!$I$44:$U$49,MATCH(BF$4,Escalators!$C$44:$C$49,0),MATCH(BF$5,Escalators!$I$43:$U$43,0))</f>
        <v>432.43938230202866</v>
      </c>
      <c r="BG26" s="128">
        <f>INDEX(Direct_Cost_Splits_Network,MATCH($H26,RIN_Asset_Cat_Network,0),MATCH($BK$4,Direct_Cost_Type,0))*$O26*INDEX(Act_Type_Augex_Splits,MATCH($I26,Act_Type_Augex,0),MATCH(BG$4,Mat_Type,0))*INDEX(Escalators!$I$44:$U$49,MATCH(BG$4,Escalators!$C$44:$C$49,0),MATCH(BG$5,Escalators!$I$43:$U$43,0))</f>
        <v>0</v>
      </c>
      <c r="BH26" s="128">
        <f>INDEX(Direct_Cost_Splits_Network,MATCH($H26,RIN_Asset_Cat_Network,0),MATCH($BK$4,Direct_Cost_Type,0))*$O26*INDEX(Act_Type_Augex_Splits,MATCH($I26,Act_Type_Augex,0),MATCH(BH$4,Mat_Type,0))*INDEX(Escalators!$I$44:$U$49,MATCH(BH$4,Escalators!$C$44:$C$49,0),MATCH(BH$5,Escalators!$I$43:$U$43,0))</f>
        <v>83.906148804871222</v>
      </c>
      <c r="BI26" s="128">
        <f>INDEX(Direct_Cost_Splits_Network,MATCH($H26,RIN_Asset_Cat_Network,0),MATCH($BK$4,Direct_Cost_Type,0))*$O26*INDEX(Act_Type_Augex_Splits,MATCH($I26,Act_Type_Augex,0),MATCH(BI$4,Mat_Type,0))*INDEX(Escalators!$I$44:$U$49,MATCH(BI$4,Escalators!$C$44:$C$49,0),MATCH(BI$5,Escalators!$I$43:$U$43,0))</f>
        <v>0</v>
      </c>
      <c r="BJ26" s="128">
        <f>INDEX(Direct_Cost_Splits_Network,MATCH($H26,RIN_Asset_Cat_Network,0),MATCH($BK$4,Direct_Cost_Type,0))*$O26*INDEX(Act_Type_Augex_Splits,MATCH($I26,Act_Type_Augex,0),MATCH(BJ$4,Mat_Type,0))*INDEX(Escalators!$I$44:$U$49,MATCH(BJ$4,Escalators!$C$44:$C$49,0),MATCH(BJ$5,Escalators!$I$43:$U$43,0))</f>
        <v>129.08638277672497</v>
      </c>
      <c r="BK26" s="128">
        <f t="shared" si="73"/>
        <v>645.43191388362493</v>
      </c>
      <c r="BL26" s="128">
        <f>INDEX(Direct_Cost_Splits_Network,MATCH($H26,RIN_Asset_Cat_Network,0),MATCH($BQ$4,Direct_Cost_Type,0))*$P26*INDEX(Act_Type_Augex_Splits,MATCH($I26,Act_Type_Augex,0),MATCH(BL$4,Mat_Type,0))*INDEX(Escalators!$I$44:$U$49,MATCH(BL$4,Escalators!$C$44:$C$49,0),MATCH(BL$5,Escalators!$I$43:$U$43,0))</f>
        <v>432.43938230202866</v>
      </c>
      <c r="BM26" s="128">
        <f>INDEX(Direct_Cost_Splits_Network,MATCH($H26,RIN_Asset_Cat_Network,0),MATCH($BQ$4,Direct_Cost_Type,0))*$P26*INDEX(Act_Type_Augex_Splits,MATCH($I26,Act_Type_Augex,0),MATCH(BM$4,Mat_Type,0))*INDEX(Escalators!$I$44:$U$49,MATCH(BM$4,Escalators!$C$44:$C$49,0),MATCH(BM$5,Escalators!$I$43:$U$43,0))</f>
        <v>0</v>
      </c>
      <c r="BN26" s="128">
        <f>INDEX(Direct_Cost_Splits_Network,MATCH($H26,RIN_Asset_Cat_Network,0),MATCH($BQ$4,Direct_Cost_Type,0))*$P26*INDEX(Act_Type_Augex_Splits,MATCH($I26,Act_Type_Augex,0),MATCH(BN$4,Mat_Type,0))*INDEX(Escalators!$I$44:$U$49,MATCH(BN$4,Escalators!$C$44:$C$49,0),MATCH(BN$5,Escalators!$I$43:$U$43,0))</f>
        <v>83.906148804871222</v>
      </c>
      <c r="BO26" s="128">
        <f>INDEX(Direct_Cost_Splits_Network,MATCH($H26,RIN_Asset_Cat_Network,0),MATCH($BQ$4,Direct_Cost_Type,0))*$P26*INDEX(Act_Type_Augex_Splits,MATCH($I26,Act_Type_Augex,0),MATCH(BO$4,Mat_Type,0))*INDEX(Escalators!$I$44:$U$49,MATCH(BO$4,Escalators!$C$44:$C$49,0),MATCH(BO$5,Escalators!$I$43:$U$43,0))</f>
        <v>0</v>
      </c>
      <c r="BP26" s="128">
        <f>INDEX(Direct_Cost_Splits_Network,MATCH($H26,RIN_Asset_Cat_Network,0),MATCH($BQ$4,Direct_Cost_Type,0))*$P26*INDEX(Act_Type_Augex_Splits,MATCH($I26,Act_Type_Augex,0),MATCH(BP$4,Mat_Type,0))*INDEX(Escalators!$I$44:$U$49,MATCH(BP$4,Escalators!$C$44:$C$49,0),MATCH(BP$5,Escalators!$I$43:$U$43,0))</f>
        <v>129.08638277672497</v>
      </c>
      <c r="BQ26" s="128">
        <f t="shared" si="74"/>
        <v>645.43191388362493</v>
      </c>
      <c r="BR26" s="128">
        <f>INDEX(Direct_Cost_Splits_Network,MATCH($H26,RIN_Asset_Cat_Network,0),MATCH($BW$4,Direct_Cost_Type,0))*$Q26*INDEX(Act_Type_Augex_Splits,MATCH($I26,Act_Type_Augex,0),MATCH(BR$4,Mat_Type,0))*INDEX(Escalators!$I$44:$U$49,MATCH(BR$4,Escalators!$C$44:$C$49,0),MATCH(BR$5,Escalators!$I$43:$U$43,0))</f>
        <v>432.43938230202866</v>
      </c>
      <c r="BS26" s="128">
        <f>INDEX(Direct_Cost_Splits_Network,MATCH($H26,RIN_Asset_Cat_Network,0),MATCH($BW$4,Direct_Cost_Type,0))*$Q26*INDEX(Act_Type_Augex_Splits,MATCH($I26,Act_Type_Augex,0),MATCH(BS$4,Mat_Type,0))*INDEX(Escalators!$I$44:$U$49,MATCH(BS$4,Escalators!$C$44:$C$49,0),MATCH(BS$5,Escalators!$I$43:$U$43,0))</f>
        <v>0</v>
      </c>
      <c r="BT26" s="128">
        <f>INDEX(Direct_Cost_Splits_Network,MATCH($H26,RIN_Asset_Cat_Network,0),MATCH($BW$4,Direct_Cost_Type,0))*$Q26*INDEX(Act_Type_Augex_Splits,MATCH($I26,Act_Type_Augex,0),MATCH(BT$4,Mat_Type,0))*INDEX(Escalators!$I$44:$U$49,MATCH(BT$4,Escalators!$C$44:$C$49,0),MATCH(BT$5,Escalators!$I$43:$U$43,0))</f>
        <v>83.906148804871222</v>
      </c>
      <c r="BU26" s="128">
        <f>INDEX(Direct_Cost_Splits_Network,MATCH($H26,RIN_Asset_Cat_Network,0),MATCH($BW$4,Direct_Cost_Type,0))*$Q26*INDEX(Act_Type_Augex_Splits,MATCH($I26,Act_Type_Augex,0),MATCH(BU$4,Mat_Type,0))*INDEX(Escalators!$I$44:$U$49,MATCH(BU$4,Escalators!$C$44:$C$49,0),MATCH(BU$5,Escalators!$I$43:$U$43,0))</f>
        <v>0</v>
      </c>
      <c r="BV26" s="128">
        <f>INDEX(Direct_Cost_Splits_Network,MATCH($H26,RIN_Asset_Cat_Network,0),MATCH($BW$4,Direct_Cost_Type,0))*$Q26*INDEX(Act_Type_Augex_Splits,MATCH($I26,Act_Type_Augex,0),MATCH(BV$4,Mat_Type,0))*INDEX(Escalators!$I$44:$U$49,MATCH(BV$4,Escalators!$C$44:$C$49,0),MATCH(BV$5,Escalators!$I$43:$U$43,0))</f>
        <v>129.08638277672497</v>
      </c>
      <c r="BW26" s="128">
        <f t="shared" si="75"/>
        <v>645.43191388362493</v>
      </c>
      <c r="BX26" s="129"/>
      <c r="BY26" s="128">
        <f>INDEX(Direct_Cost_Splits_Network,MATCH($H26,RIN_Asset_Cat_Network,0),MATCH($BY$4,Direct_Cost_Type,0))*J26*HLOOKUP(BY$5,Escalators!$I$25:$U$30,6,FALSE)</f>
        <v>0</v>
      </c>
      <c r="BZ26" s="128">
        <f>INDEX(Direct_Cost_Splits_Network,MATCH($H26,RIN_Asset_Cat_Network,0),MATCH($BY$4,Direct_Cost_Type,0))*K26*HLOOKUP(BZ$5,Escalators!$I$25:$U$30,6,FALSE)</f>
        <v>0</v>
      </c>
      <c r="CA26" s="128">
        <f>INDEX(Direct_Cost_Splits_Network,MATCH($H26,RIN_Asset_Cat_Network,0),MATCH($BY$4,Direct_Cost_Type,0))*L26*HLOOKUP(CA$5,Escalators!$I$25:$U$30,6,FALSE)</f>
        <v>0</v>
      </c>
      <c r="CB26" s="128">
        <f>INDEX(Direct_Cost_Splits_Network,MATCH($H26,RIN_Asset_Cat_Network,0),MATCH($BY$4,Direct_Cost_Type,0))*M26*HLOOKUP(CB$5,Escalators!$I$25:$U$30,6,FALSE)</f>
        <v>879.27298644693474</v>
      </c>
      <c r="CC26" s="128">
        <f>INDEX(Direct_Cost_Splits_Network,MATCH($H26,RIN_Asset_Cat_Network,0),MATCH($BY$4,Direct_Cost_Type,0))*N26*HLOOKUP(CC$5,Escalators!$I$25:$U$30,6,FALSE)</f>
        <v>879.27298644693474</v>
      </c>
      <c r="CD26" s="128">
        <f>INDEX(Direct_Cost_Splits_Network,MATCH($H26,RIN_Asset_Cat_Network,0),MATCH($BY$4,Direct_Cost_Type,0))*O26*HLOOKUP(CD$5,Escalators!$I$25:$U$30,6,FALSE)</f>
        <v>879.27298644693474</v>
      </c>
      <c r="CE26" s="128">
        <f>INDEX(Direct_Cost_Splits_Network,MATCH($H26,RIN_Asset_Cat_Network,0),MATCH($BY$4,Direct_Cost_Type,0))*P26*HLOOKUP(CE$5,Escalators!$I$25:$U$30,6,FALSE)</f>
        <v>879.27298644693474</v>
      </c>
      <c r="CF26" s="128">
        <f>INDEX(Direct_Cost_Splits_Network,MATCH($H26,RIN_Asset_Cat_Network,0),MATCH($BY$4,Direct_Cost_Type,0))*Q26*HLOOKUP(CF$5,Escalators!$I$25:$U$30,6,FALSE)</f>
        <v>879.27298644693474</v>
      </c>
      <c r="CG26" s="129"/>
      <c r="CH26" s="675">
        <f t="shared" si="76"/>
        <v>0</v>
      </c>
      <c r="CI26" s="675">
        <f t="shared" si="77"/>
        <v>0</v>
      </c>
      <c r="CJ26" s="675">
        <f t="shared" si="78"/>
        <v>0</v>
      </c>
      <c r="CK26" s="675">
        <f t="shared" si="79"/>
        <v>241.56805142646249</v>
      </c>
      <c r="CL26" s="675">
        <f t="shared" si="80"/>
        <v>241.56805142646249</v>
      </c>
      <c r="CM26" s="675">
        <f t="shared" si="81"/>
        <v>241.56805142646249</v>
      </c>
      <c r="CN26" s="675">
        <f t="shared" si="82"/>
        <v>241.56805142646249</v>
      </c>
      <c r="CO26" s="675">
        <f t="shared" si="83"/>
        <v>241.56805142646249</v>
      </c>
      <c r="CP26" s="129"/>
      <c r="CQ26" s="128">
        <f t="shared" si="18"/>
        <v>0</v>
      </c>
      <c r="CR26" s="128">
        <f t="shared" si="9"/>
        <v>0</v>
      </c>
      <c r="CS26" s="128">
        <f t="shared" si="19"/>
        <v>0</v>
      </c>
      <c r="CT26" s="128">
        <f t="shared" si="20"/>
        <v>2100.5856741002608</v>
      </c>
      <c r="CU26" s="128">
        <f t="shared" si="21"/>
        <v>2102.2441638911423</v>
      </c>
      <c r="CV26" s="128">
        <f t="shared" si="22"/>
        <v>2104.4322025149477</v>
      </c>
      <c r="CW26" s="128">
        <f t="shared" si="23"/>
        <v>2107.7916930969859</v>
      </c>
      <c r="CX26" s="128">
        <f t="shared" si="24"/>
        <v>2112.2571953695715</v>
      </c>
      <c r="CZ26" s="39"/>
    </row>
    <row r="27" spans="2:104">
      <c r="B27" s="75" t="s">
        <v>645</v>
      </c>
      <c r="C27" s="75" t="s">
        <v>550</v>
      </c>
      <c r="D27" s="75" t="s">
        <v>422</v>
      </c>
      <c r="E27" s="75" t="s">
        <v>44</v>
      </c>
      <c r="F27" s="75" t="s">
        <v>55</v>
      </c>
      <c r="G27" s="75" t="s">
        <v>10</v>
      </c>
      <c r="H27" s="75" t="s">
        <v>152</v>
      </c>
      <c r="I27" s="75" t="s">
        <v>213</v>
      </c>
      <c r="J27" s="128"/>
      <c r="K27" s="128"/>
      <c r="L27" s="128"/>
      <c r="M27" s="750">
        <f>'[3]All works'!D16</f>
        <v>17402.343537048775</v>
      </c>
      <c r="N27" s="750">
        <f>'[3]All works'!E16</f>
        <v>21190.838065814103</v>
      </c>
      <c r="O27" s="750">
        <f>'[3]All works'!F16</f>
        <v>4715.8358106729183</v>
      </c>
      <c r="P27" s="750">
        <f>'[3]All works'!G16</f>
        <v>1639.7471160808075</v>
      </c>
      <c r="Q27" s="750">
        <f>'[3]All works'!H16</f>
        <v>1229.8103370606057</v>
      </c>
      <c r="R27" s="129"/>
      <c r="S27" s="128">
        <f>INDEX(Direct_Cost_Splits_Network,MATCH($H27,RIN_Asset_Cat_Network,0),MATCH($S$4,Direct_Cost_Type,0))*J27*HLOOKUP(S$5,Escalators!$I$25:$U$30,3,FALSE)</f>
        <v>0</v>
      </c>
      <c r="T27" s="128">
        <f>INDEX(Direct_Cost_Splits_Network,MATCH($H27,RIN_Asset_Cat_Network,0),MATCH($S$4,Direct_Cost_Type,0))*K27*HLOOKUP(T$5,Escalators!$I$25:$U$30,3,FALSE)</f>
        <v>0</v>
      </c>
      <c r="U27" s="128">
        <f>INDEX(Direct_Cost_Splits_Network,MATCH($H27,RIN_Asset_Cat_Network,0),MATCH($S$4,Direct_Cost_Type,0))*L27*HLOOKUP(U$5,Escalators!$I$25:$U$30,3,FALSE)</f>
        <v>0</v>
      </c>
      <c r="V27" s="128">
        <f>INDEX(Direct_Cost_Splits_Network,MATCH($H27,RIN_Asset_Cat_Network,0),MATCH($S$4,Direct_Cost_Type,0))*M27*HLOOKUP(V$5,Escalators!$I$25:$U$30,3,FALSE)</f>
        <v>2783.6482502502608</v>
      </c>
      <c r="W27" s="128">
        <f>INDEX(Direct_Cost_Splits_Network,MATCH($H27,RIN_Asset_Cat_Network,0),MATCH($S$4,Direct_Cost_Type,0))*N27*HLOOKUP(W$5,Escalators!$I$25:$U$30,3,FALSE)</f>
        <v>3406.4648569901547</v>
      </c>
      <c r="X27" s="128">
        <f>INDEX(Direct_Cost_Splits_Network,MATCH($H27,RIN_Asset_Cat_Network,0),MATCH($S$4,Direct_Cost_Type,0))*O27*HLOOKUP(X$5,Escalators!$I$25:$U$30,3,FALSE)</f>
        <v>763.01603082992688</v>
      </c>
      <c r="Y27" s="128">
        <f>INDEX(Direct_Cost_Splits_Network,MATCH($H27,RIN_Asset_Cat_Network,0),MATCH($S$4,Direct_Cost_Type,0))*P27*HLOOKUP(Y$5,Escalators!$I$25:$U$30,3,FALSE)</f>
        <v>267.94467521519249</v>
      </c>
      <c r="Z27" s="128">
        <f>INDEX(Direct_Cost_Splits_Network,MATCH($H27,RIN_Asset_Cat_Network,0),MATCH($S$4,Direct_Cost_Type,0))*Q27*HLOOKUP(Z$5,Escalators!$I$25:$U$30,3,FALSE)</f>
        <v>203.58612404536285</v>
      </c>
      <c r="AA27" s="129"/>
      <c r="AB27" s="128">
        <f>INDEX(Direct_Cost_Splits_Network,MATCH($H27,RIN_Asset_Cat_Network,0),MATCH($AG$4,Direct_Cost_Type,0))*$J27*INDEX(Act_Type_Augex_Splits,MATCH($I27,Act_Type_Augex,0),MATCH(AB$4,Mat_Type,0))*INDEX(Escalators!$I$44:$U$49,MATCH(AB$4,Escalators!$C$44:$C$49,0),MATCH(AB$5,Escalators!$I$43:$U$43,0))</f>
        <v>0</v>
      </c>
      <c r="AC27" s="128">
        <f>INDEX(Direct_Cost_Splits_Network,MATCH($H27,RIN_Asset_Cat_Network,0),MATCH($AG$4,Direct_Cost_Type,0))*$J27*INDEX(Act_Type_Augex_Splits,MATCH($I27,Act_Type_Augex,0),MATCH(AC$4,Mat_Type,0))*INDEX(Escalators!$I$44:$U$49,MATCH(AC$4,Escalators!$C$44:$C$49,0),MATCH(AC$5,Escalators!$I$43:$U$43,0))</f>
        <v>0</v>
      </c>
      <c r="AD27" s="128">
        <f>INDEX(Direct_Cost_Splits_Network,MATCH($H27,RIN_Asset_Cat_Network,0),MATCH($AG$4,Direct_Cost_Type,0))*$J27*INDEX(Act_Type_Augex_Splits,MATCH($I27,Act_Type_Augex,0),MATCH(AD$4,Mat_Type,0))*INDEX(Escalators!$I$44:$U$49,MATCH(AD$4,Escalators!$C$44:$C$49,0),MATCH(AD$5,Escalators!$I$43:$U$43,0))</f>
        <v>0</v>
      </c>
      <c r="AE27" s="128">
        <f>INDEX(Direct_Cost_Splits_Network,MATCH($H27,RIN_Asset_Cat_Network,0),MATCH($AG$4,Direct_Cost_Type,0))*$J27*INDEX(Act_Type_Augex_Splits,MATCH($I27,Act_Type_Augex,0),MATCH(AE$4,Mat_Type,0))*INDEX(Escalators!$I$44:$U$49,MATCH(AE$4,Escalators!$C$44:$C$49,0),MATCH(AE$5,Escalators!$I$43:$U$43,0))</f>
        <v>0</v>
      </c>
      <c r="AF27" s="128">
        <f>INDEX(Direct_Cost_Splits_Network,MATCH($H27,RIN_Asset_Cat_Network,0),MATCH($AG$4,Direct_Cost_Type,0))*$J27*INDEX(Act_Type_Augex_Splits,MATCH($I27,Act_Type_Augex,0),MATCH(AF$4,Mat_Type,0))*INDEX(Escalators!$I$44:$U$49,MATCH(AF$4,Escalators!$C$44:$C$49,0),MATCH(AF$5,Escalators!$I$43:$U$43,0))</f>
        <v>0</v>
      </c>
      <c r="AG27" s="128">
        <f t="shared" si="68"/>
        <v>0</v>
      </c>
      <c r="AH27" s="128">
        <f>INDEX(Direct_Cost_Splits_Network,MATCH($H27,RIN_Asset_Cat_Network,0),MATCH($AY$4,Direct_Cost_Type,0))*$K27*INDEX(Act_Type_Augex_Splits,MATCH($I27,Act_Type_Augex,0),MATCH(AH$4,Mat_Type,0))*INDEX(Escalators!$I$44:$U$49,MATCH(AH$4,Escalators!$C$44:$C$49,0),MATCH(AH$5,Escalators!$I$43:$U$43,0))</f>
        <v>0</v>
      </c>
      <c r="AI27" s="128">
        <f>INDEX(Direct_Cost_Splits_Network,MATCH($H27,RIN_Asset_Cat_Network,0),MATCH($AY$4,Direct_Cost_Type,0))*$K27*INDEX(Act_Type_Augex_Splits,MATCH($I27,Act_Type_Augex,0),MATCH(AI$4,Mat_Type,0))*INDEX(Escalators!$I$44:$U$49,MATCH(AI$4,Escalators!$C$44:$C$49,0),MATCH(AI$5,Escalators!$I$43:$U$43,0))</f>
        <v>0</v>
      </c>
      <c r="AJ27" s="128">
        <f>INDEX(Direct_Cost_Splits_Network,MATCH($H27,RIN_Asset_Cat_Network,0),MATCH($AY$4,Direct_Cost_Type,0))*$K27*INDEX(Act_Type_Augex_Splits,MATCH($I27,Act_Type_Augex,0),MATCH(AJ$4,Mat_Type,0))*INDEX(Escalators!$I$44:$U$49,MATCH(AJ$4,Escalators!$C$44:$C$49,0),MATCH(AJ$5,Escalators!$I$43:$U$43,0))</f>
        <v>0</v>
      </c>
      <c r="AK27" s="128">
        <f>INDEX(Direct_Cost_Splits_Network,MATCH($H27,RIN_Asset_Cat_Network,0),MATCH($AY$4,Direct_Cost_Type,0))*$K27*INDEX(Act_Type_Augex_Splits,MATCH($I27,Act_Type_Augex,0),MATCH(AK$4,Mat_Type,0))*INDEX(Escalators!$I$44:$U$49,MATCH(AK$4,Escalators!$C$44:$C$49,0),MATCH(AK$5,Escalators!$I$43:$U$43,0))</f>
        <v>0</v>
      </c>
      <c r="AL27" s="128">
        <f>INDEX(Direct_Cost_Splits_Network,MATCH($H27,RIN_Asset_Cat_Network,0),MATCH($AY$4,Direct_Cost_Type,0))*$K27*INDEX(Act_Type_Augex_Splits,MATCH($I27,Act_Type_Augex,0),MATCH(AL$4,Mat_Type,0))*INDEX(Escalators!$I$44:$U$49,MATCH(AL$4,Escalators!$C$44:$C$49,0),MATCH(AL$5,Escalators!$I$43:$U$43,0))</f>
        <v>0</v>
      </c>
      <c r="AM27" s="128">
        <f t="shared" si="69"/>
        <v>0</v>
      </c>
      <c r="AN27" s="128">
        <f>INDEX(Direct_Cost_Splits_Network,MATCH($H27,RIN_Asset_Cat_Network,0),MATCH($AY$4,Direct_Cost_Type,0))*$L27*INDEX(Act_Type_Augex_Splits,MATCH($I27,Act_Type_Augex,0),MATCH(AN$4,Mat_Type,0))*INDEX(Escalators!$I$44:$U$49,MATCH(AN$4,Escalators!$C$44:$C$49,0),MATCH(AN$5,Escalators!$I$43:$U$43,0))</f>
        <v>0</v>
      </c>
      <c r="AO27" s="128">
        <f>INDEX(Direct_Cost_Splits_Network,MATCH($H27,RIN_Asset_Cat_Network,0),MATCH($AY$4,Direct_Cost_Type,0))*$L27*INDEX(Act_Type_Augex_Splits,MATCH($I27,Act_Type_Augex,0),MATCH(AO$4,Mat_Type,0))*INDEX(Escalators!$I$44:$U$49,MATCH(AO$4,Escalators!$C$44:$C$49,0),MATCH(AO$5,Escalators!$I$43:$U$43,0))</f>
        <v>0</v>
      </c>
      <c r="AP27" s="128">
        <f>INDEX(Direct_Cost_Splits_Network,MATCH($H27,RIN_Asset_Cat_Network,0),MATCH($AY$4,Direct_Cost_Type,0))*$L27*INDEX(Act_Type_Augex_Splits,MATCH($I27,Act_Type_Augex,0),MATCH(AP$4,Mat_Type,0))*INDEX(Escalators!$I$44:$U$49,MATCH(AP$4,Escalators!$C$44:$C$49,0),MATCH(AP$5,Escalators!$I$43:$U$43,0))</f>
        <v>0</v>
      </c>
      <c r="AQ27" s="128">
        <f>INDEX(Direct_Cost_Splits_Network,MATCH($H27,RIN_Asset_Cat_Network,0),MATCH($AY$4,Direct_Cost_Type,0))*$L27*INDEX(Act_Type_Augex_Splits,MATCH($I27,Act_Type_Augex,0),MATCH(AQ$4,Mat_Type,0))*INDEX(Escalators!$I$44:$U$49,MATCH(AQ$4,Escalators!$C$44:$C$49,0),MATCH(AQ$5,Escalators!$I$43:$U$43,0))</f>
        <v>0</v>
      </c>
      <c r="AR27" s="128">
        <f>INDEX(Direct_Cost_Splits_Network,MATCH($H27,RIN_Asset_Cat_Network,0),MATCH($AY$4,Direct_Cost_Type,0))*$L27*INDEX(Act_Type_Augex_Splits,MATCH($I27,Act_Type_Augex,0),MATCH(AR$4,Mat_Type,0))*INDEX(Escalators!$I$44:$U$49,MATCH(AR$4,Escalators!$C$44:$C$49,0),MATCH(AR$5,Escalators!$I$43:$U$43,0))</f>
        <v>0</v>
      </c>
      <c r="AS27" s="128">
        <f t="shared" si="70"/>
        <v>0</v>
      </c>
      <c r="AT27" s="128">
        <f>INDEX(Direct_Cost_Splits_Network,MATCH($H27,RIN_Asset_Cat_Network,0),MATCH($AY$4,Direct_Cost_Type,0))*$M27*INDEX(Act_Type_Augex_Splits,MATCH($I27,Act_Type_Augex,0),MATCH(AT$4,Mat_Type,0))*INDEX(Escalators!$I$44:$U$49,MATCH(AT$4,Escalators!$C$44:$C$49,0),MATCH(AT$5,Escalators!$I$43:$U$43,0))</f>
        <v>268.70880132004118</v>
      </c>
      <c r="AU27" s="128">
        <f>INDEX(Direct_Cost_Splits_Network,MATCH($H27,RIN_Asset_Cat_Network,0),MATCH($AY$4,Direct_Cost_Type,0))*$M27*INDEX(Act_Type_Augex_Splits,MATCH($I27,Act_Type_Augex,0),MATCH(AU$4,Mat_Type,0))*INDEX(Escalators!$I$44:$U$49,MATCH(AU$4,Escalators!$C$44:$C$49,0),MATCH(AU$5,Escalators!$I$43:$U$43,0))</f>
        <v>806.12640396012353</v>
      </c>
      <c r="AV27" s="128">
        <f>INDEX(Direct_Cost_Splits_Network,MATCH($H27,RIN_Asset_Cat_Network,0),MATCH($AY$4,Direct_Cost_Type,0))*$M27*INDEX(Act_Type_Augex_Splits,MATCH($I27,Act_Type_Augex,0),MATCH(AV$4,Mat_Type,0))*INDEX(Escalators!$I$44:$U$49,MATCH(AV$4,Escalators!$C$44:$C$49,0),MATCH(AV$5,Escalators!$I$43:$U$43,0))</f>
        <v>2149.6704105603294</v>
      </c>
      <c r="AW27" s="128">
        <f>INDEX(Direct_Cost_Splits_Network,MATCH($H27,RIN_Asset_Cat_Network,0),MATCH($AY$4,Direct_Cost_Type,0))*$M27*INDEX(Act_Type_Augex_Splits,MATCH($I27,Act_Type_Augex,0),MATCH(AW$4,Mat_Type,0))*INDEX(Escalators!$I$44:$U$49,MATCH(AW$4,Escalators!$C$44:$C$49,0),MATCH(AW$5,Escalators!$I$43:$U$43,0))</f>
        <v>268.70880132004118</v>
      </c>
      <c r="AX27" s="128">
        <f>INDEX(Direct_Cost_Splits_Network,MATCH($H27,RIN_Asset_Cat_Network,0),MATCH($AY$4,Direct_Cost_Type,0))*$M27*INDEX(Act_Type_Augex_Splits,MATCH($I27,Act_Type_Augex,0),MATCH(AX$4,Mat_Type,0))*INDEX(Escalators!$I$44:$U$49,MATCH(AX$4,Escalators!$C$44:$C$49,0),MATCH(AX$5,Escalators!$I$43:$U$43,0))</f>
        <v>1880.961609240288</v>
      </c>
      <c r="AY27" s="128">
        <f t="shared" si="71"/>
        <v>5374.1760264008226</v>
      </c>
      <c r="AZ27" s="128">
        <f>INDEX(Direct_Cost_Splits_Network,MATCH($H27,RIN_Asset_Cat_Network,0),MATCH($BE$4,Direct_Cost_Type,0))*$N27*INDEX(Act_Type_Augex_Splits,MATCH($I27,Act_Type_Augex,0),MATCH(AZ$4,Mat_Type,0))*INDEX(Escalators!$I$44:$U$49,MATCH(AZ$4,Escalators!$C$44:$C$49,0),MATCH(AZ$5,Escalators!$I$43:$U$43,0))</f>
        <v>327.20677439273612</v>
      </c>
      <c r="BA27" s="128">
        <f>INDEX(Direct_Cost_Splits_Network,MATCH($H27,RIN_Asset_Cat_Network,0),MATCH($BE$4,Direct_Cost_Type,0))*$N27*INDEX(Act_Type_Augex_Splits,MATCH($I27,Act_Type_Augex,0),MATCH(BA$4,Mat_Type,0))*INDEX(Escalators!$I$44:$U$49,MATCH(BA$4,Escalators!$C$44:$C$49,0),MATCH(BA$5,Escalators!$I$43:$U$43,0))</f>
        <v>981.6203231782082</v>
      </c>
      <c r="BB27" s="128">
        <f>INDEX(Direct_Cost_Splits_Network,MATCH($H27,RIN_Asset_Cat_Network,0),MATCH($BE$4,Direct_Cost_Type,0))*$N27*INDEX(Act_Type_Augex_Splits,MATCH($I27,Act_Type_Augex,0),MATCH(BB$4,Mat_Type,0))*INDEX(Escalators!$I$44:$U$49,MATCH(BB$4,Escalators!$C$44:$C$49,0),MATCH(BB$5,Escalators!$I$43:$U$43,0))</f>
        <v>2617.654195141889</v>
      </c>
      <c r="BC27" s="128">
        <f>INDEX(Direct_Cost_Splits_Network,MATCH($H27,RIN_Asset_Cat_Network,0),MATCH($BE$4,Direct_Cost_Type,0))*$N27*INDEX(Act_Type_Augex_Splits,MATCH($I27,Act_Type_Augex,0),MATCH(BC$4,Mat_Type,0))*INDEX(Escalators!$I$44:$U$49,MATCH(BC$4,Escalators!$C$44:$C$49,0),MATCH(BC$5,Escalators!$I$43:$U$43,0))</f>
        <v>327.20677439273612</v>
      </c>
      <c r="BD27" s="128">
        <f>INDEX(Direct_Cost_Splits_Network,MATCH($H27,RIN_Asset_Cat_Network,0),MATCH($BE$4,Direct_Cost_Type,0))*$N27*INDEX(Act_Type_Augex_Splits,MATCH($I27,Act_Type_Augex,0),MATCH(BD$4,Mat_Type,0))*INDEX(Escalators!$I$44:$U$49,MATCH(BD$4,Escalators!$C$44:$C$49,0),MATCH(BD$5,Escalators!$I$43:$U$43,0))</f>
        <v>2290.4474207491526</v>
      </c>
      <c r="BE27" s="128">
        <f t="shared" si="72"/>
        <v>6544.1354878547227</v>
      </c>
      <c r="BF27" s="128">
        <f>INDEX(Direct_Cost_Splits_Network,MATCH($H27,RIN_Asset_Cat_Network,0),MATCH($BK$4,Direct_Cost_Type,0))*$O27*INDEX(Act_Type_Augex_Splits,MATCH($I27,Act_Type_Augex,0),MATCH(BF$4,Mat_Type,0))*INDEX(Escalators!$I$44:$U$49,MATCH(BF$4,Escalators!$C$44:$C$49,0),MATCH(BF$5,Escalators!$I$43:$U$43,0))</f>
        <v>72.817007962764521</v>
      </c>
      <c r="BG27" s="128">
        <f>INDEX(Direct_Cost_Splits_Network,MATCH($H27,RIN_Asset_Cat_Network,0),MATCH($BK$4,Direct_Cost_Type,0))*$O27*INDEX(Act_Type_Augex_Splits,MATCH($I27,Act_Type_Augex,0),MATCH(BG$4,Mat_Type,0))*INDEX(Escalators!$I$44:$U$49,MATCH(BG$4,Escalators!$C$44:$C$49,0),MATCH(BG$5,Escalators!$I$43:$U$43,0))</f>
        <v>218.45102388829358</v>
      </c>
      <c r="BH27" s="128">
        <f>INDEX(Direct_Cost_Splits_Network,MATCH($H27,RIN_Asset_Cat_Network,0),MATCH($BK$4,Direct_Cost_Type,0))*$O27*INDEX(Act_Type_Augex_Splits,MATCH($I27,Act_Type_Augex,0),MATCH(BH$4,Mat_Type,0))*INDEX(Escalators!$I$44:$U$49,MATCH(BH$4,Escalators!$C$44:$C$49,0),MATCH(BH$5,Escalators!$I$43:$U$43,0))</f>
        <v>582.53606370211617</v>
      </c>
      <c r="BI27" s="128">
        <f>INDEX(Direct_Cost_Splits_Network,MATCH($H27,RIN_Asset_Cat_Network,0),MATCH($BK$4,Direct_Cost_Type,0))*$O27*INDEX(Act_Type_Augex_Splits,MATCH($I27,Act_Type_Augex,0),MATCH(BI$4,Mat_Type,0))*INDEX(Escalators!$I$44:$U$49,MATCH(BI$4,Escalators!$C$44:$C$49,0),MATCH(BI$5,Escalators!$I$43:$U$43,0))</f>
        <v>72.817007962764521</v>
      </c>
      <c r="BJ27" s="128">
        <f>INDEX(Direct_Cost_Splits_Network,MATCH($H27,RIN_Asset_Cat_Network,0),MATCH($BK$4,Direct_Cost_Type,0))*$O27*INDEX(Act_Type_Augex_Splits,MATCH($I27,Act_Type_Augex,0),MATCH(BJ$4,Mat_Type,0))*INDEX(Escalators!$I$44:$U$49,MATCH(BJ$4,Escalators!$C$44:$C$49,0),MATCH(BJ$5,Escalators!$I$43:$U$43,0))</f>
        <v>509.71905573935163</v>
      </c>
      <c r="BK27" s="128">
        <f t="shared" si="73"/>
        <v>1456.3401592552902</v>
      </c>
      <c r="BL27" s="128">
        <f>INDEX(Direct_Cost_Splits_Network,MATCH($H27,RIN_Asset_Cat_Network,0),MATCH($BQ$4,Direct_Cost_Type,0))*$P27*INDEX(Act_Type_Augex_Splits,MATCH($I27,Act_Type_Augex,0),MATCH(BL$4,Mat_Type,0))*INDEX(Escalators!$I$44:$U$49,MATCH(BL$4,Escalators!$C$44:$C$49,0),MATCH(BL$5,Escalators!$I$43:$U$43,0))</f>
        <v>25.319261230076318</v>
      </c>
      <c r="BM27" s="128">
        <f>INDEX(Direct_Cost_Splits_Network,MATCH($H27,RIN_Asset_Cat_Network,0),MATCH($BQ$4,Direct_Cost_Type,0))*$P27*INDEX(Act_Type_Augex_Splits,MATCH($I27,Act_Type_Augex,0),MATCH(BM$4,Mat_Type,0))*INDEX(Escalators!$I$44:$U$49,MATCH(BM$4,Escalators!$C$44:$C$49,0),MATCH(BM$5,Escalators!$I$43:$U$43,0))</f>
        <v>75.95778369022895</v>
      </c>
      <c r="BN27" s="128">
        <f>INDEX(Direct_Cost_Splits_Network,MATCH($H27,RIN_Asset_Cat_Network,0),MATCH($BQ$4,Direct_Cost_Type,0))*$P27*INDEX(Act_Type_Augex_Splits,MATCH($I27,Act_Type_Augex,0),MATCH(BN$4,Mat_Type,0))*INDEX(Escalators!$I$44:$U$49,MATCH(BN$4,Escalators!$C$44:$C$49,0),MATCH(BN$5,Escalators!$I$43:$U$43,0))</f>
        <v>202.55408984061054</v>
      </c>
      <c r="BO27" s="128">
        <f>INDEX(Direct_Cost_Splits_Network,MATCH($H27,RIN_Asset_Cat_Network,0),MATCH($BQ$4,Direct_Cost_Type,0))*$P27*INDEX(Act_Type_Augex_Splits,MATCH($I27,Act_Type_Augex,0),MATCH(BO$4,Mat_Type,0))*INDEX(Escalators!$I$44:$U$49,MATCH(BO$4,Escalators!$C$44:$C$49,0),MATCH(BO$5,Escalators!$I$43:$U$43,0))</f>
        <v>25.319261230076318</v>
      </c>
      <c r="BP27" s="128">
        <f>INDEX(Direct_Cost_Splits_Network,MATCH($H27,RIN_Asset_Cat_Network,0),MATCH($BQ$4,Direct_Cost_Type,0))*$P27*INDEX(Act_Type_Augex_Splits,MATCH($I27,Act_Type_Augex,0),MATCH(BP$4,Mat_Type,0))*INDEX(Escalators!$I$44:$U$49,MATCH(BP$4,Escalators!$C$44:$C$49,0),MATCH(BP$5,Escalators!$I$43:$U$43,0))</f>
        <v>177.23482861053421</v>
      </c>
      <c r="BQ27" s="128">
        <f t="shared" si="74"/>
        <v>506.38522460152637</v>
      </c>
      <c r="BR27" s="128">
        <f>INDEX(Direct_Cost_Splits_Network,MATCH($H27,RIN_Asset_Cat_Network,0),MATCH($BW$4,Direct_Cost_Type,0))*$Q27*INDEX(Act_Type_Augex_Splits,MATCH($I27,Act_Type_Augex,0),MATCH(BR$4,Mat_Type,0))*INDEX(Escalators!$I$44:$U$49,MATCH(BR$4,Escalators!$C$44:$C$49,0),MATCH(BR$5,Escalators!$I$43:$U$43,0))</f>
        <v>18.989445922557238</v>
      </c>
      <c r="BS27" s="128">
        <f>INDEX(Direct_Cost_Splits_Network,MATCH($H27,RIN_Asset_Cat_Network,0),MATCH($BW$4,Direct_Cost_Type,0))*$Q27*INDEX(Act_Type_Augex_Splits,MATCH($I27,Act_Type_Augex,0),MATCH(BS$4,Mat_Type,0))*INDEX(Escalators!$I$44:$U$49,MATCH(BS$4,Escalators!$C$44:$C$49,0),MATCH(BS$5,Escalators!$I$43:$U$43,0))</f>
        <v>56.968337767671713</v>
      </c>
      <c r="BT27" s="128">
        <f>INDEX(Direct_Cost_Splits_Network,MATCH($H27,RIN_Asset_Cat_Network,0),MATCH($BW$4,Direct_Cost_Type,0))*$Q27*INDEX(Act_Type_Augex_Splits,MATCH($I27,Act_Type_Augex,0),MATCH(BT$4,Mat_Type,0))*INDEX(Escalators!$I$44:$U$49,MATCH(BT$4,Escalators!$C$44:$C$49,0),MATCH(BT$5,Escalators!$I$43:$U$43,0))</f>
        <v>151.9155673804579</v>
      </c>
      <c r="BU27" s="128">
        <f>INDEX(Direct_Cost_Splits_Network,MATCH($H27,RIN_Asset_Cat_Network,0),MATCH($BW$4,Direct_Cost_Type,0))*$Q27*INDEX(Act_Type_Augex_Splits,MATCH($I27,Act_Type_Augex,0),MATCH(BU$4,Mat_Type,0))*INDEX(Escalators!$I$44:$U$49,MATCH(BU$4,Escalators!$C$44:$C$49,0),MATCH(BU$5,Escalators!$I$43:$U$43,0))</f>
        <v>18.989445922557238</v>
      </c>
      <c r="BV27" s="128">
        <f>INDEX(Direct_Cost_Splits_Network,MATCH($H27,RIN_Asset_Cat_Network,0),MATCH($BW$4,Direct_Cost_Type,0))*$Q27*INDEX(Act_Type_Augex_Splits,MATCH($I27,Act_Type_Augex,0),MATCH(BV$4,Mat_Type,0))*INDEX(Escalators!$I$44:$U$49,MATCH(BV$4,Escalators!$C$44:$C$49,0),MATCH(BV$5,Escalators!$I$43:$U$43,0))</f>
        <v>132.92612145790065</v>
      </c>
      <c r="BW27" s="128">
        <f t="shared" si="75"/>
        <v>379.78891845114475</v>
      </c>
      <c r="BX27" s="129"/>
      <c r="BY27" s="128">
        <f>INDEX(Direct_Cost_Splits_Network,MATCH($H27,RIN_Asset_Cat_Network,0),MATCH($BY$4,Direct_Cost_Type,0))*J27*HLOOKUP(BY$5,Escalators!$I$25:$U$30,6,FALSE)</f>
        <v>0</v>
      </c>
      <c r="BZ27" s="128">
        <f>INDEX(Direct_Cost_Splits_Network,MATCH($H27,RIN_Asset_Cat_Network,0),MATCH($BY$4,Direct_Cost_Type,0))*K27*HLOOKUP(BZ$5,Escalators!$I$25:$U$30,6,FALSE)</f>
        <v>0</v>
      </c>
      <c r="CA27" s="128">
        <f>INDEX(Direct_Cost_Splits_Network,MATCH($H27,RIN_Asset_Cat_Network,0),MATCH($BY$4,Direct_Cost_Type,0))*L27*HLOOKUP(CA$5,Escalators!$I$25:$U$30,6,FALSE)</f>
        <v>0</v>
      </c>
      <c r="CB27" s="128">
        <f>INDEX(Direct_Cost_Splits_Network,MATCH($H27,RIN_Asset_Cat_Network,0),MATCH($BY$4,Direct_Cost_Type,0))*M27*HLOOKUP(CB$5,Escalators!$I$25:$U$30,6,FALSE)</f>
        <v>7321.2490779887039</v>
      </c>
      <c r="CC27" s="128">
        <f>INDEX(Direct_Cost_Splits_Network,MATCH($H27,RIN_Asset_Cat_Network,0),MATCH($BY$4,Direct_Cost_Type,0))*N27*HLOOKUP(CC$5,Escalators!$I$25:$U$30,6,FALSE)</f>
        <v>8915.0868284410317</v>
      </c>
      <c r="CD27" s="128">
        <f>INDEX(Direct_Cost_Splits_Network,MATCH($H27,RIN_Asset_Cat_Network,0),MATCH($BY$4,Direct_Cost_Type,0))*O27*HLOOKUP(CD$5,Escalators!$I$25:$U$30,6,FALSE)</f>
        <v>1983.9746587769278</v>
      </c>
      <c r="CE27" s="128">
        <f>INDEX(Direct_Cost_Splits_Network,MATCH($H27,RIN_Asset_Cat_Network,0),MATCH($BY$4,Direct_Cost_Type,0))*P27*HLOOKUP(CE$5,Escalators!$I$25:$U$30,6,FALSE)</f>
        <v>689.84944678187571</v>
      </c>
      <c r="CF27" s="128">
        <f>INDEX(Direct_Cost_Splits_Network,MATCH($H27,RIN_Asset_Cat_Network,0),MATCH($BY$4,Direct_Cost_Type,0))*Q27*HLOOKUP(CF$5,Escalators!$I$25:$U$30,6,FALSE)</f>
        <v>517.38708508640684</v>
      </c>
      <c r="CG27" s="129"/>
      <c r="CH27" s="675">
        <f t="shared" si="76"/>
        <v>0</v>
      </c>
      <c r="CI27" s="675">
        <f t="shared" si="77"/>
        <v>0</v>
      </c>
      <c r="CJ27" s="675">
        <f t="shared" si="78"/>
        <v>0</v>
      </c>
      <c r="CK27" s="675">
        <f t="shared" si="79"/>
        <v>2011.4115877984525</v>
      </c>
      <c r="CL27" s="675">
        <f t="shared" si="80"/>
        <v>2449.2963921781916</v>
      </c>
      <c r="CM27" s="675">
        <f t="shared" si="81"/>
        <v>545.06950604372673</v>
      </c>
      <c r="CN27" s="675">
        <f t="shared" si="82"/>
        <v>189.52656251856558</v>
      </c>
      <c r="CO27" s="675">
        <f t="shared" si="83"/>
        <v>142.14492188892419</v>
      </c>
      <c r="CP27" s="129"/>
      <c r="CQ27" s="128">
        <f t="shared" si="18"/>
        <v>0</v>
      </c>
      <c r="CR27" s="128">
        <f t="shared" si="9"/>
        <v>0</v>
      </c>
      <c r="CS27" s="128">
        <f t="shared" si="19"/>
        <v>0</v>
      </c>
      <c r="CT27" s="128">
        <f t="shared" si="20"/>
        <v>17490.484942438237</v>
      </c>
      <c r="CU27" s="128">
        <f t="shared" si="21"/>
        <v>21314.983565464099</v>
      </c>
      <c r="CV27" s="128">
        <f t="shared" si="22"/>
        <v>4748.4003549058716</v>
      </c>
      <c r="CW27" s="128">
        <f t="shared" si="23"/>
        <v>1653.70590911716</v>
      </c>
      <c r="CX27" s="128">
        <f t="shared" si="24"/>
        <v>1242.9070494718387</v>
      </c>
      <c r="CZ27" s="39"/>
    </row>
    <row r="28" spans="2:104">
      <c r="B28" s="75" t="s">
        <v>645</v>
      </c>
      <c r="C28" s="75" t="s">
        <v>550</v>
      </c>
      <c r="D28" s="75" t="s">
        <v>422</v>
      </c>
      <c r="E28" s="75" t="s">
        <v>45</v>
      </c>
      <c r="F28" s="75" t="s">
        <v>55</v>
      </c>
      <c r="G28" s="75" t="s">
        <v>10</v>
      </c>
      <c r="H28" s="75" t="s">
        <v>164</v>
      </c>
      <c r="I28" s="75" t="s">
        <v>5</v>
      </c>
      <c r="J28" s="128"/>
      <c r="K28" s="128"/>
      <c r="L28" s="128"/>
      <c r="M28" s="750">
        <f>'[3]All works'!D17</f>
        <v>1656.1487870125679</v>
      </c>
      <c r="N28" s="750">
        <f>'[3]All works'!E17</f>
        <v>2870.6764674521351</v>
      </c>
      <c r="O28" s="750">
        <f>'[3]All works'!F17</f>
        <v>177.71851597235522</v>
      </c>
      <c r="P28" s="750">
        <f>'[3]All works'!G17</f>
        <v>0</v>
      </c>
      <c r="Q28" s="750">
        <f>'[3]All works'!H17</f>
        <v>0</v>
      </c>
      <c r="R28" s="129"/>
      <c r="S28" s="128">
        <f>INDEX(Direct_Cost_Splits_Network,MATCH($H28,RIN_Asset_Cat_Network,0),MATCH($S$4,Direct_Cost_Type,0))*J28*HLOOKUP(S$5,Escalators!$I$25:$U$30,3,FALSE)</f>
        <v>0</v>
      </c>
      <c r="T28" s="128">
        <f>INDEX(Direct_Cost_Splits_Network,MATCH($H28,RIN_Asset_Cat_Network,0),MATCH($S$4,Direct_Cost_Type,0))*K28*HLOOKUP(T$5,Escalators!$I$25:$U$30,3,FALSE)</f>
        <v>0</v>
      </c>
      <c r="U28" s="128">
        <f>INDEX(Direct_Cost_Splits_Network,MATCH($H28,RIN_Asset_Cat_Network,0),MATCH($S$4,Direct_Cost_Type,0))*L28*HLOOKUP(U$5,Escalators!$I$25:$U$30,3,FALSE)</f>
        <v>0</v>
      </c>
      <c r="V28" s="128">
        <f>INDEX(Direct_Cost_Splits_Network,MATCH($H28,RIN_Asset_Cat_Network,0),MATCH($S$4,Direct_Cost_Type,0))*M28*HLOOKUP(V$5,Escalators!$I$25:$U$30,3,FALSE)</f>
        <v>264.91464573761948</v>
      </c>
      <c r="W28" s="128">
        <f>INDEX(Direct_Cost_Splits_Network,MATCH($H28,RIN_Asset_Cat_Network,0),MATCH($S$4,Direct_Cost_Type,0))*N28*HLOOKUP(W$5,Escalators!$I$25:$U$30,3,FALSE)</f>
        <v>461.46634086831995</v>
      </c>
      <c r="X28" s="128">
        <f>INDEX(Direct_Cost_Splits_Network,MATCH($H28,RIN_Asset_Cat_Network,0),MATCH($S$4,Direct_Cost_Type,0))*O28*HLOOKUP(X$5,Escalators!$I$25:$U$30,3,FALSE)</f>
        <v>28.754622108622982</v>
      </c>
      <c r="Y28" s="128">
        <f>INDEX(Direct_Cost_Splits_Network,MATCH($H28,RIN_Asset_Cat_Network,0),MATCH($S$4,Direct_Cost_Type,0))*P28*HLOOKUP(Y$5,Escalators!$I$25:$U$30,3,FALSE)</f>
        <v>0</v>
      </c>
      <c r="Z28" s="128">
        <f>INDEX(Direct_Cost_Splits_Network,MATCH($H28,RIN_Asset_Cat_Network,0),MATCH($S$4,Direct_Cost_Type,0))*Q28*HLOOKUP(Z$5,Escalators!$I$25:$U$30,3,FALSE)</f>
        <v>0</v>
      </c>
      <c r="AA28" s="129"/>
      <c r="AB28" s="128">
        <f>INDEX(Direct_Cost_Splits_Network,MATCH($H28,RIN_Asset_Cat_Network,0),MATCH($AG$4,Direct_Cost_Type,0))*$J28*INDEX(Act_Type_Augex_Splits,MATCH($I28,Act_Type_Augex,0),MATCH(AB$4,Mat_Type,0))*INDEX(Escalators!$I$44:$U$49,MATCH(AB$4,Escalators!$C$44:$C$49,0),MATCH(AB$5,Escalators!$I$43:$U$43,0))</f>
        <v>0</v>
      </c>
      <c r="AC28" s="128">
        <f>INDEX(Direct_Cost_Splits_Network,MATCH($H28,RIN_Asset_Cat_Network,0),MATCH($AG$4,Direct_Cost_Type,0))*$J28*INDEX(Act_Type_Augex_Splits,MATCH($I28,Act_Type_Augex,0),MATCH(AC$4,Mat_Type,0))*INDEX(Escalators!$I$44:$U$49,MATCH(AC$4,Escalators!$C$44:$C$49,0),MATCH(AC$5,Escalators!$I$43:$U$43,0))</f>
        <v>0</v>
      </c>
      <c r="AD28" s="128">
        <f>INDEX(Direct_Cost_Splits_Network,MATCH($H28,RIN_Asset_Cat_Network,0),MATCH($AG$4,Direct_Cost_Type,0))*$J28*INDEX(Act_Type_Augex_Splits,MATCH($I28,Act_Type_Augex,0),MATCH(AD$4,Mat_Type,0))*INDEX(Escalators!$I$44:$U$49,MATCH(AD$4,Escalators!$C$44:$C$49,0),MATCH(AD$5,Escalators!$I$43:$U$43,0))</f>
        <v>0</v>
      </c>
      <c r="AE28" s="128">
        <f>INDEX(Direct_Cost_Splits_Network,MATCH($H28,RIN_Asset_Cat_Network,0),MATCH($AG$4,Direct_Cost_Type,0))*$J28*INDEX(Act_Type_Augex_Splits,MATCH($I28,Act_Type_Augex,0),MATCH(AE$4,Mat_Type,0))*INDEX(Escalators!$I$44:$U$49,MATCH(AE$4,Escalators!$C$44:$C$49,0),MATCH(AE$5,Escalators!$I$43:$U$43,0))</f>
        <v>0</v>
      </c>
      <c r="AF28" s="128">
        <f>INDEX(Direct_Cost_Splits_Network,MATCH($H28,RIN_Asset_Cat_Network,0),MATCH($AG$4,Direct_Cost_Type,0))*$J28*INDEX(Act_Type_Augex_Splits,MATCH($I28,Act_Type_Augex,0),MATCH(AF$4,Mat_Type,0))*INDEX(Escalators!$I$44:$U$49,MATCH(AF$4,Escalators!$C$44:$C$49,0),MATCH(AF$5,Escalators!$I$43:$U$43,0))</f>
        <v>0</v>
      </c>
      <c r="AG28" s="128">
        <f t="shared" ref="AG28" si="84">SUM(AB28:AF28)</f>
        <v>0</v>
      </c>
      <c r="AH28" s="128">
        <f>INDEX(Direct_Cost_Splits_Network,MATCH($H28,RIN_Asset_Cat_Network,0),MATCH($AY$4,Direct_Cost_Type,0))*$K28*INDEX(Act_Type_Augex_Splits,MATCH($I28,Act_Type_Augex,0),MATCH(AH$4,Mat_Type,0))*INDEX(Escalators!$I$44:$U$49,MATCH(AH$4,Escalators!$C$44:$C$49,0),MATCH(AH$5,Escalators!$I$43:$U$43,0))</f>
        <v>0</v>
      </c>
      <c r="AI28" s="128">
        <f>INDEX(Direct_Cost_Splits_Network,MATCH($H28,RIN_Asset_Cat_Network,0),MATCH($AY$4,Direct_Cost_Type,0))*$K28*INDEX(Act_Type_Augex_Splits,MATCH($I28,Act_Type_Augex,0),MATCH(AI$4,Mat_Type,0))*INDEX(Escalators!$I$44:$U$49,MATCH(AI$4,Escalators!$C$44:$C$49,0),MATCH(AI$5,Escalators!$I$43:$U$43,0))</f>
        <v>0</v>
      </c>
      <c r="AJ28" s="128">
        <f>INDEX(Direct_Cost_Splits_Network,MATCH($H28,RIN_Asset_Cat_Network,0),MATCH($AY$4,Direct_Cost_Type,0))*$K28*INDEX(Act_Type_Augex_Splits,MATCH($I28,Act_Type_Augex,0),MATCH(AJ$4,Mat_Type,0))*INDEX(Escalators!$I$44:$U$49,MATCH(AJ$4,Escalators!$C$44:$C$49,0),MATCH(AJ$5,Escalators!$I$43:$U$43,0))</f>
        <v>0</v>
      </c>
      <c r="AK28" s="128">
        <f>INDEX(Direct_Cost_Splits_Network,MATCH($H28,RIN_Asset_Cat_Network,0),MATCH($AY$4,Direct_Cost_Type,0))*$K28*INDEX(Act_Type_Augex_Splits,MATCH($I28,Act_Type_Augex,0),MATCH(AK$4,Mat_Type,0))*INDEX(Escalators!$I$44:$U$49,MATCH(AK$4,Escalators!$C$44:$C$49,0),MATCH(AK$5,Escalators!$I$43:$U$43,0))</f>
        <v>0</v>
      </c>
      <c r="AL28" s="128">
        <f>INDEX(Direct_Cost_Splits_Network,MATCH($H28,RIN_Asset_Cat_Network,0),MATCH($AY$4,Direct_Cost_Type,0))*$K28*INDEX(Act_Type_Augex_Splits,MATCH($I28,Act_Type_Augex,0),MATCH(AL$4,Mat_Type,0))*INDEX(Escalators!$I$44:$U$49,MATCH(AL$4,Escalators!$C$44:$C$49,0),MATCH(AL$5,Escalators!$I$43:$U$43,0))</f>
        <v>0</v>
      </c>
      <c r="AM28" s="128">
        <f t="shared" ref="AM28" si="85">SUM(AH28:AL28)</f>
        <v>0</v>
      </c>
      <c r="AN28" s="128">
        <f>INDEX(Direct_Cost_Splits_Network,MATCH($H28,RIN_Asset_Cat_Network,0),MATCH($AY$4,Direct_Cost_Type,0))*$L28*INDEX(Act_Type_Augex_Splits,MATCH($I28,Act_Type_Augex,0),MATCH(AN$4,Mat_Type,0))*INDEX(Escalators!$I$44:$U$49,MATCH(AN$4,Escalators!$C$44:$C$49,0),MATCH(AN$5,Escalators!$I$43:$U$43,0))</f>
        <v>0</v>
      </c>
      <c r="AO28" s="128">
        <f>INDEX(Direct_Cost_Splits_Network,MATCH($H28,RIN_Asset_Cat_Network,0),MATCH($AY$4,Direct_Cost_Type,0))*$L28*INDEX(Act_Type_Augex_Splits,MATCH($I28,Act_Type_Augex,0),MATCH(AO$4,Mat_Type,0))*INDEX(Escalators!$I$44:$U$49,MATCH(AO$4,Escalators!$C$44:$C$49,0),MATCH(AO$5,Escalators!$I$43:$U$43,0))</f>
        <v>0</v>
      </c>
      <c r="AP28" s="128">
        <f>INDEX(Direct_Cost_Splits_Network,MATCH($H28,RIN_Asset_Cat_Network,0),MATCH($AY$4,Direct_Cost_Type,0))*$L28*INDEX(Act_Type_Augex_Splits,MATCH($I28,Act_Type_Augex,0),MATCH(AP$4,Mat_Type,0))*INDEX(Escalators!$I$44:$U$49,MATCH(AP$4,Escalators!$C$44:$C$49,0),MATCH(AP$5,Escalators!$I$43:$U$43,0))</f>
        <v>0</v>
      </c>
      <c r="AQ28" s="128">
        <f>INDEX(Direct_Cost_Splits_Network,MATCH($H28,RIN_Asset_Cat_Network,0),MATCH($AY$4,Direct_Cost_Type,0))*$L28*INDEX(Act_Type_Augex_Splits,MATCH($I28,Act_Type_Augex,0),MATCH(AQ$4,Mat_Type,0))*INDEX(Escalators!$I$44:$U$49,MATCH(AQ$4,Escalators!$C$44:$C$49,0),MATCH(AQ$5,Escalators!$I$43:$U$43,0))</f>
        <v>0</v>
      </c>
      <c r="AR28" s="128">
        <f>INDEX(Direct_Cost_Splits_Network,MATCH($H28,RIN_Asset_Cat_Network,0),MATCH($AY$4,Direct_Cost_Type,0))*$L28*INDEX(Act_Type_Augex_Splits,MATCH($I28,Act_Type_Augex,0),MATCH(AR$4,Mat_Type,0))*INDEX(Escalators!$I$44:$U$49,MATCH(AR$4,Escalators!$C$44:$C$49,0),MATCH(AR$5,Escalators!$I$43:$U$43,0))</f>
        <v>0</v>
      </c>
      <c r="AS28" s="128">
        <f t="shared" ref="AS28" si="86">SUM(AN28:AR28)</f>
        <v>0</v>
      </c>
      <c r="AT28" s="128">
        <f>INDEX(Direct_Cost_Splits_Network,MATCH($H28,RIN_Asset_Cat_Network,0),MATCH($AY$4,Direct_Cost_Type,0))*$M28*INDEX(Act_Type_Augex_Splits,MATCH($I28,Act_Type_Augex,0),MATCH(AT$4,Mat_Type,0))*INDEX(Escalators!$I$44:$U$49,MATCH(AT$4,Escalators!$C$44:$C$49,0),MATCH(AT$5,Escalators!$I$43:$U$43,0))</f>
        <v>51.145037381701712</v>
      </c>
      <c r="AU28" s="128">
        <f>INDEX(Direct_Cost_Splits_Network,MATCH($H28,RIN_Asset_Cat_Network,0),MATCH($AY$4,Direct_Cost_Type,0))*$M28*INDEX(Act_Type_Augex_Splits,MATCH($I28,Act_Type_Augex,0),MATCH(AU$4,Mat_Type,0))*INDEX(Escalators!$I$44:$U$49,MATCH(AU$4,Escalators!$C$44:$C$49,0),MATCH(AU$5,Escalators!$I$43:$U$43,0))</f>
        <v>51.145037381701712</v>
      </c>
      <c r="AV28" s="128">
        <f>INDEX(Direct_Cost_Splits_Network,MATCH($H28,RIN_Asset_Cat_Network,0),MATCH($AY$4,Direct_Cost_Type,0))*$M28*INDEX(Act_Type_Augex_Splits,MATCH($I28,Act_Type_Augex,0),MATCH(AV$4,Mat_Type,0))*INDEX(Escalators!$I$44:$U$49,MATCH(AV$4,Escalators!$C$44:$C$49,0),MATCH(AV$5,Escalators!$I$43:$U$43,0))</f>
        <v>51.145037381701712</v>
      </c>
      <c r="AW28" s="128">
        <f>INDEX(Direct_Cost_Splits_Network,MATCH($H28,RIN_Asset_Cat_Network,0),MATCH($AY$4,Direct_Cost_Type,0))*$M28*INDEX(Act_Type_Augex_Splits,MATCH($I28,Act_Type_Augex,0),MATCH(AW$4,Mat_Type,0))*INDEX(Escalators!$I$44:$U$49,MATCH(AW$4,Escalators!$C$44:$C$49,0),MATCH(AW$5,Escalators!$I$43:$U$43,0))</f>
        <v>0</v>
      </c>
      <c r="AX28" s="128">
        <f>INDEX(Direct_Cost_Splits_Network,MATCH($H28,RIN_Asset_Cat_Network,0),MATCH($AY$4,Direct_Cost_Type,0))*$M28*INDEX(Act_Type_Augex_Splits,MATCH($I28,Act_Type_Augex,0),MATCH(AX$4,Mat_Type,0))*INDEX(Escalators!$I$44:$U$49,MATCH(AX$4,Escalators!$C$44:$C$49,0),MATCH(AX$5,Escalators!$I$43:$U$43,0))</f>
        <v>358.0152616719119</v>
      </c>
      <c r="AY28" s="128">
        <f t="shared" ref="AY28" si="87">SUM(AT28:AX28)</f>
        <v>511.45037381701707</v>
      </c>
      <c r="AZ28" s="128">
        <f>INDEX(Direct_Cost_Splits_Network,MATCH($H28,RIN_Asset_Cat_Network,0),MATCH($BE$4,Direct_Cost_Type,0))*$N28*INDEX(Act_Type_Augex_Splits,MATCH($I28,Act_Type_Augex,0),MATCH(AZ$4,Mat_Type,0))*INDEX(Escalators!$I$44:$U$49,MATCH(AZ$4,Escalators!$C$44:$C$49,0),MATCH(AZ$5,Escalators!$I$43:$U$43,0))</f>
        <v>88.651971604225608</v>
      </c>
      <c r="BA28" s="128">
        <f>INDEX(Direct_Cost_Splits_Network,MATCH($H28,RIN_Asset_Cat_Network,0),MATCH($BE$4,Direct_Cost_Type,0))*$N28*INDEX(Act_Type_Augex_Splits,MATCH($I28,Act_Type_Augex,0),MATCH(BA$4,Mat_Type,0))*INDEX(Escalators!$I$44:$U$49,MATCH(BA$4,Escalators!$C$44:$C$49,0),MATCH(BA$5,Escalators!$I$43:$U$43,0))</f>
        <v>88.651971604225608</v>
      </c>
      <c r="BB28" s="128">
        <f>INDEX(Direct_Cost_Splits_Network,MATCH($H28,RIN_Asset_Cat_Network,0),MATCH($BE$4,Direct_Cost_Type,0))*$N28*INDEX(Act_Type_Augex_Splits,MATCH($I28,Act_Type_Augex,0),MATCH(BB$4,Mat_Type,0))*INDEX(Escalators!$I$44:$U$49,MATCH(BB$4,Escalators!$C$44:$C$49,0),MATCH(BB$5,Escalators!$I$43:$U$43,0))</f>
        <v>88.651971604225608</v>
      </c>
      <c r="BC28" s="128">
        <f>INDEX(Direct_Cost_Splits_Network,MATCH($H28,RIN_Asset_Cat_Network,0),MATCH($BE$4,Direct_Cost_Type,0))*$N28*INDEX(Act_Type_Augex_Splits,MATCH($I28,Act_Type_Augex,0),MATCH(BC$4,Mat_Type,0))*INDEX(Escalators!$I$44:$U$49,MATCH(BC$4,Escalators!$C$44:$C$49,0),MATCH(BC$5,Escalators!$I$43:$U$43,0))</f>
        <v>0</v>
      </c>
      <c r="BD28" s="128">
        <f>INDEX(Direct_Cost_Splits_Network,MATCH($H28,RIN_Asset_Cat_Network,0),MATCH($BE$4,Direct_Cost_Type,0))*$N28*INDEX(Act_Type_Augex_Splits,MATCH($I28,Act_Type_Augex,0),MATCH(BD$4,Mat_Type,0))*INDEX(Escalators!$I$44:$U$49,MATCH(BD$4,Escalators!$C$44:$C$49,0),MATCH(BD$5,Escalators!$I$43:$U$43,0))</f>
        <v>620.56380122957921</v>
      </c>
      <c r="BE28" s="128">
        <f t="shared" ref="BE28" si="88">SUM(AZ28:BD28)</f>
        <v>886.51971604225605</v>
      </c>
      <c r="BF28" s="128">
        <f>INDEX(Direct_Cost_Splits_Network,MATCH($H28,RIN_Asset_Cat_Network,0),MATCH($BK$4,Direct_Cost_Type,0))*$O28*INDEX(Act_Type_Augex_Splits,MATCH($I28,Act_Type_Augex,0),MATCH(BF$4,Mat_Type,0))*INDEX(Escalators!$I$44:$U$49,MATCH(BF$4,Escalators!$C$44:$C$49,0),MATCH(BF$5,Escalators!$I$43:$U$43,0))</f>
        <v>5.4882871720858759</v>
      </c>
      <c r="BG28" s="128">
        <f>INDEX(Direct_Cost_Splits_Network,MATCH($H28,RIN_Asset_Cat_Network,0),MATCH($BK$4,Direct_Cost_Type,0))*$O28*INDEX(Act_Type_Augex_Splits,MATCH($I28,Act_Type_Augex,0),MATCH(BG$4,Mat_Type,0))*INDEX(Escalators!$I$44:$U$49,MATCH(BG$4,Escalators!$C$44:$C$49,0),MATCH(BG$5,Escalators!$I$43:$U$43,0))</f>
        <v>5.4882871720858759</v>
      </c>
      <c r="BH28" s="128">
        <f>INDEX(Direct_Cost_Splits_Network,MATCH($H28,RIN_Asset_Cat_Network,0),MATCH($BK$4,Direct_Cost_Type,0))*$O28*INDEX(Act_Type_Augex_Splits,MATCH($I28,Act_Type_Augex,0),MATCH(BH$4,Mat_Type,0))*INDEX(Escalators!$I$44:$U$49,MATCH(BH$4,Escalators!$C$44:$C$49,0),MATCH(BH$5,Escalators!$I$43:$U$43,0))</f>
        <v>5.4882871720858759</v>
      </c>
      <c r="BI28" s="128">
        <f>INDEX(Direct_Cost_Splits_Network,MATCH($H28,RIN_Asset_Cat_Network,0),MATCH($BK$4,Direct_Cost_Type,0))*$O28*INDEX(Act_Type_Augex_Splits,MATCH($I28,Act_Type_Augex,0),MATCH(BI$4,Mat_Type,0))*INDEX(Escalators!$I$44:$U$49,MATCH(BI$4,Escalators!$C$44:$C$49,0),MATCH(BI$5,Escalators!$I$43:$U$43,0))</f>
        <v>0</v>
      </c>
      <c r="BJ28" s="128">
        <f>INDEX(Direct_Cost_Splits_Network,MATCH($H28,RIN_Asset_Cat_Network,0),MATCH($BK$4,Direct_Cost_Type,0))*$O28*INDEX(Act_Type_Augex_Splits,MATCH($I28,Act_Type_Augex,0),MATCH(BJ$4,Mat_Type,0))*INDEX(Escalators!$I$44:$U$49,MATCH(BJ$4,Escalators!$C$44:$C$49,0),MATCH(BJ$5,Escalators!$I$43:$U$43,0))</f>
        <v>38.418010204601131</v>
      </c>
      <c r="BK28" s="128">
        <f t="shared" ref="BK28" si="89">SUM(BF28:BJ28)</f>
        <v>54.882871720858759</v>
      </c>
      <c r="BL28" s="128">
        <f>INDEX(Direct_Cost_Splits_Network,MATCH($H28,RIN_Asset_Cat_Network,0),MATCH($BQ$4,Direct_Cost_Type,0))*$P28*INDEX(Act_Type_Augex_Splits,MATCH($I28,Act_Type_Augex,0),MATCH(BL$4,Mat_Type,0))*INDEX(Escalators!$I$44:$U$49,MATCH(BL$4,Escalators!$C$44:$C$49,0),MATCH(BL$5,Escalators!$I$43:$U$43,0))</f>
        <v>0</v>
      </c>
      <c r="BM28" s="128">
        <f>INDEX(Direct_Cost_Splits_Network,MATCH($H28,RIN_Asset_Cat_Network,0),MATCH($BQ$4,Direct_Cost_Type,0))*$P28*INDEX(Act_Type_Augex_Splits,MATCH($I28,Act_Type_Augex,0),MATCH(BM$4,Mat_Type,0))*INDEX(Escalators!$I$44:$U$49,MATCH(BM$4,Escalators!$C$44:$C$49,0),MATCH(BM$5,Escalators!$I$43:$U$43,0))</f>
        <v>0</v>
      </c>
      <c r="BN28" s="128">
        <f>INDEX(Direct_Cost_Splits_Network,MATCH($H28,RIN_Asset_Cat_Network,0),MATCH($BQ$4,Direct_Cost_Type,0))*$P28*INDEX(Act_Type_Augex_Splits,MATCH($I28,Act_Type_Augex,0),MATCH(BN$4,Mat_Type,0))*INDEX(Escalators!$I$44:$U$49,MATCH(BN$4,Escalators!$C$44:$C$49,0),MATCH(BN$5,Escalators!$I$43:$U$43,0))</f>
        <v>0</v>
      </c>
      <c r="BO28" s="128">
        <f>INDEX(Direct_Cost_Splits_Network,MATCH($H28,RIN_Asset_Cat_Network,0),MATCH($BQ$4,Direct_Cost_Type,0))*$P28*INDEX(Act_Type_Augex_Splits,MATCH($I28,Act_Type_Augex,0),MATCH(BO$4,Mat_Type,0))*INDEX(Escalators!$I$44:$U$49,MATCH(BO$4,Escalators!$C$44:$C$49,0),MATCH(BO$5,Escalators!$I$43:$U$43,0))</f>
        <v>0</v>
      </c>
      <c r="BP28" s="128">
        <f>INDEX(Direct_Cost_Splits_Network,MATCH($H28,RIN_Asset_Cat_Network,0),MATCH($BQ$4,Direct_Cost_Type,0))*$P28*INDEX(Act_Type_Augex_Splits,MATCH($I28,Act_Type_Augex,0),MATCH(BP$4,Mat_Type,0))*INDEX(Escalators!$I$44:$U$49,MATCH(BP$4,Escalators!$C$44:$C$49,0),MATCH(BP$5,Escalators!$I$43:$U$43,0))</f>
        <v>0</v>
      </c>
      <c r="BQ28" s="128">
        <f t="shared" ref="BQ28" si="90">SUM(BL28:BP28)</f>
        <v>0</v>
      </c>
      <c r="BR28" s="128">
        <f>INDEX(Direct_Cost_Splits_Network,MATCH($H28,RIN_Asset_Cat_Network,0),MATCH($BW$4,Direct_Cost_Type,0))*$Q28*INDEX(Act_Type_Augex_Splits,MATCH($I28,Act_Type_Augex,0),MATCH(BR$4,Mat_Type,0))*INDEX(Escalators!$I$44:$U$49,MATCH(BR$4,Escalators!$C$44:$C$49,0),MATCH(BR$5,Escalators!$I$43:$U$43,0))</f>
        <v>0</v>
      </c>
      <c r="BS28" s="128">
        <f>INDEX(Direct_Cost_Splits_Network,MATCH($H28,RIN_Asset_Cat_Network,0),MATCH($BW$4,Direct_Cost_Type,0))*$Q28*INDEX(Act_Type_Augex_Splits,MATCH($I28,Act_Type_Augex,0),MATCH(BS$4,Mat_Type,0))*INDEX(Escalators!$I$44:$U$49,MATCH(BS$4,Escalators!$C$44:$C$49,0),MATCH(BS$5,Escalators!$I$43:$U$43,0))</f>
        <v>0</v>
      </c>
      <c r="BT28" s="128">
        <f>INDEX(Direct_Cost_Splits_Network,MATCH($H28,RIN_Asset_Cat_Network,0),MATCH($BW$4,Direct_Cost_Type,0))*$Q28*INDEX(Act_Type_Augex_Splits,MATCH($I28,Act_Type_Augex,0),MATCH(BT$4,Mat_Type,0))*INDEX(Escalators!$I$44:$U$49,MATCH(BT$4,Escalators!$C$44:$C$49,0),MATCH(BT$5,Escalators!$I$43:$U$43,0))</f>
        <v>0</v>
      </c>
      <c r="BU28" s="128">
        <f>INDEX(Direct_Cost_Splits_Network,MATCH($H28,RIN_Asset_Cat_Network,0),MATCH($BW$4,Direct_Cost_Type,0))*$Q28*INDEX(Act_Type_Augex_Splits,MATCH($I28,Act_Type_Augex,0),MATCH(BU$4,Mat_Type,0))*INDEX(Escalators!$I$44:$U$49,MATCH(BU$4,Escalators!$C$44:$C$49,0),MATCH(BU$5,Escalators!$I$43:$U$43,0))</f>
        <v>0</v>
      </c>
      <c r="BV28" s="128">
        <f>INDEX(Direct_Cost_Splits_Network,MATCH($H28,RIN_Asset_Cat_Network,0),MATCH($BW$4,Direct_Cost_Type,0))*$Q28*INDEX(Act_Type_Augex_Splits,MATCH($I28,Act_Type_Augex,0),MATCH(BV$4,Mat_Type,0))*INDEX(Escalators!$I$44:$U$49,MATCH(BV$4,Escalators!$C$44:$C$49,0),MATCH(BV$5,Escalators!$I$43:$U$43,0))</f>
        <v>0</v>
      </c>
      <c r="BW28" s="128">
        <f t="shared" ref="BW28" si="91">SUM(BR28:BV28)</f>
        <v>0</v>
      </c>
      <c r="BX28" s="129"/>
      <c r="BY28" s="128">
        <f>INDEX(Direct_Cost_Splits_Network,MATCH($H28,RIN_Asset_Cat_Network,0),MATCH($BY$4,Direct_Cost_Type,0))*J28*HLOOKUP(BY$5,Escalators!$I$25:$U$30,6,FALSE)</f>
        <v>0</v>
      </c>
      <c r="BZ28" s="128">
        <f>INDEX(Direct_Cost_Splits_Network,MATCH($H28,RIN_Asset_Cat_Network,0),MATCH($BY$4,Direct_Cost_Type,0))*K28*HLOOKUP(BZ$5,Escalators!$I$25:$U$30,6,FALSE)</f>
        <v>0</v>
      </c>
      <c r="CA28" s="128">
        <f>INDEX(Direct_Cost_Splits_Network,MATCH($H28,RIN_Asset_Cat_Network,0),MATCH($BY$4,Direct_Cost_Type,0))*L28*HLOOKUP(CA$5,Escalators!$I$25:$U$30,6,FALSE)</f>
        <v>0</v>
      </c>
      <c r="CB28" s="128">
        <f>INDEX(Direct_Cost_Splits_Network,MATCH($H28,RIN_Asset_Cat_Network,0),MATCH($BY$4,Direct_Cost_Type,0))*M28*HLOOKUP(CB$5,Escalators!$I$25:$U$30,6,FALSE)</f>
        <v>696.74970811340165</v>
      </c>
      <c r="CC28" s="128">
        <f>INDEX(Direct_Cost_Splits_Network,MATCH($H28,RIN_Asset_Cat_Network,0),MATCH($BY$4,Direct_Cost_Type,0))*N28*HLOOKUP(CC$5,Escalators!$I$25:$U$30,6,FALSE)</f>
        <v>1207.7073065356824</v>
      </c>
      <c r="CD28" s="128">
        <f>INDEX(Direct_Cost_Splits_Network,MATCH($H28,RIN_Asset_Cat_Network,0),MATCH($BY$4,Direct_Cost_Type,0))*O28*HLOOKUP(CD$5,Escalators!$I$25:$U$30,6,FALSE)</f>
        <v>74.767028844942629</v>
      </c>
      <c r="CE28" s="128">
        <f>INDEX(Direct_Cost_Splits_Network,MATCH($H28,RIN_Asset_Cat_Network,0),MATCH($BY$4,Direct_Cost_Type,0))*P28*HLOOKUP(CE$5,Escalators!$I$25:$U$30,6,FALSE)</f>
        <v>0</v>
      </c>
      <c r="CF28" s="128">
        <f>INDEX(Direct_Cost_Splits_Network,MATCH($H28,RIN_Asset_Cat_Network,0),MATCH($BY$4,Direct_Cost_Type,0))*Q28*HLOOKUP(CF$5,Escalators!$I$25:$U$30,6,FALSE)</f>
        <v>0</v>
      </c>
      <c r="CG28" s="129"/>
      <c r="CH28" s="675">
        <f t="shared" ref="CH28" si="92">INDEX(Direct_Cost_Splits_Network,MATCH($H28,RIN_Asset_Cat_Network,0),MATCH($CH$4,Direct_Cost_Type,0))*J28</f>
        <v>0</v>
      </c>
      <c r="CI28" s="675">
        <f t="shared" ref="CI28" si="93">INDEX(Direct_Cost_Splits_Network,MATCH($H28,RIN_Asset_Cat_Network,0),MATCH($CH$4,Direct_Cost_Type,0))*K28</f>
        <v>0</v>
      </c>
      <c r="CJ28" s="675">
        <f t="shared" ref="CJ28" si="94">INDEX(Direct_Cost_Splits_Network,MATCH($H28,RIN_Asset_Cat_Network,0),MATCH($CH$4,Direct_Cost_Type,0))*L28</f>
        <v>0</v>
      </c>
      <c r="CK28" s="675">
        <f t="shared" ref="CK28" si="95">INDEX(Direct_Cost_Splits_Network,MATCH($H28,RIN_Asset_Cat_Network,0),MATCH($CH$4,Direct_Cost_Type,0))*M28</f>
        <v>191.42231356503615</v>
      </c>
      <c r="CL28" s="675">
        <f t="shared" ref="CL28" si="96">INDEX(Direct_Cost_Splits_Network,MATCH($H28,RIN_Asset_Cat_Network,0),MATCH($CH$4,Direct_Cost_Type,0))*N28</f>
        <v>331.80082321445605</v>
      </c>
      <c r="CM28" s="675">
        <f t="shared" ref="CM28" si="97">INDEX(Direct_Cost_Splits_Network,MATCH($H28,RIN_Asset_Cat_Network,0),MATCH($CH$4,Direct_Cost_Type,0))*O28</f>
        <v>20.541203639160052</v>
      </c>
      <c r="CN28" s="675">
        <f t="shared" ref="CN28" si="98">INDEX(Direct_Cost_Splits_Network,MATCH($H28,RIN_Asset_Cat_Network,0),MATCH($CH$4,Direct_Cost_Type,0))*P28</f>
        <v>0</v>
      </c>
      <c r="CO28" s="675">
        <f t="shared" ref="CO28" si="99">INDEX(Direct_Cost_Splits_Network,MATCH($H28,RIN_Asset_Cat_Network,0),MATCH($CH$4,Direct_Cost_Type,0))*Q28</f>
        <v>0</v>
      </c>
      <c r="CP28" s="129"/>
      <c r="CQ28" s="128">
        <f t="shared" ref="CQ28" si="100">S28+AG28+BY28+CH28</f>
        <v>0</v>
      </c>
      <c r="CR28" s="128">
        <f t="shared" ref="CR28" si="101">T28+AM28+BZ28+CI28</f>
        <v>0</v>
      </c>
      <c r="CS28" s="128">
        <f t="shared" ref="CS28" si="102">U28+AS28+CA28+CJ28</f>
        <v>0</v>
      </c>
      <c r="CT28" s="128">
        <f t="shared" ref="CT28" si="103">V28+AY28+CB28+CK28</f>
        <v>1664.5370412330742</v>
      </c>
      <c r="CU28" s="128">
        <f t="shared" ref="CU28" si="104">W28+BE28+CC28+CL28</f>
        <v>2887.4941866607146</v>
      </c>
      <c r="CV28" s="128">
        <f t="shared" ref="CV28" si="105">X28+BK28+CD28+CM28</f>
        <v>178.9457263135844</v>
      </c>
      <c r="CW28" s="128">
        <f t="shared" ref="CW28" si="106">Y28+BQ28+CE28+CN28</f>
        <v>0</v>
      </c>
      <c r="CX28" s="128">
        <f t="shared" ref="CX28" si="107">Z28+BW28+CF28+CO28</f>
        <v>0</v>
      </c>
      <c r="CZ28" s="39"/>
    </row>
    <row r="29" spans="2:104">
      <c r="B29" s="75" t="s">
        <v>645</v>
      </c>
      <c r="C29" s="75" t="s">
        <v>550</v>
      </c>
      <c r="D29" s="75" t="s">
        <v>422</v>
      </c>
      <c r="E29" s="75" t="s">
        <v>48</v>
      </c>
      <c r="F29" s="75" t="s">
        <v>55</v>
      </c>
      <c r="G29" s="75" t="s">
        <v>10</v>
      </c>
      <c r="H29" s="75" t="s">
        <v>152</v>
      </c>
      <c r="I29" s="75" t="s">
        <v>571</v>
      </c>
      <c r="J29" s="128"/>
      <c r="K29" s="128"/>
      <c r="L29" s="128"/>
      <c r="M29" s="750">
        <f>'[3]All works'!D18</f>
        <v>5975.8980585589106</v>
      </c>
      <c r="N29" s="750">
        <f>'[3]All works'!E18</f>
        <v>6206.3919114607052</v>
      </c>
      <c r="O29" s="750">
        <f>'[3]All works'!F18</f>
        <v>1413.7705808343699</v>
      </c>
      <c r="P29" s="750">
        <f>'[3]All works'!G18</f>
        <v>1065.0934463920253</v>
      </c>
      <c r="Q29" s="750">
        <f>'[3]All works'!H18</f>
        <v>798.82008479401895</v>
      </c>
      <c r="R29" s="129"/>
      <c r="S29" s="128">
        <f>INDEX(Direct_Cost_Splits_Network,MATCH($H29,RIN_Asset_Cat_Network,0),MATCH($S$4,Direct_Cost_Type,0))*J29*HLOOKUP(S$5,Escalators!$I$25:$U$30,3,FALSE)</f>
        <v>0</v>
      </c>
      <c r="T29" s="128">
        <f>INDEX(Direct_Cost_Splits_Network,MATCH($H29,RIN_Asset_Cat_Network,0),MATCH($S$4,Direct_Cost_Type,0))*K29*HLOOKUP(T$5,Escalators!$I$25:$U$30,3,FALSE)</f>
        <v>0</v>
      </c>
      <c r="U29" s="128">
        <f>INDEX(Direct_Cost_Splits_Network,MATCH($H29,RIN_Asset_Cat_Network,0),MATCH($S$4,Direct_Cost_Type,0))*L29*HLOOKUP(U$5,Escalators!$I$25:$U$30,3,FALSE)</f>
        <v>0</v>
      </c>
      <c r="V29" s="128">
        <f>INDEX(Direct_Cost_Splits_Network,MATCH($H29,RIN_Asset_Cat_Network,0),MATCH($S$4,Direct_Cost_Type,0))*M29*HLOOKUP(V$5,Escalators!$I$25:$U$30,3,FALSE)</f>
        <v>955.89413799162958</v>
      </c>
      <c r="W29" s="128">
        <f>INDEX(Direct_Cost_Splits_Network,MATCH($H29,RIN_Asset_Cat_Network,0),MATCH($S$4,Direct_Cost_Type,0))*N29*HLOOKUP(W$5,Escalators!$I$25:$U$30,3,FALSE)</f>
        <v>997.68852319275288</v>
      </c>
      <c r="X29" s="128">
        <f>INDEX(Direct_Cost_Splits_Network,MATCH($H29,RIN_Asset_Cat_Network,0),MATCH($S$4,Direct_Cost_Type,0))*O29*HLOOKUP(X$5,Escalators!$I$25:$U$30,3,FALSE)</f>
        <v>228.74622026724754</v>
      </c>
      <c r="Y29" s="128">
        <f>INDEX(Direct_Cost_Splits_Network,MATCH($H29,RIN_Asset_Cat_Network,0),MATCH($S$4,Direct_Cost_Type,0))*P29*HLOOKUP(Y$5,Escalators!$I$25:$U$30,3,FALSE)</f>
        <v>174.04276230681739</v>
      </c>
      <c r="Z29" s="128">
        <f>INDEX(Direct_Cost_Splits_Network,MATCH($H29,RIN_Asset_Cat_Network,0),MATCH($S$4,Direct_Cost_Type,0))*Q29*HLOOKUP(Z$5,Escalators!$I$25:$U$30,3,FALSE)</f>
        <v>132.23883388515378</v>
      </c>
      <c r="AA29" s="129"/>
      <c r="AB29" s="128">
        <f>INDEX(Direct_Cost_Splits_Network,MATCH($H29,RIN_Asset_Cat_Network,0),MATCH($AG$4,Direct_Cost_Type,0))*$J29*INDEX(Act_Type_Augex_Splits,MATCH($I29,Act_Type_Augex,0),MATCH(AB$4,Mat_Type,0))*INDEX(Escalators!$I$44:$U$49,MATCH(AB$4,Escalators!$C$44:$C$49,0),MATCH(AB$5,Escalators!$I$43:$U$43,0))</f>
        <v>0</v>
      </c>
      <c r="AC29" s="128">
        <f>INDEX(Direct_Cost_Splits_Network,MATCH($H29,RIN_Asset_Cat_Network,0),MATCH($AG$4,Direct_Cost_Type,0))*$J29*INDEX(Act_Type_Augex_Splits,MATCH($I29,Act_Type_Augex,0),MATCH(AC$4,Mat_Type,0))*INDEX(Escalators!$I$44:$U$49,MATCH(AC$4,Escalators!$C$44:$C$49,0),MATCH(AC$5,Escalators!$I$43:$U$43,0))</f>
        <v>0</v>
      </c>
      <c r="AD29" s="128">
        <f>INDEX(Direct_Cost_Splits_Network,MATCH($H29,RIN_Asset_Cat_Network,0),MATCH($AG$4,Direct_Cost_Type,0))*$J29*INDEX(Act_Type_Augex_Splits,MATCH($I29,Act_Type_Augex,0),MATCH(AD$4,Mat_Type,0))*INDEX(Escalators!$I$44:$U$49,MATCH(AD$4,Escalators!$C$44:$C$49,0),MATCH(AD$5,Escalators!$I$43:$U$43,0))</f>
        <v>0</v>
      </c>
      <c r="AE29" s="128">
        <f>INDEX(Direct_Cost_Splits_Network,MATCH($H29,RIN_Asset_Cat_Network,0),MATCH($AG$4,Direct_Cost_Type,0))*$J29*INDEX(Act_Type_Augex_Splits,MATCH($I29,Act_Type_Augex,0),MATCH(AE$4,Mat_Type,0))*INDEX(Escalators!$I$44:$U$49,MATCH(AE$4,Escalators!$C$44:$C$49,0),MATCH(AE$5,Escalators!$I$43:$U$43,0))</f>
        <v>0</v>
      </c>
      <c r="AF29" s="128">
        <f>INDEX(Direct_Cost_Splits_Network,MATCH($H29,RIN_Asset_Cat_Network,0),MATCH($AG$4,Direct_Cost_Type,0))*$J29*INDEX(Act_Type_Augex_Splits,MATCH($I29,Act_Type_Augex,0),MATCH(AF$4,Mat_Type,0))*INDEX(Escalators!$I$44:$U$49,MATCH(AF$4,Escalators!$C$44:$C$49,0),MATCH(AF$5,Escalators!$I$43:$U$43,0))</f>
        <v>0</v>
      </c>
      <c r="AG29" s="128">
        <f t="shared" ref="AG29" si="108">SUM(AB29:AF29)</f>
        <v>0</v>
      </c>
      <c r="AH29" s="128">
        <f>INDEX(Direct_Cost_Splits_Network,MATCH($H29,RIN_Asset_Cat_Network,0),MATCH($AY$4,Direct_Cost_Type,0))*$K29*INDEX(Act_Type_Augex_Splits,MATCH($I29,Act_Type_Augex,0),MATCH(AH$4,Mat_Type,0))*INDEX(Escalators!$I$44:$U$49,MATCH(AH$4,Escalators!$C$44:$C$49,0),MATCH(AH$5,Escalators!$I$43:$U$43,0))</f>
        <v>0</v>
      </c>
      <c r="AI29" s="128">
        <f>INDEX(Direct_Cost_Splits_Network,MATCH($H29,RIN_Asset_Cat_Network,0),MATCH($AY$4,Direct_Cost_Type,0))*$K29*INDEX(Act_Type_Augex_Splits,MATCH($I29,Act_Type_Augex,0),MATCH(AI$4,Mat_Type,0))*INDEX(Escalators!$I$44:$U$49,MATCH(AI$4,Escalators!$C$44:$C$49,0),MATCH(AI$5,Escalators!$I$43:$U$43,0))</f>
        <v>0</v>
      </c>
      <c r="AJ29" s="128">
        <f>INDEX(Direct_Cost_Splits_Network,MATCH($H29,RIN_Asset_Cat_Network,0),MATCH($AY$4,Direct_Cost_Type,0))*$K29*INDEX(Act_Type_Augex_Splits,MATCH($I29,Act_Type_Augex,0),MATCH(AJ$4,Mat_Type,0))*INDEX(Escalators!$I$44:$U$49,MATCH(AJ$4,Escalators!$C$44:$C$49,0),MATCH(AJ$5,Escalators!$I$43:$U$43,0))</f>
        <v>0</v>
      </c>
      <c r="AK29" s="128">
        <f>INDEX(Direct_Cost_Splits_Network,MATCH($H29,RIN_Asset_Cat_Network,0),MATCH($AY$4,Direct_Cost_Type,0))*$K29*INDEX(Act_Type_Augex_Splits,MATCH($I29,Act_Type_Augex,0),MATCH(AK$4,Mat_Type,0))*INDEX(Escalators!$I$44:$U$49,MATCH(AK$4,Escalators!$C$44:$C$49,0),MATCH(AK$5,Escalators!$I$43:$U$43,0))</f>
        <v>0</v>
      </c>
      <c r="AL29" s="128">
        <f>INDEX(Direct_Cost_Splits_Network,MATCH($H29,RIN_Asset_Cat_Network,0),MATCH($AY$4,Direct_Cost_Type,0))*$K29*INDEX(Act_Type_Augex_Splits,MATCH($I29,Act_Type_Augex,0),MATCH(AL$4,Mat_Type,0))*INDEX(Escalators!$I$44:$U$49,MATCH(AL$4,Escalators!$C$44:$C$49,0),MATCH(AL$5,Escalators!$I$43:$U$43,0))</f>
        <v>0</v>
      </c>
      <c r="AM29" s="128">
        <f t="shared" ref="AM29" si="109">SUM(AH29:AL29)</f>
        <v>0</v>
      </c>
      <c r="AN29" s="128">
        <f>INDEX(Direct_Cost_Splits_Network,MATCH($H29,RIN_Asset_Cat_Network,0),MATCH($AY$4,Direct_Cost_Type,0))*$L29*INDEX(Act_Type_Augex_Splits,MATCH($I29,Act_Type_Augex,0),MATCH(AN$4,Mat_Type,0))*INDEX(Escalators!$I$44:$U$49,MATCH(AN$4,Escalators!$C$44:$C$49,0),MATCH(AN$5,Escalators!$I$43:$U$43,0))</f>
        <v>0</v>
      </c>
      <c r="AO29" s="128">
        <f>INDEX(Direct_Cost_Splits_Network,MATCH($H29,RIN_Asset_Cat_Network,0),MATCH($AY$4,Direct_Cost_Type,0))*$L29*INDEX(Act_Type_Augex_Splits,MATCH($I29,Act_Type_Augex,0),MATCH(AO$4,Mat_Type,0))*INDEX(Escalators!$I$44:$U$49,MATCH(AO$4,Escalators!$C$44:$C$49,0),MATCH(AO$5,Escalators!$I$43:$U$43,0))</f>
        <v>0</v>
      </c>
      <c r="AP29" s="128">
        <f>INDEX(Direct_Cost_Splits_Network,MATCH($H29,RIN_Asset_Cat_Network,0),MATCH($AY$4,Direct_Cost_Type,0))*$L29*INDEX(Act_Type_Augex_Splits,MATCH($I29,Act_Type_Augex,0),MATCH(AP$4,Mat_Type,0))*INDEX(Escalators!$I$44:$U$49,MATCH(AP$4,Escalators!$C$44:$C$49,0),MATCH(AP$5,Escalators!$I$43:$U$43,0))</f>
        <v>0</v>
      </c>
      <c r="AQ29" s="128">
        <f>INDEX(Direct_Cost_Splits_Network,MATCH($H29,RIN_Asset_Cat_Network,0),MATCH($AY$4,Direct_Cost_Type,0))*$L29*INDEX(Act_Type_Augex_Splits,MATCH($I29,Act_Type_Augex,0),MATCH(AQ$4,Mat_Type,0))*INDEX(Escalators!$I$44:$U$49,MATCH(AQ$4,Escalators!$C$44:$C$49,0),MATCH(AQ$5,Escalators!$I$43:$U$43,0))</f>
        <v>0</v>
      </c>
      <c r="AR29" s="128">
        <f>INDEX(Direct_Cost_Splits_Network,MATCH($H29,RIN_Asset_Cat_Network,0),MATCH($AY$4,Direct_Cost_Type,0))*$L29*INDEX(Act_Type_Augex_Splits,MATCH($I29,Act_Type_Augex,0),MATCH(AR$4,Mat_Type,0))*INDEX(Escalators!$I$44:$U$49,MATCH(AR$4,Escalators!$C$44:$C$49,0),MATCH(AR$5,Escalators!$I$43:$U$43,0))</f>
        <v>0</v>
      </c>
      <c r="AS29" s="128">
        <f t="shared" si="70"/>
        <v>0</v>
      </c>
      <c r="AT29" s="128">
        <f>INDEX(Direct_Cost_Splits_Network,MATCH($H29,RIN_Asset_Cat_Network,0),MATCH($AY$4,Direct_Cost_Type,0))*$M29*INDEX(Act_Type_Augex_Splits,MATCH($I29,Act_Type_Augex,0),MATCH(AT$4,Mat_Type,0))*INDEX(Escalators!$I$44:$U$49,MATCH(AT$4,Escalators!$C$44:$C$49,0),MATCH(AT$5,Escalators!$I$43:$U$43,0))</f>
        <v>92.273572275337699</v>
      </c>
      <c r="AU29" s="128">
        <f>INDEX(Direct_Cost_Splits_Network,MATCH($H29,RIN_Asset_Cat_Network,0),MATCH($AY$4,Direct_Cost_Type,0))*$M29*INDEX(Act_Type_Augex_Splits,MATCH($I29,Act_Type_Augex,0),MATCH(AU$4,Mat_Type,0))*INDEX(Escalators!$I$44:$U$49,MATCH(AU$4,Escalators!$C$44:$C$49,0),MATCH(AU$5,Escalators!$I$43:$U$43,0))</f>
        <v>369.0942891013508</v>
      </c>
      <c r="AV29" s="128">
        <f>INDEX(Direct_Cost_Splits_Network,MATCH($H29,RIN_Asset_Cat_Network,0),MATCH($AY$4,Direct_Cost_Type,0))*$M29*INDEX(Act_Type_Augex_Splits,MATCH($I29,Act_Type_Augex,0),MATCH(AV$4,Mat_Type,0))*INDEX(Escalators!$I$44:$U$49,MATCH(AV$4,Escalators!$C$44:$C$49,0),MATCH(AV$5,Escalators!$I$43:$U$43,0))</f>
        <v>645.91500592736384</v>
      </c>
      <c r="AW29" s="128">
        <f>INDEX(Direct_Cost_Splits_Network,MATCH($H29,RIN_Asset_Cat_Network,0),MATCH($AY$4,Direct_Cost_Type,0))*$M29*INDEX(Act_Type_Augex_Splits,MATCH($I29,Act_Type_Augex,0),MATCH(AW$4,Mat_Type,0))*INDEX(Escalators!$I$44:$U$49,MATCH(AW$4,Escalators!$C$44:$C$49,0),MATCH(AW$5,Escalators!$I$43:$U$43,0))</f>
        <v>92.273572275337699</v>
      </c>
      <c r="AX29" s="128">
        <f>INDEX(Direct_Cost_Splits_Network,MATCH($H29,RIN_Asset_Cat_Network,0),MATCH($AY$4,Direct_Cost_Type,0))*$M29*INDEX(Act_Type_Augex_Splits,MATCH($I29,Act_Type_Augex,0),MATCH(AX$4,Mat_Type,0))*INDEX(Escalators!$I$44:$U$49,MATCH(AX$4,Escalators!$C$44:$C$49,0),MATCH(AX$5,Escalators!$I$43:$U$43,0))</f>
        <v>645.91500592736384</v>
      </c>
      <c r="AY29" s="128">
        <f t="shared" ref="AY29" si="110">SUM(AT29:AX29)</f>
        <v>1845.471445506754</v>
      </c>
      <c r="AZ29" s="128">
        <f>INDEX(Direct_Cost_Splits_Network,MATCH($H29,RIN_Asset_Cat_Network,0),MATCH($BE$4,Direct_Cost_Type,0))*$N29*INDEX(Act_Type_Augex_Splits,MATCH($I29,Act_Type_Augex,0),MATCH(AZ$4,Mat_Type,0))*INDEX(Escalators!$I$44:$U$49,MATCH(AZ$4,Escalators!$C$44:$C$49,0),MATCH(AZ$5,Escalators!$I$43:$U$43,0))</f>
        <v>95.832617457558172</v>
      </c>
      <c r="BA29" s="128">
        <f>INDEX(Direct_Cost_Splits_Network,MATCH($H29,RIN_Asset_Cat_Network,0),MATCH($BE$4,Direct_Cost_Type,0))*$N29*INDEX(Act_Type_Augex_Splits,MATCH($I29,Act_Type_Augex,0),MATCH(BA$4,Mat_Type,0))*INDEX(Escalators!$I$44:$U$49,MATCH(BA$4,Escalators!$C$44:$C$49,0),MATCH(BA$5,Escalators!$I$43:$U$43,0))</f>
        <v>383.33046983023269</v>
      </c>
      <c r="BB29" s="128">
        <f>INDEX(Direct_Cost_Splits_Network,MATCH($H29,RIN_Asset_Cat_Network,0),MATCH($BE$4,Direct_Cost_Type,0))*$N29*INDEX(Act_Type_Augex_Splits,MATCH($I29,Act_Type_Augex,0),MATCH(BB$4,Mat_Type,0))*INDEX(Escalators!$I$44:$U$49,MATCH(BB$4,Escalators!$C$44:$C$49,0),MATCH(BB$5,Escalators!$I$43:$U$43,0))</f>
        <v>670.8283222029072</v>
      </c>
      <c r="BC29" s="128">
        <f>INDEX(Direct_Cost_Splits_Network,MATCH($H29,RIN_Asset_Cat_Network,0),MATCH($BE$4,Direct_Cost_Type,0))*$N29*INDEX(Act_Type_Augex_Splits,MATCH($I29,Act_Type_Augex,0),MATCH(BC$4,Mat_Type,0))*INDEX(Escalators!$I$44:$U$49,MATCH(BC$4,Escalators!$C$44:$C$49,0),MATCH(BC$5,Escalators!$I$43:$U$43,0))</f>
        <v>95.832617457558172</v>
      </c>
      <c r="BD29" s="128">
        <f>INDEX(Direct_Cost_Splits_Network,MATCH($H29,RIN_Asset_Cat_Network,0),MATCH($BE$4,Direct_Cost_Type,0))*$N29*INDEX(Act_Type_Augex_Splits,MATCH($I29,Act_Type_Augex,0),MATCH(BD$4,Mat_Type,0))*INDEX(Escalators!$I$44:$U$49,MATCH(BD$4,Escalators!$C$44:$C$49,0),MATCH(BD$5,Escalators!$I$43:$U$43,0))</f>
        <v>670.8283222029072</v>
      </c>
      <c r="BE29" s="128">
        <f t="shared" ref="BE29" si="111">SUM(AZ29:BD29)</f>
        <v>1916.6523491511634</v>
      </c>
      <c r="BF29" s="128">
        <f>INDEX(Direct_Cost_Splits_Network,MATCH($H29,RIN_Asset_Cat_Network,0),MATCH($BK$4,Direct_Cost_Type,0))*$O29*INDEX(Act_Type_Augex_Splits,MATCH($I29,Act_Type_Augex,0),MATCH(BF$4,Mat_Type,0))*INDEX(Escalators!$I$44:$U$49,MATCH(BF$4,Escalators!$C$44:$C$49,0),MATCH(BF$5,Escalators!$I$43:$U$43,0))</f>
        <v>21.829967745939985</v>
      </c>
      <c r="BG29" s="128">
        <f>INDEX(Direct_Cost_Splits_Network,MATCH($H29,RIN_Asset_Cat_Network,0),MATCH($BK$4,Direct_Cost_Type,0))*$O29*INDEX(Act_Type_Augex_Splits,MATCH($I29,Act_Type_Augex,0),MATCH(BG$4,Mat_Type,0))*INDEX(Escalators!$I$44:$U$49,MATCH(BG$4,Escalators!$C$44:$C$49,0),MATCH(BG$5,Escalators!$I$43:$U$43,0))</f>
        <v>87.319870983759941</v>
      </c>
      <c r="BH29" s="128">
        <f>INDEX(Direct_Cost_Splits_Network,MATCH($H29,RIN_Asset_Cat_Network,0),MATCH($BK$4,Direct_Cost_Type,0))*$O29*INDEX(Act_Type_Augex_Splits,MATCH($I29,Act_Type_Augex,0),MATCH(BH$4,Mat_Type,0))*INDEX(Escalators!$I$44:$U$49,MATCH(BH$4,Escalators!$C$44:$C$49,0),MATCH(BH$5,Escalators!$I$43:$U$43,0))</f>
        <v>152.80977422157989</v>
      </c>
      <c r="BI29" s="128">
        <f>INDEX(Direct_Cost_Splits_Network,MATCH($H29,RIN_Asset_Cat_Network,0),MATCH($BK$4,Direct_Cost_Type,0))*$O29*INDEX(Act_Type_Augex_Splits,MATCH($I29,Act_Type_Augex,0),MATCH(BI$4,Mat_Type,0))*INDEX(Escalators!$I$44:$U$49,MATCH(BI$4,Escalators!$C$44:$C$49,0),MATCH(BI$5,Escalators!$I$43:$U$43,0))</f>
        <v>21.829967745939985</v>
      </c>
      <c r="BJ29" s="128">
        <f>INDEX(Direct_Cost_Splits_Network,MATCH($H29,RIN_Asset_Cat_Network,0),MATCH($BK$4,Direct_Cost_Type,0))*$O29*INDEX(Act_Type_Augex_Splits,MATCH($I29,Act_Type_Augex,0),MATCH(BJ$4,Mat_Type,0))*INDEX(Escalators!$I$44:$U$49,MATCH(BJ$4,Escalators!$C$44:$C$49,0),MATCH(BJ$5,Escalators!$I$43:$U$43,0))</f>
        <v>152.80977422157989</v>
      </c>
      <c r="BK29" s="128">
        <f t="shared" ref="BK29" si="112">SUM(BF29:BJ29)</f>
        <v>436.59935491879969</v>
      </c>
      <c r="BL29" s="128">
        <f>INDEX(Direct_Cost_Splits_Network,MATCH($H29,RIN_Asset_Cat_Network,0),MATCH($BQ$4,Direct_Cost_Type,0))*$P29*INDEX(Act_Type_Augex_Splits,MATCH($I29,Act_Type_Augex,0),MATCH(BL$4,Mat_Type,0))*INDEX(Escalators!$I$44:$U$49,MATCH(BL$4,Escalators!$C$44:$C$49,0),MATCH(BL$5,Escalators!$I$43:$U$43,0))</f>
        <v>16.446059846165333</v>
      </c>
      <c r="BM29" s="128">
        <f>INDEX(Direct_Cost_Splits_Network,MATCH($H29,RIN_Asset_Cat_Network,0),MATCH($BQ$4,Direct_Cost_Type,0))*$P29*INDEX(Act_Type_Augex_Splits,MATCH($I29,Act_Type_Augex,0),MATCH(BM$4,Mat_Type,0))*INDEX(Escalators!$I$44:$U$49,MATCH(BM$4,Escalators!$C$44:$C$49,0),MATCH(BM$5,Escalators!$I$43:$U$43,0))</f>
        <v>65.784239384661333</v>
      </c>
      <c r="BN29" s="128">
        <f>INDEX(Direct_Cost_Splits_Network,MATCH($H29,RIN_Asset_Cat_Network,0),MATCH($BQ$4,Direct_Cost_Type,0))*$P29*INDEX(Act_Type_Augex_Splits,MATCH($I29,Act_Type_Augex,0),MATCH(BN$4,Mat_Type,0))*INDEX(Escalators!$I$44:$U$49,MATCH(BN$4,Escalators!$C$44:$C$49,0),MATCH(BN$5,Escalators!$I$43:$U$43,0))</f>
        <v>115.12241892315731</v>
      </c>
      <c r="BO29" s="128">
        <f>INDEX(Direct_Cost_Splits_Network,MATCH($H29,RIN_Asset_Cat_Network,0),MATCH($BQ$4,Direct_Cost_Type,0))*$P29*INDEX(Act_Type_Augex_Splits,MATCH($I29,Act_Type_Augex,0),MATCH(BO$4,Mat_Type,0))*INDEX(Escalators!$I$44:$U$49,MATCH(BO$4,Escalators!$C$44:$C$49,0),MATCH(BO$5,Escalators!$I$43:$U$43,0))</f>
        <v>16.446059846165333</v>
      </c>
      <c r="BP29" s="128">
        <f>INDEX(Direct_Cost_Splits_Network,MATCH($H29,RIN_Asset_Cat_Network,0),MATCH($BQ$4,Direct_Cost_Type,0))*$P29*INDEX(Act_Type_Augex_Splits,MATCH($I29,Act_Type_Augex,0),MATCH(BP$4,Mat_Type,0))*INDEX(Escalators!$I$44:$U$49,MATCH(BP$4,Escalators!$C$44:$C$49,0),MATCH(BP$5,Escalators!$I$43:$U$43,0))</f>
        <v>115.12241892315731</v>
      </c>
      <c r="BQ29" s="128">
        <f t="shared" ref="BQ29" si="113">SUM(BL29:BP29)</f>
        <v>328.92119692330664</v>
      </c>
      <c r="BR29" s="128">
        <f>INDEX(Direct_Cost_Splits_Network,MATCH($H29,RIN_Asset_Cat_Network,0),MATCH($BW$4,Direct_Cost_Type,0))*$Q29*INDEX(Act_Type_Augex_Splits,MATCH($I29,Act_Type_Augex,0),MATCH(BR$4,Mat_Type,0))*INDEX(Escalators!$I$44:$U$49,MATCH(BR$4,Escalators!$C$44:$C$49,0),MATCH(BR$5,Escalators!$I$43:$U$43,0))</f>
        <v>12.334544884624</v>
      </c>
      <c r="BS29" s="128">
        <f>INDEX(Direct_Cost_Splits_Network,MATCH($H29,RIN_Asset_Cat_Network,0),MATCH($BW$4,Direct_Cost_Type,0))*$Q29*INDEX(Act_Type_Augex_Splits,MATCH($I29,Act_Type_Augex,0),MATCH(BS$4,Mat_Type,0))*INDEX(Escalators!$I$44:$U$49,MATCH(BS$4,Escalators!$C$44:$C$49,0),MATCH(BS$5,Escalators!$I$43:$U$43,0))</f>
        <v>49.338179538496</v>
      </c>
      <c r="BT29" s="128">
        <f>INDEX(Direct_Cost_Splits_Network,MATCH($H29,RIN_Asset_Cat_Network,0),MATCH($BW$4,Direct_Cost_Type,0))*$Q29*INDEX(Act_Type_Augex_Splits,MATCH($I29,Act_Type_Augex,0),MATCH(BT$4,Mat_Type,0))*INDEX(Escalators!$I$44:$U$49,MATCH(BT$4,Escalators!$C$44:$C$49,0),MATCH(BT$5,Escalators!$I$43:$U$43,0))</f>
        <v>86.341814192367991</v>
      </c>
      <c r="BU29" s="128">
        <f>INDEX(Direct_Cost_Splits_Network,MATCH($H29,RIN_Asset_Cat_Network,0),MATCH($BW$4,Direct_Cost_Type,0))*$Q29*INDEX(Act_Type_Augex_Splits,MATCH($I29,Act_Type_Augex,0),MATCH(BU$4,Mat_Type,0))*INDEX(Escalators!$I$44:$U$49,MATCH(BU$4,Escalators!$C$44:$C$49,0),MATCH(BU$5,Escalators!$I$43:$U$43,0))</f>
        <v>12.334544884624</v>
      </c>
      <c r="BV29" s="128">
        <f>INDEX(Direct_Cost_Splits_Network,MATCH($H29,RIN_Asset_Cat_Network,0),MATCH($BW$4,Direct_Cost_Type,0))*$Q29*INDEX(Act_Type_Augex_Splits,MATCH($I29,Act_Type_Augex,0),MATCH(BV$4,Mat_Type,0))*INDEX(Escalators!$I$44:$U$49,MATCH(BV$4,Escalators!$C$44:$C$49,0),MATCH(BV$5,Escalators!$I$43:$U$43,0))</f>
        <v>86.341814192367991</v>
      </c>
      <c r="BW29" s="128">
        <f t="shared" ref="BW29" si="114">SUM(BR29:BV29)</f>
        <v>246.69089769247998</v>
      </c>
      <c r="BX29" s="129"/>
      <c r="BY29" s="128">
        <f>INDEX(Direct_Cost_Splits_Network,MATCH($H29,RIN_Asset_Cat_Network,0),MATCH($BY$4,Direct_Cost_Type,0))*J29*HLOOKUP(BY$5,Escalators!$I$25:$U$30,6,FALSE)</f>
        <v>0</v>
      </c>
      <c r="BZ29" s="128">
        <f>INDEX(Direct_Cost_Splits_Network,MATCH($H29,RIN_Asset_Cat_Network,0),MATCH($BY$4,Direct_Cost_Type,0))*K29*HLOOKUP(BZ$5,Escalators!$I$25:$U$30,6,FALSE)</f>
        <v>0</v>
      </c>
      <c r="CA29" s="128">
        <f>INDEX(Direct_Cost_Splits_Network,MATCH($H29,RIN_Asset_Cat_Network,0),MATCH($BY$4,Direct_Cost_Type,0))*L29*HLOOKUP(CA$5,Escalators!$I$25:$U$30,6,FALSE)</f>
        <v>0</v>
      </c>
      <c r="CB29" s="128">
        <f>INDEX(Direct_Cost_Splits_Network,MATCH($H29,RIN_Asset_Cat_Network,0),MATCH($BY$4,Direct_Cost_Type,0))*M29*HLOOKUP(CB$5,Escalators!$I$25:$U$30,6,FALSE)</f>
        <v>2514.0888672973842</v>
      </c>
      <c r="CC29" s="128">
        <f>INDEX(Direct_Cost_Splits_Network,MATCH($H29,RIN_Asset_Cat_Network,0),MATCH($BY$4,Direct_Cost_Type,0))*N29*HLOOKUP(CC$5,Escalators!$I$25:$U$30,6,FALSE)</f>
        <v>2611.0587325598826</v>
      </c>
      <c r="CD29" s="128">
        <f>INDEX(Direct_Cost_Splits_Network,MATCH($H29,RIN_Asset_Cat_Network,0),MATCH($BY$4,Direct_Cost_Type,0))*O29*HLOOKUP(CD$5,Escalators!$I$25:$U$30,6,FALSE)</f>
        <v>594.78003864165271</v>
      </c>
      <c r="CE29" s="128">
        <f>INDEX(Direct_Cost_Splits_Network,MATCH($H29,RIN_Asset_Cat_Network,0),MATCH($BY$4,Direct_Cost_Type,0))*P29*HLOOKUP(CE$5,Escalators!$I$25:$U$30,6,FALSE)</f>
        <v>448.08990213118392</v>
      </c>
      <c r="CF29" s="128">
        <f>INDEX(Direct_Cost_Splits_Network,MATCH($H29,RIN_Asset_Cat_Network,0),MATCH($BY$4,Direct_Cost_Type,0))*Q29*HLOOKUP(CF$5,Escalators!$I$25:$U$30,6,FALSE)</f>
        <v>336.06742659838795</v>
      </c>
      <c r="CG29" s="129"/>
      <c r="CH29" s="675">
        <f t="shared" ref="CH29" si="115">INDEX(Direct_Cost_Splits_Network,MATCH($H29,RIN_Asset_Cat_Network,0),MATCH($CH$4,Direct_Cost_Type,0))*J29</f>
        <v>0</v>
      </c>
      <c r="CI29" s="675">
        <f t="shared" si="77"/>
        <v>0</v>
      </c>
      <c r="CJ29" s="675">
        <f t="shared" si="78"/>
        <v>0</v>
      </c>
      <c r="CK29" s="675">
        <f t="shared" ref="CK29" si="116">INDEX(Direct_Cost_Splits_Network,MATCH($H29,RIN_Asset_Cat_Network,0),MATCH($CH$4,Direct_Cost_Type,0))*M29</f>
        <v>690.71102848289775</v>
      </c>
      <c r="CL29" s="675">
        <f t="shared" ref="CL29" si="117">INDEX(Direct_Cost_Splits_Network,MATCH($H29,RIN_Asset_Cat_Network,0),MATCH($CH$4,Direct_Cost_Type,0))*N29</f>
        <v>717.35215332082316</v>
      </c>
      <c r="CM29" s="675">
        <f t="shared" ref="CM29" si="118">INDEX(Direct_Cost_Splits_Network,MATCH($H29,RIN_Asset_Cat_Network,0),MATCH($CH$4,Direct_Cost_Type,0))*O29</f>
        <v>163.40756190249607</v>
      </c>
      <c r="CN29" s="675">
        <f t="shared" ref="CN29" si="119">INDEX(Direct_Cost_Splits_Network,MATCH($H29,RIN_Asset_Cat_Network,0),MATCH($CH$4,Direct_Cost_Type,0))*P29</f>
        <v>123.10648250335738</v>
      </c>
      <c r="CO29" s="675">
        <f t="shared" ref="CO29" si="120">INDEX(Direct_Cost_Splits_Network,MATCH($H29,RIN_Asset_Cat_Network,0),MATCH($CH$4,Direct_Cost_Type,0))*Q29</f>
        <v>92.329861877518042</v>
      </c>
      <c r="CP29" s="129"/>
      <c r="CQ29" s="128">
        <f t="shared" si="18"/>
        <v>0</v>
      </c>
      <c r="CR29" s="128">
        <f t="shared" si="9"/>
        <v>0</v>
      </c>
      <c r="CS29" s="128">
        <f t="shared" si="19"/>
        <v>0</v>
      </c>
      <c r="CT29" s="128">
        <f t="shared" si="20"/>
        <v>6006.1654792786658</v>
      </c>
      <c r="CU29" s="128">
        <f t="shared" si="21"/>
        <v>6242.7517582246219</v>
      </c>
      <c r="CV29" s="128">
        <f t="shared" si="22"/>
        <v>1423.533175730196</v>
      </c>
      <c r="CW29" s="128">
        <f t="shared" si="23"/>
        <v>1074.1603438646655</v>
      </c>
      <c r="CX29" s="128">
        <f t="shared" si="24"/>
        <v>807.32702005353974</v>
      </c>
      <c r="CZ29" s="39"/>
    </row>
    <row r="30" spans="2:104">
      <c r="B30" s="75" t="s">
        <v>645</v>
      </c>
      <c r="C30" s="75" t="s">
        <v>550</v>
      </c>
      <c r="D30" s="75" t="s">
        <v>422</v>
      </c>
      <c r="E30" s="75" t="s">
        <v>395</v>
      </c>
      <c r="F30" s="75" t="s">
        <v>55</v>
      </c>
      <c r="G30" s="75" t="s">
        <v>34</v>
      </c>
      <c r="H30" s="75" t="s">
        <v>154</v>
      </c>
      <c r="I30" s="75" t="s">
        <v>213</v>
      </c>
      <c r="J30" s="128"/>
      <c r="K30" s="128"/>
      <c r="L30" s="128"/>
      <c r="M30" s="750">
        <f>'[3]All works'!D19</f>
        <v>890.78722813936156</v>
      </c>
      <c r="N30" s="750">
        <f>'[3]All works'!E19</f>
        <v>0</v>
      </c>
      <c r="O30" s="750">
        <f>'[3]All works'!F19</f>
        <v>0</v>
      </c>
      <c r="P30" s="750">
        <f>'[3]All works'!G19</f>
        <v>0</v>
      </c>
      <c r="Q30" s="750">
        <f>'[3]All works'!H19</f>
        <v>0</v>
      </c>
      <c r="R30" s="129"/>
      <c r="S30" s="128">
        <f>INDEX(Direct_Cost_Splits_Network,MATCH($H30,RIN_Asset_Cat_Network,0),MATCH($S$4,Direct_Cost_Type,0))*J30*HLOOKUP(S$5,Escalators!$I$25:$U$30,3,FALSE)</f>
        <v>0</v>
      </c>
      <c r="T30" s="128">
        <f>INDEX(Direct_Cost_Splits_Network,MATCH($H30,RIN_Asset_Cat_Network,0),MATCH($S$4,Direct_Cost_Type,0))*K30*HLOOKUP(T$5,Escalators!$I$25:$U$30,3,FALSE)</f>
        <v>0</v>
      </c>
      <c r="U30" s="128">
        <f>INDEX(Direct_Cost_Splits_Network,MATCH($H30,RIN_Asset_Cat_Network,0),MATCH($S$4,Direct_Cost_Type,0))*L30*HLOOKUP(U$5,Escalators!$I$25:$U$30,3,FALSE)</f>
        <v>0</v>
      </c>
      <c r="V30" s="128">
        <f>INDEX(Direct_Cost_Splits_Network,MATCH($H30,RIN_Asset_Cat_Network,0),MATCH($S$4,Direct_Cost_Type,0))*M30*HLOOKUP(V$5,Escalators!$I$25:$U$30,3,FALSE)</f>
        <v>142.4887575444296</v>
      </c>
      <c r="W30" s="128">
        <f>INDEX(Direct_Cost_Splits_Network,MATCH($H30,RIN_Asset_Cat_Network,0),MATCH($S$4,Direct_Cost_Type,0))*N30*HLOOKUP(W$5,Escalators!$I$25:$U$30,3,FALSE)</f>
        <v>0</v>
      </c>
      <c r="X30" s="128">
        <f>INDEX(Direct_Cost_Splits_Network,MATCH($H30,RIN_Asset_Cat_Network,0),MATCH($S$4,Direct_Cost_Type,0))*O30*HLOOKUP(X$5,Escalators!$I$25:$U$30,3,FALSE)</f>
        <v>0</v>
      </c>
      <c r="Y30" s="128">
        <f>INDEX(Direct_Cost_Splits_Network,MATCH($H30,RIN_Asset_Cat_Network,0),MATCH($S$4,Direct_Cost_Type,0))*P30*HLOOKUP(Y$5,Escalators!$I$25:$U$30,3,FALSE)</f>
        <v>0</v>
      </c>
      <c r="Z30" s="128">
        <f>INDEX(Direct_Cost_Splits_Network,MATCH($H30,RIN_Asset_Cat_Network,0),MATCH($S$4,Direct_Cost_Type,0))*Q30*HLOOKUP(Z$5,Escalators!$I$25:$U$30,3,FALSE)</f>
        <v>0</v>
      </c>
      <c r="AA30" s="129"/>
      <c r="AB30" s="128">
        <f>INDEX(Direct_Cost_Splits_Network,MATCH($H30,RIN_Asset_Cat_Network,0),MATCH($AG$4,Direct_Cost_Type,0))*$J30*INDEX(Act_Type_Augex_Splits,MATCH($I30,Act_Type_Augex,0),MATCH(AB$4,Mat_Type,0))*INDEX(Escalators!$I$44:$U$49,MATCH(AB$4,Escalators!$C$44:$C$49,0),MATCH(AB$5,Escalators!$I$43:$U$43,0))</f>
        <v>0</v>
      </c>
      <c r="AC30" s="128">
        <f>INDEX(Direct_Cost_Splits_Network,MATCH($H30,RIN_Asset_Cat_Network,0),MATCH($AG$4,Direct_Cost_Type,0))*$J30*INDEX(Act_Type_Augex_Splits,MATCH($I30,Act_Type_Augex,0),MATCH(AC$4,Mat_Type,0))*INDEX(Escalators!$I$44:$U$49,MATCH(AC$4,Escalators!$C$44:$C$49,0),MATCH(AC$5,Escalators!$I$43:$U$43,0))</f>
        <v>0</v>
      </c>
      <c r="AD30" s="128">
        <f>INDEX(Direct_Cost_Splits_Network,MATCH($H30,RIN_Asset_Cat_Network,0),MATCH($AG$4,Direct_Cost_Type,0))*$J30*INDEX(Act_Type_Augex_Splits,MATCH($I30,Act_Type_Augex,0),MATCH(AD$4,Mat_Type,0))*INDEX(Escalators!$I$44:$U$49,MATCH(AD$4,Escalators!$C$44:$C$49,0),MATCH(AD$5,Escalators!$I$43:$U$43,0))</f>
        <v>0</v>
      </c>
      <c r="AE30" s="128">
        <f>INDEX(Direct_Cost_Splits_Network,MATCH($H30,RIN_Asset_Cat_Network,0),MATCH($AG$4,Direct_Cost_Type,0))*$J30*INDEX(Act_Type_Augex_Splits,MATCH($I30,Act_Type_Augex,0),MATCH(AE$4,Mat_Type,0))*INDEX(Escalators!$I$44:$U$49,MATCH(AE$4,Escalators!$C$44:$C$49,0),MATCH(AE$5,Escalators!$I$43:$U$43,0))</f>
        <v>0</v>
      </c>
      <c r="AF30" s="128">
        <f>INDEX(Direct_Cost_Splits_Network,MATCH($H30,RIN_Asset_Cat_Network,0),MATCH($AG$4,Direct_Cost_Type,0))*$J30*INDEX(Act_Type_Augex_Splits,MATCH($I30,Act_Type_Augex,0),MATCH(AF$4,Mat_Type,0))*INDEX(Escalators!$I$44:$U$49,MATCH(AF$4,Escalators!$C$44:$C$49,0),MATCH(AF$5,Escalators!$I$43:$U$43,0))</f>
        <v>0</v>
      </c>
      <c r="AG30" s="128">
        <f>SUM(AB30:AF30)</f>
        <v>0</v>
      </c>
      <c r="AH30" s="128">
        <f>INDEX(Direct_Cost_Splits_Network,MATCH($H30,RIN_Asset_Cat_Network,0),MATCH($AY$4,Direct_Cost_Type,0))*$K30*INDEX(Act_Type_Augex_Splits,MATCH($I30,Act_Type_Augex,0),MATCH(AH$4,Mat_Type,0))*INDEX(Escalators!$I$44:$U$49,MATCH(AH$4,Escalators!$C$44:$C$49,0),MATCH(AH$5,Escalators!$I$43:$U$43,0))</f>
        <v>0</v>
      </c>
      <c r="AI30" s="128">
        <f>INDEX(Direct_Cost_Splits_Network,MATCH($H30,RIN_Asset_Cat_Network,0),MATCH($AY$4,Direct_Cost_Type,0))*$K30*INDEX(Act_Type_Augex_Splits,MATCH($I30,Act_Type_Augex,0),MATCH(AI$4,Mat_Type,0))*INDEX(Escalators!$I$44:$U$49,MATCH(AI$4,Escalators!$C$44:$C$49,0),MATCH(AI$5,Escalators!$I$43:$U$43,0))</f>
        <v>0</v>
      </c>
      <c r="AJ30" s="128">
        <f>INDEX(Direct_Cost_Splits_Network,MATCH($H30,RIN_Asset_Cat_Network,0),MATCH($AY$4,Direct_Cost_Type,0))*$K30*INDEX(Act_Type_Augex_Splits,MATCH($I30,Act_Type_Augex,0),MATCH(AJ$4,Mat_Type,0))*INDEX(Escalators!$I$44:$U$49,MATCH(AJ$4,Escalators!$C$44:$C$49,0),MATCH(AJ$5,Escalators!$I$43:$U$43,0))</f>
        <v>0</v>
      </c>
      <c r="AK30" s="128">
        <f>INDEX(Direct_Cost_Splits_Network,MATCH($H30,RIN_Asset_Cat_Network,0),MATCH($AY$4,Direct_Cost_Type,0))*$K30*INDEX(Act_Type_Augex_Splits,MATCH($I30,Act_Type_Augex,0),MATCH(AK$4,Mat_Type,0))*INDEX(Escalators!$I$44:$U$49,MATCH(AK$4,Escalators!$C$44:$C$49,0),MATCH(AK$5,Escalators!$I$43:$U$43,0))</f>
        <v>0</v>
      </c>
      <c r="AL30" s="128">
        <f>INDEX(Direct_Cost_Splits_Network,MATCH($H30,RIN_Asset_Cat_Network,0),MATCH($AY$4,Direct_Cost_Type,0))*$K30*INDEX(Act_Type_Augex_Splits,MATCH($I30,Act_Type_Augex,0),MATCH(AL$4,Mat_Type,0))*INDEX(Escalators!$I$44:$U$49,MATCH(AL$4,Escalators!$C$44:$C$49,0),MATCH(AL$5,Escalators!$I$43:$U$43,0))</f>
        <v>0</v>
      </c>
      <c r="AM30" s="128">
        <f>SUM(AH30:AL30)</f>
        <v>0</v>
      </c>
      <c r="AN30" s="128">
        <f>INDEX(Direct_Cost_Splits_Network,MATCH($H30,RIN_Asset_Cat_Network,0),MATCH($AY$4,Direct_Cost_Type,0))*$L30*INDEX(Act_Type_Augex_Splits,MATCH($I30,Act_Type_Augex,0),MATCH(AN$4,Mat_Type,0))*INDEX(Escalators!$I$44:$U$49,MATCH(AN$4,Escalators!$C$44:$C$49,0),MATCH(AN$5,Escalators!$I$43:$U$43,0))</f>
        <v>0</v>
      </c>
      <c r="AO30" s="128">
        <f>INDEX(Direct_Cost_Splits_Network,MATCH($H30,RIN_Asset_Cat_Network,0),MATCH($AY$4,Direct_Cost_Type,0))*$L30*INDEX(Act_Type_Augex_Splits,MATCH($I30,Act_Type_Augex,0),MATCH(AO$4,Mat_Type,0))*INDEX(Escalators!$I$44:$U$49,MATCH(AO$4,Escalators!$C$44:$C$49,0),MATCH(AO$5,Escalators!$I$43:$U$43,0))</f>
        <v>0</v>
      </c>
      <c r="AP30" s="128">
        <f>INDEX(Direct_Cost_Splits_Network,MATCH($H30,RIN_Asset_Cat_Network,0),MATCH($AY$4,Direct_Cost_Type,0))*$L30*INDEX(Act_Type_Augex_Splits,MATCH($I30,Act_Type_Augex,0),MATCH(AP$4,Mat_Type,0))*INDEX(Escalators!$I$44:$U$49,MATCH(AP$4,Escalators!$C$44:$C$49,0),MATCH(AP$5,Escalators!$I$43:$U$43,0))</f>
        <v>0</v>
      </c>
      <c r="AQ30" s="128">
        <f>INDEX(Direct_Cost_Splits_Network,MATCH($H30,RIN_Asset_Cat_Network,0),MATCH($AY$4,Direct_Cost_Type,0))*$L30*INDEX(Act_Type_Augex_Splits,MATCH($I30,Act_Type_Augex,0),MATCH(AQ$4,Mat_Type,0))*INDEX(Escalators!$I$44:$U$49,MATCH(AQ$4,Escalators!$C$44:$C$49,0),MATCH(AQ$5,Escalators!$I$43:$U$43,0))</f>
        <v>0</v>
      </c>
      <c r="AR30" s="128">
        <f>INDEX(Direct_Cost_Splits_Network,MATCH($H30,RIN_Asset_Cat_Network,0),MATCH($AY$4,Direct_Cost_Type,0))*$L30*INDEX(Act_Type_Augex_Splits,MATCH($I30,Act_Type_Augex,0),MATCH(AR$4,Mat_Type,0))*INDEX(Escalators!$I$44:$U$49,MATCH(AR$4,Escalators!$C$44:$C$49,0),MATCH(AR$5,Escalators!$I$43:$U$43,0))</f>
        <v>0</v>
      </c>
      <c r="AS30" s="128">
        <f t="shared" si="70"/>
        <v>0</v>
      </c>
      <c r="AT30" s="128">
        <f>INDEX(Direct_Cost_Splits_Network,MATCH($H30,RIN_Asset_Cat_Network,0),MATCH($AY$4,Direct_Cost_Type,0))*$M30*INDEX(Act_Type_Augex_Splits,MATCH($I30,Act_Type_Augex,0),MATCH(AT$4,Mat_Type,0))*INDEX(Escalators!$I$44:$U$49,MATCH(AT$4,Escalators!$C$44:$C$49,0),MATCH(AT$5,Escalators!$I$43:$U$43,0))</f>
        <v>13.754605395241086</v>
      </c>
      <c r="AU30" s="128">
        <f>INDEX(Direct_Cost_Splits_Network,MATCH($H30,RIN_Asset_Cat_Network,0),MATCH($AY$4,Direct_Cost_Type,0))*$M30*INDEX(Act_Type_Augex_Splits,MATCH($I30,Act_Type_Augex,0),MATCH(AU$4,Mat_Type,0))*INDEX(Escalators!$I$44:$U$49,MATCH(AU$4,Escalators!$C$44:$C$49,0),MATCH(AU$5,Escalators!$I$43:$U$43,0))</f>
        <v>41.263816185723257</v>
      </c>
      <c r="AV30" s="128">
        <f>INDEX(Direct_Cost_Splits_Network,MATCH($H30,RIN_Asset_Cat_Network,0),MATCH($AY$4,Direct_Cost_Type,0))*$M30*INDEX(Act_Type_Augex_Splits,MATCH($I30,Act_Type_Augex,0),MATCH(AV$4,Mat_Type,0))*INDEX(Escalators!$I$44:$U$49,MATCH(AV$4,Escalators!$C$44:$C$49,0),MATCH(AV$5,Escalators!$I$43:$U$43,0))</f>
        <v>110.03684316192869</v>
      </c>
      <c r="AW30" s="128">
        <f>INDEX(Direct_Cost_Splits_Network,MATCH($H30,RIN_Asset_Cat_Network,0),MATCH($AY$4,Direct_Cost_Type,0))*$M30*INDEX(Act_Type_Augex_Splits,MATCH($I30,Act_Type_Augex,0),MATCH(AW$4,Mat_Type,0))*INDEX(Escalators!$I$44:$U$49,MATCH(AW$4,Escalators!$C$44:$C$49,0),MATCH(AW$5,Escalators!$I$43:$U$43,0))</f>
        <v>13.754605395241086</v>
      </c>
      <c r="AX30" s="128">
        <f>INDEX(Direct_Cost_Splits_Network,MATCH($H30,RIN_Asset_Cat_Network,0),MATCH($AY$4,Direct_Cost_Type,0))*$M30*INDEX(Act_Type_Augex_Splits,MATCH($I30,Act_Type_Augex,0),MATCH(AX$4,Mat_Type,0))*INDEX(Escalators!$I$44:$U$49,MATCH(AX$4,Escalators!$C$44:$C$49,0),MATCH(AX$5,Escalators!$I$43:$U$43,0))</f>
        <v>96.282237766687601</v>
      </c>
      <c r="AY30" s="128">
        <f>SUM(AT30:AX30)</f>
        <v>275.09210790482172</v>
      </c>
      <c r="AZ30" s="128">
        <f>INDEX(Direct_Cost_Splits_Network,MATCH($H30,RIN_Asset_Cat_Network,0),MATCH($BE$4,Direct_Cost_Type,0))*$N30*INDEX(Act_Type_Augex_Splits,MATCH($I30,Act_Type_Augex,0),MATCH(AZ$4,Mat_Type,0))*INDEX(Escalators!$I$44:$U$49,MATCH(AZ$4,Escalators!$C$44:$C$49,0),MATCH(AZ$5,Escalators!$I$43:$U$43,0))</f>
        <v>0</v>
      </c>
      <c r="BA30" s="128">
        <f>INDEX(Direct_Cost_Splits_Network,MATCH($H30,RIN_Asset_Cat_Network,0),MATCH($BE$4,Direct_Cost_Type,0))*$N30*INDEX(Act_Type_Augex_Splits,MATCH($I30,Act_Type_Augex,0),MATCH(BA$4,Mat_Type,0))*INDEX(Escalators!$I$44:$U$49,MATCH(BA$4,Escalators!$C$44:$C$49,0),MATCH(BA$5,Escalators!$I$43:$U$43,0))</f>
        <v>0</v>
      </c>
      <c r="BB30" s="128">
        <f>INDEX(Direct_Cost_Splits_Network,MATCH($H30,RIN_Asset_Cat_Network,0),MATCH($BE$4,Direct_Cost_Type,0))*$N30*INDEX(Act_Type_Augex_Splits,MATCH($I30,Act_Type_Augex,0),MATCH(BB$4,Mat_Type,0))*INDEX(Escalators!$I$44:$U$49,MATCH(BB$4,Escalators!$C$44:$C$49,0),MATCH(BB$5,Escalators!$I$43:$U$43,0))</f>
        <v>0</v>
      </c>
      <c r="BC30" s="128">
        <f>INDEX(Direct_Cost_Splits_Network,MATCH($H30,RIN_Asset_Cat_Network,0),MATCH($BE$4,Direct_Cost_Type,0))*$N30*INDEX(Act_Type_Augex_Splits,MATCH($I30,Act_Type_Augex,0),MATCH(BC$4,Mat_Type,0))*INDEX(Escalators!$I$44:$U$49,MATCH(BC$4,Escalators!$C$44:$C$49,0),MATCH(BC$5,Escalators!$I$43:$U$43,0))</f>
        <v>0</v>
      </c>
      <c r="BD30" s="128">
        <f>INDEX(Direct_Cost_Splits_Network,MATCH($H30,RIN_Asset_Cat_Network,0),MATCH($BE$4,Direct_Cost_Type,0))*$N30*INDEX(Act_Type_Augex_Splits,MATCH($I30,Act_Type_Augex,0),MATCH(BD$4,Mat_Type,0))*INDEX(Escalators!$I$44:$U$49,MATCH(BD$4,Escalators!$C$44:$C$49,0),MATCH(BD$5,Escalators!$I$43:$U$43,0))</f>
        <v>0</v>
      </c>
      <c r="BE30" s="128">
        <f>SUM(AZ30:BD30)</f>
        <v>0</v>
      </c>
      <c r="BF30" s="128">
        <f>INDEX(Direct_Cost_Splits_Network,MATCH($H30,RIN_Asset_Cat_Network,0),MATCH($BK$4,Direct_Cost_Type,0))*$O30*INDEX(Act_Type_Augex_Splits,MATCH($I30,Act_Type_Augex,0),MATCH(BF$4,Mat_Type,0))*INDEX(Escalators!$I$44:$U$49,MATCH(BF$4,Escalators!$C$44:$C$49,0),MATCH(BF$5,Escalators!$I$43:$U$43,0))</f>
        <v>0</v>
      </c>
      <c r="BG30" s="128">
        <f>INDEX(Direct_Cost_Splits_Network,MATCH($H30,RIN_Asset_Cat_Network,0),MATCH($BK$4,Direct_Cost_Type,0))*$O30*INDEX(Act_Type_Augex_Splits,MATCH($I30,Act_Type_Augex,0),MATCH(BG$4,Mat_Type,0))*INDEX(Escalators!$I$44:$U$49,MATCH(BG$4,Escalators!$C$44:$C$49,0),MATCH(BG$5,Escalators!$I$43:$U$43,0))</f>
        <v>0</v>
      </c>
      <c r="BH30" s="128">
        <f>INDEX(Direct_Cost_Splits_Network,MATCH($H30,RIN_Asset_Cat_Network,0),MATCH($BK$4,Direct_Cost_Type,0))*$O30*INDEX(Act_Type_Augex_Splits,MATCH($I30,Act_Type_Augex,0),MATCH(BH$4,Mat_Type,0))*INDEX(Escalators!$I$44:$U$49,MATCH(BH$4,Escalators!$C$44:$C$49,0),MATCH(BH$5,Escalators!$I$43:$U$43,0))</f>
        <v>0</v>
      </c>
      <c r="BI30" s="128">
        <f>INDEX(Direct_Cost_Splits_Network,MATCH($H30,RIN_Asset_Cat_Network,0),MATCH($BK$4,Direct_Cost_Type,0))*$O30*INDEX(Act_Type_Augex_Splits,MATCH($I30,Act_Type_Augex,0),MATCH(BI$4,Mat_Type,0))*INDEX(Escalators!$I$44:$U$49,MATCH(BI$4,Escalators!$C$44:$C$49,0),MATCH(BI$5,Escalators!$I$43:$U$43,0))</f>
        <v>0</v>
      </c>
      <c r="BJ30" s="128">
        <f>INDEX(Direct_Cost_Splits_Network,MATCH($H30,RIN_Asset_Cat_Network,0),MATCH($BK$4,Direct_Cost_Type,0))*$O30*INDEX(Act_Type_Augex_Splits,MATCH($I30,Act_Type_Augex,0),MATCH(BJ$4,Mat_Type,0))*INDEX(Escalators!$I$44:$U$49,MATCH(BJ$4,Escalators!$C$44:$C$49,0),MATCH(BJ$5,Escalators!$I$43:$U$43,0))</f>
        <v>0</v>
      </c>
      <c r="BK30" s="128">
        <f>SUM(BF30:BJ30)</f>
        <v>0</v>
      </c>
      <c r="BL30" s="128">
        <f>INDEX(Direct_Cost_Splits_Network,MATCH($H30,RIN_Asset_Cat_Network,0),MATCH($BQ$4,Direct_Cost_Type,0))*$P30*INDEX(Act_Type_Augex_Splits,MATCH($I30,Act_Type_Augex,0),MATCH(BL$4,Mat_Type,0))*INDEX(Escalators!$I$44:$U$49,MATCH(BL$4,Escalators!$C$44:$C$49,0),MATCH(BL$5,Escalators!$I$43:$U$43,0))</f>
        <v>0</v>
      </c>
      <c r="BM30" s="128">
        <f>INDEX(Direct_Cost_Splits_Network,MATCH($H30,RIN_Asset_Cat_Network,0),MATCH($BQ$4,Direct_Cost_Type,0))*$P30*INDEX(Act_Type_Augex_Splits,MATCH($I30,Act_Type_Augex,0),MATCH(BM$4,Mat_Type,0))*INDEX(Escalators!$I$44:$U$49,MATCH(BM$4,Escalators!$C$44:$C$49,0),MATCH(BM$5,Escalators!$I$43:$U$43,0))</f>
        <v>0</v>
      </c>
      <c r="BN30" s="128">
        <f>INDEX(Direct_Cost_Splits_Network,MATCH($H30,RIN_Asset_Cat_Network,0),MATCH($BQ$4,Direct_Cost_Type,0))*$P30*INDEX(Act_Type_Augex_Splits,MATCH($I30,Act_Type_Augex,0),MATCH(BN$4,Mat_Type,0))*INDEX(Escalators!$I$44:$U$49,MATCH(BN$4,Escalators!$C$44:$C$49,0),MATCH(BN$5,Escalators!$I$43:$U$43,0))</f>
        <v>0</v>
      </c>
      <c r="BO30" s="128">
        <f>INDEX(Direct_Cost_Splits_Network,MATCH($H30,RIN_Asset_Cat_Network,0),MATCH($BQ$4,Direct_Cost_Type,0))*$P30*INDEX(Act_Type_Augex_Splits,MATCH($I30,Act_Type_Augex,0),MATCH(BO$4,Mat_Type,0))*INDEX(Escalators!$I$44:$U$49,MATCH(BO$4,Escalators!$C$44:$C$49,0),MATCH(BO$5,Escalators!$I$43:$U$43,0))</f>
        <v>0</v>
      </c>
      <c r="BP30" s="128">
        <f>INDEX(Direct_Cost_Splits_Network,MATCH($H30,RIN_Asset_Cat_Network,0),MATCH($BQ$4,Direct_Cost_Type,0))*$P30*INDEX(Act_Type_Augex_Splits,MATCH($I30,Act_Type_Augex,0),MATCH(BP$4,Mat_Type,0))*INDEX(Escalators!$I$44:$U$49,MATCH(BP$4,Escalators!$C$44:$C$49,0),MATCH(BP$5,Escalators!$I$43:$U$43,0))</f>
        <v>0</v>
      </c>
      <c r="BQ30" s="128">
        <f>SUM(BL30:BP30)</f>
        <v>0</v>
      </c>
      <c r="BR30" s="128">
        <f>INDEX(Direct_Cost_Splits_Network,MATCH($H30,RIN_Asset_Cat_Network,0),MATCH($BW$4,Direct_Cost_Type,0))*$Q30*INDEX(Act_Type_Augex_Splits,MATCH($I30,Act_Type_Augex,0),MATCH(BR$4,Mat_Type,0))*INDEX(Escalators!$I$44:$U$49,MATCH(BR$4,Escalators!$C$44:$C$49,0),MATCH(BR$5,Escalators!$I$43:$U$43,0))</f>
        <v>0</v>
      </c>
      <c r="BS30" s="128">
        <f>INDEX(Direct_Cost_Splits_Network,MATCH($H30,RIN_Asset_Cat_Network,0),MATCH($BW$4,Direct_Cost_Type,0))*$Q30*INDEX(Act_Type_Augex_Splits,MATCH($I30,Act_Type_Augex,0),MATCH(BS$4,Mat_Type,0))*INDEX(Escalators!$I$44:$U$49,MATCH(BS$4,Escalators!$C$44:$C$49,0),MATCH(BS$5,Escalators!$I$43:$U$43,0))</f>
        <v>0</v>
      </c>
      <c r="BT30" s="128">
        <f>INDEX(Direct_Cost_Splits_Network,MATCH($H30,RIN_Asset_Cat_Network,0),MATCH($BW$4,Direct_Cost_Type,0))*$Q30*INDEX(Act_Type_Augex_Splits,MATCH($I30,Act_Type_Augex,0),MATCH(BT$4,Mat_Type,0))*INDEX(Escalators!$I$44:$U$49,MATCH(BT$4,Escalators!$C$44:$C$49,0),MATCH(BT$5,Escalators!$I$43:$U$43,0))</f>
        <v>0</v>
      </c>
      <c r="BU30" s="128">
        <f>INDEX(Direct_Cost_Splits_Network,MATCH($H30,RIN_Asset_Cat_Network,0),MATCH($BW$4,Direct_Cost_Type,0))*$Q30*INDEX(Act_Type_Augex_Splits,MATCH($I30,Act_Type_Augex,0),MATCH(BU$4,Mat_Type,0))*INDEX(Escalators!$I$44:$U$49,MATCH(BU$4,Escalators!$C$44:$C$49,0),MATCH(BU$5,Escalators!$I$43:$U$43,0))</f>
        <v>0</v>
      </c>
      <c r="BV30" s="128">
        <f>INDEX(Direct_Cost_Splits_Network,MATCH($H30,RIN_Asset_Cat_Network,0),MATCH($BW$4,Direct_Cost_Type,0))*$Q30*INDEX(Act_Type_Augex_Splits,MATCH($I30,Act_Type_Augex,0),MATCH(BV$4,Mat_Type,0))*INDEX(Escalators!$I$44:$U$49,MATCH(BV$4,Escalators!$C$44:$C$49,0),MATCH(BV$5,Escalators!$I$43:$U$43,0))</f>
        <v>0</v>
      </c>
      <c r="BW30" s="128">
        <f>SUM(BR30:BV30)</f>
        <v>0</v>
      </c>
      <c r="BX30" s="129"/>
      <c r="BY30" s="128">
        <f>INDEX(Direct_Cost_Splits_Network,MATCH($H30,RIN_Asset_Cat_Network,0),MATCH($BY$4,Direct_Cost_Type,0))*J30*HLOOKUP(BY$5,Escalators!$I$25:$U$30,6,FALSE)</f>
        <v>0</v>
      </c>
      <c r="BZ30" s="128">
        <f>INDEX(Direct_Cost_Splits_Network,MATCH($H30,RIN_Asset_Cat_Network,0),MATCH($BY$4,Direct_Cost_Type,0))*K30*HLOOKUP(BZ$5,Escalators!$I$25:$U$30,6,FALSE)</f>
        <v>0</v>
      </c>
      <c r="CA30" s="128">
        <f>INDEX(Direct_Cost_Splits_Network,MATCH($H30,RIN_Asset_Cat_Network,0),MATCH($BY$4,Direct_Cost_Type,0))*L30*HLOOKUP(CA$5,Escalators!$I$25:$U$30,6,FALSE)</f>
        <v>0</v>
      </c>
      <c r="CB30" s="128">
        <f>INDEX(Direct_Cost_Splits_Network,MATCH($H30,RIN_Asset_Cat_Network,0),MATCH($BY$4,Direct_Cost_Type,0))*M30*HLOOKUP(CB$5,Escalators!$I$25:$U$30,6,FALSE)</f>
        <v>374.75844324157106</v>
      </c>
      <c r="CC30" s="128">
        <f>INDEX(Direct_Cost_Splits_Network,MATCH($H30,RIN_Asset_Cat_Network,0),MATCH($BY$4,Direct_Cost_Type,0))*N30*HLOOKUP(CC$5,Escalators!$I$25:$U$30,6,FALSE)</f>
        <v>0</v>
      </c>
      <c r="CD30" s="128">
        <f>INDEX(Direct_Cost_Splits_Network,MATCH($H30,RIN_Asset_Cat_Network,0),MATCH($BY$4,Direct_Cost_Type,0))*O30*HLOOKUP(CD$5,Escalators!$I$25:$U$30,6,FALSE)</f>
        <v>0</v>
      </c>
      <c r="CE30" s="128">
        <f>INDEX(Direct_Cost_Splits_Network,MATCH($H30,RIN_Asset_Cat_Network,0),MATCH($BY$4,Direct_Cost_Type,0))*P30*HLOOKUP(CE$5,Escalators!$I$25:$U$30,6,FALSE)</f>
        <v>0</v>
      </c>
      <c r="CF30" s="128">
        <f>INDEX(Direct_Cost_Splits_Network,MATCH($H30,RIN_Asset_Cat_Network,0),MATCH($BY$4,Direct_Cost_Type,0))*Q30*HLOOKUP(CF$5,Escalators!$I$25:$U$30,6,FALSE)</f>
        <v>0</v>
      </c>
      <c r="CG30" s="129"/>
      <c r="CH30" s="675">
        <f>INDEX(Direct_Cost_Splits_Network,MATCH($H30,RIN_Asset_Cat_Network,0),MATCH($CH$4,Direct_Cost_Type,0))*J30</f>
        <v>0</v>
      </c>
      <c r="CI30" s="675">
        <f t="shared" si="77"/>
        <v>0</v>
      </c>
      <c r="CJ30" s="675">
        <f t="shared" si="78"/>
        <v>0</v>
      </c>
      <c r="CK30" s="675">
        <f>INDEX(Direct_Cost_Splits_Network,MATCH($H30,RIN_Asset_Cat_Network,0),MATCH($CH$4,Direct_Cost_Type,0))*M30</f>
        <v>102.95968178813649</v>
      </c>
      <c r="CL30" s="675">
        <f>INDEX(Direct_Cost_Splits_Network,MATCH($H30,RIN_Asset_Cat_Network,0),MATCH($CH$4,Direct_Cost_Type,0))*N30</f>
        <v>0</v>
      </c>
      <c r="CM30" s="675">
        <f>INDEX(Direct_Cost_Splits_Network,MATCH($H30,RIN_Asset_Cat_Network,0),MATCH($CH$4,Direct_Cost_Type,0))*O30</f>
        <v>0</v>
      </c>
      <c r="CN30" s="675">
        <f>INDEX(Direct_Cost_Splits_Network,MATCH($H30,RIN_Asset_Cat_Network,0),MATCH($CH$4,Direct_Cost_Type,0))*P30</f>
        <v>0</v>
      </c>
      <c r="CO30" s="675">
        <f>INDEX(Direct_Cost_Splits_Network,MATCH($H30,RIN_Asset_Cat_Network,0),MATCH($CH$4,Direct_Cost_Type,0))*Q30</f>
        <v>0</v>
      </c>
      <c r="CP30" s="129"/>
      <c r="CQ30" s="128">
        <f>S30+AG30+BY30+CH30</f>
        <v>0</v>
      </c>
      <c r="CR30" s="128">
        <f t="shared" si="9"/>
        <v>0</v>
      </c>
      <c r="CS30" s="128">
        <f t="shared" si="19"/>
        <v>0</v>
      </c>
      <c r="CT30" s="128">
        <f>V30+AY30+CB30+CK30</f>
        <v>895.29899047895879</v>
      </c>
      <c r="CU30" s="128">
        <f>W30+BE30+CC30+CL30</f>
        <v>0</v>
      </c>
      <c r="CV30" s="128">
        <f>X30+BK30+CD30+CM30</f>
        <v>0</v>
      </c>
      <c r="CW30" s="128">
        <f>Y30+BQ30+CE30+CN30</f>
        <v>0</v>
      </c>
      <c r="CX30" s="128">
        <f>Z30+BW30+CF30+CO30</f>
        <v>0</v>
      </c>
      <c r="CZ30" s="39"/>
    </row>
    <row r="31" spans="2:104">
      <c r="B31" s="75"/>
      <c r="C31" s="75"/>
      <c r="D31" s="75"/>
      <c r="E31" s="75"/>
      <c r="F31" s="75"/>
      <c r="G31" s="75"/>
      <c r="H31" s="75"/>
      <c r="I31" s="75"/>
      <c r="J31" s="128"/>
      <c r="K31" s="128"/>
      <c r="L31" s="128"/>
      <c r="M31" s="128"/>
      <c r="N31" s="128"/>
      <c r="O31" s="128"/>
      <c r="P31" s="128"/>
      <c r="Q31" s="128"/>
      <c r="S31" s="47"/>
      <c r="T31" s="47"/>
      <c r="U31" s="47"/>
      <c r="V31" s="47"/>
      <c r="W31" s="47"/>
      <c r="X31" s="47"/>
      <c r="Y31" s="47"/>
      <c r="Z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82"/>
      <c r="CI31" s="82"/>
      <c r="CJ31" s="82"/>
      <c r="CK31" s="82"/>
      <c r="CL31" s="82"/>
      <c r="CM31" s="82"/>
      <c r="CN31" s="82"/>
      <c r="CO31" s="82"/>
      <c r="CQ31" s="369">
        <f>S31+AG31+BY31+CH31</f>
        <v>0</v>
      </c>
      <c r="CR31" s="47">
        <f t="shared" si="9"/>
        <v>0</v>
      </c>
      <c r="CS31" s="47">
        <f t="shared" ref="CS31" si="121">U31+AS31+CA31+CJ31</f>
        <v>0</v>
      </c>
      <c r="CT31" s="47">
        <f>V31+AY31+CB31+CK31</f>
        <v>0</v>
      </c>
      <c r="CU31" s="47">
        <f>W31+BE31+CC31+CL31</f>
        <v>0</v>
      </c>
      <c r="CV31" s="47">
        <f>X31+BK31+CD31+CM31</f>
        <v>0</v>
      </c>
      <c r="CW31" s="47">
        <f>Y31+BQ31+CE31+CN31</f>
        <v>0</v>
      </c>
      <c r="CX31" s="47">
        <f>Z31+BW31+CF31+CO31</f>
        <v>0</v>
      </c>
      <c r="CZ31" s="39"/>
    </row>
    <row r="32" spans="2:104">
      <c r="B32" s="711"/>
      <c r="C32" s="328" t="s">
        <v>574</v>
      </c>
      <c r="D32" s="75"/>
      <c r="E32" s="75" t="s">
        <v>45</v>
      </c>
      <c r="F32" s="75" t="s">
        <v>51</v>
      </c>
      <c r="G32" s="75" t="s">
        <v>10</v>
      </c>
      <c r="H32" s="75" t="s">
        <v>164</v>
      </c>
      <c r="I32" s="75" t="s">
        <v>214</v>
      </c>
      <c r="J32" s="128"/>
      <c r="K32" s="128"/>
      <c r="L32" s="128"/>
      <c r="M32" s="128">
        <f>-8210/2/5</f>
        <v>-821</v>
      </c>
      <c r="N32" s="128">
        <f t="shared" ref="N32:Q32" si="122">-8210/2/5</f>
        <v>-821</v>
      </c>
      <c r="O32" s="128">
        <f t="shared" si="122"/>
        <v>-821</v>
      </c>
      <c r="P32" s="128">
        <f t="shared" si="122"/>
        <v>-821</v>
      </c>
      <c r="Q32" s="128">
        <f t="shared" si="122"/>
        <v>-821</v>
      </c>
      <c r="R32" s="129"/>
      <c r="S32" s="128">
        <f>INDEX(Direct_Cost_Splits_Network,MATCH($H32,RIN_Asset_Cat_Network,0),MATCH($S$4,Direct_Cost_Type,0))*J32*HLOOKUP(S$5,Escalators!$I$25:$U$30,3,FALSE)</f>
        <v>0</v>
      </c>
      <c r="T32" s="128">
        <f>INDEX(Direct_Cost_Splits_Network,MATCH($H32,RIN_Asset_Cat_Network,0),MATCH($S$4,Direct_Cost_Type,0))*K32*HLOOKUP(T$5,Escalators!$I$25:$U$30,3,FALSE)</f>
        <v>0</v>
      </c>
      <c r="U32" s="128">
        <f>INDEX(Direct_Cost_Splits_Network,MATCH($H32,RIN_Asset_Cat_Network,0),MATCH($S$4,Direct_Cost_Type,0))*L32*HLOOKUP(U$5,Escalators!$I$25:$U$30,3,FALSE)</f>
        <v>0</v>
      </c>
      <c r="V32" s="128">
        <f>INDEX(Direct_Cost_Splits_Network,MATCH($H32,RIN_Asset_Cat_Network,0),MATCH($S$4,Direct_Cost_Type,0))*M32*HLOOKUP(V$5,Escalators!$I$25:$U$30,3,FALSE)</f>
        <v>-131.32571533196136</v>
      </c>
      <c r="W32" s="128">
        <f>INDEX(Direct_Cost_Splits_Network,MATCH($H32,RIN_Asset_Cat_Network,0),MATCH($S$4,Direct_Cost_Type,0))*N32*HLOOKUP(W$5,Escalators!$I$25:$U$30,3,FALSE)</f>
        <v>-131.97720821153726</v>
      </c>
      <c r="X32" s="128">
        <f>INDEX(Direct_Cost_Splits_Network,MATCH($H32,RIN_Asset_Cat_Network,0),MATCH($S$4,Direct_Cost_Type,0))*O32*HLOOKUP(X$5,Escalators!$I$25:$U$30,3,FALSE)</f>
        <v>-132.83672003457261</v>
      </c>
      <c r="Y32" s="128">
        <f>INDEX(Direct_Cost_Splits_Network,MATCH($H32,RIN_Asset_Cat_Network,0),MATCH($S$4,Direct_Cost_Type,0))*P32*HLOOKUP(Y$5,Escalators!$I$25:$U$30,3,FALSE)</f>
        <v>-134.15640509096175</v>
      </c>
      <c r="Z32" s="128">
        <f>INDEX(Direct_Cost_Splits_Network,MATCH($H32,RIN_Asset_Cat_Network,0),MATCH($S$4,Direct_Cost_Type,0))*Q32*HLOOKUP(Z$5,Escalators!$I$25:$U$30,3,FALSE)</f>
        <v>-135.91055694062359</v>
      </c>
      <c r="AA32" s="129"/>
      <c r="AB32" s="128">
        <f>INDEX(Direct_Cost_Splits_Network,MATCH($H32,RIN_Asset_Cat_Network,0),MATCH($AG$4,Direct_Cost_Type,0))*$J32*INDEX(Act_Type_Augex_Splits,MATCH($I32,Act_Type_Augex,0),MATCH(AB$4,Mat_Type,0))*INDEX(Escalators!$I$44:$U$49,MATCH(AB$4,Escalators!$C$44:$C$49,0),MATCH(AB$5,Escalators!$I$43:$U$43,0))</f>
        <v>0</v>
      </c>
      <c r="AC32" s="128">
        <f>INDEX(Direct_Cost_Splits_Network,MATCH($H32,RIN_Asset_Cat_Network,0),MATCH($AG$4,Direct_Cost_Type,0))*$J32*INDEX(Act_Type_Augex_Splits,MATCH($I32,Act_Type_Augex,0),MATCH(AC$4,Mat_Type,0))*INDEX(Escalators!$I$44:$U$49,MATCH(AC$4,Escalators!$C$44:$C$49,0),MATCH(AC$5,Escalators!$I$43:$U$43,0))</f>
        <v>0</v>
      </c>
      <c r="AD32" s="128">
        <f>INDEX(Direct_Cost_Splits_Network,MATCH($H32,RIN_Asset_Cat_Network,0),MATCH($AG$4,Direct_Cost_Type,0))*$J32*INDEX(Act_Type_Augex_Splits,MATCH($I32,Act_Type_Augex,0),MATCH(AD$4,Mat_Type,0))*INDEX(Escalators!$I$44:$U$49,MATCH(AD$4,Escalators!$C$44:$C$49,0),MATCH(AD$5,Escalators!$I$43:$U$43,0))</f>
        <v>0</v>
      </c>
      <c r="AE32" s="128">
        <f>INDEX(Direct_Cost_Splits_Network,MATCH($H32,RIN_Asset_Cat_Network,0),MATCH($AG$4,Direct_Cost_Type,0))*$J32*INDEX(Act_Type_Augex_Splits,MATCH($I32,Act_Type_Augex,0),MATCH(AE$4,Mat_Type,0))*INDEX(Escalators!$I$44:$U$49,MATCH(AE$4,Escalators!$C$44:$C$49,0),MATCH(AE$5,Escalators!$I$43:$U$43,0))</f>
        <v>0</v>
      </c>
      <c r="AF32" s="128">
        <f>INDEX(Direct_Cost_Splits_Network,MATCH($H32,RIN_Asset_Cat_Network,0),MATCH($AG$4,Direct_Cost_Type,0))*$J32*INDEX(Act_Type_Augex_Splits,MATCH($I32,Act_Type_Augex,0),MATCH(AF$4,Mat_Type,0))*INDEX(Escalators!$I$44:$U$49,MATCH(AF$4,Escalators!$C$44:$C$49,0),MATCH(AF$5,Escalators!$I$43:$U$43,0))</f>
        <v>0</v>
      </c>
      <c r="AG32" s="128">
        <f>SUM(AB32:AF32)</f>
        <v>0</v>
      </c>
      <c r="AH32" s="128">
        <f>INDEX(Direct_Cost_Splits_Network,MATCH($H32,RIN_Asset_Cat_Network,0),MATCH($AY$4,Direct_Cost_Type,0))*$K32*INDEX(Act_Type_Augex_Splits,MATCH($I32,Act_Type_Augex,0),MATCH(AH$4,Mat_Type,0))*INDEX(Escalators!$I$44:$U$49,MATCH(AH$4,Escalators!$C$44:$C$49,0),MATCH(AH$5,Escalators!$I$43:$U$43,0))</f>
        <v>0</v>
      </c>
      <c r="AI32" s="128">
        <f>INDEX(Direct_Cost_Splits_Network,MATCH($H32,RIN_Asset_Cat_Network,0),MATCH($AY$4,Direct_Cost_Type,0))*$K32*INDEX(Act_Type_Augex_Splits,MATCH($I32,Act_Type_Augex,0),MATCH(AI$4,Mat_Type,0))*INDEX(Escalators!$I$44:$U$49,MATCH(AI$4,Escalators!$C$44:$C$49,0),MATCH(AI$5,Escalators!$I$43:$U$43,0))</f>
        <v>0</v>
      </c>
      <c r="AJ32" s="128">
        <f>INDEX(Direct_Cost_Splits_Network,MATCH($H32,RIN_Asset_Cat_Network,0),MATCH($AY$4,Direct_Cost_Type,0))*$K32*INDEX(Act_Type_Augex_Splits,MATCH($I32,Act_Type_Augex,0),MATCH(AJ$4,Mat_Type,0))*INDEX(Escalators!$I$44:$U$49,MATCH(AJ$4,Escalators!$C$44:$C$49,0),MATCH(AJ$5,Escalators!$I$43:$U$43,0))</f>
        <v>0</v>
      </c>
      <c r="AK32" s="128">
        <f>INDEX(Direct_Cost_Splits_Network,MATCH($H32,RIN_Asset_Cat_Network,0),MATCH($AY$4,Direct_Cost_Type,0))*$K32*INDEX(Act_Type_Augex_Splits,MATCH($I32,Act_Type_Augex,0),MATCH(AK$4,Mat_Type,0))*INDEX(Escalators!$I$44:$U$49,MATCH(AK$4,Escalators!$C$44:$C$49,0),MATCH(AK$5,Escalators!$I$43:$U$43,0))</f>
        <v>0</v>
      </c>
      <c r="AL32" s="128">
        <f>INDEX(Direct_Cost_Splits_Network,MATCH($H32,RIN_Asset_Cat_Network,0),MATCH($AY$4,Direct_Cost_Type,0))*$K32*INDEX(Act_Type_Augex_Splits,MATCH($I32,Act_Type_Augex,0),MATCH(AL$4,Mat_Type,0))*INDEX(Escalators!$I$44:$U$49,MATCH(AL$4,Escalators!$C$44:$C$49,0),MATCH(AL$5,Escalators!$I$43:$U$43,0))</f>
        <v>0</v>
      </c>
      <c r="AM32" s="128">
        <f>SUM(AH32:AL32)</f>
        <v>0</v>
      </c>
      <c r="AN32" s="128">
        <f>INDEX(Direct_Cost_Splits_Network,MATCH($H32,RIN_Asset_Cat_Network,0),MATCH($AY$4,Direct_Cost_Type,0))*$L32*INDEX(Act_Type_Augex_Splits,MATCH($I32,Act_Type_Augex,0),MATCH(AN$4,Mat_Type,0))*INDEX(Escalators!$I$44:$U$49,MATCH(AN$4,Escalators!$C$44:$C$49,0),MATCH(AN$5,Escalators!$I$43:$U$43,0))</f>
        <v>0</v>
      </c>
      <c r="AO32" s="128">
        <f>INDEX(Direct_Cost_Splits_Network,MATCH($H32,RIN_Asset_Cat_Network,0),MATCH($AY$4,Direct_Cost_Type,0))*$L32*INDEX(Act_Type_Augex_Splits,MATCH($I32,Act_Type_Augex,0),MATCH(AO$4,Mat_Type,0))*INDEX(Escalators!$I$44:$U$49,MATCH(AO$4,Escalators!$C$44:$C$49,0),MATCH(AO$5,Escalators!$I$43:$U$43,0))</f>
        <v>0</v>
      </c>
      <c r="AP32" s="128">
        <f>INDEX(Direct_Cost_Splits_Network,MATCH($H32,RIN_Asset_Cat_Network,0),MATCH($AY$4,Direct_Cost_Type,0))*$L32*INDEX(Act_Type_Augex_Splits,MATCH($I32,Act_Type_Augex,0),MATCH(AP$4,Mat_Type,0))*INDEX(Escalators!$I$44:$U$49,MATCH(AP$4,Escalators!$C$44:$C$49,0),MATCH(AP$5,Escalators!$I$43:$U$43,0))</f>
        <v>0</v>
      </c>
      <c r="AQ32" s="128">
        <f>INDEX(Direct_Cost_Splits_Network,MATCH($H32,RIN_Asset_Cat_Network,0),MATCH($AY$4,Direct_Cost_Type,0))*$L32*INDEX(Act_Type_Augex_Splits,MATCH($I32,Act_Type_Augex,0),MATCH(AQ$4,Mat_Type,0))*INDEX(Escalators!$I$44:$U$49,MATCH(AQ$4,Escalators!$C$44:$C$49,0),MATCH(AQ$5,Escalators!$I$43:$U$43,0))</f>
        <v>0</v>
      </c>
      <c r="AR32" s="128">
        <f>INDEX(Direct_Cost_Splits_Network,MATCH($H32,RIN_Asset_Cat_Network,0),MATCH($AY$4,Direct_Cost_Type,0))*$L32*INDEX(Act_Type_Augex_Splits,MATCH($I32,Act_Type_Augex,0),MATCH(AR$4,Mat_Type,0))*INDEX(Escalators!$I$44:$U$49,MATCH(AR$4,Escalators!$C$44:$C$49,0),MATCH(AR$5,Escalators!$I$43:$U$43,0))</f>
        <v>0</v>
      </c>
      <c r="AS32" s="128">
        <f>SUM(AN32:AR32)</f>
        <v>0</v>
      </c>
      <c r="AT32" s="128">
        <f>INDEX(Direct_Cost_Splits_Network,MATCH($H32,RIN_Asset_Cat_Network,0),MATCH($AY$4,Direct_Cost_Type,0))*$M32*INDEX(Act_Type_Augex_Splits,MATCH($I32,Act_Type_Augex,0),MATCH(AT$4,Mat_Type,0))*INDEX(Escalators!$I$44:$U$49,MATCH(AT$4,Escalators!$C$44:$C$49,0),MATCH(AT$5,Escalators!$I$43:$U$43,0))</f>
        <v>-169.87212099041417</v>
      </c>
      <c r="AU32" s="128">
        <f>INDEX(Direct_Cost_Splits_Network,MATCH($H32,RIN_Asset_Cat_Network,0),MATCH($AY$4,Direct_Cost_Type,0))*$M32*INDEX(Act_Type_Augex_Splits,MATCH($I32,Act_Type_Augex,0),MATCH(AU$4,Mat_Type,0))*INDEX(Escalators!$I$44:$U$49,MATCH(AU$4,Escalators!$C$44:$C$49,0),MATCH(AU$5,Escalators!$I$43:$U$43,0))</f>
        <v>0</v>
      </c>
      <c r="AV32" s="128">
        <f>INDEX(Direct_Cost_Splits_Network,MATCH($H32,RIN_Asset_Cat_Network,0),MATCH($AY$4,Direct_Cost_Type,0))*$M32*INDEX(Act_Type_Augex_Splits,MATCH($I32,Act_Type_Augex,0),MATCH(AV$4,Mat_Type,0))*INDEX(Escalators!$I$44:$U$49,MATCH(AV$4,Escalators!$C$44:$C$49,0),MATCH(AV$5,Escalators!$I$43:$U$43,0))</f>
        <v>-32.960262281722152</v>
      </c>
      <c r="AW32" s="128">
        <f>INDEX(Direct_Cost_Splits_Network,MATCH($H32,RIN_Asset_Cat_Network,0),MATCH($AY$4,Direct_Cost_Type,0))*$M32*INDEX(Act_Type_Augex_Splits,MATCH($I32,Act_Type_Augex,0),MATCH(AW$4,Mat_Type,0))*INDEX(Escalators!$I$44:$U$49,MATCH(AW$4,Escalators!$C$44:$C$49,0),MATCH(AW$5,Escalators!$I$43:$U$43,0))</f>
        <v>0</v>
      </c>
      <c r="AX32" s="128">
        <f>INDEX(Direct_Cost_Splits_Network,MATCH($H32,RIN_Asset_Cat_Network,0),MATCH($AY$4,Direct_Cost_Type,0))*$M32*INDEX(Act_Type_Augex_Splits,MATCH($I32,Act_Type_Augex,0),MATCH(AX$4,Mat_Type,0))*INDEX(Escalators!$I$44:$U$49,MATCH(AX$4,Escalators!$C$44:$C$49,0),MATCH(AX$5,Escalators!$I$43:$U$43,0))</f>
        <v>-50.708095818034082</v>
      </c>
      <c r="AY32" s="128">
        <f>SUM(AT32:AX32)</f>
        <v>-253.54047909017041</v>
      </c>
      <c r="AZ32" s="128">
        <f>INDEX(Direct_Cost_Splits_Network,MATCH($H32,RIN_Asset_Cat_Network,0),MATCH($BE$4,Direct_Cost_Type,0))*$N32*INDEX(Act_Type_Augex_Splits,MATCH($I32,Act_Type_Augex,0),MATCH(AZ$4,Mat_Type,0))*INDEX(Escalators!$I$44:$U$49,MATCH(AZ$4,Escalators!$C$44:$C$49,0),MATCH(AZ$5,Escalators!$I$43:$U$43,0))</f>
        <v>-169.87212099041417</v>
      </c>
      <c r="BA32" s="128">
        <f>INDEX(Direct_Cost_Splits_Network,MATCH($H32,RIN_Asset_Cat_Network,0),MATCH($BE$4,Direct_Cost_Type,0))*$N32*INDEX(Act_Type_Augex_Splits,MATCH($I32,Act_Type_Augex,0),MATCH(BA$4,Mat_Type,0))*INDEX(Escalators!$I$44:$U$49,MATCH(BA$4,Escalators!$C$44:$C$49,0),MATCH(BA$5,Escalators!$I$43:$U$43,0))</f>
        <v>0</v>
      </c>
      <c r="BB32" s="128">
        <f>INDEX(Direct_Cost_Splits_Network,MATCH($H32,RIN_Asset_Cat_Network,0),MATCH($BE$4,Direct_Cost_Type,0))*$N32*INDEX(Act_Type_Augex_Splits,MATCH($I32,Act_Type_Augex,0),MATCH(BB$4,Mat_Type,0))*INDEX(Escalators!$I$44:$U$49,MATCH(BB$4,Escalators!$C$44:$C$49,0),MATCH(BB$5,Escalators!$I$43:$U$43,0))</f>
        <v>-32.960262281722152</v>
      </c>
      <c r="BC32" s="128">
        <f>INDEX(Direct_Cost_Splits_Network,MATCH($H32,RIN_Asset_Cat_Network,0),MATCH($BE$4,Direct_Cost_Type,0))*$N32*INDEX(Act_Type_Augex_Splits,MATCH($I32,Act_Type_Augex,0),MATCH(BC$4,Mat_Type,0))*INDEX(Escalators!$I$44:$U$49,MATCH(BC$4,Escalators!$C$44:$C$49,0),MATCH(BC$5,Escalators!$I$43:$U$43,0))</f>
        <v>0</v>
      </c>
      <c r="BD32" s="128">
        <f>INDEX(Direct_Cost_Splits_Network,MATCH($H32,RIN_Asset_Cat_Network,0),MATCH($BE$4,Direct_Cost_Type,0))*$N32*INDEX(Act_Type_Augex_Splits,MATCH($I32,Act_Type_Augex,0),MATCH(BD$4,Mat_Type,0))*INDEX(Escalators!$I$44:$U$49,MATCH(BD$4,Escalators!$C$44:$C$49,0),MATCH(BD$5,Escalators!$I$43:$U$43,0))</f>
        <v>-50.708095818034082</v>
      </c>
      <c r="BE32" s="128">
        <f>SUM(AZ32:BD32)</f>
        <v>-253.54047909017041</v>
      </c>
      <c r="BF32" s="128">
        <f>INDEX(Direct_Cost_Splits_Network,MATCH($H32,RIN_Asset_Cat_Network,0),MATCH($BK$4,Direct_Cost_Type,0))*$O32*INDEX(Act_Type_Augex_Splits,MATCH($I32,Act_Type_Augex,0),MATCH(BF$4,Mat_Type,0))*INDEX(Escalators!$I$44:$U$49,MATCH(BF$4,Escalators!$C$44:$C$49,0),MATCH(BF$5,Escalators!$I$43:$U$43,0))</f>
        <v>-169.87212099041417</v>
      </c>
      <c r="BG32" s="128">
        <f>INDEX(Direct_Cost_Splits_Network,MATCH($H32,RIN_Asset_Cat_Network,0),MATCH($BK$4,Direct_Cost_Type,0))*$O32*INDEX(Act_Type_Augex_Splits,MATCH($I32,Act_Type_Augex,0),MATCH(BG$4,Mat_Type,0))*INDEX(Escalators!$I$44:$U$49,MATCH(BG$4,Escalators!$C$44:$C$49,0),MATCH(BG$5,Escalators!$I$43:$U$43,0))</f>
        <v>0</v>
      </c>
      <c r="BH32" s="128">
        <f>INDEX(Direct_Cost_Splits_Network,MATCH($H32,RIN_Asset_Cat_Network,0),MATCH($BK$4,Direct_Cost_Type,0))*$O32*INDEX(Act_Type_Augex_Splits,MATCH($I32,Act_Type_Augex,0),MATCH(BH$4,Mat_Type,0))*INDEX(Escalators!$I$44:$U$49,MATCH(BH$4,Escalators!$C$44:$C$49,0),MATCH(BH$5,Escalators!$I$43:$U$43,0))</f>
        <v>-32.960262281722152</v>
      </c>
      <c r="BI32" s="128">
        <f>INDEX(Direct_Cost_Splits_Network,MATCH($H32,RIN_Asset_Cat_Network,0),MATCH($BK$4,Direct_Cost_Type,0))*$O32*INDEX(Act_Type_Augex_Splits,MATCH($I32,Act_Type_Augex,0),MATCH(BI$4,Mat_Type,0))*INDEX(Escalators!$I$44:$U$49,MATCH(BI$4,Escalators!$C$44:$C$49,0),MATCH(BI$5,Escalators!$I$43:$U$43,0))</f>
        <v>0</v>
      </c>
      <c r="BJ32" s="128">
        <f>INDEX(Direct_Cost_Splits_Network,MATCH($H32,RIN_Asset_Cat_Network,0),MATCH($BK$4,Direct_Cost_Type,0))*$O32*INDEX(Act_Type_Augex_Splits,MATCH($I32,Act_Type_Augex,0),MATCH(BJ$4,Mat_Type,0))*INDEX(Escalators!$I$44:$U$49,MATCH(BJ$4,Escalators!$C$44:$C$49,0),MATCH(BJ$5,Escalators!$I$43:$U$43,0))</f>
        <v>-50.708095818034082</v>
      </c>
      <c r="BK32" s="128">
        <f>SUM(BF32:BJ32)</f>
        <v>-253.54047909017041</v>
      </c>
      <c r="BL32" s="128">
        <f>INDEX(Direct_Cost_Splits_Network,MATCH($H32,RIN_Asset_Cat_Network,0),MATCH($BQ$4,Direct_Cost_Type,0))*$P32*INDEX(Act_Type_Augex_Splits,MATCH($I32,Act_Type_Augex,0),MATCH(BL$4,Mat_Type,0))*INDEX(Escalators!$I$44:$U$49,MATCH(BL$4,Escalators!$C$44:$C$49,0),MATCH(BL$5,Escalators!$I$43:$U$43,0))</f>
        <v>-169.87212099041417</v>
      </c>
      <c r="BM32" s="128">
        <f>INDEX(Direct_Cost_Splits_Network,MATCH($H32,RIN_Asset_Cat_Network,0),MATCH($BQ$4,Direct_Cost_Type,0))*$P32*INDEX(Act_Type_Augex_Splits,MATCH($I32,Act_Type_Augex,0),MATCH(BM$4,Mat_Type,0))*INDEX(Escalators!$I$44:$U$49,MATCH(BM$4,Escalators!$C$44:$C$49,0),MATCH(BM$5,Escalators!$I$43:$U$43,0))</f>
        <v>0</v>
      </c>
      <c r="BN32" s="128">
        <f>INDEX(Direct_Cost_Splits_Network,MATCH($H32,RIN_Asset_Cat_Network,0),MATCH($BQ$4,Direct_Cost_Type,0))*$P32*INDEX(Act_Type_Augex_Splits,MATCH($I32,Act_Type_Augex,0),MATCH(BN$4,Mat_Type,0))*INDEX(Escalators!$I$44:$U$49,MATCH(BN$4,Escalators!$C$44:$C$49,0),MATCH(BN$5,Escalators!$I$43:$U$43,0))</f>
        <v>-32.960262281722152</v>
      </c>
      <c r="BO32" s="128">
        <f>INDEX(Direct_Cost_Splits_Network,MATCH($H32,RIN_Asset_Cat_Network,0),MATCH($BQ$4,Direct_Cost_Type,0))*$P32*INDEX(Act_Type_Augex_Splits,MATCH($I32,Act_Type_Augex,0),MATCH(BO$4,Mat_Type,0))*INDEX(Escalators!$I$44:$U$49,MATCH(BO$4,Escalators!$C$44:$C$49,0),MATCH(BO$5,Escalators!$I$43:$U$43,0))</f>
        <v>0</v>
      </c>
      <c r="BP32" s="128">
        <f>INDEX(Direct_Cost_Splits_Network,MATCH($H32,RIN_Asset_Cat_Network,0),MATCH($BQ$4,Direct_Cost_Type,0))*$P32*INDEX(Act_Type_Augex_Splits,MATCH($I32,Act_Type_Augex,0),MATCH(BP$4,Mat_Type,0))*INDEX(Escalators!$I$44:$U$49,MATCH(BP$4,Escalators!$C$44:$C$49,0),MATCH(BP$5,Escalators!$I$43:$U$43,0))</f>
        <v>-50.708095818034082</v>
      </c>
      <c r="BQ32" s="128">
        <f>SUM(BL32:BP32)</f>
        <v>-253.54047909017041</v>
      </c>
      <c r="BR32" s="128">
        <f>INDEX(Direct_Cost_Splits_Network,MATCH($H32,RIN_Asset_Cat_Network,0),MATCH($BW$4,Direct_Cost_Type,0))*$Q32*INDEX(Act_Type_Augex_Splits,MATCH($I32,Act_Type_Augex,0),MATCH(BR$4,Mat_Type,0))*INDEX(Escalators!$I$44:$U$49,MATCH(BR$4,Escalators!$C$44:$C$49,0),MATCH(BR$5,Escalators!$I$43:$U$43,0))</f>
        <v>-169.87212099041417</v>
      </c>
      <c r="BS32" s="128">
        <f>INDEX(Direct_Cost_Splits_Network,MATCH($H32,RIN_Asset_Cat_Network,0),MATCH($BW$4,Direct_Cost_Type,0))*$Q32*INDEX(Act_Type_Augex_Splits,MATCH($I32,Act_Type_Augex,0),MATCH(BS$4,Mat_Type,0))*INDEX(Escalators!$I$44:$U$49,MATCH(BS$4,Escalators!$C$44:$C$49,0),MATCH(BS$5,Escalators!$I$43:$U$43,0))</f>
        <v>0</v>
      </c>
      <c r="BT32" s="128">
        <f>INDEX(Direct_Cost_Splits_Network,MATCH($H32,RIN_Asset_Cat_Network,0),MATCH($BW$4,Direct_Cost_Type,0))*$Q32*INDEX(Act_Type_Augex_Splits,MATCH($I32,Act_Type_Augex,0),MATCH(BT$4,Mat_Type,0))*INDEX(Escalators!$I$44:$U$49,MATCH(BT$4,Escalators!$C$44:$C$49,0),MATCH(BT$5,Escalators!$I$43:$U$43,0))</f>
        <v>-32.960262281722152</v>
      </c>
      <c r="BU32" s="128">
        <f>INDEX(Direct_Cost_Splits_Network,MATCH($H32,RIN_Asset_Cat_Network,0),MATCH($BW$4,Direct_Cost_Type,0))*$Q32*INDEX(Act_Type_Augex_Splits,MATCH($I32,Act_Type_Augex,0),MATCH(BU$4,Mat_Type,0))*INDEX(Escalators!$I$44:$U$49,MATCH(BU$4,Escalators!$C$44:$C$49,0),MATCH(BU$5,Escalators!$I$43:$U$43,0))</f>
        <v>0</v>
      </c>
      <c r="BV32" s="128">
        <f>INDEX(Direct_Cost_Splits_Network,MATCH($H32,RIN_Asset_Cat_Network,0),MATCH($BW$4,Direct_Cost_Type,0))*$Q32*INDEX(Act_Type_Augex_Splits,MATCH($I32,Act_Type_Augex,0),MATCH(BV$4,Mat_Type,0))*INDEX(Escalators!$I$44:$U$49,MATCH(BV$4,Escalators!$C$44:$C$49,0),MATCH(BV$5,Escalators!$I$43:$U$43,0))</f>
        <v>-50.708095818034082</v>
      </c>
      <c r="BW32" s="128">
        <f>SUM(BR32:BV32)</f>
        <v>-253.54047909017041</v>
      </c>
      <c r="BX32" s="129"/>
      <c r="BY32" s="128">
        <f>INDEX(Direct_Cost_Splits_Network,MATCH($H32,RIN_Asset_Cat_Network,0),MATCH($BY$4,Direct_Cost_Type,0))*J32*HLOOKUP(BY$5,Escalators!$I$25:$U$30,6,FALSE)</f>
        <v>0</v>
      </c>
      <c r="BZ32" s="128">
        <f>INDEX(Direct_Cost_Splits_Network,MATCH($H32,RIN_Asset_Cat_Network,0),MATCH($BY$4,Direct_Cost_Type,0))*K32*HLOOKUP(BZ$5,Escalators!$I$25:$U$30,6,FALSE)</f>
        <v>0</v>
      </c>
      <c r="CA32" s="128">
        <f>INDEX(Direct_Cost_Splits_Network,MATCH($H32,RIN_Asset_Cat_Network,0),MATCH($BY$4,Direct_Cost_Type,0))*L32*HLOOKUP(CA$5,Escalators!$I$25:$U$30,6,FALSE)</f>
        <v>0</v>
      </c>
      <c r="CB32" s="128">
        <f>INDEX(Direct_Cost_Splits_Network,MATCH($H32,RIN_Asset_Cat_Network,0),MATCH($BY$4,Direct_Cost_Type,0))*M32*HLOOKUP(CB$5,Escalators!$I$25:$U$30,6,FALSE)</f>
        <v>-345.39862290570983</v>
      </c>
      <c r="CC32" s="128">
        <f>INDEX(Direct_Cost_Splits_Network,MATCH($H32,RIN_Asset_Cat_Network,0),MATCH($BY$4,Direct_Cost_Type,0))*N32*HLOOKUP(CC$5,Escalators!$I$25:$U$30,6,FALSE)</f>
        <v>-345.39862290570983</v>
      </c>
      <c r="CD32" s="128">
        <f>INDEX(Direct_Cost_Splits_Network,MATCH($H32,RIN_Asset_Cat_Network,0),MATCH($BY$4,Direct_Cost_Type,0))*O32*HLOOKUP(CD$5,Escalators!$I$25:$U$30,6,FALSE)</f>
        <v>-345.39862290570983</v>
      </c>
      <c r="CE32" s="128">
        <f>INDEX(Direct_Cost_Splits_Network,MATCH($H32,RIN_Asset_Cat_Network,0),MATCH($BY$4,Direct_Cost_Type,0))*P32*HLOOKUP(CE$5,Escalators!$I$25:$U$30,6,FALSE)</f>
        <v>-345.39862290570983</v>
      </c>
      <c r="CF32" s="128">
        <f>INDEX(Direct_Cost_Splits_Network,MATCH($H32,RIN_Asset_Cat_Network,0),MATCH($BY$4,Direct_Cost_Type,0))*Q32*HLOOKUP(CF$5,Escalators!$I$25:$U$30,6,FALSE)</f>
        <v>-345.39862290570983</v>
      </c>
      <c r="CG32" s="129"/>
      <c r="CH32" s="675">
        <f t="shared" ref="CH32" si="123">INDEX(Direct_Cost_Splits_Network,MATCH($H32,RIN_Asset_Cat_Network,0),MATCH($CH$4,Direct_Cost_Type,0))*J32</f>
        <v>0</v>
      </c>
      <c r="CI32" s="675">
        <f>INDEX(Direct_Cost_Splits_Network,MATCH($H32,RIN_Asset_Cat_Network,0),MATCH($CH$4,Direct_Cost_Type,0))*K32</f>
        <v>0</v>
      </c>
      <c r="CJ32" s="675">
        <f>INDEX(Direct_Cost_Splits_Network,MATCH($H32,RIN_Asset_Cat_Network,0),MATCH($CH$4,Direct_Cost_Type,0))*L32</f>
        <v>0</v>
      </c>
      <c r="CK32" s="675">
        <f t="shared" ref="CK32" si="124">INDEX(Direct_Cost_Splits_Network,MATCH($H32,RIN_Asset_Cat_Network,0),MATCH($CH$4,Direct_Cost_Type,0))*M32</f>
        <v>-94.893478574701305</v>
      </c>
      <c r="CL32" s="675">
        <f t="shared" ref="CL32" si="125">INDEX(Direct_Cost_Splits_Network,MATCH($H32,RIN_Asset_Cat_Network,0),MATCH($CH$4,Direct_Cost_Type,0))*N32</f>
        <v>-94.893478574701305</v>
      </c>
      <c r="CM32" s="675">
        <f t="shared" ref="CM32" si="126">INDEX(Direct_Cost_Splits_Network,MATCH($H32,RIN_Asset_Cat_Network,0),MATCH($CH$4,Direct_Cost_Type,0))*O32</f>
        <v>-94.893478574701305</v>
      </c>
      <c r="CN32" s="675">
        <f t="shared" ref="CN32" si="127">INDEX(Direct_Cost_Splits_Network,MATCH($H32,RIN_Asset_Cat_Network,0),MATCH($CH$4,Direct_Cost_Type,0))*P32</f>
        <v>-94.893478574701305</v>
      </c>
      <c r="CO32" s="675">
        <f t="shared" ref="CO32" si="128">INDEX(Direct_Cost_Splits_Network,MATCH($H32,RIN_Asset_Cat_Network,0),MATCH($CH$4,Direct_Cost_Type,0))*Q32</f>
        <v>-94.893478574701305</v>
      </c>
      <c r="CP32" s="129"/>
      <c r="CQ32" s="128">
        <f t="shared" si="18"/>
        <v>0</v>
      </c>
      <c r="CR32" s="128">
        <f t="shared" si="9"/>
        <v>0</v>
      </c>
      <c r="CS32" s="128">
        <f t="shared" si="19"/>
        <v>0</v>
      </c>
      <c r="CT32" s="128">
        <f t="shared" si="20"/>
        <v>-825.15829590254293</v>
      </c>
      <c r="CU32" s="128">
        <f t="shared" si="21"/>
        <v>-825.80978878211886</v>
      </c>
      <c r="CV32" s="128">
        <f t="shared" si="22"/>
        <v>-826.66930060515415</v>
      </c>
      <c r="CW32" s="128">
        <f t="shared" si="23"/>
        <v>-827.98898566154321</v>
      </c>
      <c r="CX32" s="128">
        <f t="shared" si="24"/>
        <v>-829.74313751120508</v>
      </c>
      <c r="CZ32" s="39"/>
    </row>
    <row r="33" spans="2:104">
      <c r="B33" s="711"/>
      <c r="C33" s="711"/>
      <c r="D33" s="75"/>
      <c r="E33" s="75"/>
      <c r="F33" s="75"/>
      <c r="G33" s="75"/>
      <c r="H33" s="75"/>
      <c r="I33" s="75"/>
      <c r="J33" s="128"/>
      <c r="K33" s="128"/>
      <c r="L33" s="128"/>
      <c r="M33" s="128"/>
      <c r="N33" s="128"/>
      <c r="O33" s="128"/>
      <c r="P33" s="128"/>
      <c r="Q33" s="128"/>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369">
        <f t="shared" si="18"/>
        <v>0</v>
      </c>
      <c r="CR33" s="47">
        <f t="shared" si="9"/>
        <v>0</v>
      </c>
      <c r="CS33" s="47">
        <f t="shared" si="19"/>
        <v>0</v>
      </c>
      <c r="CT33" s="47">
        <f t="shared" si="20"/>
        <v>0</v>
      </c>
      <c r="CU33" s="47">
        <f t="shared" si="21"/>
        <v>0</v>
      </c>
      <c r="CV33" s="47">
        <f t="shared" si="22"/>
        <v>0</v>
      </c>
      <c r="CW33" s="47">
        <f t="shared" si="23"/>
        <v>0</v>
      </c>
      <c r="CX33" s="47">
        <f t="shared" si="24"/>
        <v>0</v>
      </c>
      <c r="CZ33" s="39"/>
    </row>
    <row r="34" spans="2:104">
      <c r="B34" s="711"/>
      <c r="C34" s="711"/>
      <c r="D34" s="75"/>
      <c r="E34" s="75"/>
      <c r="F34" s="75"/>
      <c r="G34" s="75"/>
      <c r="H34" s="75"/>
      <c r="I34" s="75"/>
      <c r="J34" s="128"/>
      <c r="K34" s="128"/>
      <c r="L34" s="128"/>
      <c r="M34" s="128"/>
      <c r="N34" s="128"/>
      <c r="O34" s="128"/>
      <c r="P34" s="128"/>
      <c r="Q34" s="128"/>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369">
        <f t="shared" si="18"/>
        <v>0</v>
      </c>
      <c r="CR34" s="47">
        <f t="shared" si="9"/>
        <v>0</v>
      </c>
      <c r="CS34" s="47">
        <f t="shared" si="19"/>
        <v>0</v>
      </c>
      <c r="CT34" s="47">
        <f t="shared" si="20"/>
        <v>0</v>
      </c>
      <c r="CU34" s="47">
        <f t="shared" si="21"/>
        <v>0</v>
      </c>
      <c r="CV34" s="47">
        <f t="shared" si="22"/>
        <v>0</v>
      </c>
      <c r="CW34" s="47">
        <f t="shared" si="23"/>
        <v>0</v>
      </c>
      <c r="CX34" s="47">
        <f t="shared" si="24"/>
        <v>0</v>
      </c>
      <c r="CZ34" s="39"/>
    </row>
    <row r="35" spans="2:104">
      <c r="B35" s="711"/>
      <c r="C35" s="711"/>
      <c r="D35" s="75"/>
      <c r="E35" s="75"/>
      <c r="F35" s="75"/>
      <c r="G35" s="75"/>
      <c r="H35" s="75"/>
      <c r="I35" s="75"/>
      <c r="J35" s="128"/>
      <c r="K35" s="128"/>
      <c r="L35" s="128"/>
      <c r="M35" s="128"/>
      <c r="N35" s="128"/>
      <c r="O35" s="128"/>
      <c r="P35" s="128"/>
      <c r="Q35" s="128"/>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369">
        <f t="shared" si="18"/>
        <v>0</v>
      </c>
      <c r="CR35" s="47">
        <f t="shared" si="9"/>
        <v>0</v>
      </c>
      <c r="CS35" s="47">
        <f t="shared" si="19"/>
        <v>0</v>
      </c>
      <c r="CT35" s="47">
        <f t="shared" si="20"/>
        <v>0</v>
      </c>
      <c r="CU35" s="47">
        <f t="shared" si="21"/>
        <v>0</v>
      </c>
      <c r="CV35" s="47">
        <f t="shared" si="22"/>
        <v>0</v>
      </c>
      <c r="CW35" s="47">
        <f t="shared" si="23"/>
        <v>0</v>
      </c>
      <c r="CX35" s="47">
        <f t="shared" si="24"/>
        <v>0</v>
      </c>
      <c r="CZ35" s="39"/>
    </row>
    <row r="36" spans="2:104">
      <c r="B36" s="711"/>
      <c r="C36" s="711"/>
      <c r="D36" s="75"/>
      <c r="E36" s="75"/>
      <c r="F36" s="75"/>
      <c r="G36" s="75"/>
      <c r="H36" s="75"/>
      <c r="I36" s="75"/>
      <c r="J36" s="128"/>
      <c r="K36" s="128"/>
      <c r="L36" s="128"/>
      <c r="M36" s="128"/>
      <c r="N36" s="128"/>
      <c r="O36" s="128"/>
      <c r="P36" s="128"/>
      <c r="Q36" s="128"/>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369">
        <f t="shared" si="18"/>
        <v>0</v>
      </c>
      <c r="CR36" s="47">
        <f t="shared" si="9"/>
        <v>0</v>
      </c>
      <c r="CS36" s="47">
        <f t="shared" si="19"/>
        <v>0</v>
      </c>
      <c r="CT36" s="47">
        <f t="shared" si="20"/>
        <v>0</v>
      </c>
      <c r="CU36" s="47">
        <f t="shared" si="21"/>
        <v>0</v>
      </c>
      <c r="CV36" s="47">
        <f t="shared" si="22"/>
        <v>0</v>
      </c>
      <c r="CW36" s="47">
        <f t="shared" si="23"/>
        <v>0</v>
      </c>
      <c r="CX36" s="47">
        <f t="shared" si="24"/>
        <v>0</v>
      </c>
      <c r="CZ36" s="39"/>
    </row>
    <row r="37" spans="2:104">
      <c r="B37" s="711"/>
      <c r="C37" s="711"/>
      <c r="D37" s="75"/>
      <c r="E37" s="75"/>
      <c r="F37" s="75"/>
      <c r="G37" s="75"/>
      <c r="H37" s="75"/>
      <c r="I37" s="75"/>
      <c r="J37" s="128"/>
      <c r="K37" s="128"/>
      <c r="L37" s="128"/>
      <c r="M37" s="128"/>
      <c r="N37" s="128"/>
      <c r="O37" s="128"/>
      <c r="P37" s="128"/>
      <c r="Q37" s="128"/>
      <c r="S37" s="47"/>
      <c r="T37" s="47"/>
      <c r="U37" s="47"/>
      <c r="V37" s="47"/>
      <c r="W37" s="47"/>
      <c r="X37" s="47"/>
      <c r="Y37" s="47"/>
      <c r="Z37" s="47"/>
      <c r="AB37" s="6"/>
      <c r="AC37" s="6"/>
      <c r="AD37" s="6"/>
      <c r="AE37" s="6"/>
      <c r="AF37" s="6"/>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Y37" s="47"/>
      <c r="BZ37" s="47"/>
      <c r="CA37" s="47"/>
      <c r="CB37" s="47"/>
      <c r="CC37" s="47"/>
      <c r="CD37" s="47"/>
      <c r="CE37" s="47"/>
      <c r="CF37" s="47"/>
      <c r="CH37" s="47"/>
      <c r="CI37" s="47"/>
      <c r="CJ37" s="47"/>
      <c r="CK37" s="47"/>
      <c r="CL37" s="47"/>
      <c r="CM37" s="47"/>
      <c r="CN37" s="47"/>
      <c r="CO37" s="47"/>
      <c r="CQ37" s="369">
        <f t="shared" si="18"/>
        <v>0</v>
      </c>
      <c r="CR37" s="47">
        <f t="shared" si="9"/>
        <v>0</v>
      </c>
      <c r="CS37" s="47">
        <f t="shared" si="19"/>
        <v>0</v>
      </c>
      <c r="CT37" s="47">
        <f t="shared" si="20"/>
        <v>0</v>
      </c>
      <c r="CU37" s="47">
        <f t="shared" si="21"/>
        <v>0</v>
      </c>
      <c r="CV37" s="47">
        <f t="shared" si="22"/>
        <v>0</v>
      </c>
      <c r="CW37" s="47">
        <f t="shared" si="23"/>
        <v>0</v>
      </c>
      <c r="CX37" s="47">
        <f t="shared" si="24"/>
        <v>0</v>
      </c>
      <c r="CZ37" s="39"/>
    </row>
    <row r="38" spans="2:104">
      <c r="J38" s="48">
        <f t="shared" ref="J38:Q38" si="129">SUM(J6:J37)</f>
        <v>0</v>
      </c>
      <c r="K38" s="48">
        <f t="shared" si="129"/>
        <v>0</v>
      </c>
      <c r="L38" s="48">
        <f t="shared" si="129"/>
        <v>0</v>
      </c>
      <c r="M38" s="676">
        <f t="shared" si="129"/>
        <v>42077.477610759619</v>
      </c>
      <c r="N38" s="676">
        <f t="shared" si="129"/>
        <v>48333.606444726945</v>
      </c>
      <c r="O38" s="676">
        <f t="shared" si="129"/>
        <v>22044.824907479644</v>
      </c>
      <c r="P38" s="676">
        <f t="shared" si="129"/>
        <v>15247.340562472833</v>
      </c>
      <c r="Q38" s="676">
        <f t="shared" si="129"/>
        <v>14243.630421854625</v>
      </c>
      <c r="R38" s="129"/>
      <c r="S38" s="676">
        <f t="shared" ref="S38:Z38" si="130">SUM(S6:S37)</f>
        <v>0</v>
      </c>
      <c r="T38" s="676">
        <f t="shared" si="130"/>
        <v>0</v>
      </c>
      <c r="U38" s="676">
        <f t="shared" ref="U38" si="131">SUM(U6:U37)</f>
        <v>0</v>
      </c>
      <c r="V38" s="676">
        <f t="shared" si="130"/>
        <v>6730.6392772199679</v>
      </c>
      <c r="W38" s="676">
        <f t="shared" si="130"/>
        <v>7769.7130832767671</v>
      </c>
      <c r="X38" s="676">
        <f t="shared" si="130"/>
        <v>3566.8236716760612</v>
      </c>
      <c r="Y38" s="676">
        <f t="shared" si="130"/>
        <v>2491.5084008026279</v>
      </c>
      <c r="Z38" s="676">
        <f t="shared" si="130"/>
        <v>2357.9290420105617</v>
      </c>
      <c r="AA38" s="129"/>
      <c r="AB38" s="676">
        <f t="shared" ref="AB38:BW38" si="132">SUM(AB6:AB37)</f>
        <v>0</v>
      </c>
      <c r="AC38" s="676">
        <f t="shared" si="132"/>
        <v>0</v>
      </c>
      <c r="AD38" s="676">
        <f t="shared" si="132"/>
        <v>0</v>
      </c>
      <c r="AE38" s="676">
        <f t="shared" si="132"/>
        <v>0</v>
      </c>
      <c r="AF38" s="676">
        <f t="shared" si="132"/>
        <v>0</v>
      </c>
      <c r="AG38" s="676">
        <f t="shared" si="132"/>
        <v>0</v>
      </c>
      <c r="AH38" s="676">
        <f t="shared" si="132"/>
        <v>0</v>
      </c>
      <c r="AI38" s="676">
        <f t="shared" si="132"/>
        <v>0</v>
      </c>
      <c r="AJ38" s="676">
        <f t="shared" si="132"/>
        <v>0</v>
      </c>
      <c r="AK38" s="676">
        <f t="shared" si="132"/>
        <v>0</v>
      </c>
      <c r="AL38" s="676">
        <f t="shared" si="132"/>
        <v>0</v>
      </c>
      <c r="AM38" s="676">
        <f t="shared" si="132"/>
        <v>0</v>
      </c>
      <c r="AN38" s="676">
        <f t="shared" ref="AN38:AS38" si="133">SUM(AN6:AN37)</f>
        <v>0</v>
      </c>
      <c r="AO38" s="676">
        <f t="shared" si="133"/>
        <v>0</v>
      </c>
      <c r="AP38" s="676">
        <f t="shared" si="133"/>
        <v>0</v>
      </c>
      <c r="AQ38" s="676">
        <f t="shared" si="133"/>
        <v>0</v>
      </c>
      <c r="AR38" s="676">
        <f t="shared" si="133"/>
        <v>0</v>
      </c>
      <c r="AS38" s="676">
        <f t="shared" si="133"/>
        <v>0</v>
      </c>
      <c r="AT38" s="676">
        <f t="shared" si="132"/>
        <v>1948.1146561209976</v>
      </c>
      <c r="AU38" s="676">
        <f t="shared" si="132"/>
        <v>1634.5931038679587</v>
      </c>
      <c r="AV38" s="676">
        <f t="shared" si="132"/>
        <v>3641.5288670836799</v>
      </c>
      <c r="AW38" s="676">
        <f t="shared" si="132"/>
        <v>400.87851559839453</v>
      </c>
      <c r="AX38" s="676">
        <f t="shared" si="132"/>
        <v>5369.2135203471289</v>
      </c>
      <c r="AY38" s="676">
        <f t="shared" si="132"/>
        <v>12994.328663018159</v>
      </c>
      <c r="AZ38" s="676">
        <f t="shared" si="132"/>
        <v>2200.1409413549854</v>
      </c>
      <c r="BA38" s="676">
        <f t="shared" si="132"/>
        <v>1904.4168832190376</v>
      </c>
      <c r="BB38" s="676">
        <f t="shared" si="132"/>
        <v>4247.238781502756</v>
      </c>
      <c r="BC38" s="676">
        <f t="shared" si="132"/>
        <v>473.05264469883645</v>
      </c>
      <c r="BD38" s="676">
        <f t="shared" si="132"/>
        <v>6101.491472917216</v>
      </c>
      <c r="BE38" s="676">
        <f t="shared" si="132"/>
        <v>14926.340723692832</v>
      </c>
      <c r="BF38" s="676">
        <f t="shared" si="132"/>
        <v>1546.3860518677791</v>
      </c>
      <c r="BG38" s="676">
        <f t="shared" si="132"/>
        <v>684.80676244300685</v>
      </c>
      <c r="BH38" s="676">
        <f t="shared" si="132"/>
        <v>1432.4761846415963</v>
      </c>
      <c r="BI38" s="676">
        <f t="shared" si="132"/>
        <v>125.34359400537069</v>
      </c>
      <c r="BJ38" s="676">
        <f t="shared" si="132"/>
        <v>3018.8503406613813</v>
      </c>
      <c r="BK38" s="676">
        <f t="shared" si="132"/>
        <v>6807.8629336191343</v>
      </c>
      <c r="BL38" s="676">
        <f t="shared" si="132"/>
        <v>1158.1818729228448</v>
      </c>
      <c r="BM38" s="676">
        <f t="shared" si="132"/>
        <v>408.43819572077473</v>
      </c>
      <c r="BN38" s="676">
        <f t="shared" si="132"/>
        <v>763.51400761308889</v>
      </c>
      <c r="BO38" s="676">
        <f t="shared" si="132"/>
        <v>45.749087434662115</v>
      </c>
      <c r="BP38" s="676">
        <f t="shared" si="132"/>
        <v>2332.786788879092</v>
      </c>
      <c r="BQ38" s="676">
        <f t="shared" si="132"/>
        <v>4708.6699525704635</v>
      </c>
      <c r="BR38" s="676">
        <f t="shared" si="132"/>
        <v>1129.3766150178562</v>
      </c>
      <c r="BS38" s="676">
        <f t="shared" si="132"/>
        <v>357.06762451837034</v>
      </c>
      <c r="BT38" s="676">
        <f t="shared" si="132"/>
        <v>653.41833536682168</v>
      </c>
      <c r="BU38" s="676">
        <f t="shared" si="132"/>
        <v>31.323990807181239</v>
      </c>
      <c r="BV38" s="676">
        <f t="shared" si="132"/>
        <v>2227.5185270307529</v>
      </c>
      <c r="BW38" s="676">
        <f t="shared" si="132"/>
        <v>4398.7050927409828</v>
      </c>
      <c r="BX38" s="129"/>
      <c r="BY38" s="676">
        <f t="shared" ref="BY38:CF38" si="134">SUM(BY6:BY37)</f>
        <v>0</v>
      </c>
      <c r="BZ38" s="676">
        <f t="shared" si="134"/>
        <v>0</v>
      </c>
      <c r="CA38" s="676">
        <f t="shared" ref="CA38" si="135">SUM(CA6:CA37)</f>
        <v>0</v>
      </c>
      <c r="CB38" s="676">
        <f t="shared" si="134"/>
        <v>17702.195885629979</v>
      </c>
      <c r="CC38" s="676">
        <f t="shared" si="134"/>
        <v>20334.179179141571</v>
      </c>
      <c r="CD38" s="676">
        <f t="shared" si="134"/>
        <v>9274.3631732533031</v>
      </c>
      <c r="CE38" s="676">
        <f t="shared" si="134"/>
        <v>6414.6290295401805</v>
      </c>
      <c r="CF38" s="676">
        <f t="shared" si="134"/>
        <v>5992.363377450014</v>
      </c>
      <c r="CG38" s="129"/>
      <c r="CH38" s="676">
        <f t="shared" ref="CH38:CO38" si="136">SUM(CH6:CH37)</f>
        <v>0</v>
      </c>
      <c r="CI38" s="676">
        <f t="shared" si="136"/>
        <v>0</v>
      </c>
      <c r="CJ38" s="676">
        <f t="shared" ref="CJ38" si="137">SUM(CJ6:CJ37)</f>
        <v>0</v>
      </c>
      <c r="CK38" s="676">
        <f t="shared" si="136"/>
        <v>4863.4326676420114</v>
      </c>
      <c r="CL38" s="676">
        <f t="shared" si="136"/>
        <v>5586.5335537158835</v>
      </c>
      <c r="CM38" s="676">
        <f t="shared" si="136"/>
        <v>2548.0025822667003</v>
      </c>
      <c r="CN38" s="676">
        <f t="shared" si="136"/>
        <v>1762.3303105800119</v>
      </c>
      <c r="CO38" s="676">
        <f t="shared" si="136"/>
        <v>1646.3186824144036</v>
      </c>
      <c r="CP38" s="129"/>
      <c r="CQ38" s="676">
        <f t="shared" ref="CQ38:CX38" si="138">SUM(CQ6:CQ37)</f>
        <v>0</v>
      </c>
      <c r="CR38" s="676">
        <f t="shared" si="138"/>
        <v>0</v>
      </c>
      <c r="CS38" s="676">
        <f t="shared" si="138"/>
        <v>0</v>
      </c>
      <c r="CT38" s="676">
        <f t="shared" si="138"/>
        <v>42290.596493510107</v>
      </c>
      <c r="CU38" s="676">
        <f t="shared" si="138"/>
        <v>48616.766539827047</v>
      </c>
      <c r="CV38" s="676">
        <f t="shared" si="138"/>
        <v>22197.0523608152</v>
      </c>
      <c r="CW38" s="676">
        <f t="shared" si="138"/>
        <v>15377.137693493283</v>
      </c>
      <c r="CX38" s="676">
        <f t="shared" si="138"/>
        <v>14395.316194615963</v>
      </c>
    </row>
    <row r="39" spans="2:104">
      <c r="CQ39" s="84">
        <f t="shared" ref="CQ39:CX39" si="139">IF(ISERROR((CQ38-J38)/J38),0,(CQ38-J38)/J38)</f>
        <v>0</v>
      </c>
      <c r="CR39" s="84">
        <f t="shared" si="139"/>
        <v>0</v>
      </c>
      <c r="CS39" s="84">
        <f t="shared" si="139"/>
        <v>0</v>
      </c>
      <c r="CT39" s="84">
        <f t="shared" si="139"/>
        <v>5.0649158374453471E-3</v>
      </c>
      <c r="CU39" s="84">
        <f t="shared" si="139"/>
        <v>5.8584516225561696E-3</v>
      </c>
      <c r="CV39" s="84">
        <f t="shared" si="139"/>
        <v>6.9053600549989456E-3</v>
      </c>
      <c r="CW39" s="84">
        <f t="shared" si="139"/>
        <v>8.5127718167396661E-3</v>
      </c>
      <c r="CX39" s="84">
        <f t="shared" si="139"/>
        <v>1.0649375774914843E-2</v>
      </c>
    </row>
    <row r="40" spans="2:104">
      <c r="H40" s="1" t="s">
        <v>133</v>
      </c>
      <c r="J40" s="39"/>
      <c r="K40" s="39"/>
      <c r="L40" s="39"/>
      <c r="M40" s="39"/>
      <c r="N40" s="39"/>
      <c r="O40" s="39"/>
      <c r="P40" s="39"/>
      <c r="Q40" s="39"/>
    </row>
    <row r="41" spans="2:104">
      <c r="J41" s="50"/>
      <c r="K41" s="50"/>
      <c r="L41" s="50"/>
      <c r="M41" s="859"/>
      <c r="N41" s="859"/>
      <c r="O41" s="859"/>
      <c r="P41" s="859"/>
      <c r="Q41" s="859"/>
      <c r="R41" s="41"/>
      <c r="S41" s="860"/>
      <c r="T41" s="87"/>
      <c r="V41" s="39"/>
    </row>
    <row r="42" spans="2:104">
      <c r="J42" s="41"/>
      <c r="K42" s="41"/>
      <c r="L42" s="41"/>
      <c r="M42" s="859"/>
      <c r="N42" s="859"/>
      <c r="O42" s="859"/>
      <c r="P42" s="859"/>
      <c r="Q42" s="859"/>
      <c r="R42" s="41"/>
      <c r="S42" s="860"/>
      <c r="T42" s="87"/>
      <c r="V42" s="84"/>
    </row>
    <row r="43" spans="2:104">
      <c r="J43" s="50"/>
      <c r="K43" s="50"/>
      <c r="L43" s="50"/>
      <c r="M43" s="859"/>
      <c r="N43" s="859"/>
      <c r="O43" s="859"/>
      <c r="P43" s="859"/>
      <c r="Q43" s="859"/>
      <c r="R43" s="41"/>
      <c r="S43" s="860"/>
      <c r="T43" s="41"/>
      <c r="V43" s="39"/>
    </row>
    <row r="44" spans="2:104">
      <c r="J44" s="50"/>
      <c r="K44" s="50"/>
      <c r="L44" s="50"/>
      <c r="M44" s="859"/>
      <c r="N44" s="859"/>
      <c r="O44" s="859"/>
      <c r="P44" s="859"/>
      <c r="Q44" s="859"/>
      <c r="R44" s="41"/>
      <c r="S44" s="860"/>
      <c r="T44" s="41"/>
      <c r="V44" s="157"/>
    </row>
    <row r="45" spans="2:104">
      <c r="J45" s="39"/>
      <c r="K45" s="39"/>
      <c r="L45" s="39"/>
      <c r="M45" s="39"/>
      <c r="N45" s="39"/>
      <c r="O45" s="39"/>
      <c r="P45" s="39"/>
      <c r="Q45" s="39"/>
      <c r="V45" s="39"/>
    </row>
    <row r="46" spans="2:104">
      <c r="J46" s="39"/>
      <c r="K46" s="39"/>
      <c r="L46" s="39"/>
      <c r="M46" s="39"/>
      <c r="N46" s="39"/>
      <c r="O46" s="39"/>
      <c r="P46" s="39"/>
      <c r="Q46" s="39"/>
      <c r="V46" s="39"/>
    </row>
    <row r="47" spans="2:104">
      <c r="J47" s="39"/>
      <c r="K47" s="39"/>
      <c r="L47" s="39"/>
      <c r="M47" s="39"/>
      <c r="N47" s="39"/>
      <c r="O47" s="39"/>
      <c r="P47" s="39"/>
      <c r="Q47" s="39"/>
      <c r="V47" s="39"/>
    </row>
    <row r="48" spans="2:104">
      <c r="J48" s="50"/>
      <c r="K48" s="50"/>
      <c r="L48" s="50"/>
      <c r="M48" s="50"/>
      <c r="N48" s="50"/>
      <c r="O48" s="50"/>
      <c r="P48" s="50"/>
      <c r="Q48" s="50"/>
    </row>
    <row r="49" spans="3:51">
      <c r="J49" s="50"/>
      <c r="K49" s="50"/>
      <c r="L49" s="50"/>
      <c r="M49" s="50"/>
      <c r="N49" s="50"/>
      <c r="O49" s="50"/>
      <c r="P49" s="50"/>
      <c r="Q49" s="50"/>
      <c r="V49" s="39"/>
      <c r="X49" s="160"/>
      <c r="Z49" s="548"/>
    </row>
    <row r="50" spans="3:51">
      <c r="V50" s="39"/>
      <c r="X50" s="160"/>
      <c r="Z50" s="548"/>
    </row>
    <row r="51" spans="3:51">
      <c r="T51" s="107"/>
      <c r="V51" s="39"/>
      <c r="X51" s="160"/>
      <c r="Z51" s="549"/>
      <c r="AM51" s="84"/>
      <c r="AS51" s="84"/>
      <c r="AY51" s="546"/>
    </row>
    <row r="52" spans="3:51">
      <c r="T52" s="107"/>
      <c r="V52" s="39"/>
      <c r="X52" s="160"/>
      <c r="Z52" s="550"/>
    </row>
    <row r="53" spans="3:51">
      <c r="T53" s="107"/>
      <c r="V53" s="39"/>
      <c r="X53" s="160"/>
      <c r="Z53" s="550"/>
    </row>
    <row r="54" spans="3:51">
      <c r="T54" s="107"/>
      <c r="V54" s="39"/>
      <c r="X54" s="160"/>
      <c r="Z54" s="550"/>
    </row>
    <row r="55" spans="3:51">
      <c r="C55" s="547"/>
    </row>
  </sheetData>
  <autoFilter ref="B5:I37" xr:uid="{00000000-0009-0000-0000-00000A000000}"/>
  <mergeCells count="10">
    <mergeCell ref="M1:N1"/>
    <mergeCell ref="J4:Q4"/>
    <mergeCell ref="S3:Z3"/>
    <mergeCell ref="BY3:CF3"/>
    <mergeCell ref="CQ3:CX3"/>
    <mergeCell ref="CH3:CO3"/>
    <mergeCell ref="CQ4:CX4"/>
    <mergeCell ref="CH4:CO4"/>
    <mergeCell ref="BY4:CF4"/>
    <mergeCell ref="S4:Z4"/>
  </mergeCells>
  <hyperlinks>
    <hyperlink ref="B2" location="Contents!A1" display="Table of Contents" xr:uid="{00000000-0004-0000-0A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r:uid="{00000000-0002-0000-0A00-000000000000}">
          <x14:formula1>
            <xm:f>Lookups!$C$5:$C$13</xm:f>
          </x14:formula1>
          <xm:sqref>E6:E37</xm:sqref>
        </x14:dataValidation>
        <x14:dataValidation type="list" errorStyle="warning" allowBlank="1" showInputMessage="1" showErrorMessage="1" prompt="Select from drop down list" xr:uid="{00000000-0002-0000-0A00-000001000000}">
          <x14:formula1>
            <xm:f>Lab_Mat!$C$6:$C$11</xm:f>
          </x14:formula1>
          <xm:sqref>H6:H37</xm:sqref>
        </x14:dataValidation>
        <x14:dataValidation type="list" errorStyle="warning" allowBlank="1" showInputMessage="1" showErrorMessage="1" prompt="Select from drop down list" xr:uid="{00000000-0002-0000-0A00-000002000000}">
          <x14:formula1>
            <xm:f>Lab_Mat!$C$33:$C$48</xm:f>
          </x14:formula1>
          <xm:sqref>I6:I37</xm:sqref>
        </x14:dataValidation>
        <x14:dataValidation type="list" errorStyle="warning" showInputMessage="1" showErrorMessage="1" error="Invalid data entered" prompt="Select from drop down list" xr:uid="{00000000-0002-0000-0A00-000003000000}">
          <x14:formula1>
            <xm:f>Lookups!$I$5:$I$10</xm:f>
          </x14:formula1>
          <xm:sqref>G6:G37</xm:sqref>
        </x14:dataValidation>
        <x14:dataValidation type="list" errorStyle="warning" showInputMessage="1" showErrorMessage="1" error="Invalid data entered" prompt="Select from drop down list" xr:uid="{00000000-0002-0000-0A00-000004000000}">
          <x14:formula1>
            <xm:f>Lookups!$C$16:$C$27</xm:f>
          </x14:formula1>
          <xm:sqref>F6:F37</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1:CY53"/>
  <sheetViews>
    <sheetView zoomScale="80" zoomScaleNormal="80" zoomScalePageLayoutView="125" workbookViewId="0">
      <pane xSplit="7" topLeftCell="H1" activePane="topRight" state="frozen"/>
      <selection activeCell="V33" sqref="V33"/>
      <selection pane="topRight" activeCell="V33" sqref="V33"/>
    </sheetView>
  </sheetViews>
  <sheetFormatPr defaultColWidth="8.85546875" defaultRowHeight="15" outlineLevelRow="1" outlineLevelCol="1"/>
  <cols>
    <col min="1" max="1" width="4" style="1" customWidth="1"/>
    <col min="2" max="2" width="8.85546875" style="1"/>
    <col min="3" max="3" width="47.42578125" style="1" bestFit="1" customWidth="1"/>
    <col min="4" max="4" width="19.140625" style="1" customWidth="1"/>
    <col min="5" max="5" width="24.42578125" style="1" hidden="1" customWidth="1" outlineLevel="1"/>
    <col min="6" max="6" width="33.85546875" style="1" hidden="1" customWidth="1" outlineLevel="1"/>
    <col min="7" max="7" width="40.42578125" style="1" hidden="1" customWidth="1" outlineLevel="1"/>
    <col min="8" max="8" width="9.42578125" style="1" customWidth="1" collapsed="1"/>
    <col min="9" max="15" width="9.42578125" style="1" customWidth="1"/>
    <col min="16" max="16" width="3.28515625" style="1" customWidth="1"/>
    <col min="17" max="23" width="8.85546875" style="1"/>
    <col min="24" max="24" width="3" style="1" customWidth="1"/>
    <col min="25" max="28" width="9.7109375" style="1" customWidth="1"/>
    <col min="29" max="29" width="3" style="1" customWidth="1"/>
    <col min="30" max="31" width="10.7109375" style="1" customWidth="1"/>
    <col min="32" max="36" width="8.85546875" style="1"/>
    <col min="37" max="37" width="2.85546875" style="1" customWidth="1"/>
    <col min="38" max="42" width="8.7109375" style="1" hidden="1" customWidth="1" outlineLevel="1"/>
    <col min="43" max="43" width="8.85546875" style="1" collapsed="1"/>
    <col min="44" max="48" width="8.85546875" style="1" hidden="1" customWidth="1" outlineLevel="1"/>
    <col min="49" max="49" width="8.85546875" style="1" collapsed="1"/>
    <col min="50" max="54" width="8.85546875" style="1" hidden="1" customWidth="1" outlineLevel="1"/>
    <col min="55" max="55" width="8.85546875" style="1" collapsed="1"/>
    <col min="56" max="60" width="8.85546875" style="1" hidden="1" customWidth="1" outlineLevel="1"/>
    <col min="61" max="61" width="8.85546875" style="1" collapsed="1"/>
    <col min="62" max="66" width="8.85546875" style="1" hidden="1" customWidth="1" outlineLevel="1"/>
    <col min="67" max="67" width="8.85546875" style="1" collapsed="1"/>
    <col min="68" max="72" width="8.85546875" style="1" hidden="1" customWidth="1" outlineLevel="1"/>
    <col min="73" max="73" width="8.85546875" style="1" collapsed="1"/>
    <col min="74" max="78" width="8.85546875" style="1" hidden="1" customWidth="1" outlineLevel="1"/>
    <col min="79" max="79" width="8.85546875" style="1" collapsed="1"/>
    <col min="80" max="80" width="2.42578125" style="1" customWidth="1"/>
    <col min="81" max="87" width="8.85546875" style="1"/>
    <col min="88" max="88" width="2.85546875" style="1" customWidth="1"/>
    <col min="89" max="95" width="8.85546875" style="1"/>
    <col min="96" max="96" width="2.85546875" style="1" customWidth="1"/>
    <col min="97" max="16384" width="8.85546875" style="1"/>
  </cols>
  <sheetData>
    <row r="1" spans="2:103" ht="18.75">
      <c r="B1" s="10" t="s">
        <v>26</v>
      </c>
      <c r="I1" s="518" t="s">
        <v>746</v>
      </c>
      <c r="AD1" s="52"/>
      <c r="AE1" s="52"/>
    </row>
    <row r="2" spans="2:103">
      <c r="B2" s="25" t="s">
        <v>6</v>
      </c>
      <c r="AQ2" s="88"/>
      <c r="AR2" s="88"/>
      <c r="AS2" s="88"/>
      <c r="AT2" s="88"/>
      <c r="AU2" s="88"/>
      <c r="AV2" s="88"/>
      <c r="AX2" s="88"/>
      <c r="AY2" s="88"/>
      <c r="AZ2" s="88"/>
      <c r="BA2" s="88"/>
      <c r="BB2" s="88"/>
    </row>
    <row r="3" spans="2:103">
      <c r="Q3" s="964"/>
      <c r="R3" s="964"/>
      <c r="S3" s="964"/>
      <c r="T3" s="964"/>
      <c r="U3" s="964"/>
      <c r="V3" s="964"/>
      <c r="W3" s="964"/>
      <c r="AD3" s="964"/>
      <c r="AE3" s="964"/>
      <c r="AF3" s="964"/>
      <c r="AG3" s="964"/>
      <c r="AH3" s="964"/>
      <c r="AI3" s="964"/>
      <c r="AJ3" s="964"/>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C3" s="964"/>
      <c r="CD3" s="964"/>
      <c r="CE3" s="964"/>
      <c r="CF3" s="964"/>
      <c r="CG3" s="964"/>
      <c r="CH3" s="964"/>
      <c r="CI3" s="964"/>
      <c r="CK3" s="964"/>
      <c r="CL3" s="964"/>
      <c r="CM3" s="964"/>
      <c r="CN3" s="964"/>
      <c r="CO3" s="964"/>
      <c r="CP3" s="964"/>
      <c r="CQ3" s="964"/>
      <c r="CS3" s="964"/>
      <c r="CT3" s="964"/>
      <c r="CU3" s="964"/>
      <c r="CV3" s="964"/>
      <c r="CW3" s="964"/>
      <c r="CX3" s="964"/>
      <c r="CY3" s="964"/>
    </row>
    <row r="4" spans="2:103" hidden="1" outlineLevel="1">
      <c r="Q4" s="103"/>
      <c r="R4" s="221"/>
      <c r="S4" s="103"/>
      <c r="T4" s="103"/>
      <c r="U4" s="103"/>
      <c r="V4" s="103"/>
      <c r="W4" s="103"/>
      <c r="Y4" s="1" t="s">
        <v>174</v>
      </c>
      <c r="Z4" s="1" t="s">
        <v>173</v>
      </c>
      <c r="AA4" s="1" t="s">
        <v>297</v>
      </c>
      <c r="AB4" s="1" t="s">
        <v>175</v>
      </c>
      <c r="AD4" s="103"/>
      <c r="AE4" s="221"/>
      <c r="AF4" s="103"/>
      <c r="AG4" s="103"/>
      <c r="AH4" s="103"/>
      <c r="AI4" s="103"/>
      <c r="AJ4" s="10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C4" s="103"/>
      <c r="CD4" s="221"/>
      <c r="CE4" s="103"/>
      <c r="CF4" s="103"/>
      <c r="CG4" s="103"/>
      <c r="CH4" s="103"/>
      <c r="CI4" s="103"/>
      <c r="CK4" s="103"/>
      <c r="CL4" s="221"/>
      <c r="CM4" s="103"/>
      <c r="CN4" s="103"/>
      <c r="CO4" s="103"/>
      <c r="CP4" s="103"/>
      <c r="CQ4" s="103"/>
      <c r="CS4" s="103"/>
      <c r="CT4" s="221"/>
      <c r="CU4" s="103"/>
      <c r="CV4" s="103"/>
      <c r="CW4" s="103"/>
      <c r="CX4" s="103"/>
      <c r="CY4" s="103"/>
    </row>
    <row r="5" spans="2:103" ht="60" collapsed="1">
      <c r="B5" s="2" t="s">
        <v>289</v>
      </c>
      <c r="H5" s="965" t="s">
        <v>385</v>
      </c>
      <c r="I5" s="966"/>
      <c r="J5" s="966"/>
      <c r="K5" s="966"/>
      <c r="L5" s="966"/>
      <c r="M5" s="966"/>
      <c r="N5" s="967"/>
      <c r="O5" s="9" t="s">
        <v>377</v>
      </c>
      <c r="Q5" s="961" t="s">
        <v>386</v>
      </c>
      <c r="R5" s="962"/>
      <c r="S5" s="962"/>
      <c r="T5" s="962"/>
      <c r="U5" s="962"/>
      <c r="V5" s="962"/>
      <c r="W5" s="963"/>
      <c r="Y5" s="9" t="s">
        <v>381</v>
      </c>
      <c r="Z5" s="9" t="s">
        <v>382</v>
      </c>
      <c r="AA5" s="9" t="s">
        <v>383</v>
      </c>
      <c r="AB5" s="9" t="s">
        <v>384</v>
      </c>
      <c r="AD5" s="961" t="s">
        <v>174</v>
      </c>
      <c r="AE5" s="962"/>
      <c r="AF5" s="962"/>
      <c r="AG5" s="962"/>
      <c r="AH5" s="962"/>
      <c r="AI5" s="962"/>
      <c r="AJ5" s="963"/>
      <c r="AL5" s="9" t="s">
        <v>180</v>
      </c>
      <c r="AM5" s="9" t="s">
        <v>181</v>
      </c>
      <c r="AN5" s="9" t="s">
        <v>182</v>
      </c>
      <c r="AO5" s="9" t="s">
        <v>183</v>
      </c>
      <c r="AP5" s="9" t="s">
        <v>5</v>
      </c>
      <c r="AQ5" s="9" t="s">
        <v>173</v>
      </c>
      <c r="AR5" s="9" t="s">
        <v>180</v>
      </c>
      <c r="AS5" s="9" t="s">
        <v>181</v>
      </c>
      <c r="AT5" s="9" t="s">
        <v>182</v>
      </c>
      <c r="AU5" s="9" t="s">
        <v>183</v>
      </c>
      <c r="AV5" s="9" t="s">
        <v>5</v>
      </c>
      <c r="AW5" s="9" t="s">
        <v>173</v>
      </c>
      <c r="AX5" s="9" t="s">
        <v>180</v>
      </c>
      <c r="AY5" s="9" t="s">
        <v>181</v>
      </c>
      <c r="AZ5" s="9" t="s">
        <v>182</v>
      </c>
      <c r="BA5" s="9" t="s">
        <v>183</v>
      </c>
      <c r="BB5" s="9" t="s">
        <v>5</v>
      </c>
      <c r="BC5" s="9" t="s">
        <v>173</v>
      </c>
      <c r="BD5" s="9" t="s">
        <v>180</v>
      </c>
      <c r="BE5" s="9" t="s">
        <v>181</v>
      </c>
      <c r="BF5" s="9" t="s">
        <v>182</v>
      </c>
      <c r="BG5" s="9" t="s">
        <v>183</v>
      </c>
      <c r="BH5" s="9" t="s">
        <v>5</v>
      </c>
      <c r="BI5" s="9" t="s">
        <v>173</v>
      </c>
      <c r="BJ5" s="9" t="s">
        <v>180</v>
      </c>
      <c r="BK5" s="9" t="s">
        <v>181</v>
      </c>
      <c r="BL5" s="9" t="s">
        <v>182</v>
      </c>
      <c r="BM5" s="9" t="s">
        <v>183</v>
      </c>
      <c r="BN5" s="9" t="s">
        <v>5</v>
      </c>
      <c r="BO5" s="9" t="s">
        <v>173</v>
      </c>
      <c r="BP5" s="9" t="s">
        <v>180</v>
      </c>
      <c r="BQ5" s="9" t="s">
        <v>181</v>
      </c>
      <c r="BR5" s="9" t="s">
        <v>182</v>
      </c>
      <c r="BS5" s="9" t="s">
        <v>183</v>
      </c>
      <c r="BT5" s="9" t="s">
        <v>5</v>
      </c>
      <c r="BU5" s="9" t="s">
        <v>173</v>
      </c>
      <c r="BV5" s="9" t="s">
        <v>180</v>
      </c>
      <c r="BW5" s="9" t="s">
        <v>181</v>
      </c>
      <c r="BX5" s="9" t="s">
        <v>182</v>
      </c>
      <c r="BY5" s="9" t="s">
        <v>183</v>
      </c>
      <c r="BZ5" s="9" t="s">
        <v>5</v>
      </c>
      <c r="CA5" s="9" t="s">
        <v>173</v>
      </c>
      <c r="CC5" s="961" t="s">
        <v>297</v>
      </c>
      <c r="CD5" s="962"/>
      <c r="CE5" s="962"/>
      <c r="CF5" s="962"/>
      <c r="CG5" s="962"/>
      <c r="CH5" s="962"/>
      <c r="CI5" s="963"/>
      <c r="CK5" s="961" t="s">
        <v>175</v>
      </c>
      <c r="CL5" s="962"/>
      <c r="CM5" s="962"/>
      <c r="CN5" s="962"/>
      <c r="CO5" s="962"/>
      <c r="CP5" s="962"/>
      <c r="CQ5" s="963"/>
      <c r="CS5" s="961" t="s">
        <v>379</v>
      </c>
      <c r="CT5" s="962"/>
      <c r="CU5" s="962"/>
      <c r="CV5" s="962"/>
      <c r="CW5" s="962"/>
      <c r="CX5" s="962"/>
      <c r="CY5" s="963"/>
    </row>
    <row r="6" spans="2:103">
      <c r="B6" s="8" t="s">
        <v>23</v>
      </c>
      <c r="C6" s="8" t="s">
        <v>24</v>
      </c>
      <c r="D6" s="17" t="s">
        <v>98</v>
      </c>
      <c r="E6" s="17" t="s">
        <v>76</v>
      </c>
      <c r="F6" s="17" t="s">
        <v>77</v>
      </c>
      <c r="G6" s="17" t="s">
        <v>212</v>
      </c>
      <c r="H6" s="331">
        <f>CP_Yr_4</f>
        <v>43800</v>
      </c>
      <c r="I6" s="331">
        <f>CP_Yr_5</f>
        <v>44166</v>
      </c>
      <c r="J6" s="331">
        <f>Yr_1</f>
        <v>44742</v>
      </c>
      <c r="K6" s="331">
        <f>Yr_2</f>
        <v>45107</v>
      </c>
      <c r="L6" s="331">
        <f>Yr_3</f>
        <v>45473</v>
      </c>
      <c r="M6" s="331">
        <f>Yr_4</f>
        <v>45838</v>
      </c>
      <c r="N6" s="331">
        <f>Yr_5</f>
        <v>46203</v>
      </c>
      <c r="O6" s="331"/>
      <c r="P6" s="332"/>
      <c r="Q6" s="331">
        <f>CP_Yr_4</f>
        <v>43800</v>
      </c>
      <c r="R6" s="331">
        <f>CP_Yr_5</f>
        <v>44166</v>
      </c>
      <c r="S6" s="331">
        <f>Yr_1</f>
        <v>44742</v>
      </c>
      <c r="T6" s="331">
        <f>Yr_2</f>
        <v>45107</v>
      </c>
      <c r="U6" s="331">
        <f>Yr_3</f>
        <v>45473</v>
      </c>
      <c r="V6" s="331">
        <f>Yr_4</f>
        <v>45838</v>
      </c>
      <c r="W6" s="331">
        <f>Yr_5</f>
        <v>46203</v>
      </c>
      <c r="X6" s="332"/>
      <c r="Y6" s="331"/>
      <c r="Z6" s="331"/>
      <c r="AA6" s="331"/>
      <c r="AB6" s="331"/>
      <c r="AC6" s="332"/>
      <c r="AD6" s="331">
        <f>CP_Yr_4</f>
        <v>43800</v>
      </c>
      <c r="AE6" s="331">
        <f>CP_Yr_5</f>
        <v>44166</v>
      </c>
      <c r="AF6" s="331">
        <f>Yr_1</f>
        <v>44742</v>
      </c>
      <c r="AG6" s="331">
        <f>Yr_2</f>
        <v>45107</v>
      </c>
      <c r="AH6" s="331">
        <f>Yr_3</f>
        <v>45473</v>
      </c>
      <c r="AI6" s="331">
        <f>Yr_4</f>
        <v>45838</v>
      </c>
      <c r="AJ6" s="331">
        <f>Yr_5</f>
        <v>46203</v>
      </c>
      <c r="AK6" s="332"/>
      <c r="AL6" s="331">
        <f t="shared" ref="AL6:AQ6" si="0">CP_Yr_4</f>
        <v>43800</v>
      </c>
      <c r="AM6" s="331">
        <f t="shared" si="0"/>
        <v>43800</v>
      </c>
      <c r="AN6" s="331">
        <f t="shared" si="0"/>
        <v>43800</v>
      </c>
      <c r="AO6" s="331">
        <f t="shared" si="0"/>
        <v>43800</v>
      </c>
      <c r="AP6" s="331">
        <f t="shared" si="0"/>
        <v>43800</v>
      </c>
      <c r="AQ6" s="331">
        <f t="shared" si="0"/>
        <v>43800</v>
      </c>
      <c r="AR6" s="331">
        <f t="shared" ref="AR6:AW6" si="1">CP_Yr_5</f>
        <v>44166</v>
      </c>
      <c r="AS6" s="331">
        <f t="shared" si="1"/>
        <v>44166</v>
      </c>
      <c r="AT6" s="331">
        <f t="shared" si="1"/>
        <v>44166</v>
      </c>
      <c r="AU6" s="331">
        <f t="shared" si="1"/>
        <v>44166</v>
      </c>
      <c r="AV6" s="331">
        <f t="shared" si="1"/>
        <v>44166</v>
      </c>
      <c r="AW6" s="331">
        <f t="shared" si="1"/>
        <v>44166</v>
      </c>
      <c r="AX6" s="331">
        <f t="shared" ref="AX6:BC6" si="2">Yr_1</f>
        <v>44742</v>
      </c>
      <c r="AY6" s="331">
        <f t="shared" si="2"/>
        <v>44742</v>
      </c>
      <c r="AZ6" s="331">
        <f t="shared" si="2"/>
        <v>44742</v>
      </c>
      <c r="BA6" s="331">
        <f t="shared" si="2"/>
        <v>44742</v>
      </c>
      <c r="BB6" s="331">
        <f t="shared" si="2"/>
        <v>44742</v>
      </c>
      <c r="BC6" s="331">
        <f t="shared" si="2"/>
        <v>44742</v>
      </c>
      <c r="BD6" s="331">
        <f t="shared" ref="BD6:BI6" si="3">Yr_2</f>
        <v>45107</v>
      </c>
      <c r="BE6" s="331">
        <f t="shared" si="3"/>
        <v>45107</v>
      </c>
      <c r="BF6" s="331">
        <f t="shared" si="3"/>
        <v>45107</v>
      </c>
      <c r="BG6" s="331">
        <f t="shared" si="3"/>
        <v>45107</v>
      </c>
      <c r="BH6" s="331">
        <f t="shared" si="3"/>
        <v>45107</v>
      </c>
      <c r="BI6" s="331">
        <f t="shared" si="3"/>
        <v>45107</v>
      </c>
      <c r="BJ6" s="331">
        <f t="shared" ref="BJ6:BO6" si="4">Yr_3</f>
        <v>45473</v>
      </c>
      <c r="BK6" s="331">
        <f t="shared" si="4"/>
        <v>45473</v>
      </c>
      <c r="BL6" s="331">
        <f t="shared" si="4"/>
        <v>45473</v>
      </c>
      <c r="BM6" s="331">
        <f t="shared" si="4"/>
        <v>45473</v>
      </c>
      <c r="BN6" s="331">
        <f t="shared" si="4"/>
        <v>45473</v>
      </c>
      <c r="BO6" s="331">
        <f t="shared" si="4"/>
        <v>45473</v>
      </c>
      <c r="BP6" s="331">
        <f t="shared" ref="BP6:BU6" si="5">Yr_4</f>
        <v>45838</v>
      </c>
      <c r="BQ6" s="331">
        <f t="shared" si="5"/>
        <v>45838</v>
      </c>
      <c r="BR6" s="331">
        <f t="shared" si="5"/>
        <v>45838</v>
      </c>
      <c r="BS6" s="331">
        <f t="shared" si="5"/>
        <v>45838</v>
      </c>
      <c r="BT6" s="331">
        <f t="shared" si="5"/>
        <v>45838</v>
      </c>
      <c r="BU6" s="331">
        <f t="shared" si="5"/>
        <v>45838</v>
      </c>
      <c r="BV6" s="331">
        <f t="shared" ref="BV6:CA6" si="6">Yr_5</f>
        <v>46203</v>
      </c>
      <c r="BW6" s="331">
        <f t="shared" si="6"/>
        <v>46203</v>
      </c>
      <c r="BX6" s="331">
        <f t="shared" si="6"/>
        <v>46203</v>
      </c>
      <c r="BY6" s="331">
        <f t="shared" si="6"/>
        <v>46203</v>
      </c>
      <c r="BZ6" s="331">
        <f t="shared" si="6"/>
        <v>46203</v>
      </c>
      <c r="CA6" s="331">
        <f t="shared" si="6"/>
        <v>46203</v>
      </c>
      <c r="CB6" s="332"/>
      <c r="CC6" s="331">
        <f>CP_Yr_4</f>
        <v>43800</v>
      </c>
      <c r="CD6" s="331">
        <f>CP_Yr_5</f>
        <v>44166</v>
      </c>
      <c r="CE6" s="331">
        <f>Yr_1</f>
        <v>44742</v>
      </c>
      <c r="CF6" s="331">
        <f>Yr_2</f>
        <v>45107</v>
      </c>
      <c r="CG6" s="331">
        <f>Yr_3</f>
        <v>45473</v>
      </c>
      <c r="CH6" s="331">
        <f>Yr_4</f>
        <v>45838</v>
      </c>
      <c r="CI6" s="331">
        <f>Yr_5</f>
        <v>46203</v>
      </c>
      <c r="CJ6" s="332"/>
      <c r="CK6" s="331">
        <f>CP_Yr_4</f>
        <v>43800</v>
      </c>
      <c r="CL6" s="331">
        <f>CP_Yr_5</f>
        <v>44166</v>
      </c>
      <c r="CM6" s="331">
        <f>Yr_1</f>
        <v>44742</v>
      </c>
      <c r="CN6" s="331">
        <f>Yr_2</f>
        <v>45107</v>
      </c>
      <c r="CO6" s="331">
        <f>Yr_3</f>
        <v>45473</v>
      </c>
      <c r="CP6" s="331">
        <f>Yr_4</f>
        <v>45838</v>
      </c>
      <c r="CQ6" s="331">
        <f>Yr_5</f>
        <v>46203</v>
      </c>
      <c r="CS6" s="331">
        <f>CP_Yr_4</f>
        <v>43800</v>
      </c>
      <c r="CT6" s="331">
        <f>CP_Yr_5</f>
        <v>44166</v>
      </c>
      <c r="CU6" s="331">
        <f>Yr_1</f>
        <v>44742</v>
      </c>
      <c r="CV6" s="331">
        <f>Yr_2</f>
        <v>45107</v>
      </c>
      <c r="CW6" s="331">
        <f>Yr_3</f>
        <v>45473</v>
      </c>
      <c r="CX6" s="331">
        <f>Yr_4</f>
        <v>45838</v>
      </c>
      <c r="CY6" s="331">
        <f>Yr_5</f>
        <v>46203</v>
      </c>
    </row>
    <row r="7" spans="2:103">
      <c r="B7" s="7"/>
      <c r="C7" s="7"/>
      <c r="D7" s="7"/>
      <c r="E7" s="7" t="s">
        <v>45</v>
      </c>
      <c r="F7" s="7" t="s">
        <v>51</v>
      </c>
      <c r="G7" s="7" t="s">
        <v>167</v>
      </c>
      <c r="H7" s="45"/>
      <c r="I7" s="45"/>
      <c r="J7" s="45"/>
      <c r="K7" s="45"/>
      <c r="L7" s="45"/>
      <c r="M7" s="45"/>
      <c r="N7" s="45"/>
      <c r="O7" s="105"/>
      <c r="Q7" s="47"/>
      <c r="R7" s="47"/>
      <c r="S7" s="47"/>
      <c r="T7" s="47"/>
      <c r="U7" s="47"/>
      <c r="V7" s="47"/>
      <c r="W7" s="47"/>
      <c r="X7" s="52"/>
      <c r="Y7" s="106"/>
      <c r="Z7" s="106"/>
      <c r="AA7" s="106"/>
      <c r="AB7" s="106"/>
      <c r="AC7" s="52"/>
      <c r="AD7" s="47"/>
      <c r="AE7" s="47"/>
      <c r="AF7" s="47"/>
      <c r="AG7" s="47"/>
      <c r="AH7" s="47"/>
      <c r="AI7" s="47"/>
      <c r="AJ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C7" s="47"/>
      <c r="CD7" s="47"/>
      <c r="CE7" s="47"/>
      <c r="CF7" s="47"/>
      <c r="CG7" s="47"/>
      <c r="CH7" s="47"/>
      <c r="CI7" s="47"/>
      <c r="CK7" s="82"/>
      <c r="CL7" s="82"/>
      <c r="CM7" s="82"/>
      <c r="CN7" s="82"/>
      <c r="CO7" s="82"/>
      <c r="CP7" s="82"/>
      <c r="CQ7" s="82"/>
      <c r="CS7" s="47">
        <f>AD7+AQ7+CC7+CK7</f>
        <v>0</v>
      </c>
      <c r="CT7" s="47">
        <f>AE7+BB7+CD7+CL7</f>
        <v>0</v>
      </c>
      <c r="CU7" s="47">
        <f>AF7+BC7+CE7+CM7</f>
        <v>0</v>
      </c>
      <c r="CV7" s="47">
        <f>AG7+BI7+CF7+CN7</f>
        <v>0</v>
      </c>
      <c r="CW7" s="47">
        <f>AH7+BO7+CG7+CO7</f>
        <v>0</v>
      </c>
      <c r="CX7" s="47">
        <f>AI7+BU7+CH7+CP7</f>
        <v>0</v>
      </c>
      <c r="CY7" s="47">
        <f>AJ7+CA7+CI7+CQ7</f>
        <v>0</v>
      </c>
    </row>
    <row r="8" spans="2:103">
      <c r="B8" s="7"/>
      <c r="C8" s="224" t="s">
        <v>380</v>
      </c>
      <c r="D8" s="7"/>
      <c r="E8" s="7" t="s">
        <v>45</v>
      </c>
      <c r="F8" s="7" t="s">
        <v>51</v>
      </c>
      <c r="G8" s="7" t="s">
        <v>167</v>
      </c>
      <c r="H8" s="45"/>
      <c r="I8" s="45"/>
      <c r="J8" s="45"/>
      <c r="K8" s="45"/>
      <c r="L8" s="45"/>
      <c r="M8" s="45"/>
      <c r="N8" s="45"/>
      <c r="O8" s="105"/>
      <c r="Q8" s="47"/>
      <c r="R8" s="47"/>
      <c r="S8" s="47"/>
      <c r="T8" s="47"/>
      <c r="U8" s="47"/>
      <c r="V8" s="47"/>
      <c r="W8" s="47"/>
      <c r="Y8" s="106"/>
      <c r="Z8" s="106"/>
      <c r="AA8" s="106"/>
      <c r="AB8" s="106"/>
      <c r="AD8" s="47"/>
      <c r="AE8" s="47"/>
      <c r="AF8" s="47"/>
      <c r="AG8" s="47"/>
      <c r="AH8" s="47"/>
      <c r="AI8" s="47"/>
      <c r="AJ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C8" s="47"/>
      <c r="CD8" s="47"/>
      <c r="CE8" s="47"/>
      <c r="CF8" s="47"/>
      <c r="CG8" s="47"/>
      <c r="CH8" s="47"/>
      <c r="CI8" s="47"/>
      <c r="CK8" s="82"/>
      <c r="CL8" s="82"/>
      <c r="CM8" s="82"/>
      <c r="CN8" s="82"/>
      <c r="CO8" s="82"/>
      <c r="CP8" s="82"/>
      <c r="CQ8" s="82"/>
      <c r="CS8" s="47">
        <f t="shared" ref="CS8:CS37" si="7">AD8+AQ8+CC8+CK8</f>
        <v>0</v>
      </c>
      <c r="CT8" s="47">
        <f t="shared" ref="CT8:CU37" si="8">AE8+BB8+CD8+CL8</f>
        <v>0</v>
      </c>
      <c r="CU8" s="47">
        <f t="shared" si="8"/>
        <v>0</v>
      </c>
      <c r="CV8" s="47">
        <f t="shared" ref="CV8:CV37" si="9">AG8+BI8+CF8+CN8</f>
        <v>0</v>
      </c>
      <c r="CW8" s="47">
        <f t="shared" ref="CW8:CW37" si="10">AH8+BO8+CG8+CO8</f>
        <v>0</v>
      </c>
      <c r="CX8" s="47">
        <f t="shared" ref="CX8:CX37" si="11">AI8+BU8+CH8+CP8</f>
        <v>0</v>
      </c>
      <c r="CY8" s="47">
        <f t="shared" ref="CY8:CY37" si="12">AJ8+CA8+CI8+CQ8</f>
        <v>0</v>
      </c>
    </row>
    <row r="9" spans="2:103">
      <c r="B9" s="7"/>
      <c r="C9" s="7"/>
      <c r="D9" s="7"/>
      <c r="E9" s="7" t="s">
        <v>45</v>
      </c>
      <c r="F9" s="7" t="s">
        <v>51</v>
      </c>
      <c r="G9" s="7" t="s">
        <v>167</v>
      </c>
      <c r="H9" s="45"/>
      <c r="I9" s="45"/>
      <c r="J9" s="45"/>
      <c r="K9" s="45"/>
      <c r="L9" s="45"/>
      <c r="M9" s="45"/>
      <c r="N9" s="45"/>
      <c r="O9" s="105"/>
      <c r="Q9" s="47"/>
      <c r="R9" s="47"/>
      <c r="S9" s="47"/>
      <c r="T9" s="47"/>
      <c r="U9" s="47"/>
      <c r="V9" s="47"/>
      <c r="W9" s="47"/>
      <c r="Y9" s="106"/>
      <c r="Z9" s="106"/>
      <c r="AA9" s="106"/>
      <c r="AB9" s="106"/>
      <c r="AD9" s="47"/>
      <c r="AE9" s="47"/>
      <c r="AF9" s="47"/>
      <c r="AG9" s="47"/>
      <c r="AH9" s="47"/>
      <c r="AI9" s="47"/>
      <c r="AJ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C9" s="47"/>
      <c r="CD9" s="47"/>
      <c r="CE9" s="47"/>
      <c r="CF9" s="47"/>
      <c r="CG9" s="47"/>
      <c r="CH9" s="47"/>
      <c r="CI9" s="47"/>
      <c r="CK9" s="82"/>
      <c r="CL9" s="82"/>
      <c r="CM9" s="82"/>
      <c r="CN9" s="82"/>
      <c r="CO9" s="82"/>
      <c r="CP9" s="82"/>
      <c r="CQ9" s="82"/>
      <c r="CS9" s="47">
        <f t="shared" si="7"/>
        <v>0</v>
      </c>
      <c r="CT9" s="47">
        <f t="shared" si="8"/>
        <v>0</v>
      </c>
      <c r="CU9" s="47">
        <f t="shared" si="8"/>
        <v>0</v>
      </c>
      <c r="CV9" s="47">
        <f t="shared" si="9"/>
        <v>0</v>
      </c>
      <c r="CW9" s="47">
        <f t="shared" si="10"/>
        <v>0</v>
      </c>
      <c r="CX9" s="47">
        <f t="shared" si="11"/>
        <v>0</v>
      </c>
      <c r="CY9" s="47">
        <f t="shared" si="12"/>
        <v>0</v>
      </c>
    </row>
    <row r="10" spans="2:103">
      <c r="B10" s="7"/>
      <c r="C10" s="7"/>
      <c r="D10" s="7"/>
      <c r="E10" s="7" t="s">
        <v>45</v>
      </c>
      <c r="F10" s="7" t="s">
        <v>51</v>
      </c>
      <c r="G10" s="7" t="s">
        <v>167</v>
      </c>
      <c r="H10" s="45"/>
      <c r="I10" s="45"/>
      <c r="J10" s="45"/>
      <c r="K10" s="45"/>
      <c r="L10" s="45"/>
      <c r="M10" s="45"/>
      <c r="N10" s="45"/>
      <c r="O10" s="105"/>
      <c r="Q10" s="47"/>
      <c r="R10" s="47"/>
      <c r="S10" s="47"/>
      <c r="T10" s="47"/>
      <c r="U10" s="47"/>
      <c r="V10" s="47"/>
      <c r="W10" s="47"/>
      <c r="Y10" s="106"/>
      <c r="Z10" s="106"/>
      <c r="AA10" s="106"/>
      <c r="AB10" s="106"/>
      <c r="AD10" s="47"/>
      <c r="AE10" s="47"/>
      <c r="AF10" s="47"/>
      <c r="AG10" s="47"/>
      <c r="AH10" s="47"/>
      <c r="AI10" s="47"/>
      <c r="AJ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C10" s="47"/>
      <c r="CD10" s="47"/>
      <c r="CE10" s="47"/>
      <c r="CF10" s="47"/>
      <c r="CG10" s="47"/>
      <c r="CH10" s="47"/>
      <c r="CI10" s="47"/>
      <c r="CK10" s="82"/>
      <c r="CL10" s="82"/>
      <c r="CM10" s="82"/>
      <c r="CN10" s="82"/>
      <c r="CO10" s="82"/>
      <c r="CP10" s="82"/>
      <c r="CQ10" s="82"/>
      <c r="CS10" s="47">
        <f t="shared" si="7"/>
        <v>0</v>
      </c>
      <c r="CT10" s="47">
        <f t="shared" si="8"/>
        <v>0</v>
      </c>
      <c r="CU10" s="47">
        <f t="shared" si="8"/>
        <v>0</v>
      </c>
      <c r="CV10" s="47">
        <f t="shared" si="9"/>
        <v>0</v>
      </c>
      <c r="CW10" s="47">
        <f t="shared" si="10"/>
        <v>0</v>
      </c>
      <c r="CX10" s="47">
        <f t="shared" si="11"/>
        <v>0</v>
      </c>
      <c r="CY10" s="47">
        <f t="shared" si="12"/>
        <v>0</v>
      </c>
    </row>
    <row r="11" spans="2:103">
      <c r="B11" s="7"/>
      <c r="C11" s="7"/>
      <c r="D11" s="7"/>
      <c r="E11" s="7" t="s">
        <v>45</v>
      </c>
      <c r="F11" s="7" t="s">
        <v>51</v>
      </c>
      <c r="G11" s="7" t="s">
        <v>167</v>
      </c>
      <c r="H11" s="7"/>
      <c r="I11" s="7"/>
      <c r="J11" s="7"/>
      <c r="K11" s="7"/>
      <c r="L11" s="7"/>
      <c r="M11" s="7"/>
      <c r="N11" s="7"/>
      <c r="O11" s="104"/>
      <c r="Q11" s="47"/>
      <c r="R11" s="47"/>
      <c r="S11" s="47"/>
      <c r="T11" s="47"/>
      <c r="U11" s="47"/>
      <c r="V11" s="47"/>
      <c r="W11" s="47"/>
      <c r="X11" s="52"/>
      <c r="Y11" s="106"/>
      <c r="Z11" s="106"/>
      <c r="AA11" s="106"/>
      <c r="AB11" s="106"/>
      <c r="AC11" s="52"/>
      <c r="AD11" s="47"/>
      <c r="AE11" s="47"/>
      <c r="AF11" s="47"/>
      <c r="AG11" s="47"/>
      <c r="AH11" s="47"/>
      <c r="AI11" s="47"/>
      <c r="AJ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C11" s="47"/>
      <c r="CD11" s="47"/>
      <c r="CE11" s="47"/>
      <c r="CF11" s="47"/>
      <c r="CG11" s="47"/>
      <c r="CH11" s="47"/>
      <c r="CI11" s="47"/>
      <c r="CK11" s="82"/>
      <c r="CL11" s="82"/>
      <c r="CM11" s="82"/>
      <c r="CN11" s="82"/>
      <c r="CO11" s="82"/>
      <c r="CP11" s="82"/>
      <c r="CQ11" s="82"/>
      <c r="CS11" s="47">
        <f t="shared" si="7"/>
        <v>0</v>
      </c>
      <c r="CT11" s="47">
        <f t="shared" si="8"/>
        <v>0</v>
      </c>
      <c r="CU11" s="47">
        <f t="shared" si="8"/>
        <v>0</v>
      </c>
      <c r="CV11" s="47">
        <f t="shared" si="9"/>
        <v>0</v>
      </c>
      <c r="CW11" s="47">
        <f t="shared" si="10"/>
        <v>0</v>
      </c>
      <c r="CX11" s="47">
        <f t="shared" si="11"/>
        <v>0</v>
      </c>
      <c r="CY11" s="47">
        <f t="shared" si="12"/>
        <v>0</v>
      </c>
    </row>
    <row r="12" spans="2:103">
      <c r="B12" s="7"/>
      <c r="C12" s="7"/>
      <c r="D12" s="7"/>
      <c r="E12" s="7"/>
      <c r="F12" s="7"/>
      <c r="G12" s="7"/>
      <c r="H12" s="7"/>
      <c r="I12" s="7"/>
      <c r="J12" s="7"/>
      <c r="K12" s="7"/>
      <c r="L12" s="7"/>
      <c r="M12" s="7"/>
      <c r="N12" s="7"/>
      <c r="O12" s="104"/>
      <c r="Q12" s="47"/>
      <c r="R12" s="47"/>
      <c r="S12" s="47"/>
      <c r="T12" s="47"/>
      <c r="U12" s="47"/>
      <c r="V12" s="47"/>
      <c r="W12" s="47"/>
      <c r="Y12" s="106"/>
      <c r="Z12" s="106"/>
      <c r="AA12" s="106"/>
      <c r="AB12" s="106"/>
      <c r="AD12" s="47"/>
      <c r="AE12" s="47"/>
      <c r="AF12" s="47"/>
      <c r="AG12" s="47"/>
      <c r="AH12" s="47"/>
      <c r="AI12" s="47"/>
      <c r="AJ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C12" s="47"/>
      <c r="CD12" s="47"/>
      <c r="CE12" s="47"/>
      <c r="CF12" s="47"/>
      <c r="CG12" s="47"/>
      <c r="CH12" s="47"/>
      <c r="CI12" s="47"/>
      <c r="CK12" s="47"/>
      <c r="CL12" s="47"/>
      <c r="CM12" s="47"/>
      <c r="CN12" s="47"/>
      <c r="CO12" s="47"/>
      <c r="CP12" s="47"/>
      <c r="CQ12" s="47"/>
      <c r="CS12" s="47">
        <f t="shared" si="7"/>
        <v>0</v>
      </c>
      <c r="CT12" s="47">
        <f t="shared" si="8"/>
        <v>0</v>
      </c>
      <c r="CU12" s="47">
        <f t="shared" si="8"/>
        <v>0</v>
      </c>
      <c r="CV12" s="47">
        <f t="shared" si="9"/>
        <v>0</v>
      </c>
      <c r="CW12" s="47">
        <f t="shared" si="10"/>
        <v>0</v>
      </c>
      <c r="CX12" s="47">
        <f t="shared" si="11"/>
        <v>0</v>
      </c>
      <c r="CY12" s="47">
        <f t="shared" si="12"/>
        <v>0</v>
      </c>
    </row>
    <row r="13" spans="2:103">
      <c r="B13" s="7"/>
      <c r="C13" s="7"/>
      <c r="D13" s="7"/>
      <c r="E13" s="7"/>
      <c r="F13" s="7"/>
      <c r="G13" s="7"/>
      <c r="H13" s="7"/>
      <c r="I13" s="7"/>
      <c r="J13" s="7"/>
      <c r="K13" s="7"/>
      <c r="L13" s="7"/>
      <c r="M13" s="7"/>
      <c r="N13" s="7"/>
      <c r="O13" s="104"/>
      <c r="Q13" s="47"/>
      <c r="R13" s="47"/>
      <c r="S13" s="47"/>
      <c r="T13" s="47"/>
      <c r="U13" s="47"/>
      <c r="V13" s="47"/>
      <c r="W13" s="47"/>
      <c r="Y13" s="106"/>
      <c r="Z13" s="106"/>
      <c r="AA13" s="106"/>
      <c r="AB13" s="106"/>
      <c r="AD13" s="47"/>
      <c r="AE13" s="47"/>
      <c r="AF13" s="47"/>
      <c r="AG13" s="47"/>
      <c r="AH13" s="47"/>
      <c r="AI13" s="47"/>
      <c r="AJ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C13" s="47"/>
      <c r="CD13" s="47"/>
      <c r="CE13" s="47"/>
      <c r="CF13" s="47"/>
      <c r="CG13" s="47"/>
      <c r="CH13" s="47"/>
      <c r="CI13" s="47"/>
      <c r="CK13" s="47"/>
      <c r="CL13" s="47"/>
      <c r="CM13" s="47"/>
      <c r="CN13" s="47"/>
      <c r="CO13" s="47"/>
      <c r="CP13" s="47"/>
      <c r="CQ13" s="47"/>
      <c r="CS13" s="47">
        <f t="shared" si="7"/>
        <v>0</v>
      </c>
      <c r="CT13" s="47">
        <f t="shared" si="8"/>
        <v>0</v>
      </c>
      <c r="CU13" s="47">
        <f t="shared" si="8"/>
        <v>0</v>
      </c>
      <c r="CV13" s="47">
        <f t="shared" si="9"/>
        <v>0</v>
      </c>
      <c r="CW13" s="47">
        <f t="shared" si="10"/>
        <v>0</v>
      </c>
      <c r="CX13" s="47">
        <f t="shared" si="11"/>
        <v>0</v>
      </c>
      <c r="CY13" s="47">
        <f t="shared" si="12"/>
        <v>0</v>
      </c>
    </row>
    <row r="14" spans="2:103">
      <c r="B14" s="7"/>
      <c r="C14" s="7"/>
      <c r="D14" s="7"/>
      <c r="E14" s="7"/>
      <c r="F14" s="7"/>
      <c r="G14" s="7"/>
      <c r="H14" s="7"/>
      <c r="I14" s="7"/>
      <c r="J14" s="7"/>
      <c r="K14" s="7"/>
      <c r="L14" s="7"/>
      <c r="M14" s="7"/>
      <c r="N14" s="7"/>
      <c r="O14" s="104"/>
      <c r="Q14" s="47"/>
      <c r="R14" s="47"/>
      <c r="S14" s="47"/>
      <c r="T14" s="47"/>
      <c r="U14" s="47"/>
      <c r="V14" s="47"/>
      <c r="W14" s="47"/>
      <c r="Y14" s="106"/>
      <c r="Z14" s="106"/>
      <c r="AA14" s="106"/>
      <c r="AB14" s="106"/>
      <c r="AD14" s="47"/>
      <c r="AE14" s="47"/>
      <c r="AF14" s="47"/>
      <c r="AG14" s="47"/>
      <c r="AH14" s="47"/>
      <c r="AI14" s="47"/>
      <c r="AJ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C14" s="47"/>
      <c r="CD14" s="47"/>
      <c r="CE14" s="47"/>
      <c r="CF14" s="47"/>
      <c r="CG14" s="47"/>
      <c r="CH14" s="47"/>
      <c r="CI14" s="47"/>
      <c r="CK14" s="47"/>
      <c r="CL14" s="47"/>
      <c r="CM14" s="47"/>
      <c r="CN14" s="47"/>
      <c r="CO14" s="47"/>
      <c r="CP14" s="47"/>
      <c r="CQ14" s="47"/>
      <c r="CS14" s="47">
        <f t="shared" si="7"/>
        <v>0</v>
      </c>
      <c r="CT14" s="47">
        <f t="shared" si="8"/>
        <v>0</v>
      </c>
      <c r="CU14" s="47">
        <f t="shared" si="8"/>
        <v>0</v>
      </c>
      <c r="CV14" s="47">
        <f t="shared" si="9"/>
        <v>0</v>
      </c>
      <c r="CW14" s="47">
        <f t="shared" si="10"/>
        <v>0</v>
      </c>
      <c r="CX14" s="47">
        <f t="shared" si="11"/>
        <v>0</v>
      </c>
      <c r="CY14" s="47">
        <f t="shared" si="12"/>
        <v>0</v>
      </c>
    </row>
    <row r="15" spans="2:103">
      <c r="B15" s="7"/>
      <c r="C15" s="7"/>
      <c r="D15" s="7"/>
      <c r="E15" s="7"/>
      <c r="F15" s="7"/>
      <c r="G15" s="7"/>
      <c r="H15" s="7"/>
      <c r="I15" s="7"/>
      <c r="J15" s="7"/>
      <c r="K15" s="7"/>
      <c r="L15" s="7"/>
      <c r="M15" s="7"/>
      <c r="N15" s="7"/>
      <c r="O15" s="104"/>
      <c r="Q15" s="47"/>
      <c r="R15" s="47"/>
      <c r="S15" s="47"/>
      <c r="T15" s="47"/>
      <c r="U15" s="47"/>
      <c r="V15" s="47"/>
      <c r="W15" s="47"/>
      <c r="Y15" s="106"/>
      <c r="Z15" s="106"/>
      <c r="AA15" s="106"/>
      <c r="AB15" s="106"/>
      <c r="AD15" s="47"/>
      <c r="AE15" s="47"/>
      <c r="AF15" s="47"/>
      <c r="AG15" s="47"/>
      <c r="AH15" s="47"/>
      <c r="AI15" s="47"/>
      <c r="AJ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C15" s="47"/>
      <c r="CD15" s="47"/>
      <c r="CE15" s="47"/>
      <c r="CF15" s="47"/>
      <c r="CG15" s="47"/>
      <c r="CH15" s="47"/>
      <c r="CI15" s="47"/>
      <c r="CK15" s="47"/>
      <c r="CL15" s="47"/>
      <c r="CM15" s="47"/>
      <c r="CN15" s="47"/>
      <c r="CO15" s="47"/>
      <c r="CP15" s="47"/>
      <c r="CQ15" s="47"/>
      <c r="CS15" s="47">
        <f t="shared" si="7"/>
        <v>0</v>
      </c>
      <c r="CT15" s="47">
        <f t="shared" si="8"/>
        <v>0</v>
      </c>
      <c r="CU15" s="47">
        <f t="shared" si="8"/>
        <v>0</v>
      </c>
      <c r="CV15" s="47">
        <f t="shared" si="9"/>
        <v>0</v>
      </c>
      <c r="CW15" s="47">
        <f t="shared" si="10"/>
        <v>0</v>
      </c>
      <c r="CX15" s="47">
        <f t="shared" si="11"/>
        <v>0</v>
      </c>
      <c r="CY15" s="47">
        <f t="shared" si="12"/>
        <v>0</v>
      </c>
    </row>
    <row r="16" spans="2:103">
      <c r="B16" s="7"/>
      <c r="C16" s="7"/>
      <c r="D16" s="7"/>
      <c r="E16" s="7"/>
      <c r="F16" s="7"/>
      <c r="G16" s="7"/>
      <c r="H16" s="7"/>
      <c r="I16" s="7"/>
      <c r="J16" s="7"/>
      <c r="K16" s="7"/>
      <c r="L16" s="7"/>
      <c r="M16" s="7"/>
      <c r="N16" s="7"/>
      <c r="O16" s="104"/>
      <c r="Q16" s="47"/>
      <c r="R16" s="47"/>
      <c r="S16" s="47"/>
      <c r="T16" s="47"/>
      <c r="U16" s="47"/>
      <c r="V16" s="47"/>
      <c r="W16" s="47"/>
      <c r="Y16" s="106"/>
      <c r="Z16" s="106"/>
      <c r="AA16" s="106"/>
      <c r="AB16" s="106"/>
      <c r="AD16" s="47"/>
      <c r="AE16" s="47"/>
      <c r="AF16" s="47"/>
      <c r="AG16" s="47"/>
      <c r="AH16" s="47"/>
      <c r="AI16" s="47"/>
      <c r="AJ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C16" s="47"/>
      <c r="CD16" s="47"/>
      <c r="CE16" s="47"/>
      <c r="CF16" s="47"/>
      <c r="CG16" s="47"/>
      <c r="CH16" s="47"/>
      <c r="CI16" s="47"/>
      <c r="CK16" s="47"/>
      <c r="CL16" s="47"/>
      <c r="CM16" s="47"/>
      <c r="CN16" s="47"/>
      <c r="CO16" s="47"/>
      <c r="CP16" s="47"/>
      <c r="CQ16" s="47"/>
      <c r="CS16" s="47">
        <f t="shared" si="7"/>
        <v>0</v>
      </c>
      <c r="CT16" s="47">
        <f t="shared" si="8"/>
        <v>0</v>
      </c>
      <c r="CU16" s="47">
        <f t="shared" si="8"/>
        <v>0</v>
      </c>
      <c r="CV16" s="47">
        <f t="shared" si="9"/>
        <v>0</v>
      </c>
      <c r="CW16" s="47">
        <f t="shared" si="10"/>
        <v>0</v>
      </c>
      <c r="CX16" s="47">
        <f t="shared" si="11"/>
        <v>0</v>
      </c>
      <c r="CY16" s="47">
        <f t="shared" si="12"/>
        <v>0</v>
      </c>
    </row>
    <row r="17" spans="2:103">
      <c r="B17" s="7"/>
      <c r="C17" s="7"/>
      <c r="D17" s="7"/>
      <c r="E17" s="7"/>
      <c r="F17" s="7"/>
      <c r="G17" s="7"/>
      <c r="H17" s="7"/>
      <c r="I17" s="7"/>
      <c r="J17" s="7"/>
      <c r="K17" s="7"/>
      <c r="L17" s="7"/>
      <c r="M17" s="7"/>
      <c r="N17" s="7"/>
      <c r="O17" s="104"/>
      <c r="Q17" s="47"/>
      <c r="R17" s="47"/>
      <c r="S17" s="47"/>
      <c r="T17" s="47"/>
      <c r="U17" s="47"/>
      <c r="V17" s="47"/>
      <c r="W17" s="47"/>
      <c r="Y17" s="106"/>
      <c r="Z17" s="106"/>
      <c r="AA17" s="106"/>
      <c r="AB17" s="106"/>
      <c r="AD17" s="47"/>
      <c r="AE17" s="47"/>
      <c r="AF17" s="47"/>
      <c r="AG17" s="47"/>
      <c r="AH17" s="47"/>
      <c r="AI17" s="47"/>
      <c r="AJ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C17" s="47"/>
      <c r="CD17" s="47"/>
      <c r="CE17" s="47"/>
      <c r="CF17" s="47"/>
      <c r="CG17" s="47"/>
      <c r="CH17" s="47"/>
      <c r="CI17" s="47"/>
      <c r="CK17" s="47"/>
      <c r="CL17" s="47"/>
      <c r="CM17" s="47"/>
      <c r="CN17" s="47"/>
      <c r="CO17" s="47"/>
      <c r="CP17" s="47"/>
      <c r="CQ17" s="47"/>
      <c r="CS17" s="47">
        <f t="shared" si="7"/>
        <v>0</v>
      </c>
      <c r="CT17" s="47">
        <f t="shared" si="8"/>
        <v>0</v>
      </c>
      <c r="CU17" s="47">
        <f t="shared" si="8"/>
        <v>0</v>
      </c>
      <c r="CV17" s="47">
        <f t="shared" si="9"/>
        <v>0</v>
      </c>
      <c r="CW17" s="47">
        <f t="shared" si="10"/>
        <v>0</v>
      </c>
      <c r="CX17" s="47">
        <f t="shared" si="11"/>
        <v>0</v>
      </c>
      <c r="CY17" s="47">
        <f t="shared" si="12"/>
        <v>0</v>
      </c>
    </row>
    <row r="18" spans="2:103">
      <c r="B18" s="7"/>
      <c r="C18" s="7"/>
      <c r="D18" s="7"/>
      <c r="E18" s="7"/>
      <c r="F18" s="7"/>
      <c r="G18" s="7"/>
      <c r="H18" s="7"/>
      <c r="I18" s="7"/>
      <c r="J18" s="7"/>
      <c r="K18" s="7"/>
      <c r="L18" s="7"/>
      <c r="M18" s="7"/>
      <c r="N18" s="7"/>
      <c r="O18" s="104"/>
      <c r="Q18" s="47"/>
      <c r="R18" s="47"/>
      <c r="S18" s="47"/>
      <c r="T18" s="47"/>
      <c r="U18" s="47"/>
      <c r="V18" s="47"/>
      <c r="W18" s="47"/>
      <c r="Y18" s="106"/>
      <c r="Z18" s="106"/>
      <c r="AA18" s="106"/>
      <c r="AB18" s="106"/>
      <c r="AD18" s="47"/>
      <c r="AE18" s="47"/>
      <c r="AF18" s="47"/>
      <c r="AG18" s="47"/>
      <c r="AH18" s="47"/>
      <c r="AI18" s="47"/>
      <c r="AJ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C18" s="47"/>
      <c r="CD18" s="47"/>
      <c r="CE18" s="47"/>
      <c r="CF18" s="47"/>
      <c r="CG18" s="47"/>
      <c r="CH18" s="47"/>
      <c r="CI18" s="47"/>
      <c r="CK18" s="47"/>
      <c r="CL18" s="47"/>
      <c r="CM18" s="47"/>
      <c r="CN18" s="47"/>
      <c r="CO18" s="47"/>
      <c r="CP18" s="47"/>
      <c r="CQ18" s="47"/>
      <c r="CS18" s="47">
        <f t="shared" si="7"/>
        <v>0</v>
      </c>
      <c r="CT18" s="47">
        <f t="shared" si="8"/>
        <v>0</v>
      </c>
      <c r="CU18" s="47">
        <f t="shared" si="8"/>
        <v>0</v>
      </c>
      <c r="CV18" s="47">
        <f t="shared" si="9"/>
        <v>0</v>
      </c>
      <c r="CW18" s="47">
        <f t="shared" si="10"/>
        <v>0</v>
      </c>
      <c r="CX18" s="47">
        <f t="shared" si="11"/>
        <v>0</v>
      </c>
      <c r="CY18" s="47">
        <f t="shared" si="12"/>
        <v>0</v>
      </c>
    </row>
    <row r="19" spans="2:103">
      <c r="B19" s="7"/>
      <c r="C19" s="7"/>
      <c r="D19" s="7"/>
      <c r="E19" s="7"/>
      <c r="F19" s="7"/>
      <c r="G19" s="7"/>
      <c r="H19" s="7"/>
      <c r="I19" s="7"/>
      <c r="J19" s="7"/>
      <c r="K19" s="7"/>
      <c r="L19" s="7"/>
      <c r="M19" s="7"/>
      <c r="N19" s="7"/>
      <c r="O19" s="104"/>
      <c r="Q19" s="47"/>
      <c r="R19" s="47"/>
      <c r="S19" s="47"/>
      <c r="T19" s="47"/>
      <c r="U19" s="47"/>
      <c r="V19" s="47"/>
      <c r="W19" s="47"/>
      <c r="Y19" s="106"/>
      <c r="Z19" s="106"/>
      <c r="AA19" s="106"/>
      <c r="AB19" s="106"/>
      <c r="AD19" s="47"/>
      <c r="AE19" s="47"/>
      <c r="AF19" s="47"/>
      <c r="AG19" s="47"/>
      <c r="AH19" s="47"/>
      <c r="AI19" s="47"/>
      <c r="AJ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C19" s="47"/>
      <c r="CD19" s="47"/>
      <c r="CE19" s="47"/>
      <c r="CF19" s="47"/>
      <c r="CG19" s="47"/>
      <c r="CH19" s="47"/>
      <c r="CI19" s="47"/>
      <c r="CK19" s="47"/>
      <c r="CL19" s="47"/>
      <c r="CM19" s="47"/>
      <c r="CN19" s="47"/>
      <c r="CO19" s="47"/>
      <c r="CP19" s="47"/>
      <c r="CQ19" s="47"/>
      <c r="CS19" s="47">
        <f t="shared" si="7"/>
        <v>0</v>
      </c>
      <c r="CT19" s="47">
        <f t="shared" si="8"/>
        <v>0</v>
      </c>
      <c r="CU19" s="47">
        <f t="shared" si="8"/>
        <v>0</v>
      </c>
      <c r="CV19" s="47">
        <f t="shared" si="9"/>
        <v>0</v>
      </c>
      <c r="CW19" s="47">
        <f t="shared" si="10"/>
        <v>0</v>
      </c>
      <c r="CX19" s="47">
        <f t="shared" si="11"/>
        <v>0</v>
      </c>
      <c r="CY19" s="47">
        <f t="shared" si="12"/>
        <v>0</v>
      </c>
    </row>
    <row r="20" spans="2:103">
      <c r="B20" s="7"/>
      <c r="C20" s="7"/>
      <c r="D20" s="7"/>
      <c r="E20" s="7"/>
      <c r="F20" s="7"/>
      <c r="G20" s="7"/>
      <c r="H20" s="7"/>
      <c r="I20" s="7"/>
      <c r="J20" s="7"/>
      <c r="K20" s="7"/>
      <c r="L20" s="7"/>
      <c r="M20" s="7"/>
      <c r="N20" s="7"/>
      <c r="O20" s="104"/>
      <c r="Q20" s="47"/>
      <c r="R20" s="47"/>
      <c r="S20" s="47"/>
      <c r="T20" s="47"/>
      <c r="U20" s="47"/>
      <c r="V20" s="47"/>
      <c r="W20" s="47"/>
      <c r="Y20" s="106"/>
      <c r="Z20" s="106"/>
      <c r="AA20" s="106"/>
      <c r="AB20" s="106"/>
      <c r="AD20" s="47"/>
      <c r="AE20" s="47"/>
      <c r="AF20" s="47"/>
      <c r="AG20" s="47"/>
      <c r="AH20" s="47"/>
      <c r="AI20" s="47"/>
      <c r="AJ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C20" s="47"/>
      <c r="CD20" s="47"/>
      <c r="CE20" s="47"/>
      <c r="CF20" s="47"/>
      <c r="CG20" s="47"/>
      <c r="CH20" s="47"/>
      <c r="CI20" s="47"/>
      <c r="CK20" s="47"/>
      <c r="CL20" s="47"/>
      <c r="CM20" s="47"/>
      <c r="CN20" s="47"/>
      <c r="CO20" s="47"/>
      <c r="CP20" s="47"/>
      <c r="CQ20" s="47"/>
      <c r="CS20" s="47">
        <f t="shared" si="7"/>
        <v>0</v>
      </c>
      <c r="CT20" s="47">
        <f t="shared" si="8"/>
        <v>0</v>
      </c>
      <c r="CU20" s="47">
        <f t="shared" si="8"/>
        <v>0</v>
      </c>
      <c r="CV20" s="47">
        <f t="shared" si="9"/>
        <v>0</v>
      </c>
      <c r="CW20" s="47">
        <f t="shared" si="10"/>
        <v>0</v>
      </c>
      <c r="CX20" s="47">
        <f t="shared" si="11"/>
        <v>0</v>
      </c>
      <c r="CY20" s="47">
        <f t="shared" si="12"/>
        <v>0</v>
      </c>
    </row>
    <row r="21" spans="2:103">
      <c r="B21" s="7"/>
      <c r="C21" s="7"/>
      <c r="D21" s="7"/>
      <c r="E21" s="7"/>
      <c r="F21" s="7"/>
      <c r="G21" s="7"/>
      <c r="H21" s="7"/>
      <c r="I21" s="7"/>
      <c r="J21" s="7"/>
      <c r="K21" s="7"/>
      <c r="L21" s="7"/>
      <c r="M21" s="7"/>
      <c r="N21" s="7"/>
      <c r="O21" s="104"/>
      <c r="Q21" s="47"/>
      <c r="R21" s="47"/>
      <c r="S21" s="47"/>
      <c r="T21" s="47"/>
      <c r="U21" s="47"/>
      <c r="V21" s="47"/>
      <c r="W21" s="47"/>
      <c r="Y21" s="106"/>
      <c r="Z21" s="106"/>
      <c r="AA21" s="106"/>
      <c r="AB21" s="106"/>
      <c r="AD21" s="47"/>
      <c r="AE21" s="47"/>
      <c r="AF21" s="47"/>
      <c r="AG21" s="47"/>
      <c r="AH21" s="47"/>
      <c r="AI21" s="47"/>
      <c r="AJ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C21" s="47"/>
      <c r="CD21" s="47"/>
      <c r="CE21" s="47"/>
      <c r="CF21" s="47"/>
      <c r="CG21" s="47"/>
      <c r="CH21" s="47"/>
      <c r="CI21" s="47"/>
      <c r="CK21" s="47"/>
      <c r="CL21" s="47"/>
      <c r="CM21" s="47"/>
      <c r="CN21" s="47"/>
      <c r="CO21" s="47"/>
      <c r="CP21" s="47"/>
      <c r="CQ21" s="47"/>
      <c r="CS21" s="47">
        <f t="shared" si="7"/>
        <v>0</v>
      </c>
      <c r="CT21" s="47">
        <f t="shared" si="8"/>
        <v>0</v>
      </c>
      <c r="CU21" s="47">
        <f t="shared" si="8"/>
        <v>0</v>
      </c>
      <c r="CV21" s="47">
        <f t="shared" si="9"/>
        <v>0</v>
      </c>
      <c r="CW21" s="47">
        <f t="shared" si="10"/>
        <v>0</v>
      </c>
      <c r="CX21" s="47">
        <f t="shared" si="11"/>
        <v>0</v>
      </c>
      <c r="CY21" s="47">
        <f t="shared" si="12"/>
        <v>0</v>
      </c>
    </row>
    <row r="22" spans="2:103">
      <c r="B22" s="7"/>
      <c r="C22" s="7"/>
      <c r="D22" s="7"/>
      <c r="E22" s="7"/>
      <c r="F22" s="7"/>
      <c r="G22" s="7"/>
      <c r="H22" s="7"/>
      <c r="I22" s="7"/>
      <c r="J22" s="7"/>
      <c r="K22" s="7"/>
      <c r="L22" s="7"/>
      <c r="M22" s="7"/>
      <c r="N22" s="7"/>
      <c r="O22" s="104"/>
      <c r="Q22" s="47"/>
      <c r="R22" s="47"/>
      <c r="S22" s="47"/>
      <c r="T22" s="47"/>
      <c r="U22" s="47"/>
      <c r="V22" s="47"/>
      <c r="W22" s="47"/>
      <c r="Y22" s="106"/>
      <c r="Z22" s="106"/>
      <c r="AA22" s="106"/>
      <c r="AB22" s="106"/>
      <c r="AD22" s="47"/>
      <c r="AE22" s="47"/>
      <c r="AF22" s="47"/>
      <c r="AG22" s="47"/>
      <c r="AH22" s="47"/>
      <c r="AI22" s="47"/>
      <c r="AJ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C22" s="47"/>
      <c r="CD22" s="47"/>
      <c r="CE22" s="47"/>
      <c r="CF22" s="47"/>
      <c r="CG22" s="47"/>
      <c r="CH22" s="47"/>
      <c r="CI22" s="47"/>
      <c r="CK22" s="47"/>
      <c r="CL22" s="47"/>
      <c r="CM22" s="47"/>
      <c r="CN22" s="47"/>
      <c r="CO22" s="47"/>
      <c r="CP22" s="47"/>
      <c r="CQ22" s="47"/>
      <c r="CS22" s="47">
        <f t="shared" si="7"/>
        <v>0</v>
      </c>
      <c r="CT22" s="47">
        <f t="shared" si="8"/>
        <v>0</v>
      </c>
      <c r="CU22" s="47">
        <f t="shared" si="8"/>
        <v>0</v>
      </c>
      <c r="CV22" s="47">
        <f t="shared" si="9"/>
        <v>0</v>
      </c>
      <c r="CW22" s="47">
        <f t="shared" si="10"/>
        <v>0</v>
      </c>
      <c r="CX22" s="47">
        <f t="shared" si="11"/>
        <v>0</v>
      </c>
      <c r="CY22" s="47">
        <f t="shared" si="12"/>
        <v>0</v>
      </c>
    </row>
    <row r="23" spans="2:103">
      <c r="B23" s="7"/>
      <c r="C23" s="7"/>
      <c r="D23" s="7"/>
      <c r="E23" s="7"/>
      <c r="F23" s="7"/>
      <c r="G23" s="7"/>
      <c r="H23" s="7"/>
      <c r="I23" s="7"/>
      <c r="J23" s="7"/>
      <c r="K23" s="7"/>
      <c r="L23" s="7"/>
      <c r="M23" s="7"/>
      <c r="N23" s="7"/>
      <c r="O23" s="104"/>
      <c r="Q23" s="47"/>
      <c r="R23" s="47"/>
      <c r="S23" s="47"/>
      <c r="T23" s="47"/>
      <c r="U23" s="47"/>
      <c r="V23" s="47"/>
      <c r="W23" s="47"/>
      <c r="Y23" s="106"/>
      <c r="Z23" s="106"/>
      <c r="AA23" s="106"/>
      <c r="AB23" s="106"/>
      <c r="AD23" s="47"/>
      <c r="AE23" s="47"/>
      <c r="AF23" s="47"/>
      <c r="AG23" s="47"/>
      <c r="AH23" s="47"/>
      <c r="AI23" s="47"/>
      <c r="AJ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C23" s="47"/>
      <c r="CD23" s="47"/>
      <c r="CE23" s="47"/>
      <c r="CF23" s="47"/>
      <c r="CG23" s="47"/>
      <c r="CH23" s="47"/>
      <c r="CI23" s="47"/>
      <c r="CK23" s="47"/>
      <c r="CL23" s="47"/>
      <c r="CM23" s="47"/>
      <c r="CN23" s="47"/>
      <c r="CO23" s="47"/>
      <c r="CP23" s="47"/>
      <c r="CQ23" s="47"/>
      <c r="CS23" s="47">
        <f t="shared" si="7"/>
        <v>0</v>
      </c>
      <c r="CT23" s="47">
        <f t="shared" si="8"/>
        <v>0</v>
      </c>
      <c r="CU23" s="47">
        <f t="shared" si="8"/>
        <v>0</v>
      </c>
      <c r="CV23" s="47">
        <f t="shared" si="9"/>
        <v>0</v>
      </c>
      <c r="CW23" s="47">
        <f t="shared" si="10"/>
        <v>0</v>
      </c>
      <c r="CX23" s="47">
        <f t="shared" si="11"/>
        <v>0</v>
      </c>
      <c r="CY23" s="47">
        <f t="shared" si="12"/>
        <v>0</v>
      </c>
    </row>
    <row r="24" spans="2:103">
      <c r="B24" s="7"/>
      <c r="C24" s="7"/>
      <c r="D24" s="7"/>
      <c r="E24" s="7"/>
      <c r="F24" s="7"/>
      <c r="G24" s="7"/>
      <c r="H24" s="7"/>
      <c r="I24" s="7"/>
      <c r="J24" s="7"/>
      <c r="K24" s="7"/>
      <c r="L24" s="7"/>
      <c r="M24" s="7"/>
      <c r="N24" s="7"/>
      <c r="O24" s="104"/>
      <c r="Q24" s="47"/>
      <c r="R24" s="47"/>
      <c r="S24" s="47"/>
      <c r="T24" s="47"/>
      <c r="U24" s="47"/>
      <c r="V24" s="47"/>
      <c r="W24" s="47"/>
      <c r="Y24" s="106"/>
      <c r="Z24" s="106"/>
      <c r="AA24" s="106"/>
      <c r="AB24" s="106"/>
      <c r="AD24" s="47"/>
      <c r="AE24" s="47"/>
      <c r="AF24" s="47"/>
      <c r="AG24" s="47"/>
      <c r="AH24" s="47"/>
      <c r="AI24" s="47"/>
      <c r="AJ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C24" s="47"/>
      <c r="CD24" s="47"/>
      <c r="CE24" s="47"/>
      <c r="CF24" s="47"/>
      <c r="CG24" s="47"/>
      <c r="CH24" s="47"/>
      <c r="CI24" s="47"/>
      <c r="CK24" s="47"/>
      <c r="CL24" s="47"/>
      <c r="CM24" s="47"/>
      <c r="CN24" s="47"/>
      <c r="CO24" s="47"/>
      <c r="CP24" s="47"/>
      <c r="CQ24" s="47"/>
      <c r="CS24" s="47">
        <f t="shared" si="7"/>
        <v>0</v>
      </c>
      <c r="CT24" s="47">
        <f t="shared" si="8"/>
        <v>0</v>
      </c>
      <c r="CU24" s="47">
        <f t="shared" si="8"/>
        <v>0</v>
      </c>
      <c r="CV24" s="47">
        <f t="shared" si="9"/>
        <v>0</v>
      </c>
      <c r="CW24" s="47">
        <f t="shared" si="10"/>
        <v>0</v>
      </c>
      <c r="CX24" s="47">
        <f t="shared" si="11"/>
        <v>0</v>
      </c>
      <c r="CY24" s="47">
        <f t="shared" si="12"/>
        <v>0</v>
      </c>
    </row>
    <row r="25" spans="2:103">
      <c r="B25" s="7"/>
      <c r="C25" s="7"/>
      <c r="D25" s="7"/>
      <c r="E25" s="7"/>
      <c r="F25" s="7"/>
      <c r="G25" s="7"/>
      <c r="H25" s="7"/>
      <c r="I25" s="7"/>
      <c r="J25" s="7"/>
      <c r="K25" s="7"/>
      <c r="L25" s="7"/>
      <c r="M25" s="7"/>
      <c r="N25" s="7"/>
      <c r="O25" s="104"/>
      <c r="Q25" s="47"/>
      <c r="R25" s="47"/>
      <c r="S25" s="47"/>
      <c r="T25" s="47"/>
      <c r="U25" s="47"/>
      <c r="V25" s="47"/>
      <c r="W25" s="47"/>
      <c r="Y25" s="106"/>
      <c r="Z25" s="106"/>
      <c r="AA25" s="106"/>
      <c r="AB25" s="106"/>
      <c r="AD25" s="47"/>
      <c r="AE25" s="47"/>
      <c r="AF25" s="47"/>
      <c r="AG25" s="47"/>
      <c r="AH25" s="47"/>
      <c r="AI25" s="47"/>
      <c r="AJ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C25" s="47"/>
      <c r="CD25" s="47"/>
      <c r="CE25" s="47"/>
      <c r="CF25" s="47"/>
      <c r="CG25" s="47"/>
      <c r="CH25" s="47"/>
      <c r="CI25" s="47"/>
      <c r="CK25" s="47"/>
      <c r="CL25" s="47"/>
      <c r="CM25" s="47"/>
      <c r="CN25" s="47"/>
      <c r="CO25" s="47"/>
      <c r="CP25" s="47"/>
      <c r="CQ25" s="47"/>
      <c r="CS25" s="47">
        <f t="shared" si="7"/>
        <v>0</v>
      </c>
      <c r="CT25" s="47">
        <f t="shared" si="8"/>
        <v>0</v>
      </c>
      <c r="CU25" s="47">
        <f t="shared" si="8"/>
        <v>0</v>
      </c>
      <c r="CV25" s="47">
        <f t="shared" si="9"/>
        <v>0</v>
      </c>
      <c r="CW25" s="47">
        <f t="shared" si="10"/>
        <v>0</v>
      </c>
      <c r="CX25" s="47">
        <f t="shared" si="11"/>
        <v>0</v>
      </c>
      <c r="CY25" s="47">
        <f t="shared" si="12"/>
        <v>0</v>
      </c>
    </row>
    <row r="26" spans="2:103">
      <c r="B26" s="7"/>
      <c r="C26" s="7"/>
      <c r="D26" s="7"/>
      <c r="E26" s="7"/>
      <c r="F26" s="7"/>
      <c r="G26" s="7"/>
      <c r="H26" s="7"/>
      <c r="I26" s="7"/>
      <c r="J26" s="7"/>
      <c r="K26" s="7"/>
      <c r="L26" s="7"/>
      <c r="M26" s="7"/>
      <c r="N26" s="7"/>
      <c r="O26" s="104"/>
      <c r="Q26" s="47"/>
      <c r="R26" s="47"/>
      <c r="S26" s="47"/>
      <c r="T26" s="47"/>
      <c r="U26" s="47"/>
      <c r="V26" s="47"/>
      <c r="W26" s="47"/>
      <c r="Y26" s="106"/>
      <c r="Z26" s="106"/>
      <c r="AA26" s="106"/>
      <c r="AB26" s="106"/>
      <c r="AD26" s="47"/>
      <c r="AE26" s="47"/>
      <c r="AF26" s="47"/>
      <c r="AG26" s="47"/>
      <c r="AH26" s="47"/>
      <c r="AI26" s="47"/>
      <c r="AJ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C26" s="47"/>
      <c r="CD26" s="47"/>
      <c r="CE26" s="47"/>
      <c r="CF26" s="47"/>
      <c r="CG26" s="47"/>
      <c r="CH26" s="47"/>
      <c r="CI26" s="47"/>
      <c r="CK26" s="47"/>
      <c r="CL26" s="47"/>
      <c r="CM26" s="47"/>
      <c r="CN26" s="47"/>
      <c r="CO26" s="47"/>
      <c r="CP26" s="47"/>
      <c r="CQ26" s="47"/>
      <c r="CS26" s="47">
        <f t="shared" si="7"/>
        <v>0</v>
      </c>
      <c r="CT26" s="47">
        <f t="shared" si="8"/>
        <v>0</v>
      </c>
      <c r="CU26" s="47">
        <f t="shared" si="8"/>
        <v>0</v>
      </c>
      <c r="CV26" s="47">
        <f t="shared" si="9"/>
        <v>0</v>
      </c>
      <c r="CW26" s="47">
        <f t="shared" si="10"/>
        <v>0</v>
      </c>
      <c r="CX26" s="47">
        <f t="shared" si="11"/>
        <v>0</v>
      </c>
      <c r="CY26" s="47">
        <f t="shared" si="12"/>
        <v>0</v>
      </c>
    </row>
    <row r="27" spans="2:103">
      <c r="B27" s="7"/>
      <c r="C27" s="7"/>
      <c r="D27" s="7"/>
      <c r="E27" s="7"/>
      <c r="F27" s="7"/>
      <c r="G27" s="7"/>
      <c r="H27" s="7"/>
      <c r="I27" s="7"/>
      <c r="J27" s="7"/>
      <c r="K27" s="7"/>
      <c r="L27" s="7"/>
      <c r="M27" s="7"/>
      <c r="N27" s="7"/>
      <c r="O27" s="104"/>
      <c r="Q27" s="47"/>
      <c r="R27" s="47"/>
      <c r="S27" s="47"/>
      <c r="T27" s="47"/>
      <c r="U27" s="47"/>
      <c r="V27" s="47"/>
      <c r="W27" s="47"/>
      <c r="Y27" s="106"/>
      <c r="Z27" s="106"/>
      <c r="AA27" s="106"/>
      <c r="AB27" s="106"/>
      <c r="AD27" s="47"/>
      <c r="AE27" s="47"/>
      <c r="AF27" s="47"/>
      <c r="AG27" s="47"/>
      <c r="AH27" s="47"/>
      <c r="AI27" s="47"/>
      <c r="AJ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C27" s="47"/>
      <c r="CD27" s="47"/>
      <c r="CE27" s="47"/>
      <c r="CF27" s="47"/>
      <c r="CG27" s="47"/>
      <c r="CH27" s="47"/>
      <c r="CI27" s="47"/>
      <c r="CK27" s="47"/>
      <c r="CL27" s="47"/>
      <c r="CM27" s="47"/>
      <c r="CN27" s="47"/>
      <c r="CO27" s="47"/>
      <c r="CP27" s="47"/>
      <c r="CQ27" s="47"/>
      <c r="CS27" s="47">
        <f t="shared" si="7"/>
        <v>0</v>
      </c>
      <c r="CT27" s="47">
        <f t="shared" si="8"/>
        <v>0</v>
      </c>
      <c r="CU27" s="47">
        <f t="shared" si="8"/>
        <v>0</v>
      </c>
      <c r="CV27" s="47">
        <f t="shared" si="9"/>
        <v>0</v>
      </c>
      <c r="CW27" s="47">
        <f t="shared" si="10"/>
        <v>0</v>
      </c>
      <c r="CX27" s="47">
        <f t="shared" si="11"/>
        <v>0</v>
      </c>
      <c r="CY27" s="47">
        <f t="shared" si="12"/>
        <v>0</v>
      </c>
    </row>
    <row r="28" spans="2:103">
      <c r="B28" s="7"/>
      <c r="C28" s="7"/>
      <c r="D28" s="7"/>
      <c r="E28" s="7"/>
      <c r="F28" s="7"/>
      <c r="G28" s="7"/>
      <c r="H28" s="7"/>
      <c r="I28" s="7"/>
      <c r="J28" s="7"/>
      <c r="K28" s="7"/>
      <c r="L28" s="7"/>
      <c r="M28" s="7"/>
      <c r="N28" s="7"/>
      <c r="O28" s="104"/>
      <c r="Q28" s="47"/>
      <c r="R28" s="47"/>
      <c r="S28" s="47"/>
      <c r="T28" s="47"/>
      <c r="U28" s="47"/>
      <c r="V28" s="47"/>
      <c r="W28" s="47"/>
      <c r="Y28" s="106"/>
      <c r="Z28" s="106"/>
      <c r="AA28" s="106"/>
      <c r="AB28" s="106"/>
      <c r="AD28" s="47"/>
      <c r="AE28" s="47"/>
      <c r="AF28" s="47"/>
      <c r="AG28" s="47"/>
      <c r="AH28" s="47"/>
      <c r="AI28" s="47"/>
      <c r="AJ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C28" s="47"/>
      <c r="CD28" s="47"/>
      <c r="CE28" s="47"/>
      <c r="CF28" s="47"/>
      <c r="CG28" s="47"/>
      <c r="CH28" s="47"/>
      <c r="CI28" s="47"/>
      <c r="CK28" s="47"/>
      <c r="CL28" s="47"/>
      <c r="CM28" s="47"/>
      <c r="CN28" s="47"/>
      <c r="CO28" s="47"/>
      <c r="CP28" s="47"/>
      <c r="CQ28" s="47"/>
      <c r="CS28" s="47">
        <f t="shared" si="7"/>
        <v>0</v>
      </c>
      <c r="CT28" s="47">
        <f t="shared" si="8"/>
        <v>0</v>
      </c>
      <c r="CU28" s="47">
        <f t="shared" si="8"/>
        <v>0</v>
      </c>
      <c r="CV28" s="47">
        <f t="shared" si="9"/>
        <v>0</v>
      </c>
      <c r="CW28" s="47">
        <f t="shared" si="10"/>
        <v>0</v>
      </c>
      <c r="CX28" s="47">
        <f t="shared" si="11"/>
        <v>0</v>
      </c>
      <c r="CY28" s="47">
        <f t="shared" si="12"/>
        <v>0</v>
      </c>
    </row>
    <row r="29" spans="2:103">
      <c r="B29" s="7"/>
      <c r="C29" s="7"/>
      <c r="D29" s="7"/>
      <c r="E29" s="7"/>
      <c r="F29" s="7"/>
      <c r="G29" s="7"/>
      <c r="H29" s="7"/>
      <c r="I29" s="7"/>
      <c r="J29" s="7"/>
      <c r="K29" s="7"/>
      <c r="L29" s="7"/>
      <c r="M29" s="7"/>
      <c r="N29" s="7"/>
      <c r="O29" s="104"/>
      <c r="Q29" s="47"/>
      <c r="R29" s="47"/>
      <c r="S29" s="47"/>
      <c r="T29" s="47"/>
      <c r="U29" s="47"/>
      <c r="V29" s="47"/>
      <c r="W29" s="47"/>
      <c r="Y29" s="106"/>
      <c r="Z29" s="106"/>
      <c r="AA29" s="106"/>
      <c r="AB29" s="106"/>
      <c r="AD29" s="47"/>
      <c r="AE29" s="47"/>
      <c r="AF29" s="47"/>
      <c r="AG29" s="47"/>
      <c r="AH29" s="47"/>
      <c r="AI29" s="47"/>
      <c r="AJ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C29" s="47"/>
      <c r="CD29" s="47"/>
      <c r="CE29" s="47"/>
      <c r="CF29" s="47"/>
      <c r="CG29" s="47"/>
      <c r="CH29" s="47"/>
      <c r="CI29" s="47"/>
      <c r="CK29" s="47"/>
      <c r="CL29" s="47"/>
      <c r="CM29" s="47"/>
      <c r="CN29" s="47"/>
      <c r="CO29" s="47"/>
      <c r="CP29" s="47"/>
      <c r="CQ29" s="47"/>
      <c r="CS29" s="47">
        <f t="shared" si="7"/>
        <v>0</v>
      </c>
      <c r="CT29" s="47">
        <f t="shared" si="8"/>
        <v>0</v>
      </c>
      <c r="CU29" s="47">
        <f t="shared" si="8"/>
        <v>0</v>
      </c>
      <c r="CV29" s="47">
        <f t="shared" si="9"/>
        <v>0</v>
      </c>
      <c r="CW29" s="47">
        <f t="shared" si="10"/>
        <v>0</v>
      </c>
      <c r="CX29" s="47">
        <f t="shared" si="11"/>
        <v>0</v>
      </c>
      <c r="CY29" s="47">
        <f t="shared" si="12"/>
        <v>0</v>
      </c>
    </row>
    <row r="30" spans="2:103">
      <c r="B30" s="7"/>
      <c r="C30" s="7"/>
      <c r="D30" s="7"/>
      <c r="E30" s="7"/>
      <c r="F30" s="7"/>
      <c r="G30" s="7"/>
      <c r="H30" s="7"/>
      <c r="I30" s="7"/>
      <c r="J30" s="7"/>
      <c r="K30" s="7"/>
      <c r="L30" s="7"/>
      <c r="M30" s="7"/>
      <c r="N30" s="7"/>
      <c r="O30" s="104"/>
      <c r="Q30" s="47"/>
      <c r="R30" s="47"/>
      <c r="S30" s="47"/>
      <c r="T30" s="47"/>
      <c r="U30" s="47"/>
      <c r="V30" s="47"/>
      <c r="W30" s="47"/>
      <c r="Y30" s="106"/>
      <c r="Z30" s="106"/>
      <c r="AA30" s="106"/>
      <c r="AB30" s="106"/>
      <c r="AD30" s="47"/>
      <c r="AE30" s="47"/>
      <c r="AF30" s="47"/>
      <c r="AG30" s="47"/>
      <c r="AH30" s="47"/>
      <c r="AI30" s="47"/>
      <c r="AJ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C30" s="47"/>
      <c r="CD30" s="47"/>
      <c r="CE30" s="47"/>
      <c r="CF30" s="47"/>
      <c r="CG30" s="47"/>
      <c r="CH30" s="47"/>
      <c r="CI30" s="47"/>
      <c r="CK30" s="47"/>
      <c r="CL30" s="47"/>
      <c r="CM30" s="47"/>
      <c r="CN30" s="47"/>
      <c r="CO30" s="47"/>
      <c r="CP30" s="47"/>
      <c r="CQ30" s="47"/>
      <c r="CS30" s="47">
        <f t="shared" si="7"/>
        <v>0</v>
      </c>
      <c r="CT30" s="47">
        <f t="shared" si="8"/>
        <v>0</v>
      </c>
      <c r="CU30" s="47">
        <f t="shared" si="8"/>
        <v>0</v>
      </c>
      <c r="CV30" s="47">
        <f t="shared" si="9"/>
        <v>0</v>
      </c>
      <c r="CW30" s="47">
        <f t="shared" si="10"/>
        <v>0</v>
      </c>
      <c r="CX30" s="47">
        <f t="shared" si="11"/>
        <v>0</v>
      </c>
      <c r="CY30" s="47">
        <f t="shared" si="12"/>
        <v>0</v>
      </c>
    </row>
    <row r="31" spans="2:103">
      <c r="B31" s="7"/>
      <c r="C31" s="7"/>
      <c r="D31" s="7"/>
      <c r="E31" s="7"/>
      <c r="F31" s="7"/>
      <c r="G31" s="7"/>
      <c r="H31" s="7"/>
      <c r="I31" s="7"/>
      <c r="J31" s="7"/>
      <c r="K31" s="7"/>
      <c r="L31" s="7"/>
      <c r="M31" s="7"/>
      <c r="N31" s="7"/>
      <c r="O31" s="104"/>
      <c r="Q31" s="47"/>
      <c r="R31" s="47"/>
      <c r="S31" s="47"/>
      <c r="T31" s="47"/>
      <c r="U31" s="47"/>
      <c r="V31" s="47"/>
      <c r="W31" s="47"/>
      <c r="Y31" s="106"/>
      <c r="Z31" s="106"/>
      <c r="AA31" s="106"/>
      <c r="AB31" s="106"/>
      <c r="AD31" s="47"/>
      <c r="AE31" s="47"/>
      <c r="AF31" s="47"/>
      <c r="AG31" s="47"/>
      <c r="AH31" s="47"/>
      <c r="AI31" s="47"/>
      <c r="AJ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C31" s="47"/>
      <c r="CD31" s="47"/>
      <c r="CE31" s="47"/>
      <c r="CF31" s="47"/>
      <c r="CG31" s="47"/>
      <c r="CH31" s="47"/>
      <c r="CI31" s="47"/>
      <c r="CK31" s="47"/>
      <c r="CL31" s="47"/>
      <c r="CM31" s="47"/>
      <c r="CN31" s="47"/>
      <c r="CO31" s="47"/>
      <c r="CP31" s="47"/>
      <c r="CQ31" s="47"/>
      <c r="CS31" s="47">
        <f t="shared" si="7"/>
        <v>0</v>
      </c>
      <c r="CT31" s="47">
        <f t="shared" si="8"/>
        <v>0</v>
      </c>
      <c r="CU31" s="47">
        <f t="shared" si="8"/>
        <v>0</v>
      </c>
      <c r="CV31" s="47">
        <f t="shared" si="9"/>
        <v>0</v>
      </c>
      <c r="CW31" s="47">
        <f t="shared" si="10"/>
        <v>0</v>
      </c>
      <c r="CX31" s="47">
        <f t="shared" si="11"/>
        <v>0</v>
      </c>
      <c r="CY31" s="47">
        <f t="shared" si="12"/>
        <v>0</v>
      </c>
    </row>
    <row r="32" spans="2:103">
      <c r="B32" s="7"/>
      <c r="C32" s="7"/>
      <c r="D32" s="7"/>
      <c r="E32" s="7"/>
      <c r="F32" s="7"/>
      <c r="G32" s="7"/>
      <c r="H32" s="7"/>
      <c r="I32" s="7"/>
      <c r="J32" s="7"/>
      <c r="K32" s="7"/>
      <c r="L32" s="7"/>
      <c r="M32" s="7"/>
      <c r="N32" s="7"/>
      <c r="O32" s="104"/>
      <c r="Q32" s="47"/>
      <c r="R32" s="47"/>
      <c r="S32" s="47"/>
      <c r="T32" s="47"/>
      <c r="U32" s="47"/>
      <c r="V32" s="47"/>
      <c r="W32" s="47"/>
      <c r="Y32" s="106"/>
      <c r="Z32" s="106"/>
      <c r="AA32" s="106"/>
      <c r="AB32" s="106"/>
      <c r="AD32" s="47"/>
      <c r="AE32" s="47"/>
      <c r="AF32" s="47"/>
      <c r="AG32" s="47"/>
      <c r="AH32" s="47"/>
      <c r="AI32" s="47"/>
      <c r="AJ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C32" s="47"/>
      <c r="CD32" s="47"/>
      <c r="CE32" s="47"/>
      <c r="CF32" s="47"/>
      <c r="CG32" s="47"/>
      <c r="CH32" s="47"/>
      <c r="CI32" s="47"/>
      <c r="CK32" s="47"/>
      <c r="CL32" s="47"/>
      <c r="CM32" s="47"/>
      <c r="CN32" s="47"/>
      <c r="CO32" s="47"/>
      <c r="CP32" s="47"/>
      <c r="CQ32" s="47"/>
      <c r="CS32" s="47">
        <f t="shared" si="7"/>
        <v>0</v>
      </c>
      <c r="CT32" s="47">
        <f t="shared" si="8"/>
        <v>0</v>
      </c>
      <c r="CU32" s="47">
        <f t="shared" si="8"/>
        <v>0</v>
      </c>
      <c r="CV32" s="47">
        <f t="shared" si="9"/>
        <v>0</v>
      </c>
      <c r="CW32" s="47">
        <f t="shared" si="10"/>
        <v>0</v>
      </c>
      <c r="CX32" s="47">
        <f t="shared" si="11"/>
        <v>0</v>
      </c>
      <c r="CY32" s="47">
        <f t="shared" si="12"/>
        <v>0</v>
      </c>
    </row>
    <row r="33" spans="2:103">
      <c r="B33" s="7"/>
      <c r="C33" s="7"/>
      <c r="D33" s="7"/>
      <c r="E33" s="7"/>
      <c r="F33" s="7"/>
      <c r="G33" s="7"/>
      <c r="H33" s="7"/>
      <c r="I33" s="7"/>
      <c r="J33" s="7"/>
      <c r="K33" s="7"/>
      <c r="L33" s="7"/>
      <c r="M33" s="7"/>
      <c r="N33" s="7"/>
      <c r="O33" s="104"/>
      <c r="Q33" s="47"/>
      <c r="R33" s="47"/>
      <c r="S33" s="47"/>
      <c r="T33" s="47"/>
      <c r="U33" s="47"/>
      <c r="V33" s="47"/>
      <c r="W33" s="47"/>
      <c r="Y33" s="106"/>
      <c r="Z33" s="106"/>
      <c r="AA33" s="106"/>
      <c r="AB33" s="106"/>
      <c r="AD33" s="47"/>
      <c r="AE33" s="47"/>
      <c r="AF33" s="47"/>
      <c r="AG33" s="47"/>
      <c r="AH33" s="47"/>
      <c r="AI33" s="47"/>
      <c r="AJ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C33" s="47"/>
      <c r="CD33" s="47"/>
      <c r="CE33" s="47"/>
      <c r="CF33" s="47"/>
      <c r="CG33" s="47"/>
      <c r="CH33" s="47"/>
      <c r="CI33" s="47"/>
      <c r="CK33" s="47"/>
      <c r="CL33" s="47"/>
      <c r="CM33" s="47"/>
      <c r="CN33" s="47"/>
      <c r="CO33" s="47"/>
      <c r="CP33" s="47"/>
      <c r="CQ33" s="47"/>
      <c r="CS33" s="47">
        <f t="shared" si="7"/>
        <v>0</v>
      </c>
      <c r="CT33" s="47">
        <f t="shared" si="8"/>
        <v>0</v>
      </c>
      <c r="CU33" s="47">
        <f t="shared" si="8"/>
        <v>0</v>
      </c>
      <c r="CV33" s="47">
        <f t="shared" si="9"/>
        <v>0</v>
      </c>
      <c r="CW33" s="47">
        <f t="shared" si="10"/>
        <v>0</v>
      </c>
      <c r="CX33" s="47">
        <f t="shared" si="11"/>
        <v>0</v>
      </c>
      <c r="CY33" s="47">
        <f t="shared" si="12"/>
        <v>0</v>
      </c>
    </row>
    <row r="34" spans="2:103">
      <c r="B34" s="7"/>
      <c r="C34" s="7"/>
      <c r="D34" s="7"/>
      <c r="E34" s="7"/>
      <c r="F34" s="7"/>
      <c r="G34" s="7"/>
      <c r="H34" s="7"/>
      <c r="I34" s="7"/>
      <c r="J34" s="7"/>
      <c r="K34" s="7"/>
      <c r="L34" s="7"/>
      <c r="M34" s="7"/>
      <c r="N34" s="7"/>
      <c r="O34" s="104"/>
      <c r="Q34" s="47"/>
      <c r="R34" s="47"/>
      <c r="S34" s="47"/>
      <c r="T34" s="47"/>
      <c r="U34" s="47"/>
      <c r="V34" s="47"/>
      <c r="W34" s="47"/>
      <c r="Y34" s="106"/>
      <c r="Z34" s="106"/>
      <c r="AA34" s="106"/>
      <c r="AB34" s="106"/>
      <c r="AD34" s="47"/>
      <c r="AE34" s="47"/>
      <c r="AF34" s="47"/>
      <c r="AG34" s="47"/>
      <c r="AH34" s="47"/>
      <c r="AI34" s="47"/>
      <c r="AJ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C34" s="47"/>
      <c r="CD34" s="47"/>
      <c r="CE34" s="47"/>
      <c r="CF34" s="47"/>
      <c r="CG34" s="47"/>
      <c r="CH34" s="47"/>
      <c r="CI34" s="47"/>
      <c r="CK34" s="47"/>
      <c r="CL34" s="47"/>
      <c r="CM34" s="47"/>
      <c r="CN34" s="47"/>
      <c r="CO34" s="47"/>
      <c r="CP34" s="47"/>
      <c r="CQ34" s="47"/>
      <c r="CS34" s="47">
        <f t="shared" si="7"/>
        <v>0</v>
      </c>
      <c r="CT34" s="47">
        <f t="shared" si="8"/>
        <v>0</v>
      </c>
      <c r="CU34" s="47">
        <f t="shared" si="8"/>
        <v>0</v>
      </c>
      <c r="CV34" s="47">
        <f t="shared" si="9"/>
        <v>0</v>
      </c>
      <c r="CW34" s="47">
        <f t="shared" si="10"/>
        <v>0</v>
      </c>
      <c r="CX34" s="47">
        <f t="shared" si="11"/>
        <v>0</v>
      </c>
      <c r="CY34" s="47">
        <f t="shared" si="12"/>
        <v>0</v>
      </c>
    </row>
    <row r="35" spans="2:103">
      <c r="B35" s="7"/>
      <c r="C35" s="7"/>
      <c r="D35" s="7"/>
      <c r="E35" s="7"/>
      <c r="F35" s="7"/>
      <c r="G35" s="7"/>
      <c r="H35" s="7"/>
      <c r="I35" s="7"/>
      <c r="J35" s="7"/>
      <c r="K35" s="7"/>
      <c r="L35" s="7"/>
      <c r="M35" s="7"/>
      <c r="N35" s="7"/>
      <c r="O35" s="104"/>
      <c r="Q35" s="47"/>
      <c r="R35" s="47"/>
      <c r="S35" s="47"/>
      <c r="T35" s="47"/>
      <c r="U35" s="47"/>
      <c r="V35" s="47"/>
      <c r="W35" s="47"/>
      <c r="Y35" s="106"/>
      <c r="Z35" s="106"/>
      <c r="AA35" s="106"/>
      <c r="AB35" s="106"/>
      <c r="AD35" s="47"/>
      <c r="AE35" s="47"/>
      <c r="AF35" s="47"/>
      <c r="AG35" s="47"/>
      <c r="AH35" s="47"/>
      <c r="AI35" s="47"/>
      <c r="AJ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C35" s="47"/>
      <c r="CD35" s="47"/>
      <c r="CE35" s="47"/>
      <c r="CF35" s="47"/>
      <c r="CG35" s="47"/>
      <c r="CH35" s="47"/>
      <c r="CI35" s="47"/>
      <c r="CK35" s="47"/>
      <c r="CL35" s="47"/>
      <c r="CM35" s="47"/>
      <c r="CN35" s="47"/>
      <c r="CO35" s="47"/>
      <c r="CP35" s="47"/>
      <c r="CQ35" s="47"/>
      <c r="CS35" s="47">
        <f t="shared" si="7"/>
        <v>0</v>
      </c>
      <c r="CT35" s="47">
        <f t="shared" si="8"/>
        <v>0</v>
      </c>
      <c r="CU35" s="47">
        <f t="shared" si="8"/>
        <v>0</v>
      </c>
      <c r="CV35" s="47">
        <f t="shared" si="9"/>
        <v>0</v>
      </c>
      <c r="CW35" s="47">
        <f t="shared" si="10"/>
        <v>0</v>
      </c>
      <c r="CX35" s="47">
        <f t="shared" si="11"/>
        <v>0</v>
      </c>
      <c r="CY35" s="47">
        <f t="shared" si="12"/>
        <v>0</v>
      </c>
    </row>
    <row r="36" spans="2:103">
      <c r="B36" s="7"/>
      <c r="C36" s="7"/>
      <c r="D36" s="7"/>
      <c r="E36" s="7"/>
      <c r="F36" s="7"/>
      <c r="G36" s="7"/>
      <c r="H36" s="7"/>
      <c r="I36" s="7"/>
      <c r="J36" s="7"/>
      <c r="K36" s="7"/>
      <c r="L36" s="7"/>
      <c r="M36" s="7"/>
      <c r="N36" s="7"/>
      <c r="O36" s="104"/>
      <c r="Q36" s="47"/>
      <c r="R36" s="47"/>
      <c r="S36" s="47"/>
      <c r="T36" s="47"/>
      <c r="U36" s="47"/>
      <c r="V36" s="47"/>
      <c r="W36" s="47"/>
      <c r="Y36" s="106"/>
      <c r="Z36" s="106"/>
      <c r="AA36" s="106"/>
      <c r="AB36" s="106"/>
      <c r="AD36" s="47"/>
      <c r="AE36" s="47"/>
      <c r="AF36" s="47"/>
      <c r="AG36" s="47"/>
      <c r="AH36" s="47"/>
      <c r="AI36" s="47"/>
      <c r="AJ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C36" s="47"/>
      <c r="CD36" s="47"/>
      <c r="CE36" s="47"/>
      <c r="CF36" s="47"/>
      <c r="CG36" s="47"/>
      <c r="CH36" s="47"/>
      <c r="CI36" s="47"/>
      <c r="CK36" s="47"/>
      <c r="CL36" s="47"/>
      <c r="CM36" s="47"/>
      <c r="CN36" s="47"/>
      <c r="CO36" s="47"/>
      <c r="CP36" s="47"/>
      <c r="CQ36" s="47"/>
      <c r="CS36" s="47">
        <f t="shared" si="7"/>
        <v>0</v>
      </c>
      <c r="CT36" s="47">
        <f t="shared" si="8"/>
        <v>0</v>
      </c>
      <c r="CU36" s="47">
        <f t="shared" si="8"/>
        <v>0</v>
      </c>
      <c r="CV36" s="47">
        <f t="shared" si="9"/>
        <v>0</v>
      </c>
      <c r="CW36" s="47">
        <f t="shared" si="10"/>
        <v>0</v>
      </c>
      <c r="CX36" s="47">
        <f t="shared" si="11"/>
        <v>0</v>
      </c>
      <c r="CY36" s="47">
        <f t="shared" si="12"/>
        <v>0</v>
      </c>
    </row>
    <row r="37" spans="2:103">
      <c r="B37" s="7"/>
      <c r="C37" s="7"/>
      <c r="D37" s="7"/>
      <c r="E37" s="7"/>
      <c r="F37" s="7"/>
      <c r="G37" s="7"/>
      <c r="H37" s="7"/>
      <c r="I37" s="7"/>
      <c r="J37" s="7"/>
      <c r="K37" s="7"/>
      <c r="L37" s="7"/>
      <c r="M37" s="7"/>
      <c r="N37" s="7"/>
      <c r="O37" s="104"/>
      <c r="Q37" s="47"/>
      <c r="R37" s="47"/>
      <c r="S37" s="47"/>
      <c r="T37" s="47"/>
      <c r="U37" s="47"/>
      <c r="V37" s="47"/>
      <c r="W37" s="47"/>
      <c r="Y37" s="106"/>
      <c r="Z37" s="106"/>
      <c r="AA37" s="106"/>
      <c r="AB37" s="106"/>
      <c r="AD37" s="47"/>
      <c r="AE37" s="47"/>
      <c r="AF37" s="47"/>
      <c r="AG37" s="47"/>
      <c r="AH37" s="47"/>
      <c r="AI37" s="47"/>
      <c r="AJ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C37" s="47"/>
      <c r="CD37" s="47"/>
      <c r="CE37" s="47"/>
      <c r="CF37" s="47"/>
      <c r="CG37" s="47"/>
      <c r="CH37" s="47"/>
      <c r="CI37" s="47"/>
      <c r="CK37" s="47"/>
      <c r="CL37" s="47"/>
      <c r="CM37" s="47"/>
      <c r="CN37" s="47"/>
      <c r="CO37" s="47"/>
      <c r="CP37" s="47"/>
      <c r="CQ37" s="47"/>
      <c r="CS37" s="47">
        <f t="shared" si="7"/>
        <v>0</v>
      </c>
      <c r="CT37" s="47">
        <f t="shared" si="8"/>
        <v>0</v>
      </c>
      <c r="CU37" s="47">
        <f t="shared" si="8"/>
        <v>0</v>
      </c>
      <c r="CV37" s="47">
        <f t="shared" si="9"/>
        <v>0</v>
      </c>
      <c r="CW37" s="47">
        <f t="shared" si="10"/>
        <v>0</v>
      </c>
      <c r="CX37" s="47">
        <f t="shared" si="11"/>
        <v>0</v>
      </c>
      <c r="CY37" s="47">
        <f t="shared" si="12"/>
        <v>0</v>
      </c>
    </row>
    <row r="38" spans="2:103">
      <c r="Q38" s="48">
        <f t="shared" ref="Q38:W38" si="13">SUM(Q7:Q37)</f>
        <v>0</v>
      </c>
      <c r="R38" s="48">
        <f t="shared" si="13"/>
        <v>0</v>
      </c>
      <c r="S38" s="48">
        <f t="shared" si="13"/>
        <v>0</v>
      </c>
      <c r="T38" s="48">
        <f t="shared" si="13"/>
        <v>0</v>
      </c>
      <c r="U38" s="48">
        <f t="shared" si="13"/>
        <v>0</v>
      </c>
      <c r="V38" s="48">
        <f t="shared" si="13"/>
        <v>0</v>
      </c>
      <c r="W38" s="48">
        <f t="shared" si="13"/>
        <v>0</v>
      </c>
      <c r="AD38" s="48">
        <f t="shared" ref="AD38:AJ38" si="14">SUM(AD7:AD37)</f>
        <v>0</v>
      </c>
      <c r="AE38" s="48">
        <f t="shared" si="14"/>
        <v>0</v>
      </c>
      <c r="AF38" s="48">
        <f t="shared" si="14"/>
        <v>0</v>
      </c>
      <c r="AG38" s="48">
        <f t="shared" si="14"/>
        <v>0</v>
      </c>
      <c r="AH38" s="48">
        <f t="shared" si="14"/>
        <v>0</v>
      </c>
      <c r="AI38" s="48">
        <f t="shared" si="14"/>
        <v>0</v>
      </c>
      <c r="AJ38" s="48">
        <f t="shared" si="14"/>
        <v>0</v>
      </c>
      <c r="AL38" s="48">
        <f t="shared" ref="AL38:AP38" si="15">SUM(AL7:AL37)</f>
        <v>0</v>
      </c>
      <c r="AM38" s="48">
        <f t="shared" si="15"/>
        <v>0</v>
      </c>
      <c r="AN38" s="48">
        <f t="shared" si="15"/>
        <v>0</v>
      </c>
      <c r="AO38" s="48">
        <f t="shared" si="15"/>
        <v>0</v>
      </c>
      <c r="AP38" s="48">
        <f t="shared" si="15"/>
        <v>0</v>
      </c>
      <c r="AQ38" s="48">
        <f t="shared" ref="AQ38:CA38" si="16">SUM(AQ7:AQ37)</f>
        <v>0</v>
      </c>
      <c r="AR38" s="48">
        <f t="shared" ref="AR38:AW38" si="17">SUM(AR7:AR37)</f>
        <v>0</v>
      </c>
      <c r="AS38" s="48">
        <f t="shared" si="17"/>
        <v>0</v>
      </c>
      <c r="AT38" s="48">
        <f t="shared" si="17"/>
        <v>0</v>
      </c>
      <c r="AU38" s="48">
        <f t="shared" si="17"/>
        <v>0</v>
      </c>
      <c r="AV38" s="48">
        <f t="shared" si="17"/>
        <v>0</v>
      </c>
      <c r="AW38" s="48">
        <f t="shared" si="17"/>
        <v>0</v>
      </c>
      <c r="AX38" s="48">
        <f t="shared" si="16"/>
        <v>0</v>
      </c>
      <c r="AY38" s="48">
        <f t="shared" si="16"/>
        <v>0</v>
      </c>
      <c r="AZ38" s="48">
        <f t="shared" si="16"/>
        <v>0</v>
      </c>
      <c r="BA38" s="48">
        <f t="shared" si="16"/>
        <v>0</v>
      </c>
      <c r="BB38" s="48">
        <f t="shared" si="16"/>
        <v>0</v>
      </c>
      <c r="BC38" s="48">
        <f t="shared" si="16"/>
        <v>0</v>
      </c>
      <c r="BD38" s="48">
        <f t="shared" si="16"/>
        <v>0</v>
      </c>
      <c r="BE38" s="48">
        <f t="shared" si="16"/>
        <v>0</v>
      </c>
      <c r="BF38" s="48">
        <f t="shared" si="16"/>
        <v>0</v>
      </c>
      <c r="BG38" s="48">
        <f t="shared" si="16"/>
        <v>0</v>
      </c>
      <c r="BH38" s="48">
        <f t="shared" si="16"/>
        <v>0</v>
      </c>
      <c r="BI38" s="48">
        <f t="shared" si="16"/>
        <v>0</v>
      </c>
      <c r="BJ38" s="48">
        <f t="shared" si="16"/>
        <v>0</v>
      </c>
      <c r="BK38" s="48">
        <f t="shared" si="16"/>
        <v>0</v>
      </c>
      <c r="BL38" s="48">
        <f t="shared" si="16"/>
        <v>0</v>
      </c>
      <c r="BM38" s="48">
        <f t="shared" si="16"/>
        <v>0</v>
      </c>
      <c r="BN38" s="48">
        <f t="shared" si="16"/>
        <v>0</v>
      </c>
      <c r="BO38" s="48">
        <f t="shared" si="16"/>
        <v>0</v>
      </c>
      <c r="BP38" s="48">
        <f t="shared" si="16"/>
        <v>0</v>
      </c>
      <c r="BQ38" s="48">
        <f t="shared" si="16"/>
        <v>0</v>
      </c>
      <c r="BR38" s="48">
        <f t="shared" si="16"/>
        <v>0</v>
      </c>
      <c r="BS38" s="48">
        <f t="shared" si="16"/>
        <v>0</v>
      </c>
      <c r="BT38" s="48">
        <f t="shared" si="16"/>
        <v>0</v>
      </c>
      <c r="BU38" s="48">
        <f t="shared" si="16"/>
        <v>0</v>
      </c>
      <c r="BV38" s="48">
        <f t="shared" si="16"/>
        <v>0</v>
      </c>
      <c r="BW38" s="48">
        <f t="shared" si="16"/>
        <v>0</v>
      </c>
      <c r="BX38" s="48">
        <f t="shared" si="16"/>
        <v>0</v>
      </c>
      <c r="BY38" s="48">
        <f t="shared" si="16"/>
        <v>0</v>
      </c>
      <c r="BZ38" s="48">
        <f t="shared" si="16"/>
        <v>0</v>
      </c>
      <c r="CA38" s="48">
        <f t="shared" si="16"/>
        <v>0</v>
      </c>
      <c r="CC38" s="48">
        <f t="shared" ref="CC38:CI38" si="18">SUM(CC7:CC37)</f>
        <v>0</v>
      </c>
      <c r="CD38" s="48">
        <f t="shared" si="18"/>
        <v>0</v>
      </c>
      <c r="CE38" s="48">
        <f t="shared" si="18"/>
        <v>0</v>
      </c>
      <c r="CF38" s="48">
        <f t="shared" si="18"/>
        <v>0</v>
      </c>
      <c r="CG38" s="48">
        <f t="shared" si="18"/>
        <v>0</v>
      </c>
      <c r="CH38" s="48">
        <f t="shared" si="18"/>
        <v>0</v>
      </c>
      <c r="CI38" s="48">
        <f t="shared" si="18"/>
        <v>0</v>
      </c>
      <c r="CK38" s="48">
        <f t="shared" ref="CK38:CQ38" si="19">SUM(CK7:CK37)</f>
        <v>0</v>
      </c>
      <c r="CL38" s="48">
        <f t="shared" si="19"/>
        <v>0</v>
      </c>
      <c r="CM38" s="48">
        <f t="shared" si="19"/>
        <v>0</v>
      </c>
      <c r="CN38" s="48">
        <f t="shared" si="19"/>
        <v>0</v>
      </c>
      <c r="CO38" s="48">
        <f t="shared" si="19"/>
        <v>0</v>
      </c>
      <c r="CP38" s="48">
        <f t="shared" si="19"/>
        <v>0</v>
      </c>
      <c r="CQ38" s="48">
        <f t="shared" si="19"/>
        <v>0</v>
      </c>
      <c r="CS38" s="48">
        <f t="shared" ref="CS38:CY38" si="20">SUM(CS7:CS37)</f>
        <v>0</v>
      </c>
      <c r="CT38" s="48">
        <f t="shared" ref="CT38" si="21">SUM(CT7:CT37)</f>
        <v>0</v>
      </c>
      <c r="CU38" s="48">
        <f t="shared" si="20"/>
        <v>0</v>
      </c>
      <c r="CV38" s="48">
        <f t="shared" si="20"/>
        <v>0</v>
      </c>
      <c r="CW38" s="48">
        <f t="shared" si="20"/>
        <v>0</v>
      </c>
      <c r="CX38" s="48">
        <f t="shared" si="20"/>
        <v>0</v>
      </c>
      <c r="CY38" s="48">
        <f t="shared" si="20"/>
        <v>0</v>
      </c>
    </row>
    <row r="39" spans="2:103">
      <c r="CS39" s="84">
        <f t="shared" ref="CS39:CY39" si="22">IF(ISERROR((CS38-Q38)/Q38),0,(CS38-Q38)/Q38)</f>
        <v>0</v>
      </c>
      <c r="CT39" s="84">
        <f t="shared" si="22"/>
        <v>0</v>
      </c>
      <c r="CU39" s="84">
        <f t="shared" si="22"/>
        <v>0</v>
      </c>
      <c r="CV39" s="84">
        <f t="shared" si="22"/>
        <v>0</v>
      </c>
      <c r="CW39" s="84">
        <f t="shared" si="22"/>
        <v>0</v>
      </c>
      <c r="CX39" s="84">
        <f t="shared" si="22"/>
        <v>0</v>
      </c>
      <c r="CY39" s="84">
        <f t="shared" si="22"/>
        <v>0</v>
      </c>
    </row>
    <row r="40" spans="2:103">
      <c r="Q40" s="39"/>
      <c r="R40" s="39"/>
      <c r="S40" s="39"/>
      <c r="T40" s="39"/>
      <c r="U40" s="39"/>
      <c r="V40" s="39"/>
      <c r="W40" s="39"/>
      <c r="CS40" s="84"/>
      <c r="CT40" s="84"/>
      <c r="CU40" s="84"/>
      <c r="CV40" s="84"/>
      <c r="CW40" s="84"/>
      <c r="CX40" s="84"/>
      <c r="CY40" s="84"/>
    </row>
    <row r="41" spans="2:103">
      <c r="Q41" s="39"/>
      <c r="R41" s="39"/>
      <c r="S41" s="39"/>
      <c r="T41" s="39"/>
      <c r="U41" s="39"/>
      <c r="V41" s="39"/>
      <c r="W41" s="39"/>
      <c r="CS41" s="84"/>
      <c r="CT41" s="84"/>
      <c r="CU41" s="84"/>
      <c r="CV41" s="84"/>
      <c r="CW41" s="84"/>
      <c r="CX41" s="84"/>
      <c r="CY41" s="84"/>
    </row>
    <row r="42" spans="2:103">
      <c r="Q42" s="39"/>
      <c r="R42" s="39"/>
      <c r="S42" s="39"/>
      <c r="T42" s="39"/>
      <c r="U42" s="39"/>
      <c r="V42" s="39"/>
      <c r="W42" s="39"/>
      <c r="CS42" s="84"/>
      <c r="CT42" s="84"/>
      <c r="CU42" s="84"/>
      <c r="CV42" s="84"/>
      <c r="CW42" s="84"/>
      <c r="CX42" s="84"/>
      <c r="CY42" s="84"/>
    </row>
    <row r="43" spans="2:103">
      <c r="B43" s="2" t="s">
        <v>290</v>
      </c>
      <c r="Q43" s="964"/>
      <c r="R43" s="964"/>
      <c r="S43" s="964"/>
      <c r="T43" s="964"/>
      <c r="U43" s="964"/>
      <c r="V43" s="964"/>
      <c r="W43" s="964"/>
      <c r="CS43" s="964"/>
      <c r="CT43" s="964"/>
      <c r="CU43" s="964"/>
      <c r="CV43" s="964"/>
      <c r="CW43" s="964"/>
      <c r="CX43" s="964"/>
      <c r="CY43" s="964"/>
    </row>
    <row r="44" spans="2:103" ht="43.15" customHeight="1">
      <c r="Q44" s="961" t="s">
        <v>79</v>
      </c>
      <c r="R44" s="962"/>
      <c r="S44" s="962"/>
      <c r="T44" s="962"/>
      <c r="U44" s="962"/>
      <c r="V44" s="962"/>
      <c r="W44" s="963"/>
      <c r="CS44" s="961" t="s">
        <v>79</v>
      </c>
      <c r="CT44" s="962"/>
      <c r="CU44" s="962"/>
      <c r="CV44" s="962"/>
      <c r="CW44" s="962"/>
      <c r="CX44" s="962"/>
      <c r="CY44" s="963"/>
    </row>
    <row r="45" spans="2:103" ht="18.600000000000001" customHeight="1">
      <c r="B45" s="8" t="s">
        <v>23</v>
      </c>
      <c r="C45" s="8" t="s">
        <v>24</v>
      </c>
      <c r="D45" s="17" t="s">
        <v>98</v>
      </c>
      <c r="E45" s="17" t="s">
        <v>76</v>
      </c>
      <c r="F45" s="17" t="s">
        <v>77</v>
      </c>
      <c r="G45" s="17" t="s">
        <v>212</v>
      </c>
      <c r="H45" s="17"/>
      <c r="I45" s="17"/>
      <c r="J45" s="17"/>
      <c r="K45" s="17"/>
      <c r="L45" s="17"/>
      <c r="M45" s="17"/>
      <c r="N45" s="17"/>
      <c r="O45" s="17"/>
      <c r="Q45" s="331">
        <f>CP_Yr_4</f>
        <v>43800</v>
      </c>
      <c r="R45" s="331">
        <f>CP_Yr_5</f>
        <v>44166</v>
      </c>
      <c r="S45" s="331">
        <f>Yr_1</f>
        <v>44742</v>
      </c>
      <c r="T45" s="331">
        <f>Yr_2</f>
        <v>45107</v>
      </c>
      <c r="U45" s="331">
        <f>Yr_3</f>
        <v>45473</v>
      </c>
      <c r="V45" s="331">
        <f>Yr_4</f>
        <v>45838</v>
      </c>
      <c r="W45" s="331">
        <f>Yr_5</f>
        <v>46203</v>
      </c>
      <c r="Y45" s="3" t="s">
        <v>317</v>
      </c>
      <c r="CS45" s="331">
        <f>CP_Yr_4</f>
        <v>43800</v>
      </c>
      <c r="CT45" s="331">
        <f>CP_Yr_5</f>
        <v>44166</v>
      </c>
      <c r="CU45" s="331">
        <f>Yr_1</f>
        <v>44742</v>
      </c>
      <c r="CV45" s="331">
        <f>Yr_2</f>
        <v>45107</v>
      </c>
      <c r="CW45" s="331">
        <f>Yr_3</f>
        <v>45473</v>
      </c>
      <c r="CX45" s="331">
        <f>Yr_4</f>
        <v>45838</v>
      </c>
      <c r="CY45" s="331">
        <f>Yr_5</f>
        <v>46203</v>
      </c>
    </row>
    <row r="46" spans="2:103">
      <c r="B46" s="7"/>
      <c r="C46" s="7"/>
      <c r="D46" s="7" t="s">
        <v>139</v>
      </c>
      <c r="E46" s="7" t="s">
        <v>45</v>
      </c>
      <c r="F46" s="7" t="s">
        <v>51</v>
      </c>
      <c r="G46" s="7" t="s">
        <v>167</v>
      </c>
      <c r="H46" s="7"/>
      <c r="I46" s="7"/>
      <c r="J46" s="7"/>
      <c r="K46" s="7"/>
      <c r="L46" s="7"/>
      <c r="M46" s="7"/>
      <c r="N46" s="7"/>
      <c r="O46" s="7"/>
      <c r="Q46" s="45"/>
      <c r="R46" s="45"/>
      <c r="S46" s="45"/>
      <c r="T46" s="45"/>
      <c r="U46" s="45"/>
      <c r="V46" s="45"/>
      <c r="W46" s="45"/>
      <c r="CS46" s="45"/>
      <c r="CT46" s="45"/>
      <c r="CU46" s="45"/>
      <c r="CV46" s="45"/>
      <c r="CW46" s="45"/>
      <c r="CX46" s="45"/>
      <c r="CY46" s="45"/>
    </row>
    <row r="47" spans="2:103">
      <c r="B47" s="7"/>
      <c r="C47" s="7"/>
      <c r="D47" s="7" t="s">
        <v>139</v>
      </c>
      <c r="E47" s="7" t="s">
        <v>45</v>
      </c>
      <c r="F47" s="7" t="s">
        <v>51</v>
      </c>
      <c r="G47" s="7" t="s">
        <v>167</v>
      </c>
      <c r="H47" s="7"/>
      <c r="I47" s="7"/>
      <c r="J47" s="7"/>
      <c r="K47" s="7"/>
      <c r="L47" s="7"/>
      <c r="M47" s="7"/>
      <c r="N47" s="7"/>
      <c r="O47" s="7"/>
      <c r="Q47" s="45"/>
      <c r="R47" s="45"/>
      <c r="S47" s="45"/>
      <c r="T47" s="45"/>
      <c r="U47" s="45"/>
      <c r="V47" s="45"/>
      <c r="W47" s="45"/>
      <c r="X47" s="34"/>
      <c r="CS47" s="45"/>
      <c r="CT47" s="45"/>
      <c r="CU47" s="45"/>
      <c r="CV47" s="45"/>
      <c r="CW47" s="45"/>
      <c r="CX47" s="45"/>
      <c r="CY47" s="45"/>
    </row>
    <row r="48" spans="2:103">
      <c r="B48" s="7"/>
      <c r="C48" s="7"/>
      <c r="D48" s="7" t="s">
        <v>139</v>
      </c>
      <c r="E48" s="7" t="s">
        <v>45</v>
      </c>
      <c r="F48" s="7" t="s">
        <v>51</v>
      </c>
      <c r="G48" s="7" t="s">
        <v>167</v>
      </c>
      <c r="H48" s="7"/>
      <c r="I48" s="7"/>
      <c r="J48" s="7"/>
      <c r="K48" s="7"/>
      <c r="L48" s="7"/>
      <c r="M48" s="7"/>
      <c r="N48" s="7"/>
      <c r="O48" s="7"/>
      <c r="Q48" s="45"/>
      <c r="R48" s="45"/>
      <c r="S48" s="45"/>
      <c r="T48" s="45"/>
      <c r="U48" s="45"/>
      <c r="V48" s="45"/>
      <c r="W48" s="45"/>
      <c r="CS48" s="45"/>
      <c r="CT48" s="45"/>
      <c r="CU48" s="45"/>
      <c r="CV48" s="45"/>
      <c r="CW48" s="45"/>
      <c r="CX48" s="45"/>
      <c r="CY48" s="45"/>
    </row>
    <row r="49" spans="2:103">
      <c r="B49" s="7"/>
      <c r="C49" s="7"/>
      <c r="D49" s="7" t="s">
        <v>139</v>
      </c>
      <c r="E49" s="7" t="s">
        <v>45</v>
      </c>
      <c r="F49" s="7" t="s">
        <v>51</v>
      </c>
      <c r="G49" s="7" t="s">
        <v>167</v>
      </c>
      <c r="H49" s="7"/>
      <c r="I49" s="7"/>
      <c r="J49" s="7"/>
      <c r="K49" s="7"/>
      <c r="L49" s="7"/>
      <c r="M49" s="7"/>
      <c r="N49" s="7"/>
      <c r="O49" s="7"/>
      <c r="Q49" s="45"/>
      <c r="R49" s="45"/>
      <c r="S49" s="45"/>
      <c r="T49" s="45"/>
      <c r="U49" s="45"/>
      <c r="V49" s="45"/>
      <c r="W49" s="45"/>
      <c r="CS49" s="45"/>
      <c r="CT49" s="45"/>
      <c r="CU49" s="45"/>
      <c r="CV49" s="45"/>
      <c r="CW49" s="45"/>
      <c r="CX49" s="45"/>
      <c r="CY49" s="45"/>
    </row>
    <row r="50" spans="2:103">
      <c r="B50" s="7"/>
      <c r="C50" s="7"/>
      <c r="D50" s="7" t="s">
        <v>139</v>
      </c>
      <c r="E50" s="7" t="s">
        <v>45</v>
      </c>
      <c r="F50" s="7" t="s">
        <v>51</v>
      </c>
      <c r="G50" s="7" t="s">
        <v>167</v>
      </c>
      <c r="H50" s="7"/>
      <c r="I50" s="7"/>
      <c r="J50" s="7"/>
      <c r="K50" s="7"/>
      <c r="L50" s="7"/>
      <c r="M50" s="7"/>
      <c r="N50" s="7"/>
      <c r="O50" s="7"/>
      <c r="Q50" s="45"/>
      <c r="R50" s="45"/>
      <c r="S50" s="45"/>
      <c r="T50" s="45"/>
      <c r="U50" s="45"/>
      <c r="V50" s="45"/>
      <c r="W50" s="45"/>
      <c r="CS50" s="45"/>
      <c r="CT50" s="45"/>
      <c r="CU50" s="45"/>
      <c r="CV50" s="45"/>
      <c r="CW50" s="45"/>
      <c r="CX50" s="45"/>
      <c r="CY50" s="45"/>
    </row>
    <row r="51" spans="2:103">
      <c r="Q51" s="48">
        <f>SUM(Q46:Q50)</f>
        <v>0</v>
      </c>
      <c r="R51" s="48"/>
      <c r="S51" s="48">
        <f t="shared" ref="S51:W51" si="23">SUM(S46:S50)</f>
        <v>0</v>
      </c>
      <c r="T51" s="48">
        <f t="shared" si="23"/>
        <v>0</v>
      </c>
      <c r="U51" s="48">
        <f t="shared" si="23"/>
        <v>0</v>
      </c>
      <c r="V51" s="48">
        <f t="shared" si="23"/>
        <v>0</v>
      </c>
      <c r="W51" s="48">
        <f t="shared" si="23"/>
        <v>0</v>
      </c>
      <c r="CS51" s="48">
        <f>SUM(CS46:CS50)</f>
        <v>0</v>
      </c>
      <c r="CT51" s="48">
        <f>SUM(CT46:CT50)</f>
        <v>0</v>
      </c>
      <c r="CU51" s="48">
        <f t="shared" ref="CU51:CY51" si="24">SUM(CU46:CU50)</f>
        <v>0</v>
      </c>
      <c r="CV51" s="48">
        <f t="shared" si="24"/>
        <v>0</v>
      </c>
      <c r="CW51" s="48">
        <f t="shared" si="24"/>
        <v>0</v>
      </c>
      <c r="CX51" s="48">
        <f t="shared" si="24"/>
        <v>0</v>
      </c>
      <c r="CY51" s="48">
        <f t="shared" si="24"/>
        <v>0</v>
      </c>
    </row>
    <row r="52" spans="2:103">
      <c r="S52" s="39"/>
      <c r="T52" s="39"/>
      <c r="U52" s="39"/>
      <c r="V52" s="39"/>
      <c r="W52" s="39"/>
    </row>
    <row r="53" spans="2:103">
      <c r="Q53" s="54"/>
      <c r="R53" s="54"/>
    </row>
  </sheetData>
  <mergeCells count="15">
    <mergeCell ref="CS3:CY3"/>
    <mergeCell ref="Q3:W3"/>
    <mergeCell ref="Q43:W43"/>
    <mergeCell ref="AD3:AJ3"/>
    <mergeCell ref="CC3:CI3"/>
    <mergeCell ref="CK3:CQ3"/>
    <mergeCell ref="CS5:CY5"/>
    <mergeCell ref="Q44:W44"/>
    <mergeCell ref="CS44:CY44"/>
    <mergeCell ref="H5:N5"/>
    <mergeCell ref="Q5:W5"/>
    <mergeCell ref="AD5:AJ5"/>
    <mergeCell ref="CC5:CI5"/>
    <mergeCell ref="CK5:CQ5"/>
    <mergeCell ref="CS43:CY43"/>
  </mergeCells>
  <dataValidations count="1">
    <dataValidation type="list" errorStyle="warning" showInputMessage="1" showErrorMessage="1" error="Invalid data entered" prompt="Select from drop down list" sqref="F46:F50" xr:uid="{00000000-0002-0000-0B00-000000000000}">
      <formula1>$C$16:$C$27</formula1>
    </dataValidation>
  </dataValidations>
  <hyperlinks>
    <hyperlink ref="B2" location="Contents!A1" display="Table of Contents" xr:uid="{00000000-0004-0000-0B00-000000000000}"/>
    <hyperlink ref="Y45" location="Connections!CH44" display="Escalated values --&gt;" xr:uid="{00000000-0004-0000-0B00-000001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errorStyle="warning" showInputMessage="1" showErrorMessage="1" error="Invalid data entered" prompt="Select from drop down list" xr:uid="{00000000-0002-0000-0B00-000001000000}">
          <x14:formula1>
            <xm:f>Lookups!$C$5:$C$11</xm:f>
          </x14:formula1>
          <xm:sqref>E7:E18 E46:E50</xm:sqref>
        </x14:dataValidation>
        <x14:dataValidation type="list" errorStyle="warning" showInputMessage="1" showErrorMessage="1" error="Invalid data entered" prompt="Select from drop down list" xr:uid="{00000000-0002-0000-0B00-000002000000}">
          <x14:formula1>
            <xm:f>Lookups!$C$16:$C$27</xm:f>
          </x14:formula1>
          <xm:sqref>F7:F37</xm:sqref>
        </x14:dataValidation>
        <x14:dataValidation type="list" errorStyle="warning" allowBlank="1" showInputMessage="1" showErrorMessage="1" prompt="Select from drop down list" xr:uid="{00000000-0002-0000-0B00-000003000000}">
          <x14:formula1>
            <xm:f>Lab_Mat!$C$12</xm:f>
          </x14:formula1>
          <xm:sqref>G7:G37 G46:G50</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DH62"/>
  <sheetViews>
    <sheetView zoomScale="85" zoomScaleNormal="85" zoomScalePageLayoutView="125" workbookViewId="0">
      <pane xSplit="9" topLeftCell="J1" activePane="topRight" state="frozen"/>
      <selection activeCell="V33" sqref="V33"/>
      <selection pane="topRight" activeCell="J4" sqref="J4:Q4"/>
    </sheetView>
  </sheetViews>
  <sheetFormatPr defaultColWidth="8.85546875" defaultRowHeight="15" outlineLevelCol="1"/>
  <cols>
    <col min="1" max="1" width="4" style="1" customWidth="1"/>
    <col min="2" max="2" width="14.85546875" style="1" customWidth="1"/>
    <col min="3" max="3" width="27.85546875" style="1" customWidth="1"/>
    <col min="4" max="4" width="41.7109375" style="1" customWidth="1"/>
    <col min="5" max="5" width="22.28515625" style="1" hidden="1" customWidth="1" outlineLevel="1"/>
    <col min="6" max="6" width="31.140625" style="1" hidden="1" customWidth="1" outlineLevel="1"/>
    <col min="7" max="7" width="18" style="1" hidden="1" customWidth="1" outlineLevel="1"/>
    <col min="8" max="8" width="27.140625" style="1" hidden="1" customWidth="1" outlineLevel="1"/>
    <col min="9" max="9" width="19.7109375" style="1" hidden="1" customWidth="1" outlineLevel="1"/>
    <col min="10" max="10" width="10" style="1" customWidth="1" collapsed="1"/>
    <col min="11" max="17" width="10" style="1" customWidth="1"/>
    <col min="18" max="18" width="3.14062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02" width="8.85546875" style="1"/>
    <col min="103" max="103" width="3.140625" style="1" customWidth="1"/>
    <col min="104" max="104" width="11.85546875" style="1" customWidth="1"/>
    <col min="105" max="106" width="12.28515625" style="1" customWidth="1"/>
    <col min="107" max="107" width="11.5703125" style="1" customWidth="1"/>
    <col min="108" max="108" width="11" style="1" customWidth="1"/>
    <col min="109" max="110" width="8" style="1" customWidth="1"/>
    <col min="111" max="16384" width="8.85546875" style="1"/>
  </cols>
  <sheetData>
    <row r="1" spans="2:112" ht="18.75">
      <c r="B1" s="10" t="s">
        <v>11</v>
      </c>
      <c r="M1" s="968"/>
      <c r="N1" s="968"/>
    </row>
    <row r="2" spans="2:112">
      <c r="B2" s="25" t="s">
        <v>6</v>
      </c>
      <c r="J2" s="34"/>
      <c r="K2" s="34"/>
      <c r="L2" s="34"/>
    </row>
    <row r="3" spans="2:112">
      <c r="J3" s="964"/>
      <c r="K3" s="964"/>
      <c r="L3" s="964"/>
      <c r="M3" s="964"/>
      <c r="N3" s="964"/>
      <c r="O3" s="964"/>
      <c r="P3" s="964"/>
      <c r="Q3" s="964"/>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2:112" ht="60">
      <c r="J4" s="961" t="s">
        <v>378</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379</v>
      </c>
      <c r="CR4" s="962"/>
      <c r="CS4" s="962"/>
      <c r="CT4" s="962"/>
      <c r="CU4" s="962"/>
      <c r="CV4" s="962"/>
      <c r="CW4" s="962"/>
      <c r="CX4" s="963"/>
      <c r="CZ4" s="9" t="s">
        <v>542</v>
      </c>
      <c r="DA4" s="9" t="s">
        <v>541</v>
      </c>
      <c r="DB4" s="9" t="s">
        <v>664</v>
      </c>
      <c r="DC4" s="9" t="s">
        <v>662</v>
      </c>
      <c r="DD4" s="9" t="s">
        <v>663</v>
      </c>
      <c r="DH4" s="260"/>
    </row>
    <row r="5" spans="2:112">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f>Stub</f>
        <v>44377</v>
      </c>
      <c r="CT5" s="331">
        <f>Yr_1</f>
        <v>44742</v>
      </c>
      <c r="CU5" s="331">
        <f>Yr_2</f>
        <v>45107</v>
      </c>
      <c r="CV5" s="331">
        <f>Yr_3</f>
        <v>45473</v>
      </c>
      <c r="CW5" s="331">
        <f>Yr_4</f>
        <v>45838</v>
      </c>
      <c r="CX5" s="331">
        <f>Yr_5</f>
        <v>46203</v>
      </c>
      <c r="CZ5" s="17" t="str">
        <f>NReg_Period</f>
        <v>2022-26</v>
      </c>
      <c r="DA5" s="17" t="str">
        <f>NReg_Period</f>
        <v>2022-26</v>
      </c>
      <c r="DB5" s="17" t="str">
        <f>NReg_Period</f>
        <v>2022-26</v>
      </c>
      <c r="DC5" s="17" t="str">
        <f>NReg_Period</f>
        <v>2022-26</v>
      </c>
      <c r="DD5" s="17" t="str">
        <f>NReg_Period</f>
        <v>2022-26</v>
      </c>
      <c r="DG5" s="260"/>
      <c r="DH5" s="260"/>
    </row>
    <row r="6" spans="2:112">
      <c r="B6" s="75">
        <v>74422206</v>
      </c>
      <c r="C6" s="75" t="s">
        <v>427</v>
      </c>
      <c r="D6" s="75" t="s">
        <v>107</v>
      </c>
      <c r="E6" s="75" t="s">
        <v>44</v>
      </c>
      <c r="F6" s="75" t="s">
        <v>131</v>
      </c>
      <c r="G6" s="75" t="s">
        <v>150</v>
      </c>
      <c r="H6" s="75" t="s">
        <v>176</v>
      </c>
      <c r="I6" s="75" t="s">
        <v>248</v>
      </c>
      <c r="J6" s="128"/>
      <c r="K6" s="128">
        <v>0</v>
      </c>
      <c r="L6" s="128">
        <v>95.63</v>
      </c>
      <c r="M6" s="128">
        <v>2211.4437499999999</v>
      </c>
      <c r="N6" s="128">
        <v>4470.7024999999994</v>
      </c>
      <c r="O6" s="128">
        <v>2665.6862499999997</v>
      </c>
      <c r="P6" s="128">
        <v>119.53750000000001</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9.7856425717456901</v>
      </c>
      <c r="V6" s="128">
        <f>INDEX(Direct_Cost_Splits_Network,MATCH($H6,RIN_Asset_Cat_Network,0),MATCH($S$4,Direct_Cost_Type,0))*M6*HLOOKUP(V$5,Escalators!$I$25:$U$30,3,FALSE)</f>
        <v>228.04950166281753</v>
      </c>
      <c r="W6" s="128">
        <f>INDEX(Direct_Cost_Splits_Network,MATCH($H6,RIN_Asset_Cat_Network,0),MATCH($S$4,Direct_Cost_Type,0))*N6*HLOOKUP(W$5,Escalators!$I$25:$U$30,3,FALSE)</f>
        <v>463.31692308831555</v>
      </c>
      <c r="X6" s="128">
        <f>INDEX(Direct_Cost_Splits_Network,MATCH($H6,RIN_Asset_Cat_Network,0),MATCH($S$4,Direct_Cost_Type,0))*O6*HLOOKUP(X$5,Escalators!$I$25:$U$30,3,FALSE)</f>
        <v>278.0549498730395</v>
      </c>
      <c r="Y6" s="128">
        <f>INDEX(Direct_Cost_Splits_Network,MATCH($H6,RIN_Asset_Cat_Network,0),MATCH($S$4,Direct_Cost_Type,0))*P6*HLOOKUP(Y$5,Escalators!$I$25:$U$30,3,FALSE)</f>
        <v>12.592705194365355</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U$49,MATCH(AB$4,Escalators!$C$44:$C$49,0),MATCH(AB$5,Escalators!$I$43:$U$43,0))</f>
        <v>0</v>
      </c>
      <c r="AC6" s="128">
        <f>INDEX(Direct_Cost_Splits_Network,MATCH($H6,RIN_Asset_Cat_Network,0),MATCH($AG$4,Direct_Cost_Type,0))*$J6*INDEX(Act_Type_Repex_Splits,MATCH($I6,Act_Type_Repex,0),MATCH(AC$4,Mat_Type,0))*INDEX(Escalators!$I$44:$U$49,MATCH(AC$4,Escalators!$C$44:$C$49,0),MATCH(AC$5,Escalators!$I$43:$U$43,0))</f>
        <v>0</v>
      </c>
      <c r="AD6" s="128">
        <f>INDEX(Direct_Cost_Splits_Network,MATCH($H6,RIN_Asset_Cat_Network,0),MATCH($AG$4,Direct_Cost_Type,0))*$J6*INDEX(Act_Type_Repex_Splits,MATCH($I6,Act_Type_Repex,0),MATCH(AD$4,Mat_Type,0))*INDEX(Escalators!$I$44:$U$49,MATCH(AD$4,Escalators!$C$44:$C$49,0),MATCH(AD$5,Escalators!$I$43:$U$43,0))</f>
        <v>0</v>
      </c>
      <c r="AE6" s="128">
        <f>INDEX(Direct_Cost_Splits_Network,MATCH($H6,RIN_Asset_Cat_Network,0),MATCH($AG$4,Direct_Cost_Type,0))*$J6*INDEX(Act_Type_Repex_Splits,MATCH($I6,Act_Type_Repex,0),MATCH(AE$4,Mat_Type,0))*INDEX(Escalators!$I$44:$U$49,MATCH(AE$4,Escalators!$C$44:$C$49,0),MATCH(AE$5,Escalators!$I$43:$U$43,0))</f>
        <v>0</v>
      </c>
      <c r="AF6" s="128">
        <f>INDEX(Direct_Cost_Splits_Network,MATCH($H6,RIN_Asset_Cat_Network,0),MATCH($AG$4,Direct_Cost_Type,0))*$J6*INDEX(Act_Type_Repex_Splits,MATCH($I6,Act_Type_Repex,0),MATCH(AF$4,Mat_Type,0))*INDEX(Escalators!$I$44:$U$49,MATCH(AF$4,Escalators!$C$44:$C$49,0),MATCH(AF$5,Escalators!$I$43:$U$43,0)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 t="shared" ref="AM6:AM17" si="8">SUM(AH6:AL6)</f>
        <v>0</v>
      </c>
      <c r="AN6" s="128">
        <f>INDEX(Direct_Cost_Splits_Network,MATCH($H6,RIN_Asset_Cat_Network,0),MATCH($AY$4,Direct_Cost_Type,0))*$L6*INDEX(Act_Type_Repex_Splits,MATCH($I6,Act_Type_Repex,0),MATCH(AN$4,Mat_Type,0))*INDEX(Escalators!$I$44:$U$49,MATCH(AN$4,Escalators!$C$44:$C$49,0),MATCH(AN$5,Escalators!$I$43:$U$43,0))</f>
        <v>1.0514476501511072</v>
      </c>
      <c r="AO6" s="128">
        <f>INDEX(Direct_Cost_Splits_Network,MATCH($H6,RIN_Asset_Cat_Network,0),MATCH($AY$4,Direct_Cost_Type,0))*$L6*INDEX(Act_Type_Repex_Splits,MATCH($I6,Act_Type_Repex,0),MATCH(AO$4,Mat_Type,0))*INDEX(Escalators!$I$44:$U$49,MATCH(AO$4,Escalators!$C$44:$C$49,0),MATCH(AO$5,Escalators!$I$43:$U$43,0))</f>
        <v>3.1543429504533211</v>
      </c>
      <c r="AP6" s="128">
        <f>INDEX(Direct_Cost_Splits_Network,MATCH($H6,RIN_Asset_Cat_Network,0),MATCH($AY$4,Direct_Cost_Type,0))*$L6*INDEX(Act_Type_Repex_Splits,MATCH($I6,Act_Type_Repex,0),MATCH(AP$4,Mat_Type,0))*INDEX(Escalators!$I$44:$U$49,MATCH(AP$4,Escalators!$C$44:$C$49,0),MATCH(AP$5,Escalators!$I$43:$U$43,0))</f>
        <v>8.4115812012088576</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8.4115812012088576</v>
      </c>
      <c r="AS6" s="128">
        <f t="shared" ref="AS6:AS17" si="9">SUM(AN6:AR6)</f>
        <v>21.028953003022146</v>
      </c>
      <c r="AT6" s="128">
        <f>INDEX(Direct_Cost_Splits_Network,MATCH($H6,RIN_Asset_Cat_Network,0),MATCH($AY$4,Direct_Cost_Type,0))*$M6*INDEX(Act_Type_Repex_Splits,MATCH($I6,Act_Type_Repex,0),MATCH(AT$4,Mat_Type,0))*INDEX(Escalators!$I$44:$U$49,MATCH(AT$4,Escalators!$C$44:$C$49,0),MATCH(AT$5,Escalators!$I$43:$U$43,0))</f>
        <v>24.314726909744351</v>
      </c>
      <c r="AU6" s="128">
        <f>INDEX(Direct_Cost_Splits_Network,MATCH($H6,RIN_Asset_Cat_Network,0),MATCH($AY$4,Direct_Cost_Type,0))*$M6*INDEX(Act_Type_Repex_Splits,MATCH($I6,Act_Type_Repex,0),MATCH(AU$4,Mat_Type,0))*INDEX(Escalators!$I$44:$U$49,MATCH(AU$4,Escalators!$C$44:$C$49,0),MATCH(AU$5,Escalators!$I$43:$U$43,0))</f>
        <v>72.944180729233054</v>
      </c>
      <c r="AV6" s="128">
        <f>INDEX(Direct_Cost_Splits_Network,MATCH($H6,RIN_Asset_Cat_Network,0),MATCH($AY$4,Direct_Cost_Type,0))*$M6*INDEX(Act_Type_Repex_Splits,MATCH($I6,Act_Type_Repex,0),MATCH(AV$4,Mat_Type,0))*INDEX(Escalators!$I$44:$U$49,MATCH(AV$4,Escalators!$C$44:$C$49,0),MATCH(AV$5,Escalators!$I$43:$U$43,0))</f>
        <v>194.51781527795481</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194.51781527795481</v>
      </c>
      <c r="AY6" s="128">
        <f t="shared" ref="AY6:AY17" si="10">SUM(AT6:AX6)</f>
        <v>486.29453819488702</v>
      </c>
      <c r="AZ6" s="128">
        <f>INDEX(Direct_Cost_Splits_Network,MATCH($H6,RIN_Asset_Cat_Network,0),MATCH($BE$4,Direct_Cost_Type,0))*$N6*INDEX(Act_Type_Repex_Splits,MATCH($I6,Act_Type_Repex,0),MATCH(AZ$4,Mat_Type,0))*INDEX(Escalators!$I$44:$U$49,MATCH(AZ$4,Escalators!$C$44:$C$49,0),MATCH(AZ$5,Escalators!$I$43:$U$43,0))</f>
        <v>49.155177644564247</v>
      </c>
      <c r="BA6" s="128">
        <f>INDEX(Direct_Cost_Splits_Network,MATCH($H6,RIN_Asset_Cat_Network,0),MATCH($BE$4,Direct_Cost_Type,0))*$N6*INDEX(Act_Type_Repex_Splits,MATCH($I6,Act_Type_Repex,0),MATCH(BA$4,Mat_Type,0))*INDEX(Escalators!$I$44:$U$49,MATCH(BA$4,Escalators!$C$44:$C$49,0),MATCH(BA$5,Escalators!$I$43:$U$43,0))</f>
        <v>147.46553293369274</v>
      </c>
      <c r="BB6" s="128">
        <f>INDEX(Direct_Cost_Splits_Network,MATCH($H6,RIN_Asset_Cat_Network,0),MATCH($BE$4,Direct_Cost_Type,0))*$N6*INDEX(Act_Type_Repex_Splits,MATCH($I6,Act_Type_Repex,0),MATCH(BB$4,Mat_Type,0))*INDEX(Escalators!$I$44:$U$49,MATCH(BB$4,Escalators!$C$44:$C$49,0),MATCH(BB$5,Escalators!$I$43:$U$43,0))</f>
        <v>393.24142115651398</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393.24142115651398</v>
      </c>
      <c r="BE6" s="128">
        <f>SUM(AZ6:BD6)</f>
        <v>983.10355289128495</v>
      </c>
      <c r="BF6" s="128">
        <f>INDEX(Direct_Cost_Splits_Network,MATCH($H6,RIN_Asset_Cat_Network,0),MATCH($BK$4,Direct_Cost_Type,0))*$O6*INDEX(Act_Type_Repex_Splits,MATCH($I6,Act_Type_Repex,0),MATCH(BF$4,Mat_Type,0))*INDEX(Escalators!$I$44:$U$49,MATCH(BF$4,Escalators!$C$44:$C$49,0),MATCH(BF$5,Escalators!$I$43:$U$43,0))</f>
        <v>29.309103247962106</v>
      </c>
      <c r="BG6" s="128">
        <f>INDEX(Direct_Cost_Splits_Network,MATCH($H6,RIN_Asset_Cat_Network,0),MATCH($BK$4,Direct_Cost_Type,0))*$O6*INDEX(Act_Type_Repex_Splits,MATCH($I6,Act_Type_Repex,0),MATCH(BG$4,Mat_Type,0))*INDEX(Escalators!$I$44:$U$49,MATCH(BG$4,Escalators!$C$44:$C$49,0),MATCH(BG$5,Escalators!$I$43:$U$43,0))</f>
        <v>87.927309743886312</v>
      </c>
      <c r="BH6" s="128">
        <f>INDEX(Direct_Cost_Splits_Network,MATCH($H6,RIN_Asset_Cat_Network,0),MATCH($BK$4,Direct_Cost_Type,0))*$O6*INDEX(Act_Type_Repex_Splits,MATCH($I6,Act_Type_Repex,0),MATCH(BH$4,Mat_Type,0))*INDEX(Escalators!$I$44:$U$49,MATCH(BH$4,Escalators!$C$44:$C$49,0),MATCH(BH$5,Escalators!$I$43:$U$43,0))</f>
        <v>234.47282598369685</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234.47282598369685</v>
      </c>
      <c r="BK6" s="128">
        <f>SUM(BF6:BJ6)</f>
        <v>586.1820649592421</v>
      </c>
      <c r="BL6" s="128">
        <f>INDEX(Direct_Cost_Splits_Network,MATCH($H6,RIN_Asset_Cat_Network,0),MATCH($BQ$4,Direct_Cost_Type,0))*$P6*INDEX(Act_Type_Repex_Splits,MATCH($I6,Act_Type_Repex,0),MATCH(BL$4,Mat_Type,0))*INDEX(Escalators!$I$44:$U$49,MATCH(BL$4,Escalators!$C$44:$C$49,0),MATCH(BL$5,Escalators!$I$43:$U$43,0))</f>
        <v>1.3143095626888841</v>
      </c>
      <c r="BM6" s="128">
        <f>INDEX(Direct_Cost_Splits_Network,MATCH($H6,RIN_Asset_Cat_Network,0),MATCH($BQ$4,Direct_Cost_Type,0))*$P6*INDEX(Act_Type_Repex_Splits,MATCH($I6,Act_Type_Repex,0),MATCH(BM$4,Mat_Type,0))*INDEX(Escalators!$I$44:$U$49,MATCH(BM$4,Escalators!$C$44:$C$49,0),MATCH(BM$5,Escalators!$I$43:$U$43,0))</f>
        <v>3.9429286880666519</v>
      </c>
      <c r="BN6" s="128">
        <f>INDEX(Direct_Cost_Splits_Network,MATCH($H6,RIN_Asset_Cat_Network,0),MATCH($BQ$4,Direct_Cost_Type,0))*$P6*INDEX(Act_Type_Repex_Splits,MATCH($I6,Act_Type_Repex,0),MATCH(BN$4,Mat_Type,0))*INDEX(Escalators!$I$44:$U$49,MATCH(BN$4,Escalators!$C$44:$C$49,0),MATCH(BN$5,Escalators!$I$43:$U$43,0))</f>
        <v>10.514476501511073</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10.514476501511073</v>
      </c>
      <c r="BQ6" s="128">
        <f>SUM(BL6:BP6)</f>
        <v>26.28619125377768</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56.333772302343313</v>
      </c>
      <c r="CB6" s="128">
        <f>INDEX(Direct_Cost_Splits_Network,MATCH($H6,RIN_Asset_Cat_Network,0),MATCH($BY$4,Direct_Cost_Type,0))*M6*HLOOKUP(CB$5,Escalators!$I$25:$U$30,6,FALSE)</f>
        <v>1302.7184844916892</v>
      </c>
      <c r="CC6" s="128">
        <f>INDEX(Direct_Cost_Splits_Network,MATCH($H6,RIN_Asset_Cat_Network,0),MATCH($BY$4,Direct_Cost_Type,0))*N6*HLOOKUP(CC$5,Escalators!$I$25:$U$30,6,FALSE)</f>
        <v>2633.6038551345496</v>
      </c>
      <c r="CD6" s="128">
        <f>INDEX(Direct_Cost_Splits_Network,MATCH($H6,RIN_Asset_Cat_Network,0),MATCH($BY$4,Direct_Cost_Type,0))*O6*HLOOKUP(CD$5,Escalators!$I$25:$U$30,6,FALSE)</f>
        <v>1570.3039029278198</v>
      </c>
      <c r="CE6" s="128">
        <f>INDEX(Direct_Cost_Splits_Network,MATCH($H6,RIN_Asset_Cat_Network,0),MATCH($BY$4,Direct_Cost_Type,0))*P6*HLOOKUP(CE$5,Escalators!$I$25:$U$30,6,FALSE)</f>
        <v>70.417215377929153</v>
      </c>
      <c r="CF6" s="128">
        <f>INDEX(Direct_Cost_Splits_Network,MATCH($H6,RIN_Asset_Cat_Network,0),MATCH($BY$4,Direct_Cost_Type,0))*Q6*HLOOKUP(CF$5,Escalators!$I$25:$U$30,6,FALSE)</f>
        <v>0</v>
      </c>
      <c r="CG6" s="129"/>
      <c r="CH6" s="675">
        <f t="shared" ref="CH6:CH17" si="11">INDEX(Direct_Cost_Splits_Network,MATCH($H6,RIN_Asset_Cat_Network,0),MATCH($CH$4,Direct_Cost_Type,0))*J6</f>
        <v>0</v>
      </c>
      <c r="CI6" s="675">
        <f t="shared" ref="CI6:CJ17" si="12">INDEX(Direct_Cost_Splits_Network,MATCH($H6,RIN_Asset_Cat_Network,0),MATCH($CH$4,Direct_Cost_Type,0))*K6</f>
        <v>0</v>
      </c>
      <c r="CJ6" s="675">
        <f t="shared" si="12"/>
        <v>8.7179322111826654</v>
      </c>
      <c r="CK6" s="675">
        <f t="shared" ref="CK6:CK17" si="13">INDEX(Direct_Cost_Splits_Network,MATCH($H6,RIN_Asset_Cat_Network,0),MATCH($CH$4,Direct_Cost_Type,0))*M6</f>
        <v>201.60218238359914</v>
      </c>
      <c r="CL6" s="675">
        <f t="shared" ref="CL6:CL17" si="14">INDEX(Direct_Cost_Splits_Network,MATCH($H6,RIN_Asset_Cat_Network,0),MATCH($CH$4,Direct_Cost_Type,0))*N6</f>
        <v>407.56333087278961</v>
      </c>
      <c r="CM6" s="675">
        <f t="shared" ref="CM6:CM17" si="15">INDEX(Direct_Cost_Splits_Network,MATCH($H6,RIN_Asset_Cat_Network,0),MATCH($CH$4,Direct_Cost_Type,0))*O6</f>
        <v>243.01236038671681</v>
      </c>
      <c r="CN6" s="675">
        <f t="shared" ref="CN6:CN17" si="16">INDEX(Direct_Cost_Splits_Network,MATCH($H6,RIN_Asset_Cat_Network,0),MATCH($CH$4,Direct_Cost_Type,0))*P6</f>
        <v>10.897415263978333</v>
      </c>
      <c r="CO6" s="675">
        <f t="shared" ref="CO6:CO17" si="17">INDEX(Direct_Cost_Splits_Network,MATCH($H6,RIN_Asset_Cat_Network,0),MATCH($CH$4,Direct_Cost_Type,0))*Q6</f>
        <v>0</v>
      </c>
      <c r="CP6" s="129"/>
      <c r="CQ6" s="128">
        <f t="shared" ref="CQ6:CQ36" si="18">S6+AG6+BY6+CH6</f>
        <v>0</v>
      </c>
      <c r="CR6" s="128">
        <f>T6+AM6+BZ6+CI6</f>
        <v>0</v>
      </c>
      <c r="CS6" s="128">
        <f>U6+AS6+CA6+CJ6</f>
        <v>95.866300088293826</v>
      </c>
      <c r="CT6" s="128">
        <f t="shared" ref="CT6:CT36" si="19">V6+AY6+CB6+CK6</f>
        <v>2218.6647067329927</v>
      </c>
      <c r="CU6" s="128">
        <f t="shared" ref="CU6:CU36" si="20">W6+BE6+CC6+CL6</f>
        <v>4487.5876619869396</v>
      </c>
      <c r="CV6" s="128">
        <f t="shared" ref="CV6:CV36" si="21">X6+BK6+CD6+CM6</f>
        <v>2677.5532781468182</v>
      </c>
      <c r="CW6" s="128">
        <f t="shared" ref="CW6:CW36" si="22">Y6+BQ6+CE6+CN6</f>
        <v>120.19352709005052</v>
      </c>
      <c r="CX6" s="128">
        <f t="shared" ref="CX6:CX36" si="23">Z6+BW6+CF6+CO6</f>
        <v>0</v>
      </c>
      <c r="CY6" s="129"/>
      <c r="CZ6" s="128">
        <f>SUM(M6:Q6)</f>
        <v>9467.3700000000008</v>
      </c>
      <c r="DA6" s="128">
        <f>SUM(CT6:CX6)</f>
        <v>9503.9991739567995</v>
      </c>
      <c r="DB6" s="128">
        <f>DA6*Escalators!$M$17</f>
        <v>10072.187338661084</v>
      </c>
      <c r="DC6" s="128">
        <f>SUMPRODUCT(1+AusNet_Overheads!$K$20:$O$20,CT6:CX6)</f>
        <v>10491.566428075732</v>
      </c>
      <c r="DD6" s="128">
        <f>DC6*Escalators!$M$17</f>
        <v>11118.795425525195</v>
      </c>
      <c r="DG6" s="259"/>
    </row>
    <row r="7" spans="2:112">
      <c r="B7" s="75">
        <v>74422210</v>
      </c>
      <c r="C7" s="75" t="s">
        <v>428</v>
      </c>
      <c r="D7" s="75" t="s">
        <v>107</v>
      </c>
      <c r="E7" s="75" t="s">
        <v>44</v>
      </c>
      <c r="F7" s="75" t="s">
        <v>131</v>
      </c>
      <c r="G7" s="75" t="s">
        <v>150</v>
      </c>
      <c r="H7" s="75" t="s">
        <v>176</v>
      </c>
      <c r="I7" s="75" t="s">
        <v>248</v>
      </c>
      <c r="J7" s="128"/>
      <c r="K7" s="128">
        <v>0</v>
      </c>
      <c r="L7" s="128">
        <v>77.78</v>
      </c>
      <c r="M7" s="128">
        <v>1798.6625000000001</v>
      </c>
      <c r="N7" s="128">
        <v>3636.2150000000001</v>
      </c>
      <c r="O7" s="128">
        <v>2168.1175000000003</v>
      </c>
      <c r="P7" s="128">
        <v>97.225000000000009</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7.9590847979753203</v>
      </c>
      <c r="V7" s="128">
        <f>INDEX(Direct_Cost_Splits_Network,MATCH($H7,RIN_Asset_Cat_Network,0),MATCH($S$4,Direct_Cost_Type,0))*M7*HLOOKUP(V$5,Escalators!$I$25:$U$30,3,FALSE)</f>
        <v>185.48248707867771</v>
      </c>
      <c r="W7" s="128">
        <f>INDEX(Direct_Cost_Splits_Network,MATCH($H7,RIN_Asset_Cat_Network,0),MATCH($S$4,Direct_Cost_Type,0))*N7*HLOOKUP(W$5,Escalators!$I$25:$U$30,3,FALSE)</f>
        <v>376.83561934339838</v>
      </c>
      <c r="X7" s="128">
        <f>INDEX(Direct_Cost_Splits_Network,MATCH($H7,RIN_Asset_Cat_Network,0),MATCH($S$4,Direct_Cost_Type,0))*O7*HLOOKUP(X$5,Escalators!$I$25:$U$30,3,FALSE)</f>
        <v>226.15407300141186</v>
      </c>
      <c r="Y7" s="128">
        <f>INDEX(Direct_Cost_Splits_Network,MATCH($H7,RIN_Asset_Cat_Network,0),MATCH($S$4,Direct_Cost_Type,0))*P7*HLOOKUP(Y$5,Escalators!$I$25:$U$30,3,FALSE)</f>
        <v>10.242189794183178</v>
      </c>
      <c r="Z7" s="128">
        <f>INDEX(Direct_Cost_Splits_Network,MATCH($H7,RIN_Asset_Cat_Network,0),MATCH($S$4,Direct_Cost_Type,0))*Q7*HLOOKUP(Z$5,Escalators!$I$25:$U$30,3,FALSE)</f>
        <v>0</v>
      </c>
      <c r="AA7" s="129"/>
      <c r="AB7" s="128">
        <f>INDEX(Direct_Cost_Splits_Network,MATCH($H7,RIN_Asset_Cat_Network,0),MATCH($AG$4,Direct_Cost_Type,0))*$J7*INDEX(Act_Type_Repex_Splits,MATCH($I7,Act_Type_Repex,0),MATCH(AB$4,Mat_Type,0))*INDEX(Escalators!$I$44:$U$49,MATCH(AB$4,Escalators!$C$44:$C$49,0),MATCH(AB$5,Escalators!$I$43:$U$43,0))</f>
        <v>0</v>
      </c>
      <c r="AC7" s="128">
        <f>INDEX(Direct_Cost_Splits_Network,MATCH($H7,RIN_Asset_Cat_Network,0),MATCH($AG$4,Direct_Cost_Type,0))*$J7*INDEX(Act_Type_Repex_Splits,MATCH($I7,Act_Type_Repex,0),MATCH(AC$4,Mat_Type,0))*INDEX(Escalators!$I$44:$U$49,MATCH(AC$4,Escalators!$C$44:$C$49,0),MATCH(AC$5,Escalators!$I$43:$U$43,0))</f>
        <v>0</v>
      </c>
      <c r="AD7" s="128">
        <f>INDEX(Direct_Cost_Splits_Network,MATCH($H7,RIN_Asset_Cat_Network,0),MATCH($AG$4,Direct_Cost_Type,0))*$J7*INDEX(Act_Type_Repex_Splits,MATCH($I7,Act_Type_Repex,0),MATCH(AD$4,Mat_Type,0))*INDEX(Escalators!$I$44:$U$49,MATCH(AD$4,Escalators!$C$44:$C$49,0),MATCH(AD$5,Escalators!$I$43:$U$43,0))</f>
        <v>0</v>
      </c>
      <c r="AE7" s="128">
        <f>INDEX(Direct_Cost_Splits_Network,MATCH($H7,RIN_Asset_Cat_Network,0),MATCH($AG$4,Direct_Cost_Type,0))*$J7*INDEX(Act_Type_Repex_Splits,MATCH($I7,Act_Type_Repex,0),MATCH(AE$4,Mat_Type,0))*INDEX(Escalators!$I$44:$U$49,MATCH(AE$4,Escalators!$C$44:$C$49,0),MATCH(AE$5,Escalators!$I$43:$U$43,0))</f>
        <v>0</v>
      </c>
      <c r="AF7" s="128">
        <f>INDEX(Direct_Cost_Splits_Network,MATCH($H7,RIN_Asset_Cat_Network,0),MATCH($AG$4,Direct_Cost_Type,0))*$J7*INDEX(Act_Type_Repex_Splits,MATCH($I7,Act_Type_Repex,0),MATCH(AF$4,Mat_Type,0))*INDEX(Escalators!$I$44:$U$49,MATCH(AF$4,Escalators!$C$44:$C$49,0),MATCH(AF$5,Escalators!$I$43:$U$43,0))</f>
        <v>0</v>
      </c>
      <c r="AG7" s="128">
        <f t="shared" ref="AG7:AG17" si="24">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si="8"/>
        <v>0</v>
      </c>
      <c r="AN7" s="128">
        <f>INDEX(Direct_Cost_Splits_Network,MATCH($H7,RIN_Asset_Cat_Network,0),MATCH($AY$4,Direct_Cost_Type,0))*$L7*INDEX(Act_Type_Repex_Splits,MATCH($I7,Act_Type_Repex,0),MATCH(AN$4,Mat_Type,0))*INDEX(Escalators!$I$44:$U$49,MATCH(AN$4,Escalators!$C$44:$C$49,0),MATCH(AN$5,Escalators!$I$43:$U$43,0))</f>
        <v>0.8551876840819107</v>
      </c>
      <c r="AO7" s="128">
        <f>INDEX(Direct_Cost_Splits_Network,MATCH($H7,RIN_Asset_Cat_Network,0),MATCH($AY$4,Direct_Cost_Type,0))*$L7*INDEX(Act_Type_Repex_Splits,MATCH($I7,Act_Type_Repex,0),MATCH(AO$4,Mat_Type,0))*INDEX(Escalators!$I$44:$U$49,MATCH(AO$4,Escalators!$C$44:$C$49,0),MATCH(AO$5,Escalators!$I$43:$U$43,0))</f>
        <v>2.5655630522457318</v>
      </c>
      <c r="AP7" s="128">
        <f>INDEX(Direct_Cost_Splits_Network,MATCH($H7,RIN_Asset_Cat_Network,0),MATCH($AY$4,Direct_Cost_Type,0))*$L7*INDEX(Act_Type_Repex_Splits,MATCH($I7,Act_Type_Repex,0),MATCH(AP$4,Mat_Type,0))*INDEX(Escalators!$I$44:$U$49,MATCH(AP$4,Escalators!$C$44:$C$49,0),MATCH(AP$5,Escalators!$I$43:$U$43,0))</f>
        <v>6.8415014726552856</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6.8415014726552856</v>
      </c>
      <c r="AS7" s="128">
        <f t="shared" si="9"/>
        <v>17.103753681638214</v>
      </c>
      <c r="AT7" s="128">
        <f>INDEX(Direct_Cost_Splits_Network,MATCH($H7,RIN_Asset_Cat_Network,0),MATCH($AY$4,Direct_Cost_Type,0))*$M7*INDEX(Act_Type_Repex_Splits,MATCH($I7,Act_Type_Repex,0),MATCH(AT$4,Mat_Type,0))*INDEX(Escalators!$I$44:$U$49,MATCH(AT$4,Escalators!$C$44:$C$49,0),MATCH(AT$5,Escalators!$I$43:$U$43,0))</f>
        <v>19.776215194394183</v>
      </c>
      <c r="AU7" s="128">
        <f>INDEX(Direct_Cost_Splits_Network,MATCH($H7,RIN_Asset_Cat_Network,0),MATCH($AY$4,Direct_Cost_Type,0))*$M7*INDEX(Act_Type_Repex_Splits,MATCH($I7,Act_Type_Repex,0),MATCH(AU$4,Mat_Type,0))*INDEX(Escalators!$I$44:$U$49,MATCH(AU$4,Escalators!$C$44:$C$49,0),MATCH(AU$5,Escalators!$I$43:$U$43,0))</f>
        <v>59.328645583182549</v>
      </c>
      <c r="AV7" s="128">
        <f>INDEX(Direct_Cost_Splits_Network,MATCH($H7,RIN_Asset_Cat_Network,0),MATCH($AY$4,Direct_Cost_Type,0))*$M7*INDEX(Act_Type_Repex_Splits,MATCH($I7,Act_Type_Repex,0),MATCH(AV$4,Mat_Type,0))*INDEX(Escalators!$I$44:$U$49,MATCH(AV$4,Escalators!$C$44:$C$49,0),MATCH(AV$5,Escalators!$I$43:$U$43,0))</f>
        <v>158.20972155515346</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158.20972155515346</v>
      </c>
      <c r="AY7" s="128">
        <f t="shared" si="10"/>
        <v>395.52430388788366</v>
      </c>
      <c r="AZ7" s="128">
        <f>INDEX(Direct_Cost_Splits_Network,MATCH($H7,RIN_Asset_Cat_Network,0),MATCH($BE$4,Direct_Cost_Type,0))*$N7*INDEX(Act_Type_Repex_Splits,MATCH($I7,Act_Type_Repex,0),MATCH(AZ$4,Mat_Type,0))*INDEX(Escalators!$I$44:$U$49,MATCH(AZ$4,Escalators!$C$44:$C$49,0),MATCH(AZ$5,Escalators!$I$43:$U$43,0))</f>
        <v>39.980024230829322</v>
      </c>
      <c r="BA7" s="128">
        <f>INDEX(Direct_Cost_Splits_Network,MATCH($H7,RIN_Asset_Cat_Network,0),MATCH($BE$4,Direct_Cost_Type,0))*$N7*INDEX(Act_Type_Repex_Splits,MATCH($I7,Act_Type_Repex,0),MATCH(BA$4,Mat_Type,0))*INDEX(Escalators!$I$44:$U$49,MATCH(BA$4,Escalators!$C$44:$C$49,0),MATCH(BA$5,Escalators!$I$43:$U$43,0))</f>
        <v>119.94007269248796</v>
      </c>
      <c r="BB7" s="128">
        <f>INDEX(Direct_Cost_Splits_Network,MATCH($H7,RIN_Asset_Cat_Network,0),MATCH($BE$4,Direct_Cost_Type,0))*$N7*INDEX(Act_Type_Repex_Splits,MATCH($I7,Act_Type_Repex,0),MATCH(BB$4,Mat_Type,0))*INDEX(Escalators!$I$44:$U$49,MATCH(BB$4,Escalators!$C$44:$C$49,0),MATCH(BB$5,Escalators!$I$43:$U$43,0))</f>
        <v>319.84019384663458</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319.84019384663458</v>
      </c>
      <c r="BE7" s="128">
        <f t="shared" ref="BE7:BE17" si="25">SUM(AZ7:BD7)</f>
        <v>799.60048461658653</v>
      </c>
      <c r="BF7" s="128">
        <f>INDEX(Direct_Cost_Splits_Network,MATCH($H7,RIN_Asset_Cat_Network,0),MATCH($BK$4,Direct_Cost_Type,0))*$O7*INDEX(Act_Type_Repex_Splits,MATCH($I7,Act_Type_Repex,0),MATCH(BF$4,Mat_Type,0))*INDEX(Escalators!$I$44:$U$49,MATCH(BF$4,Escalators!$C$44:$C$49,0),MATCH(BF$5,Escalators!$I$43:$U$43,0))</f>
        <v>23.838356693783261</v>
      </c>
      <c r="BG7" s="128">
        <f>INDEX(Direct_Cost_Splits_Network,MATCH($H7,RIN_Asset_Cat_Network,0),MATCH($BK$4,Direct_Cost_Type,0))*$O7*INDEX(Act_Type_Repex_Splits,MATCH($I7,Act_Type_Repex,0),MATCH(BG$4,Mat_Type,0))*INDEX(Escalators!$I$44:$U$49,MATCH(BG$4,Escalators!$C$44:$C$49,0),MATCH(BG$5,Escalators!$I$43:$U$43,0))</f>
        <v>71.515070081349776</v>
      </c>
      <c r="BH7" s="128">
        <f>INDEX(Direct_Cost_Splits_Network,MATCH($H7,RIN_Asset_Cat_Network,0),MATCH($BK$4,Direct_Cost_Type,0))*$O7*INDEX(Act_Type_Repex_Splits,MATCH($I7,Act_Type_Repex,0),MATCH(BH$4,Mat_Type,0))*INDEX(Escalators!$I$44:$U$49,MATCH(BH$4,Escalators!$C$44:$C$49,0),MATCH(BH$5,Escalators!$I$43:$U$43,0))</f>
        <v>190.70685355026609</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190.70685355026609</v>
      </c>
      <c r="BK7" s="128">
        <f t="shared" ref="BK7:BK17" si="26">SUM(BF7:BJ7)</f>
        <v>476.76713387566525</v>
      </c>
      <c r="BL7" s="128">
        <f>INDEX(Direct_Cost_Splits_Network,MATCH($H7,RIN_Asset_Cat_Network,0),MATCH($BQ$4,Direct_Cost_Type,0))*$P7*INDEX(Act_Type_Repex_Splits,MATCH($I7,Act_Type_Repex,0),MATCH(BL$4,Mat_Type,0))*INDEX(Escalators!$I$44:$U$49,MATCH(BL$4,Escalators!$C$44:$C$49,0),MATCH(BL$5,Escalators!$I$43:$U$43,0))</f>
        <v>1.0689846051023884</v>
      </c>
      <c r="BM7" s="128">
        <f>INDEX(Direct_Cost_Splits_Network,MATCH($H7,RIN_Asset_Cat_Network,0),MATCH($BQ$4,Direct_Cost_Type,0))*$P7*INDEX(Act_Type_Repex_Splits,MATCH($I7,Act_Type_Repex,0),MATCH(BM$4,Mat_Type,0))*INDEX(Escalators!$I$44:$U$49,MATCH(BM$4,Escalators!$C$44:$C$49,0),MATCH(BM$5,Escalators!$I$43:$U$43,0))</f>
        <v>3.2069538153071648</v>
      </c>
      <c r="BN7" s="128">
        <f>INDEX(Direct_Cost_Splits_Network,MATCH($H7,RIN_Asset_Cat_Network,0),MATCH($BQ$4,Direct_Cost_Type,0))*$P7*INDEX(Act_Type_Repex_Splits,MATCH($I7,Act_Type_Repex,0),MATCH(BN$4,Mat_Type,0))*INDEX(Escalators!$I$44:$U$49,MATCH(BN$4,Escalators!$C$44:$C$49,0),MATCH(BN$5,Escalators!$I$43:$U$43,0))</f>
        <v>8.5518768408191068</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8.5518768408191068</v>
      </c>
      <c r="BQ7" s="128">
        <f t="shared" ref="BQ7:BQ17" si="27">SUM(BL7:BP7)</f>
        <v>21.37969210204777</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0</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0</v>
      </c>
      <c r="BW7" s="128">
        <f t="shared" ref="BW7:BW17" si="28">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45.818684614412454</v>
      </c>
      <c r="CB7" s="128">
        <f>INDEX(Direct_Cost_Splits_Network,MATCH($H7,RIN_Asset_Cat_Network,0),MATCH($BY$4,Direct_Cost_Type,0))*M7*HLOOKUP(CB$5,Escalators!$I$25:$U$30,6,FALSE)</f>
        <v>1059.557081708288</v>
      </c>
      <c r="CC7" s="128">
        <f>INDEX(Direct_Cost_Splits_Network,MATCH($H7,RIN_Asset_Cat_Network,0),MATCH($BY$4,Direct_Cost_Type,0))*N7*HLOOKUP(CC$5,Escalators!$I$25:$U$30,6,FALSE)</f>
        <v>2142.0235057237824</v>
      </c>
      <c r="CD7" s="128">
        <f>INDEX(Direct_Cost_Splits_Network,MATCH($H7,RIN_Asset_Cat_Network,0),MATCH($BY$4,Direct_Cost_Type,0))*O7*HLOOKUP(CD$5,Escalators!$I$25:$U$30,6,FALSE)</f>
        <v>1277.1958336267473</v>
      </c>
      <c r="CE7" s="128">
        <f>INDEX(Direct_Cost_Splits_Network,MATCH($H7,RIN_Asset_Cat_Network,0),MATCH($BY$4,Direct_Cost_Type,0))*P7*HLOOKUP(CE$5,Escalators!$I$25:$U$30,6,FALSE)</f>
        <v>57.273355768015577</v>
      </c>
      <c r="CF7" s="128">
        <f>INDEX(Direct_Cost_Splits_Network,MATCH($H7,RIN_Asset_Cat_Network,0),MATCH($BY$4,Direct_Cost_Type,0))*Q7*HLOOKUP(CF$5,Escalators!$I$25:$U$30,6,FALSE)</f>
        <v>0</v>
      </c>
      <c r="CG7" s="129"/>
      <c r="CH7" s="675">
        <f t="shared" si="11"/>
        <v>0</v>
      </c>
      <c r="CI7" s="675">
        <f t="shared" si="12"/>
        <v>0</v>
      </c>
      <c r="CJ7" s="675">
        <f t="shared" si="12"/>
        <v>7.0906699507036262</v>
      </c>
      <c r="CK7" s="675">
        <f t="shared" si="13"/>
        <v>163.97174261002138</v>
      </c>
      <c r="CL7" s="675">
        <f t="shared" si="14"/>
        <v>331.48882019539457</v>
      </c>
      <c r="CM7" s="675">
        <f t="shared" si="15"/>
        <v>197.6524248758636</v>
      </c>
      <c r="CN7" s="675">
        <f t="shared" si="16"/>
        <v>8.8633374383795331</v>
      </c>
      <c r="CO7" s="675">
        <f t="shared" si="17"/>
        <v>0</v>
      </c>
      <c r="CP7" s="129"/>
      <c r="CQ7" s="128">
        <f t="shared" si="18"/>
        <v>0</v>
      </c>
      <c r="CR7" s="128">
        <f t="shared" ref="CR7:CR36" si="29">T7+AM7+BZ7+CI7</f>
        <v>0</v>
      </c>
      <c r="CS7" s="128">
        <f t="shared" ref="CS7:CS36" si="30">U7+AS7+CA7+CJ7</f>
        <v>77.972193044729622</v>
      </c>
      <c r="CT7" s="128">
        <f t="shared" si="19"/>
        <v>1804.5356152848708</v>
      </c>
      <c r="CU7" s="128">
        <f t="shared" si="20"/>
        <v>3649.9484298791617</v>
      </c>
      <c r="CV7" s="128">
        <f t="shared" si="21"/>
        <v>2177.769465379688</v>
      </c>
      <c r="CW7" s="128">
        <f t="shared" si="22"/>
        <v>97.758575102626054</v>
      </c>
      <c r="CX7" s="128">
        <f t="shared" si="23"/>
        <v>0</v>
      </c>
      <c r="CY7" s="129"/>
      <c r="CZ7" s="128">
        <f t="shared" ref="CZ7:CZ10" si="31">SUM(M7:Q7)</f>
        <v>7700.2200000000012</v>
      </c>
      <c r="DA7" s="128">
        <f t="shared" ref="DA7:DA10" si="32">SUM(CT7:CX7)</f>
        <v>7730.0120856463463</v>
      </c>
      <c r="DB7" s="128">
        <f>DA7*Escalators!$M$17</f>
        <v>8192.1440050304245</v>
      </c>
      <c r="DC7" s="128">
        <f>SUMPRODUCT(1+AusNet_Overheads!$K$20:$O$20,CT7:CX7)</f>
        <v>8533.2430908264196</v>
      </c>
      <c r="DD7" s="128">
        <f>DC7*Escalators!$M$17</f>
        <v>9043.395463738887</v>
      </c>
      <c r="DE7" s="157"/>
      <c r="DF7" s="157"/>
      <c r="DG7" s="201"/>
      <c r="DH7" s="258"/>
    </row>
    <row r="8" spans="2:112">
      <c r="B8" s="75">
        <v>74422209</v>
      </c>
      <c r="C8" s="75" t="s">
        <v>429</v>
      </c>
      <c r="D8" s="75" t="s">
        <v>107</v>
      </c>
      <c r="E8" s="75" t="s">
        <v>44</v>
      </c>
      <c r="F8" s="75" t="s">
        <v>131</v>
      </c>
      <c r="G8" s="75" t="s">
        <v>150</v>
      </c>
      <c r="H8" s="75" t="s">
        <v>176</v>
      </c>
      <c r="I8" s="75" t="s">
        <v>248</v>
      </c>
      <c r="J8" s="128"/>
      <c r="K8" s="128">
        <v>0</v>
      </c>
      <c r="L8" s="128">
        <v>0</v>
      </c>
      <c r="M8" s="128">
        <v>128.31</v>
      </c>
      <c r="N8" s="128">
        <v>2967.1687500000003</v>
      </c>
      <c r="O8" s="128">
        <v>5998.4924999999994</v>
      </c>
      <c r="P8" s="128">
        <v>3576.6412499999997</v>
      </c>
      <c r="Q8" s="128">
        <v>160.38750000000002</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13.231641798872849</v>
      </c>
      <c r="W8" s="128">
        <f>INDEX(Direct_Cost_Splits_Network,MATCH($H8,RIN_Asset_Cat_Network,0),MATCH($S$4,Direct_Cost_Type,0))*N8*HLOOKUP(W$5,Escalators!$I$25:$U$30,3,FALSE)</f>
        <v>307.49965928929595</v>
      </c>
      <c r="X8" s="128">
        <f>INDEX(Direct_Cost_Splits_Network,MATCH($H8,RIN_Asset_Cat_Network,0),MATCH($S$4,Direct_Cost_Type,0))*O8*HLOOKUP(X$5,Escalators!$I$25:$U$30,3,FALSE)</f>
        <v>625.69649050082444</v>
      </c>
      <c r="Y8" s="128">
        <f>INDEX(Direct_Cost_Splits_Network,MATCH($H8,RIN_Asset_Cat_Network,0),MATCH($S$4,Direct_Cost_Type,0))*P8*HLOOKUP(Y$5,Escalators!$I$25:$U$30,3,FALSE)</f>
        <v>376.78208802473193</v>
      </c>
      <c r="Z8" s="128">
        <f>INDEX(Direct_Cost_Splits_Network,MATCH($H8,RIN_Asset_Cat_Network,0),MATCH($S$4,Direct_Cost_Type,0))*Q8*HLOOKUP(Z$5,Escalators!$I$25:$U$30,3,FALSE)</f>
        <v>17.116980874403605</v>
      </c>
      <c r="AA8" s="129"/>
      <c r="AB8" s="128">
        <f>INDEX(Direct_Cost_Splits_Network,MATCH($H8,RIN_Asset_Cat_Network,0),MATCH($AG$4,Direct_Cost_Type,0))*$J8*INDEX(Act_Type_Repex_Splits,MATCH($I8,Act_Type_Repex,0),MATCH(AB$4,Mat_Type,0))*INDEX(Escalators!$I$44:$U$49,MATCH(AB$4,Escalators!$C$44:$C$49,0),MATCH(AB$5,Escalators!$I$43:$U$43,0))</f>
        <v>0</v>
      </c>
      <c r="AC8" s="128">
        <f>INDEX(Direct_Cost_Splits_Network,MATCH($H8,RIN_Asset_Cat_Network,0),MATCH($AG$4,Direct_Cost_Type,0))*$J8*INDEX(Act_Type_Repex_Splits,MATCH($I8,Act_Type_Repex,0),MATCH(AC$4,Mat_Type,0))*INDEX(Escalators!$I$44:$U$49,MATCH(AC$4,Escalators!$C$44:$C$49,0),MATCH(AC$5,Escalators!$I$43:$U$43,0))</f>
        <v>0</v>
      </c>
      <c r="AD8" s="128">
        <f>INDEX(Direct_Cost_Splits_Network,MATCH($H8,RIN_Asset_Cat_Network,0),MATCH($AG$4,Direct_Cost_Type,0))*$J8*INDEX(Act_Type_Repex_Splits,MATCH($I8,Act_Type_Repex,0),MATCH(AD$4,Mat_Type,0))*INDEX(Escalators!$I$44:$U$49,MATCH(AD$4,Escalators!$C$44:$C$49,0),MATCH(AD$5,Escalators!$I$43:$U$43,0))</f>
        <v>0</v>
      </c>
      <c r="AE8" s="128">
        <f>INDEX(Direct_Cost_Splits_Network,MATCH($H8,RIN_Asset_Cat_Network,0),MATCH($AG$4,Direct_Cost_Type,0))*$J8*INDEX(Act_Type_Repex_Splits,MATCH($I8,Act_Type_Repex,0),MATCH(AE$4,Mat_Type,0))*INDEX(Escalators!$I$44:$U$49,MATCH(AE$4,Escalators!$C$44:$C$49,0),MATCH(AE$5,Escalators!$I$43:$U$43,0))</f>
        <v>0</v>
      </c>
      <c r="AF8" s="128">
        <f>INDEX(Direct_Cost_Splits_Network,MATCH($H8,RIN_Asset_Cat_Network,0),MATCH($AG$4,Direct_Cost_Type,0))*$J8*INDEX(Act_Type_Repex_Splits,MATCH($I8,Act_Type_Repex,0),MATCH(AF$4,Mat_Type,0))*INDEX(Escalators!$I$44:$U$49,MATCH(AF$4,Escalators!$C$44:$C$49,0),MATCH(AF$5,Escalators!$I$43:$U$43,0))</f>
        <v>0</v>
      </c>
      <c r="AG8" s="128">
        <f t="shared" si="24"/>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8"/>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9"/>
        <v>0</v>
      </c>
      <c r="AT8" s="128">
        <f>INDEX(Direct_Cost_Splits_Network,MATCH($H8,RIN_Asset_Cat_Network,0),MATCH($AY$4,Direct_Cost_Type,0))*$M8*INDEX(Act_Type_Repex_Splits,MATCH($I8,Act_Type_Repex,0),MATCH(AT$4,Mat_Type,0))*INDEX(Escalators!$I$44:$U$49,MATCH(AT$4,Escalators!$C$44:$C$49,0),MATCH(AT$5,Escalators!$I$43:$U$43,0))</f>
        <v>1.4107628149209301</v>
      </c>
      <c r="AU8" s="128">
        <f>INDEX(Direct_Cost_Splits_Network,MATCH($H8,RIN_Asset_Cat_Network,0),MATCH($AY$4,Direct_Cost_Type,0))*$M8*INDEX(Act_Type_Repex_Splits,MATCH($I8,Act_Type_Repex,0),MATCH(AU$4,Mat_Type,0))*INDEX(Escalators!$I$44:$U$49,MATCH(AU$4,Escalators!$C$44:$C$49,0),MATCH(AU$5,Escalators!$I$43:$U$43,0))</f>
        <v>4.2322884447627898</v>
      </c>
      <c r="AV8" s="128">
        <f>INDEX(Direct_Cost_Splits_Network,MATCH($H8,RIN_Asset_Cat_Network,0),MATCH($AY$4,Direct_Cost_Type,0))*$M8*INDEX(Act_Type_Repex_Splits,MATCH($I8,Act_Type_Repex,0),MATCH(AV$4,Mat_Type,0))*INDEX(Escalators!$I$44:$U$49,MATCH(AV$4,Escalators!$C$44:$C$49,0),MATCH(AV$5,Escalators!$I$43:$U$43,0))</f>
        <v>11.286102519367441</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11.286102519367441</v>
      </c>
      <c r="AY8" s="128">
        <f t="shared" si="10"/>
        <v>28.215256298418602</v>
      </c>
      <c r="AZ8" s="128">
        <f>INDEX(Direct_Cost_Splits_Network,MATCH($H8,RIN_Asset_Cat_Network,0),MATCH($BE$4,Direct_Cost_Type,0))*$N8*INDEX(Act_Type_Repex_Splits,MATCH($I8,Act_Type_Repex,0),MATCH(AZ$4,Mat_Type,0))*INDEX(Escalators!$I$44:$U$49,MATCH(AZ$4,Escalators!$C$44:$C$49,0),MATCH(AZ$5,Escalators!$I$43:$U$43,0))</f>
        <v>32.623890095046512</v>
      </c>
      <c r="BA8" s="128">
        <f>INDEX(Direct_Cost_Splits_Network,MATCH($H8,RIN_Asset_Cat_Network,0),MATCH($BE$4,Direct_Cost_Type,0))*$N8*INDEX(Act_Type_Repex_Splits,MATCH($I8,Act_Type_Repex,0),MATCH(BA$4,Mat_Type,0))*INDEX(Escalators!$I$44:$U$49,MATCH(BA$4,Escalators!$C$44:$C$49,0),MATCH(BA$5,Escalators!$I$43:$U$43,0))</f>
        <v>97.87167028513953</v>
      </c>
      <c r="BB8" s="128">
        <f>INDEX(Direct_Cost_Splits_Network,MATCH($H8,RIN_Asset_Cat_Network,0),MATCH($BE$4,Direct_Cost_Type,0))*$N8*INDEX(Act_Type_Repex_Splits,MATCH($I8,Act_Type_Repex,0),MATCH(BB$4,Mat_Type,0))*INDEX(Escalators!$I$44:$U$49,MATCH(BB$4,Escalators!$C$44:$C$49,0),MATCH(BB$5,Escalators!$I$43:$U$43,0))</f>
        <v>260.9911207603721</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260.9911207603721</v>
      </c>
      <c r="BE8" s="128">
        <f t="shared" si="25"/>
        <v>652.47780190093022</v>
      </c>
      <c r="BF8" s="128">
        <f>INDEX(Direct_Cost_Splits_Network,MATCH($H8,RIN_Asset_Cat_Network,0),MATCH($BK$4,Direct_Cost_Type,0))*$O8*INDEX(Act_Type_Repex_Splits,MATCH($I8,Act_Type_Repex,0),MATCH(BF$4,Mat_Type,0))*INDEX(Escalators!$I$44:$U$49,MATCH(BF$4,Escalators!$C$44:$C$49,0),MATCH(BF$5,Escalators!$I$43:$U$43,0))</f>
        <v>65.953161597553489</v>
      </c>
      <c r="BG8" s="128">
        <f>INDEX(Direct_Cost_Splits_Network,MATCH($H8,RIN_Asset_Cat_Network,0),MATCH($BK$4,Direct_Cost_Type,0))*$O8*INDEX(Act_Type_Repex_Splits,MATCH($I8,Act_Type_Repex,0),MATCH(BG$4,Mat_Type,0))*INDEX(Escalators!$I$44:$U$49,MATCH(BG$4,Escalators!$C$44:$C$49,0),MATCH(BG$5,Escalators!$I$43:$U$43,0))</f>
        <v>197.85948479266042</v>
      </c>
      <c r="BH8" s="128">
        <f>INDEX(Direct_Cost_Splits_Network,MATCH($H8,RIN_Asset_Cat_Network,0),MATCH($BK$4,Direct_Cost_Type,0))*$O8*INDEX(Act_Type_Repex_Splits,MATCH($I8,Act_Type_Repex,0),MATCH(BH$4,Mat_Type,0))*INDEX(Escalators!$I$44:$U$49,MATCH(BH$4,Escalators!$C$44:$C$49,0),MATCH(BH$5,Escalators!$I$43:$U$43,0))</f>
        <v>527.62529278042791</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527.62529278042791</v>
      </c>
      <c r="BK8" s="128">
        <f t="shared" si="26"/>
        <v>1319.0632319510696</v>
      </c>
      <c r="BL8" s="128">
        <f>INDEX(Direct_Cost_Splits_Network,MATCH($H8,RIN_Asset_Cat_Network,0),MATCH($BQ$4,Direct_Cost_Type,0))*$P8*INDEX(Act_Type_Repex_Splits,MATCH($I8,Act_Type_Repex,0),MATCH(BL$4,Mat_Type,0))*INDEX(Escalators!$I$44:$U$49,MATCH(BL$4,Escalators!$C$44:$C$49,0),MATCH(BL$5,Escalators!$I$43:$U$43,0))</f>
        <v>39.325013465920932</v>
      </c>
      <c r="BM8" s="128">
        <f>INDEX(Direct_Cost_Splits_Network,MATCH($H8,RIN_Asset_Cat_Network,0),MATCH($BQ$4,Direct_Cost_Type,0))*$P8*INDEX(Act_Type_Repex_Splits,MATCH($I8,Act_Type_Repex,0),MATCH(BM$4,Mat_Type,0))*INDEX(Escalators!$I$44:$U$49,MATCH(BM$4,Escalators!$C$44:$C$49,0),MATCH(BM$5,Escalators!$I$43:$U$43,0))</f>
        <v>117.97504039776277</v>
      </c>
      <c r="BN8" s="128">
        <f>INDEX(Direct_Cost_Splits_Network,MATCH($H8,RIN_Asset_Cat_Network,0),MATCH($BQ$4,Direct_Cost_Type,0))*$P8*INDEX(Act_Type_Repex_Splits,MATCH($I8,Act_Type_Repex,0),MATCH(BN$4,Mat_Type,0))*INDEX(Escalators!$I$44:$U$49,MATCH(BN$4,Escalators!$C$44:$C$49,0),MATCH(BN$5,Escalators!$I$43:$U$43,0))</f>
        <v>314.60010772736746</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314.60010772736746</v>
      </c>
      <c r="BQ8" s="128">
        <f t="shared" si="27"/>
        <v>786.50026931841865</v>
      </c>
      <c r="BR8" s="128">
        <f>INDEX(Direct_Cost_Splits_Network,MATCH($H8,RIN_Asset_Cat_Network,0),MATCH($BW$4,Direct_Cost_Type,0))*$Q8*INDEX(Act_Type_Repex_Splits,MATCH($I8,Act_Type_Repex,0),MATCH(BR$4,Mat_Type,0))*INDEX(Escalators!$I$44:$U$49,MATCH(BR$4,Escalators!$C$44:$C$49,0),MATCH(BR$5,Escalators!$I$43:$U$43,0))</f>
        <v>1.7634535186511628</v>
      </c>
      <c r="BS8" s="128">
        <f>INDEX(Direct_Cost_Splits_Network,MATCH($H8,RIN_Asset_Cat_Network,0),MATCH($BW$4,Direct_Cost_Type,0))*$Q8*INDEX(Act_Type_Repex_Splits,MATCH($I8,Act_Type_Repex,0),MATCH(BS$4,Mat_Type,0))*INDEX(Escalators!$I$44:$U$49,MATCH(BS$4,Escalators!$C$44:$C$49,0),MATCH(BS$5,Escalators!$I$43:$U$43,0))</f>
        <v>5.2903605559534883</v>
      </c>
      <c r="BT8" s="128">
        <f>INDEX(Direct_Cost_Splits_Network,MATCH($H8,RIN_Asset_Cat_Network,0),MATCH($BW$4,Direct_Cost_Type,0))*$Q8*INDEX(Act_Type_Repex_Splits,MATCH($I8,Act_Type_Repex,0),MATCH(BT$4,Mat_Type,0))*INDEX(Escalators!$I$44:$U$49,MATCH(BT$4,Escalators!$C$44:$C$49,0),MATCH(BT$5,Escalators!$I$43:$U$43,0))</f>
        <v>14.107628149209303</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14.107628149209303</v>
      </c>
      <c r="BW8" s="128">
        <f t="shared" si="28"/>
        <v>35.269070373023254</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75.584924439126539</v>
      </c>
      <c r="CC8" s="128">
        <f>INDEX(Direct_Cost_Splits_Network,MATCH($H8,RIN_Asset_Cat_Network,0),MATCH($BY$4,Direct_Cost_Type,0))*N8*HLOOKUP(CC$5,Escalators!$I$25:$U$30,6,FALSE)</f>
        <v>1747.9013776548013</v>
      </c>
      <c r="CD8" s="128">
        <f>INDEX(Direct_Cost_Splits_Network,MATCH($H8,RIN_Asset_Cat_Network,0),MATCH($BY$4,Direct_Cost_Type,0))*O8*HLOOKUP(CD$5,Escalators!$I$25:$U$30,6,FALSE)</f>
        <v>3533.5952175291654</v>
      </c>
      <c r="CE8" s="128">
        <f>INDEX(Direct_Cost_Splits_Network,MATCH($H8,RIN_Asset_Cat_Network,0),MATCH($BY$4,Direct_Cost_Type,0))*P8*HLOOKUP(CE$5,Escalators!$I$25:$U$30,6,FALSE)</f>
        <v>2106.929768740652</v>
      </c>
      <c r="CF8" s="128">
        <f>INDEX(Direct_Cost_Splits_Network,MATCH($H8,RIN_Asset_Cat_Network,0),MATCH($BY$4,Direct_Cost_Type,0))*Q8*HLOOKUP(CF$5,Escalators!$I$25:$U$30,6,FALSE)</f>
        <v>94.481155548908177</v>
      </c>
      <c r="CG8" s="129"/>
      <c r="CH8" s="675">
        <f t="shared" si="11"/>
        <v>0</v>
      </c>
      <c r="CI8" s="675">
        <f t="shared" si="12"/>
        <v>0</v>
      </c>
      <c r="CJ8" s="675">
        <f t="shared" si="12"/>
        <v>0</v>
      </c>
      <c r="CK8" s="675">
        <f t="shared" si="13"/>
        <v>11.697144013561099</v>
      </c>
      <c r="CL8" s="675">
        <f t="shared" si="14"/>
        <v>270.49645531360045</v>
      </c>
      <c r="CM8" s="675">
        <f t="shared" si="15"/>
        <v>546.84148263398129</v>
      </c>
      <c r="CN8" s="675">
        <f t="shared" si="16"/>
        <v>326.0578893780156</v>
      </c>
      <c r="CO8" s="675">
        <f t="shared" si="17"/>
        <v>14.621430016951376</v>
      </c>
      <c r="CP8" s="129"/>
      <c r="CQ8" s="128">
        <f t="shared" si="18"/>
        <v>0</v>
      </c>
      <c r="CR8" s="128">
        <f t="shared" si="29"/>
        <v>0</v>
      </c>
      <c r="CS8" s="128">
        <f t="shared" si="30"/>
        <v>0</v>
      </c>
      <c r="CT8" s="128">
        <f t="shared" si="19"/>
        <v>128.72896654997908</v>
      </c>
      <c r="CU8" s="128">
        <f t="shared" si="20"/>
        <v>2978.3752941586281</v>
      </c>
      <c r="CV8" s="128">
        <f t="shared" si="21"/>
        <v>6025.1964226150412</v>
      </c>
      <c r="CW8" s="128">
        <f t="shared" si="22"/>
        <v>3596.2700154618183</v>
      </c>
      <c r="CX8" s="128">
        <f t="shared" si="23"/>
        <v>161.4886368132864</v>
      </c>
      <c r="CY8" s="129"/>
      <c r="CZ8" s="128">
        <f t="shared" si="31"/>
        <v>12831</v>
      </c>
      <c r="DA8" s="128">
        <f t="shared" si="32"/>
        <v>12890.059335598753</v>
      </c>
      <c r="DB8" s="128">
        <f>DA8*Escalators!$M$17</f>
        <v>13660.680105105197</v>
      </c>
      <c r="DC8" s="128">
        <f>SUMPRODUCT(1+AusNet_Overheads!$K$20:$O$20,CT8:CX8)</f>
        <v>14383.121695141352</v>
      </c>
      <c r="DD8" s="128">
        <f>DC8*Escalators!$M$17</f>
        <v>15243.003874116581</v>
      </c>
      <c r="DE8" s="157"/>
      <c r="DF8" s="157"/>
      <c r="DG8" s="201"/>
      <c r="DH8" s="258"/>
    </row>
    <row r="9" spans="2:112">
      <c r="B9" s="75">
        <v>74429461</v>
      </c>
      <c r="C9" s="75" t="s">
        <v>430</v>
      </c>
      <c r="D9" s="75" t="s">
        <v>107</v>
      </c>
      <c r="E9" s="75" t="s">
        <v>44</v>
      </c>
      <c r="F9" s="75" t="s">
        <v>131</v>
      </c>
      <c r="G9" s="75" t="s">
        <v>150</v>
      </c>
      <c r="H9" s="75" t="s">
        <v>176</v>
      </c>
      <c r="I9" s="75" t="s">
        <v>248</v>
      </c>
      <c r="J9" s="128"/>
      <c r="K9" s="128">
        <v>1070</v>
      </c>
      <c r="L9" s="128">
        <v>2260.8962500000002</v>
      </c>
      <c r="M9" s="128">
        <v>6454.7725000000009</v>
      </c>
      <c r="N9" s="128">
        <v>3848.7012499999996</v>
      </c>
      <c r="O9" s="128">
        <v>172.58750000000001</v>
      </c>
      <c r="P9" s="128">
        <v>0</v>
      </c>
      <c r="Q9" s="128">
        <v>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109.4102659500702</v>
      </c>
      <c r="U9" s="128">
        <f>INDEX(Direct_Cost_Splits_Network,MATCH($H9,RIN_Asset_Cat_Network,0),MATCH($S$4,Direct_Cost_Type,0))*L9*HLOOKUP(U$5,Escalators!$I$25:$U$30,3,FALSE)</f>
        <v>231.35336813029582</v>
      </c>
      <c r="V9" s="128">
        <f>INDEX(Direct_Cost_Splits_Network,MATCH($H9,RIN_Asset_Cat_Network,0),MATCH($S$4,Direct_Cost_Type,0))*M9*HLOOKUP(V$5,Escalators!$I$25:$U$30,3,FALSE)</f>
        <v>665.63196643453364</v>
      </c>
      <c r="W9" s="128">
        <f>INDEX(Direct_Cost_Splits_Network,MATCH($H9,RIN_Asset_Cat_Network,0),MATCH($S$4,Direct_Cost_Type,0))*N9*HLOOKUP(W$5,Escalators!$I$25:$U$30,3,FALSE)</f>
        <v>398.85642603956626</v>
      </c>
      <c r="X9" s="128">
        <f>INDEX(Direct_Cost_Splits_Network,MATCH($H9,RIN_Asset_Cat_Network,0),MATCH($S$4,Direct_Cost_Type,0))*O9*HLOOKUP(X$5,Escalators!$I$25:$U$30,3,FALSE)</f>
        <v>18.002421950900338</v>
      </c>
      <c r="Y9" s="128">
        <f>INDEX(Direct_Cost_Splits_Network,MATCH($H9,RIN_Asset_Cat_Network,0),MATCH($S$4,Direct_Cost_Type,0))*P9*HLOOKUP(Y$5,Escalators!$I$25:$U$30,3,FALSE)</f>
        <v>0</v>
      </c>
      <c r="Z9" s="128">
        <f>INDEX(Direct_Cost_Splits_Network,MATCH($H9,RIN_Asset_Cat_Network,0),MATCH($S$4,Direct_Cost_Type,0))*Q9*HLOOKUP(Z$5,Escalators!$I$25:$U$30,3,FALSE)</f>
        <v>0</v>
      </c>
      <c r="AA9" s="129"/>
      <c r="AB9" s="128">
        <f>INDEX(Direct_Cost_Splits_Network,MATCH($H9,RIN_Asset_Cat_Network,0),MATCH($AG$4,Direct_Cost_Type,0))*$J9*INDEX(Act_Type_Repex_Splits,MATCH($I9,Act_Type_Repex,0),MATCH(AB$4,Mat_Type,0))*INDEX(Escalators!$I$44:$U$49,MATCH(AB$4,Escalators!$C$44:$C$49,0),MATCH(AB$5,Escalators!$I$43:$U$43,0))</f>
        <v>0</v>
      </c>
      <c r="AC9" s="128">
        <f>INDEX(Direct_Cost_Splits_Network,MATCH($H9,RIN_Asset_Cat_Network,0),MATCH($AG$4,Direct_Cost_Type,0))*$J9*INDEX(Act_Type_Repex_Splits,MATCH($I9,Act_Type_Repex,0),MATCH(AC$4,Mat_Type,0))*INDEX(Escalators!$I$44:$U$49,MATCH(AC$4,Escalators!$C$44:$C$49,0),MATCH(AC$5,Escalators!$I$43:$U$43,0))</f>
        <v>0</v>
      </c>
      <c r="AD9" s="128">
        <f>INDEX(Direct_Cost_Splits_Network,MATCH($H9,RIN_Asset_Cat_Network,0),MATCH($AG$4,Direct_Cost_Type,0))*$J9*INDEX(Act_Type_Repex_Splits,MATCH($I9,Act_Type_Repex,0),MATCH(AD$4,Mat_Type,0))*INDEX(Escalators!$I$44:$U$49,MATCH(AD$4,Escalators!$C$44:$C$49,0),MATCH(AD$5,Escalators!$I$43:$U$43,0))</f>
        <v>0</v>
      </c>
      <c r="AE9" s="128">
        <f>INDEX(Direct_Cost_Splits_Network,MATCH($H9,RIN_Asset_Cat_Network,0),MATCH($AG$4,Direct_Cost_Type,0))*$J9*INDEX(Act_Type_Repex_Splits,MATCH($I9,Act_Type_Repex,0),MATCH(AE$4,Mat_Type,0))*INDEX(Escalators!$I$44:$U$49,MATCH(AE$4,Escalators!$C$44:$C$49,0),MATCH(AE$5,Escalators!$I$43:$U$43,0))</f>
        <v>0</v>
      </c>
      <c r="AF9" s="128">
        <f>INDEX(Direct_Cost_Splits_Network,MATCH($H9,RIN_Asset_Cat_Network,0),MATCH($AG$4,Direct_Cost_Type,0))*$J9*INDEX(Act_Type_Repex_Splits,MATCH($I9,Act_Type_Repex,0),MATCH(AF$4,Mat_Type,0))*INDEX(Escalators!$I$44:$U$49,MATCH(AF$4,Escalators!$C$44:$C$49,0),MATCH(AF$5,Escalators!$I$43:$U$43,0))</f>
        <v>0</v>
      </c>
      <c r="AG9" s="128">
        <f t="shared" si="24"/>
        <v>0</v>
      </c>
      <c r="AH9" s="128">
        <f>INDEX(Direct_Cost_Splits_Network,MATCH($H9,RIN_Asset_Cat_Network,0),MATCH($AY$4,Direct_Cost_Type,0))*$K9*INDEX(Act_Type_Repex_Splits,MATCH($I9,Act_Type_Repex,0),MATCH(AH$4,Mat_Type,0))*INDEX(Escalators!$I$44:$U$49,MATCH(AH$4,Escalators!$C$44:$C$49,0),MATCH(AH$5,Escalators!$I$43:$U$43,0))</f>
        <v>11.764603008069484</v>
      </c>
      <c r="AI9" s="128">
        <f>INDEX(Direct_Cost_Splits_Network,MATCH($H9,RIN_Asset_Cat_Network,0),MATCH($AY$4,Direct_Cost_Type,0))*$K9*INDEX(Act_Type_Repex_Splits,MATCH($I9,Act_Type_Repex,0),MATCH(AI$4,Mat_Type,0))*INDEX(Escalators!$I$44:$U$49,MATCH(AI$4,Escalators!$C$44:$C$49,0),MATCH(AI$5,Escalators!$I$43:$U$43,0))</f>
        <v>35.29380902420845</v>
      </c>
      <c r="AJ9" s="128">
        <f>INDEX(Direct_Cost_Splits_Network,MATCH($H9,RIN_Asset_Cat_Network,0),MATCH($AY$4,Direct_Cost_Type,0))*$K9*INDEX(Act_Type_Repex_Splits,MATCH($I9,Act_Type_Repex,0),MATCH(AJ$4,Mat_Type,0))*INDEX(Escalators!$I$44:$U$49,MATCH(AJ$4,Escalators!$C$44:$C$49,0),MATCH(AJ$5,Escalators!$I$43:$U$43,0))</f>
        <v>94.116824064555871</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94.116824064555871</v>
      </c>
      <c r="AM9" s="128">
        <f t="shared" si="8"/>
        <v>235.29206016138966</v>
      </c>
      <c r="AN9" s="128">
        <f>INDEX(Direct_Cost_Splits_Network,MATCH($H9,RIN_Asset_Cat_Network,0),MATCH($AY$4,Direct_Cost_Type,0))*$L9*INDEX(Act_Type_Repex_Splits,MATCH($I9,Act_Type_Repex,0),MATCH(AN$4,Mat_Type,0))*INDEX(Escalators!$I$44:$U$49,MATCH(AN$4,Escalators!$C$44:$C$49,0),MATCH(AN$5,Escalators!$I$43:$U$43,0))</f>
        <v>24.858454975404687</v>
      </c>
      <c r="AO9" s="128">
        <f>INDEX(Direct_Cost_Splits_Network,MATCH($H9,RIN_Asset_Cat_Network,0),MATCH($AY$4,Direct_Cost_Type,0))*$L9*INDEX(Act_Type_Repex_Splits,MATCH($I9,Act_Type_Repex,0),MATCH(AO$4,Mat_Type,0))*INDEX(Escalators!$I$44:$U$49,MATCH(AO$4,Escalators!$C$44:$C$49,0),MATCH(AO$5,Escalators!$I$43:$U$43,0))</f>
        <v>74.57536492621405</v>
      </c>
      <c r="AP9" s="128">
        <f>INDEX(Direct_Cost_Splits_Network,MATCH($H9,RIN_Asset_Cat_Network,0),MATCH($AY$4,Direct_Cost_Type,0))*$L9*INDEX(Act_Type_Repex_Splits,MATCH($I9,Act_Type_Repex,0),MATCH(AP$4,Mat_Type,0))*INDEX(Escalators!$I$44:$U$49,MATCH(AP$4,Escalators!$C$44:$C$49,0),MATCH(AP$5,Escalators!$I$43:$U$43,0))</f>
        <v>198.86763980323749</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198.86763980323749</v>
      </c>
      <c r="AS9" s="128">
        <f t="shared" si="9"/>
        <v>497.16909950809372</v>
      </c>
      <c r="AT9" s="128">
        <f>INDEX(Direct_Cost_Splits_Network,MATCH($H9,RIN_Asset_Cat_Network,0),MATCH($AY$4,Direct_Cost_Type,0))*$M9*INDEX(Act_Type_Repex_Splits,MATCH($I9,Act_Type_Repex,0),MATCH(AT$4,Mat_Type,0))*INDEX(Escalators!$I$44:$U$49,MATCH(AT$4,Escalators!$C$44:$C$49,0),MATCH(AT$5,Escalators!$I$43:$U$43,0))</f>
        <v>70.969940158788958</v>
      </c>
      <c r="AU9" s="128">
        <f>INDEX(Direct_Cost_Splits_Network,MATCH($H9,RIN_Asset_Cat_Network,0),MATCH($AY$4,Direct_Cost_Type,0))*$M9*INDEX(Act_Type_Repex_Splits,MATCH($I9,Act_Type_Repex,0),MATCH(AU$4,Mat_Type,0))*INDEX(Escalators!$I$44:$U$49,MATCH(AU$4,Escalators!$C$44:$C$49,0),MATCH(AU$5,Escalators!$I$43:$U$43,0))</f>
        <v>212.90982047636689</v>
      </c>
      <c r="AV9" s="128">
        <f>INDEX(Direct_Cost_Splits_Network,MATCH($H9,RIN_Asset_Cat_Network,0),MATCH($AY$4,Direct_Cost_Type,0))*$M9*INDEX(Act_Type_Repex_Splits,MATCH($I9,Act_Type_Repex,0),MATCH(AV$4,Mat_Type,0))*INDEX(Escalators!$I$44:$U$49,MATCH(AV$4,Escalators!$C$44:$C$49,0),MATCH(AV$5,Escalators!$I$43:$U$43,0))</f>
        <v>567.75952127031167</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567.75952127031167</v>
      </c>
      <c r="AY9" s="128">
        <f t="shared" si="10"/>
        <v>1419.398803175779</v>
      </c>
      <c r="AZ9" s="128">
        <f>INDEX(Direct_Cost_Splits_Network,MATCH($H9,RIN_Asset_Cat_Network,0),MATCH($BE$4,Direct_Cost_Type,0))*$N9*INDEX(Act_Type_Repex_Splits,MATCH($I9,Act_Type_Repex,0),MATCH(AZ$4,Mat_Type,0))*INDEX(Escalators!$I$44:$U$49,MATCH(AZ$4,Escalators!$C$44:$C$49,0),MATCH(AZ$5,Escalators!$I$43:$U$43,0))</f>
        <v>42.316301217673619</v>
      </c>
      <c r="BA9" s="128">
        <f>INDEX(Direct_Cost_Splits_Network,MATCH($H9,RIN_Asset_Cat_Network,0),MATCH($BE$4,Direct_Cost_Type,0))*$N9*INDEX(Act_Type_Repex_Splits,MATCH($I9,Act_Type_Repex,0),MATCH(BA$4,Mat_Type,0))*INDEX(Escalators!$I$44:$U$49,MATCH(BA$4,Escalators!$C$44:$C$49,0),MATCH(BA$5,Escalators!$I$43:$U$43,0))</f>
        <v>126.94890365302085</v>
      </c>
      <c r="BB9" s="128">
        <f>INDEX(Direct_Cost_Splits_Network,MATCH($H9,RIN_Asset_Cat_Network,0),MATCH($BE$4,Direct_Cost_Type,0))*$N9*INDEX(Act_Type_Repex_Splits,MATCH($I9,Act_Type_Repex,0),MATCH(BB$4,Mat_Type,0))*INDEX(Escalators!$I$44:$U$49,MATCH(BB$4,Escalators!$C$44:$C$49,0),MATCH(BB$5,Escalators!$I$43:$U$43,0))</f>
        <v>338.53040974138895</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338.53040974138895</v>
      </c>
      <c r="BE9" s="128">
        <f t="shared" si="25"/>
        <v>846.32602435347235</v>
      </c>
      <c r="BF9" s="128">
        <f>INDEX(Direct_Cost_Splits_Network,MATCH($H9,RIN_Asset_Cat_Network,0),MATCH($BK$4,Direct_Cost_Type,0))*$O9*INDEX(Act_Type_Repex_Splits,MATCH($I9,Act_Type_Repex,0),MATCH(BF$4,Mat_Type,0))*INDEX(Escalators!$I$44:$U$49,MATCH(BF$4,Escalators!$C$44:$C$49,0),MATCH(BF$5,Escalators!$I$43:$U$43,0))</f>
        <v>1.8975919828553196</v>
      </c>
      <c r="BG9" s="128">
        <f>INDEX(Direct_Cost_Splits_Network,MATCH($H9,RIN_Asset_Cat_Network,0),MATCH($BK$4,Direct_Cost_Type,0))*$O9*INDEX(Act_Type_Repex_Splits,MATCH($I9,Act_Type_Repex,0),MATCH(BG$4,Mat_Type,0))*INDEX(Escalators!$I$44:$U$49,MATCH(BG$4,Escalators!$C$44:$C$49,0),MATCH(BG$5,Escalators!$I$43:$U$43,0))</f>
        <v>5.6927759485659584</v>
      </c>
      <c r="BH9" s="128">
        <f>INDEX(Direct_Cost_Splits_Network,MATCH($H9,RIN_Asset_Cat_Network,0),MATCH($BK$4,Direct_Cost_Type,0))*$O9*INDEX(Act_Type_Repex_Splits,MATCH($I9,Act_Type_Repex,0),MATCH(BH$4,Mat_Type,0))*INDEX(Escalators!$I$44:$U$49,MATCH(BH$4,Escalators!$C$44:$C$49,0),MATCH(BH$5,Escalators!$I$43:$U$43,0))</f>
        <v>15.180735862842557</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15.180735862842557</v>
      </c>
      <c r="BK9" s="128">
        <f t="shared" si="26"/>
        <v>37.95183965710639</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0</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0</v>
      </c>
      <c r="BQ9" s="128">
        <f t="shared" si="27"/>
        <v>0</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0</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0</v>
      </c>
      <c r="BW9" s="128">
        <f t="shared" si="28"/>
        <v>0</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630.3161807331104</v>
      </c>
      <c r="CA9" s="128">
        <f>INDEX(Direct_Cost_Splits_Network,MATCH($H9,RIN_Asset_Cat_Network,0),MATCH($BY$4,Direct_Cost_Type,0))*L9*HLOOKUP(CA$5,Escalators!$I$25:$U$30,6,FALSE)</f>
        <v>1331.8499900315996</v>
      </c>
      <c r="CB9" s="128">
        <f>INDEX(Direct_Cost_Splits_Network,MATCH($H9,RIN_Asset_Cat_Network,0),MATCH($BY$4,Direct_Cost_Type,0))*M9*HLOOKUP(CB$5,Escalators!$I$25:$U$30,6,FALSE)</f>
        <v>3802.380887571132</v>
      </c>
      <c r="CC9" s="128">
        <f>INDEX(Direct_Cost_Splits_Network,MATCH($H9,RIN_Asset_Cat_Network,0),MATCH($BY$4,Direct_Cost_Type,0))*N9*HLOOKUP(CC$5,Escalators!$I$25:$U$30,6,FALSE)</f>
        <v>2267.1950211988296</v>
      </c>
      <c r="CD9" s="128">
        <f>INDEX(Direct_Cost_Splits_Network,MATCH($H9,RIN_Asset_Cat_Network,0),MATCH($BY$4,Direct_Cost_Type,0))*O9*HLOOKUP(CD$5,Escalators!$I$25:$U$30,6,FALSE)</f>
        <v>101.66793817035112</v>
      </c>
      <c r="CE9" s="128">
        <f>INDEX(Direct_Cost_Splits_Network,MATCH($H9,RIN_Asset_Cat_Network,0),MATCH($BY$4,Direct_Cost_Type,0))*P9*HLOOKUP(CE$5,Escalators!$I$25:$U$30,6,FALSE)</f>
        <v>0</v>
      </c>
      <c r="CF9" s="128">
        <f>INDEX(Direct_Cost_Splits_Network,MATCH($H9,RIN_Asset_Cat_Network,0),MATCH($BY$4,Direct_Cost_Type,0))*Q9*HLOOKUP(CF$5,Escalators!$I$25:$U$30,6,FALSE)</f>
        <v>0</v>
      </c>
      <c r="CG9" s="129"/>
      <c r="CH9" s="675">
        <f t="shared" si="11"/>
        <v>0</v>
      </c>
      <c r="CI9" s="675">
        <f t="shared" si="12"/>
        <v>97.544572476894828</v>
      </c>
      <c r="CJ9" s="675">
        <f t="shared" si="12"/>
        <v>206.11042815034091</v>
      </c>
      <c r="CK9" s="675">
        <f t="shared" si="13"/>
        <v>588.43740555898853</v>
      </c>
      <c r="CL9" s="675">
        <f t="shared" si="14"/>
        <v>350.8597364696642</v>
      </c>
      <c r="CM9" s="675">
        <f t="shared" si="15"/>
        <v>15.733620469491671</v>
      </c>
      <c r="CN9" s="675">
        <f t="shared" si="16"/>
        <v>0</v>
      </c>
      <c r="CO9" s="675">
        <f t="shared" si="17"/>
        <v>0</v>
      </c>
      <c r="CP9" s="129"/>
      <c r="CQ9" s="128">
        <f t="shared" si="18"/>
        <v>0</v>
      </c>
      <c r="CR9" s="128">
        <f t="shared" si="29"/>
        <v>1072.5630793214652</v>
      </c>
      <c r="CS9" s="128">
        <f t="shared" si="30"/>
        <v>2266.48288582033</v>
      </c>
      <c r="CT9" s="128">
        <f t="shared" si="19"/>
        <v>6475.8490627404335</v>
      </c>
      <c r="CU9" s="128">
        <f t="shared" si="20"/>
        <v>3863.2372080615323</v>
      </c>
      <c r="CV9" s="128">
        <f t="shared" si="21"/>
        <v>173.35582024784955</v>
      </c>
      <c r="CW9" s="128">
        <f t="shared" si="22"/>
        <v>0</v>
      </c>
      <c r="CX9" s="128">
        <f t="shared" si="23"/>
        <v>0</v>
      </c>
      <c r="CY9" s="129"/>
      <c r="CZ9" s="128">
        <f t="shared" si="31"/>
        <v>10476.061250000001</v>
      </c>
      <c r="DA9" s="128">
        <f t="shared" si="32"/>
        <v>10512.442091049816</v>
      </c>
      <c r="DB9" s="128">
        <f>DA9*Escalators!$M$17</f>
        <v>11140.919121502557</v>
      </c>
      <c r="DC9" s="128">
        <f>SUMPRODUCT(1+AusNet_Overheads!$K$20:$O$20,CT9:CX9)</f>
        <v>11564.205603424791</v>
      </c>
      <c r="DD9" s="128">
        <f>DC9*Escalators!$M$17</f>
        <v>12255.561383008406</v>
      </c>
      <c r="DE9" s="157"/>
      <c r="DF9" s="157"/>
      <c r="DG9" s="201"/>
      <c r="DH9" s="258"/>
    </row>
    <row r="10" spans="2:112">
      <c r="B10" s="75" t="s">
        <v>431</v>
      </c>
      <c r="C10" s="75" t="s">
        <v>432</v>
      </c>
      <c r="D10" s="75" t="s">
        <v>107</v>
      </c>
      <c r="E10" s="75" t="s">
        <v>44</v>
      </c>
      <c r="F10" s="75" t="s">
        <v>131</v>
      </c>
      <c r="G10" s="75" t="s">
        <v>150</v>
      </c>
      <c r="H10" s="75" t="s">
        <v>176</v>
      </c>
      <c r="I10" s="75" t="s">
        <v>248</v>
      </c>
      <c r="J10" s="128"/>
      <c r="K10" s="128">
        <v>0</v>
      </c>
      <c r="L10" s="128">
        <v>0</v>
      </c>
      <c r="M10" s="128">
        <v>0</v>
      </c>
      <c r="N10" s="128">
        <v>0</v>
      </c>
      <c r="O10" s="128">
        <v>0</v>
      </c>
      <c r="P10" s="128">
        <v>111.5</v>
      </c>
      <c r="Q10" s="128">
        <v>2578.4375</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0</v>
      </c>
      <c r="V10" s="128">
        <f>INDEX(Direct_Cost_Splits_Network,MATCH($H10,RIN_Asset_Cat_Network,0),MATCH($S$4,Direct_Cost_Type,0))*M10*HLOOKUP(V$5,Escalators!$I$25:$U$30,3,FALSE)</f>
        <v>0</v>
      </c>
      <c r="W10" s="128">
        <f>INDEX(Direct_Cost_Splits_Network,MATCH($H10,RIN_Asset_Cat_Network,0),MATCH($S$4,Direct_Cost_Type,0))*N10*HLOOKUP(W$5,Escalators!$I$25:$U$30,3,FALSE)</f>
        <v>0</v>
      </c>
      <c r="X10" s="128">
        <f>INDEX(Direct_Cost_Splits_Network,MATCH($H10,RIN_Asset_Cat_Network,0),MATCH($S$4,Direct_Cost_Type,0))*O10*HLOOKUP(X$5,Escalators!$I$25:$U$30,3,FALSE)</f>
        <v>0</v>
      </c>
      <c r="Y10" s="128">
        <f>INDEX(Direct_Cost_Splits_Network,MATCH($H10,RIN_Asset_Cat_Network,0),MATCH($S$4,Direct_Cost_Type,0))*P10*HLOOKUP(Y$5,Escalators!$I$25:$U$30,3,FALSE)</f>
        <v>11.745992924159674</v>
      </c>
      <c r="Z10" s="128">
        <f>INDEX(Direct_Cost_Splits_Network,MATCH($H10,RIN_Asset_Cat_Network,0),MATCH($S$4,Direct_Cost_Type,0))*Q10*HLOOKUP(Z$5,Escalators!$I$25:$U$30,3,FALSE)</f>
        <v>275.17771256079828</v>
      </c>
      <c r="AA10" s="129"/>
      <c r="AB10" s="128">
        <f>INDEX(Direct_Cost_Splits_Network,MATCH($H10,RIN_Asset_Cat_Network,0),MATCH($AG$4,Direct_Cost_Type,0))*$J10*INDEX(Act_Type_Repex_Splits,MATCH($I10,Act_Type_Repex,0),MATCH(AB$4,Mat_Type,0))*INDEX(Escalators!$I$44:$U$49,MATCH(AB$4,Escalators!$C$44:$C$49,0),MATCH(AB$5,Escalators!$I$43:$U$43,0))</f>
        <v>0</v>
      </c>
      <c r="AC10" s="128">
        <f>INDEX(Direct_Cost_Splits_Network,MATCH($H10,RIN_Asset_Cat_Network,0),MATCH($AG$4,Direct_Cost_Type,0))*$J10*INDEX(Act_Type_Repex_Splits,MATCH($I10,Act_Type_Repex,0),MATCH(AC$4,Mat_Type,0))*INDEX(Escalators!$I$44:$U$49,MATCH(AC$4,Escalators!$C$44:$C$49,0),MATCH(AC$5,Escalators!$I$43:$U$43,0))</f>
        <v>0</v>
      </c>
      <c r="AD10" s="128">
        <f>INDEX(Direct_Cost_Splits_Network,MATCH($H10,RIN_Asset_Cat_Network,0),MATCH($AG$4,Direct_Cost_Type,0))*$J10*INDEX(Act_Type_Repex_Splits,MATCH($I10,Act_Type_Repex,0),MATCH(AD$4,Mat_Type,0))*INDEX(Escalators!$I$44:$U$49,MATCH(AD$4,Escalators!$C$44:$C$49,0),MATCH(AD$5,Escalators!$I$43:$U$43,0))</f>
        <v>0</v>
      </c>
      <c r="AE10" s="128">
        <f>INDEX(Direct_Cost_Splits_Network,MATCH($H10,RIN_Asset_Cat_Network,0),MATCH($AG$4,Direct_Cost_Type,0))*$J10*INDEX(Act_Type_Repex_Splits,MATCH($I10,Act_Type_Repex,0),MATCH(AE$4,Mat_Type,0))*INDEX(Escalators!$I$44:$U$49,MATCH(AE$4,Escalators!$C$44:$C$49,0),MATCH(AE$5,Escalators!$I$43:$U$43,0))</f>
        <v>0</v>
      </c>
      <c r="AF10" s="128">
        <f>INDEX(Direct_Cost_Splits_Network,MATCH($H10,RIN_Asset_Cat_Network,0),MATCH($AG$4,Direct_Cost_Type,0))*$J10*INDEX(Act_Type_Repex_Splits,MATCH($I10,Act_Type_Repex,0),MATCH(AF$4,Mat_Type,0))*INDEX(Escalators!$I$44:$U$49,MATCH(AF$4,Escalators!$C$44:$C$49,0),MATCH(AF$5,Escalators!$I$43:$U$43,0))</f>
        <v>0</v>
      </c>
      <c r="AG10" s="128">
        <f t="shared" si="24"/>
        <v>0</v>
      </c>
      <c r="AH10" s="128">
        <f>INDEX(Direct_Cost_Splits_Network,MATCH($H10,RIN_Asset_Cat_Network,0),MATCH($AY$4,Direct_Cost_Type,0))*$K10*INDEX(Act_Type_Repex_Splits,MATCH($I10,Act_Type_Repex,0),MATCH(AH$4,Mat_Type,0))*INDEX(Escalators!$I$44:$U$49,MATCH(AH$4,Escalators!$C$44:$C$49,0),MATCH(AH$5,Escalators!$I$43:$U$43,0))</f>
        <v>0</v>
      </c>
      <c r="AI10" s="128">
        <f>INDEX(Direct_Cost_Splits_Network,MATCH($H10,RIN_Asset_Cat_Network,0),MATCH($AY$4,Direct_Cost_Type,0))*$K10*INDEX(Act_Type_Repex_Splits,MATCH($I10,Act_Type_Repex,0),MATCH(AI$4,Mat_Type,0))*INDEX(Escalators!$I$44:$U$49,MATCH(AI$4,Escalators!$C$44:$C$49,0),MATCH(AI$5,Escalators!$I$43:$U$43,0))</f>
        <v>0</v>
      </c>
      <c r="AJ10" s="128">
        <f>INDEX(Direct_Cost_Splits_Network,MATCH($H10,RIN_Asset_Cat_Network,0),MATCH($AY$4,Direct_Cost_Type,0))*$K10*INDEX(Act_Type_Repex_Splits,MATCH($I10,Act_Type_Repex,0),MATCH(AJ$4,Mat_Type,0))*INDEX(Escalators!$I$44:$U$49,MATCH(AJ$4,Escalators!$C$44:$C$49,0),MATCH(AJ$5,Escalators!$I$43:$U$43,0))</f>
        <v>0</v>
      </c>
      <c r="AK10" s="128">
        <f>INDEX(Direct_Cost_Splits_Network,MATCH($H10,RIN_Asset_Cat_Network,0),MATCH($AY$4,Direct_Cost_Type,0))*$K10*INDEX(Act_Type_Repex_Splits,MATCH($I10,Act_Type_Repex,0),MATCH(AK$4,Mat_Type,0))*INDEX(Escalators!$I$44:$U$49,MATCH(AK$4,Escalators!$C$44:$C$49,0),MATCH(AK$5,Escalators!$I$43:$U$43,0))</f>
        <v>0</v>
      </c>
      <c r="AL10" s="128">
        <f>INDEX(Direct_Cost_Splits_Network,MATCH($H10,RIN_Asset_Cat_Network,0),MATCH($AY$4,Direct_Cost_Type,0))*$K10*INDEX(Act_Type_Repex_Splits,MATCH($I10,Act_Type_Repex,0),MATCH(AL$4,Mat_Type,0))*INDEX(Escalators!$I$44:$U$49,MATCH(AL$4,Escalators!$C$44:$C$49,0),MATCH(AL$5,Escalators!$I$43:$U$43,0))</f>
        <v>0</v>
      </c>
      <c r="AM10" s="128">
        <f t="shared" si="8"/>
        <v>0</v>
      </c>
      <c r="AN10" s="128">
        <f>INDEX(Direct_Cost_Splits_Network,MATCH($H10,RIN_Asset_Cat_Network,0),MATCH($AY$4,Direct_Cost_Type,0))*$L10*INDEX(Act_Type_Repex_Splits,MATCH($I10,Act_Type_Repex,0),MATCH(AN$4,Mat_Type,0))*INDEX(Escalators!$I$44:$U$49,MATCH(AN$4,Escalators!$C$44:$C$49,0),MATCH(AN$5,Escalators!$I$43:$U$43,0))</f>
        <v>0</v>
      </c>
      <c r="AO10" s="128">
        <f>INDEX(Direct_Cost_Splits_Network,MATCH($H10,RIN_Asset_Cat_Network,0),MATCH($AY$4,Direct_Cost_Type,0))*$L10*INDEX(Act_Type_Repex_Splits,MATCH($I10,Act_Type_Repex,0),MATCH(AO$4,Mat_Type,0))*INDEX(Escalators!$I$44:$U$49,MATCH(AO$4,Escalators!$C$44:$C$49,0),MATCH(AO$5,Escalators!$I$43:$U$43,0))</f>
        <v>0</v>
      </c>
      <c r="AP10" s="128">
        <f>INDEX(Direct_Cost_Splits_Network,MATCH($H10,RIN_Asset_Cat_Network,0),MATCH($AY$4,Direct_Cost_Type,0))*$L10*INDEX(Act_Type_Repex_Splits,MATCH($I10,Act_Type_Repex,0),MATCH(AP$4,Mat_Type,0))*INDEX(Escalators!$I$44:$U$49,MATCH(AP$4,Escalators!$C$44:$C$49,0),MATCH(AP$5,Escalators!$I$43:$U$43,0))</f>
        <v>0</v>
      </c>
      <c r="AQ10" s="128">
        <f>INDEX(Direct_Cost_Splits_Network,MATCH($H10,RIN_Asset_Cat_Network,0),MATCH($AY$4,Direct_Cost_Type,0))*$L10*INDEX(Act_Type_Repex_Splits,MATCH($I10,Act_Type_Repex,0),MATCH(AQ$4,Mat_Type,0))*INDEX(Escalators!$I$44:$U$49,MATCH(AQ$4,Escalators!$C$44:$C$49,0),MATCH(AQ$5,Escalators!$I$43:$U$43,0))</f>
        <v>0</v>
      </c>
      <c r="AR10" s="128">
        <f>INDEX(Direct_Cost_Splits_Network,MATCH($H10,RIN_Asset_Cat_Network,0),MATCH($AY$4,Direct_Cost_Type,0))*$L10*INDEX(Act_Type_Repex_Splits,MATCH($I10,Act_Type_Repex,0),MATCH(AR$4,Mat_Type,0))*INDEX(Escalators!$I$44:$U$49,MATCH(AR$4,Escalators!$C$44:$C$49,0),MATCH(AR$5,Escalators!$I$43:$U$43,0))</f>
        <v>0</v>
      </c>
      <c r="AS10" s="128">
        <f t="shared" si="9"/>
        <v>0</v>
      </c>
      <c r="AT10" s="128">
        <f>INDEX(Direct_Cost_Splits_Network,MATCH($H10,RIN_Asset_Cat_Network,0),MATCH($AY$4,Direct_Cost_Type,0))*$M10*INDEX(Act_Type_Repex_Splits,MATCH($I10,Act_Type_Repex,0),MATCH(AT$4,Mat_Type,0))*INDEX(Escalators!$I$44:$U$49,MATCH(AT$4,Escalators!$C$44:$C$49,0),MATCH(AT$5,Escalators!$I$43:$U$43,0))</f>
        <v>0</v>
      </c>
      <c r="AU10" s="128">
        <f>INDEX(Direct_Cost_Splits_Network,MATCH($H10,RIN_Asset_Cat_Network,0),MATCH($AY$4,Direct_Cost_Type,0))*$M10*INDEX(Act_Type_Repex_Splits,MATCH($I10,Act_Type_Repex,0),MATCH(AU$4,Mat_Type,0))*INDEX(Escalators!$I$44:$U$49,MATCH(AU$4,Escalators!$C$44:$C$49,0),MATCH(AU$5,Escalators!$I$43:$U$43,0))</f>
        <v>0</v>
      </c>
      <c r="AV10" s="128">
        <f>INDEX(Direct_Cost_Splits_Network,MATCH($H10,RIN_Asset_Cat_Network,0),MATCH($AY$4,Direct_Cost_Type,0))*$M10*INDEX(Act_Type_Repex_Splits,MATCH($I10,Act_Type_Repex,0),MATCH(AV$4,Mat_Type,0))*INDEX(Escalators!$I$44:$U$49,MATCH(AV$4,Escalators!$C$44:$C$49,0),MATCH(AV$5,Escalators!$I$43:$U$43,0))</f>
        <v>0</v>
      </c>
      <c r="AW10" s="128">
        <f>INDEX(Direct_Cost_Splits_Network,MATCH($H10,RIN_Asset_Cat_Network,0),MATCH($AY$4,Direct_Cost_Type,0))*$M10*INDEX(Act_Type_Repex_Splits,MATCH($I10,Act_Type_Repex,0),MATCH(AW$4,Mat_Type,0))*INDEX(Escalators!$I$44:$U$49,MATCH(AW$4,Escalators!$C$44:$C$49,0),MATCH(AW$5,Escalators!$I$43:$U$43,0))</f>
        <v>0</v>
      </c>
      <c r="AX10" s="128">
        <f>INDEX(Direct_Cost_Splits_Network,MATCH($H10,RIN_Asset_Cat_Network,0),MATCH($AY$4,Direct_Cost_Type,0))*$M10*INDEX(Act_Type_Repex_Splits,MATCH($I10,Act_Type_Repex,0),MATCH(AX$4,Mat_Type,0))*INDEX(Escalators!$I$44:$U$49,MATCH(AX$4,Escalators!$C$44:$C$49,0),MATCH(AX$5,Escalators!$I$43:$U$43,0))</f>
        <v>0</v>
      </c>
      <c r="AY10" s="128">
        <f t="shared" si="10"/>
        <v>0</v>
      </c>
      <c r="AZ10" s="128">
        <f>INDEX(Direct_Cost_Splits_Network,MATCH($H10,RIN_Asset_Cat_Network,0),MATCH($BE$4,Direct_Cost_Type,0))*$N10*INDEX(Act_Type_Repex_Splits,MATCH($I10,Act_Type_Repex,0),MATCH(AZ$4,Mat_Type,0))*INDEX(Escalators!$I$44:$U$49,MATCH(AZ$4,Escalators!$C$44:$C$49,0),MATCH(AZ$5,Escalators!$I$43:$U$43,0))</f>
        <v>0</v>
      </c>
      <c r="BA10" s="128">
        <f>INDEX(Direct_Cost_Splits_Network,MATCH($H10,RIN_Asset_Cat_Network,0),MATCH($BE$4,Direct_Cost_Type,0))*$N10*INDEX(Act_Type_Repex_Splits,MATCH($I10,Act_Type_Repex,0),MATCH(BA$4,Mat_Type,0))*INDEX(Escalators!$I$44:$U$49,MATCH(BA$4,Escalators!$C$44:$C$49,0),MATCH(BA$5,Escalators!$I$43:$U$43,0))</f>
        <v>0</v>
      </c>
      <c r="BB10" s="128">
        <f>INDEX(Direct_Cost_Splits_Network,MATCH($H10,RIN_Asset_Cat_Network,0),MATCH($BE$4,Direct_Cost_Type,0))*$N10*INDEX(Act_Type_Repex_Splits,MATCH($I10,Act_Type_Repex,0),MATCH(BB$4,Mat_Type,0))*INDEX(Escalators!$I$44:$U$49,MATCH(BB$4,Escalators!$C$44:$C$49,0),MATCH(BB$5,Escalators!$I$43:$U$43,0))</f>
        <v>0</v>
      </c>
      <c r="BC10" s="128">
        <f>INDEX(Direct_Cost_Splits_Network,MATCH($H10,RIN_Asset_Cat_Network,0),MATCH($BE$4,Direct_Cost_Type,0))*$N10*INDEX(Act_Type_Repex_Splits,MATCH($I10,Act_Type_Repex,0),MATCH(BC$4,Mat_Type,0))*INDEX(Escalators!$I$44:$U$49,MATCH(BC$4,Escalators!$C$44:$C$49,0),MATCH(BC$5,Escalators!$I$43:$U$43,0))</f>
        <v>0</v>
      </c>
      <c r="BD10" s="128">
        <f>INDEX(Direct_Cost_Splits_Network,MATCH($H10,RIN_Asset_Cat_Network,0),MATCH($BE$4,Direct_Cost_Type,0))*$N10*INDEX(Act_Type_Repex_Splits,MATCH($I10,Act_Type_Repex,0),MATCH(BD$4,Mat_Type,0))*INDEX(Escalators!$I$44:$U$49,MATCH(BD$4,Escalators!$C$44:$C$49,0),MATCH(BD$5,Escalators!$I$43:$U$43,0))</f>
        <v>0</v>
      </c>
      <c r="BE10" s="128">
        <f t="shared" si="25"/>
        <v>0</v>
      </c>
      <c r="BF10" s="128">
        <f>INDEX(Direct_Cost_Splits_Network,MATCH($H10,RIN_Asset_Cat_Network,0),MATCH($BK$4,Direct_Cost_Type,0))*$O10*INDEX(Act_Type_Repex_Splits,MATCH($I10,Act_Type_Repex,0),MATCH(BF$4,Mat_Type,0))*INDEX(Escalators!$I$44:$U$49,MATCH(BF$4,Escalators!$C$44:$C$49,0),MATCH(BF$5,Escalators!$I$43:$U$43,0))</f>
        <v>0</v>
      </c>
      <c r="BG10" s="128">
        <f>INDEX(Direct_Cost_Splits_Network,MATCH($H10,RIN_Asset_Cat_Network,0),MATCH($BK$4,Direct_Cost_Type,0))*$O10*INDEX(Act_Type_Repex_Splits,MATCH($I10,Act_Type_Repex,0),MATCH(BG$4,Mat_Type,0))*INDEX(Escalators!$I$44:$U$49,MATCH(BG$4,Escalators!$C$44:$C$49,0),MATCH(BG$5,Escalators!$I$43:$U$43,0))</f>
        <v>0</v>
      </c>
      <c r="BH10" s="128">
        <f>INDEX(Direct_Cost_Splits_Network,MATCH($H10,RIN_Asset_Cat_Network,0),MATCH($BK$4,Direct_Cost_Type,0))*$O10*INDEX(Act_Type_Repex_Splits,MATCH($I10,Act_Type_Repex,0),MATCH(BH$4,Mat_Type,0))*INDEX(Escalators!$I$44:$U$49,MATCH(BH$4,Escalators!$C$44:$C$49,0),MATCH(BH$5,Escalators!$I$43:$U$43,0))</f>
        <v>0</v>
      </c>
      <c r="BI10" s="128">
        <f>INDEX(Direct_Cost_Splits_Network,MATCH($H10,RIN_Asset_Cat_Network,0),MATCH($BK$4,Direct_Cost_Type,0))*$O10*INDEX(Act_Type_Repex_Splits,MATCH($I10,Act_Type_Repex,0),MATCH(BI$4,Mat_Type,0))*INDEX(Escalators!$I$44:$U$49,MATCH(BI$4,Escalators!$C$44:$C$49,0),MATCH(BI$5,Escalators!$I$43:$U$43,0))</f>
        <v>0</v>
      </c>
      <c r="BJ10" s="128">
        <f>INDEX(Direct_Cost_Splits_Network,MATCH($H10,RIN_Asset_Cat_Network,0),MATCH($BK$4,Direct_Cost_Type,0))*$O10*INDEX(Act_Type_Repex_Splits,MATCH($I10,Act_Type_Repex,0),MATCH(BJ$4,Mat_Type,0))*INDEX(Escalators!$I$44:$U$49,MATCH(BJ$4,Escalators!$C$44:$C$49,0),MATCH(BJ$5,Escalators!$I$43:$U$43,0))</f>
        <v>0</v>
      </c>
      <c r="BK10" s="128">
        <f t="shared" si="26"/>
        <v>0</v>
      </c>
      <c r="BL10" s="128">
        <f>INDEX(Direct_Cost_Splits_Network,MATCH($H10,RIN_Asset_Cat_Network,0),MATCH($BQ$4,Direct_Cost_Type,0))*$P10*INDEX(Act_Type_Repex_Splits,MATCH($I10,Act_Type_Repex,0),MATCH(BL$4,Mat_Type,0))*INDEX(Escalators!$I$44:$U$49,MATCH(BL$4,Escalators!$C$44:$C$49,0),MATCH(BL$5,Escalators!$I$43:$U$43,0))</f>
        <v>1.2259376031773339</v>
      </c>
      <c r="BM10" s="128">
        <f>INDEX(Direct_Cost_Splits_Network,MATCH($H10,RIN_Asset_Cat_Network,0),MATCH($BQ$4,Direct_Cost_Type,0))*$P10*INDEX(Act_Type_Repex_Splits,MATCH($I10,Act_Type_Repex,0),MATCH(BM$4,Mat_Type,0))*INDEX(Escalators!$I$44:$U$49,MATCH(BM$4,Escalators!$C$44:$C$49,0),MATCH(BM$5,Escalators!$I$43:$U$43,0))</f>
        <v>3.6778128095320017</v>
      </c>
      <c r="BN10" s="128">
        <f>INDEX(Direct_Cost_Splits_Network,MATCH($H10,RIN_Asset_Cat_Network,0),MATCH($BQ$4,Direct_Cost_Type,0))*$P10*INDEX(Act_Type_Repex_Splits,MATCH($I10,Act_Type_Repex,0),MATCH(BN$4,Mat_Type,0))*INDEX(Escalators!$I$44:$U$49,MATCH(BN$4,Escalators!$C$44:$C$49,0),MATCH(BN$5,Escalators!$I$43:$U$43,0))</f>
        <v>9.8075008254186713</v>
      </c>
      <c r="BO10" s="128">
        <f>INDEX(Direct_Cost_Splits_Network,MATCH($H10,RIN_Asset_Cat_Network,0),MATCH($BQ$4,Direct_Cost_Type,0))*$P10*INDEX(Act_Type_Repex_Splits,MATCH($I10,Act_Type_Repex,0),MATCH(BO$4,Mat_Type,0))*INDEX(Escalators!$I$44:$U$49,MATCH(BO$4,Escalators!$C$44:$C$49,0),MATCH(BO$5,Escalators!$I$43:$U$43,0))</f>
        <v>0</v>
      </c>
      <c r="BP10" s="128">
        <f>INDEX(Direct_Cost_Splits_Network,MATCH($H10,RIN_Asset_Cat_Network,0),MATCH($BQ$4,Direct_Cost_Type,0))*$P10*INDEX(Act_Type_Repex_Splits,MATCH($I10,Act_Type_Repex,0),MATCH(BP$4,Mat_Type,0))*INDEX(Escalators!$I$44:$U$49,MATCH(BP$4,Escalators!$C$44:$C$49,0),MATCH(BP$5,Escalators!$I$43:$U$43,0))</f>
        <v>9.8075008254186713</v>
      </c>
      <c r="BQ10" s="128">
        <f t="shared" si="27"/>
        <v>24.518752063546678</v>
      </c>
      <c r="BR10" s="128">
        <f>INDEX(Direct_Cost_Splits_Network,MATCH($H10,RIN_Asset_Cat_Network,0),MATCH($BW$4,Direct_Cost_Type,0))*$Q10*INDEX(Act_Type_Repex_Splits,MATCH($I10,Act_Type_Repex,0),MATCH(BR$4,Mat_Type,0))*INDEX(Escalators!$I$44:$U$49,MATCH(BR$4,Escalators!$C$44:$C$49,0),MATCH(BR$5,Escalators!$I$43:$U$43,0))</f>
        <v>28.349807073475848</v>
      </c>
      <c r="BS10" s="128">
        <f>INDEX(Direct_Cost_Splits_Network,MATCH($H10,RIN_Asset_Cat_Network,0),MATCH($BW$4,Direct_Cost_Type,0))*$Q10*INDEX(Act_Type_Repex_Splits,MATCH($I10,Act_Type_Repex,0),MATCH(BS$4,Mat_Type,0))*INDEX(Escalators!$I$44:$U$49,MATCH(BS$4,Escalators!$C$44:$C$49,0),MATCH(BS$5,Escalators!$I$43:$U$43,0))</f>
        <v>85.049421220427533</v>
      </c>
      <c r="BT10" s="128">
        <f>INDEX(Direct_Cost_Splits_Network,MATCH($H10,RIN_Asset_Cat_Network,0),MATCH($BW$4,Direct_Cost_Type,0))*$Q10*INDEX(Act_Type_Repex_Splits,MATCH($I10,Act_Type_Repex,0),MATCH(BT$4,Mat_Type,0))*INDEX(Escalators!$I$44:$U$49,MATCH(BT$4,Escalators!$C$44:$C$49,0),MATCH(BT$5,Escalators!$I$43:$U$43,0))</f>
        <v>226.79845658780678</v>
      </c>
      <c r="BU10" s="128">
        <f>INDEX(Direct_Cost_Splits_Network,MATCH($H10,RIN_Asset_Cat_Network,0),MATCH($BW$4,Direct_Cost_Type,0))*$Q10*INDEX(Act_Type_Repex_Splits,MATCH($I10,Act_Type_Repex,0),MATCH(BU$4,Mat_Type,0))*INDEX(Escalators!$I$44:$U$49,MATCH(BU$4,Escalators!$C$44:$C$49,0),MATCH(BU$5,Escalators!$I$43:$U$43,0))</f>
        <v>0</v>
      </c>
      <c r="BV10" s="128">
        <f>INDEX(Direct_Cost_Splits_Network,MATCH($H10,RIN_Asset_Cat_Network,0),MATCH($BW$4,Direct_Cost_Type,0))*$Q10*INDEX(Act_Type_Repex_Splits,MATCH($I10,Act_Type_Repex,0),MATCH(BV$4,Mat_Type,0))*INDEX(Escalators!$I$44:$U$49,MATCH(BV$4,Escalators!$C$44:$C$49,0),MATCH(BV$5,Escalators!$I$43:$U$43,0))</f>
        <v>226.79845658780678</v>
      </c>
      <c r="BW10" s="128">
        <f t="shared" si="28"/>
        <v>566.99614146951694</v>
      </c>
      <c r="BX10" s="129"/>
      <c r="BY10" s="128">
        <f>INDEX(Direct_Cost_Splits_Network,MATCH($H10,RIN_Asset_Cat_Network,0),MATCH($BY$4,Direct_Cost_Type,0))*J10*HLOOKUP(BY$5,Escalators!$I$25:$U$30,6,FALSE)</f>
        <v>0</v>
      </c>
      <c r="BZ10" s="128">
        <f>INDEX(Direct_Cost_Splits_Network,MATCH($H10,RIN_Asset_Cat_Network,0),MATCH($BY$4,Direct_Cost_Type,0))*K10*HLOOKUP(BZ$5,Escalators!$I$25:$U$30,6,FALSE)</f>
        <v>0</v>
      </c>
      <c r="CA10" s="128">
        <f>INDEX(Direct_Cost_Splits_Network,MATCH($H10,RIN_Asset_Cat_Network,0),MATCH($BY$4,Direct_Cost_Type,0))*L10*HLOOKUP(CA$5,Escalators!$I$25:$U$30,6,FALSE)</f>
        <v>0</v>
      </c>
      <c r="CB10" s="128">
        <f>INDEX(Direct_Cost_Splits_Network,MATCH($H10,RIN_Asset_Cat_Network,0),MATCH($BY$4,Direct_Cost_Type,0))*M10*HLOOKUP(CB$5,Escalators!$I$25:$U$30,6,FALSE)</f>
        <v>0</v>
      </c>
      <c r="CC10" s="128">
        <f>INDEX(Direct_Cost_Splits_Network,MATCH($H10,RIN_Asset_Cat_Network,0),MATCH($BY$4,Direct_Cost_Type,0))*N10*HLOOKUP(CC$5,Escalators!$I$25:$U$30,6,FALSE)</f>
        <v>0</v>
      </c>
      <c r="CD10" s="128">
        <f>INDEX(Direct_Cost_Splits_Network,MATCH($H10,RIN_Asset_Cat_Network,0),MATCH($BY$4,Direct_Cost_Type,0))*O10*HLOOKUP(CD$5,Escalators!$I$25:$U$30,6,FALSE)</f>
        <v>0</v>
      </c>
      <c r="CE10" s="128">
        <f>INDEX(Direct_Cost_Splits_Network,MATCH($H10,RIN_Asset_Cat_Network,0),MATCH($BY$4,Direct_Cost_Type,0))*P10*HLOOKUP(CE$5,Escalators!$I$25:$U$30,6,FALSE)</f>
        <v>65.682480515646546</v>
      </c>
      <c r="CF10" s="128">
        <f>INDEX(Direct_Cost_Splits_Network,MATCH($H10,RIN_Asset_Cat_Network,0),MATCH($BY$4,Direct_Cost_Type,0))*Q10*HLOOKUP(CF$5,Escalators!$I$25:$U$30,6,FALSE)</f>
        <v>1518.9073619243266</v>
      </c>
      <c r="CG10" s="129"/>
      <c r="CH10" s="675">
        <f t="shared" si="11"/>
        <v>0</v>
      </c>
      <c r="CI10" s="675">
        <f t="shared" si="12"/>
        <v>0</v>
      </c>
      <c r="CJ10" s="675">
        <f t="shared" si="12"/>
        <v>0</v>
      </c>
      <c r="CK10" s="675">
        <f t="shared" si="13"/>
        <v>0</v>
      </c>
      <c r="CL10" s="675">
        <f t="shared" si="14"/>
        <v>0</v>
      </c>
      <c r="CM10" s="675">
        <f t="shared" si="15"/>
        <v>0</v>
      </c>
      <c r="CN10" s="675">
        <f t="shared" si="16"/>
        <v>10.164691431003527</v>
      </c>
      <c r="CO10" s="675">
        <f t="shared" si="17"/>
        <v>235.05848934195657</v>
      </c>
      <c r="CP10" s="129"/>
      <c r="CQ10" s="128">
        <f t="shared" si="18"/>
        <v>0</v>
      </c>
      <c r="CR10" s="128">
        <f t="shared" si="29"/>
        <v>0</v>
      </c>
      <c r="CS10" s="128">
        <f t="shared" si="30"/>
        <v>0</v>
      </c>
      <c r="CT10" s="128">
        <f t="shared" si="19"/>
        <v>0</v>
      </c>
      <c r="CU10" s="128">
        <f t="shared" si="20"/>
        <v>0</v>
      </c>
      <c r="CV10" s="128">
        <f t="shared" si="21"/>
        <v>0</v>
      </c>
      <c r="CW10" s="128">
        <f t="shared" si="22"/>
        <v>112.11191693435643</v>
      </c>
      <c r="CX10" s="128">
        <f t="shared" si="23"/>
        <v>2596.1397052965981</v>
      </c>
      <c r="CY10" s="129"/>
      <c r="CZ10" s="128">
        <f t="shared" si="31"/>
        <v>2689.9375</v>
      </c>
      <c r="DA10" s="128">
        <f t="shared" si="32"/>
        <v>2708.2516222309546</v>
      </c>
      <c r="DB10" s="128">
        <f>DA10*Escalators!$M$17</f>
        <v>2870.1620444255896</v>
      </c>
      <c r="DC10" s="128">
        <f>SUMPRODUCT(1+AusNet_Overheads!$K$20:$O$20,CT10:CX10)</f>
        <v>3075.9727690485556</v>
      </c>
      <c r="DD10" s="128">
        <f>DC10*Escalators!$M$17</f>
        <v>3259.8670739970717</v>
      </c>
      <c r="DE10" s="157"/>
      <c r="DF10" s="157"/>
      <c r="DG10" s="201"/>
      <c r="DH10" s="258"/>
    </row>
    <row r="11" spans="2:112">
      <c r="B11" s="75" t="s">
        <v>431</v>
      </c>
      <c r="C11" s="75" t="s">
        <v>433</v>
      </c>
      <c r="D11" s="75" t="s">
        <v>107</v>
      </c>
      <c r="E11" s="75" t="s">
        <v>44</v>
      </c>
      <c r="F11" s="75" t="s">
        <v>131</v>
      </c>
      <c r="G11" s="75" t="s">
        <v>150</v>
      </c>
      <c r="H11" s="75" t="s">
        <v>176</v>
      </c>
      <c r="I11" s="75" t="s">
        <v>248</v>
      </c>
      <c r="J11" s="128"/>
      <c r="K11" s="128">
        <v>0</v>
      </c>
      <c r="L11" s="128">
        <v>0</v>
      </c>
      <c r="M11" s="128">
        <v>82.06</v>
      </c>
      <c r="N11" s="128">
        <v>1897.6375</v>
      </c>
      <c r="O11" s="128">
        <v>3836.3050000000003</v>
      </c>
      <c r="P11" s="128">
        <v>2287.4225000000001</v>
      </c>
      <c r="Q11" s="128">
        <v>102.575</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8.462228400089673</v>
      </c>
      <c r="W11" s="128">
        <f>INDEX(Direct_Cost_Splits_Network,MATCH($H11,RIN_Asset_Cat_Network,0),MATCH($S$4,Direct_Cost_Type,0))*N11*HLOOKUP(W$5,Escalators!$I$25:$U$30,3,FALSE)</f>
        <v>196.65982418579711</v>
      </c>
      <c r="X11" s="128">
        <f>INDEX(Direct_Cost_Splits_Network,MATCH($H11,RIN_Asset_Cat_Network,0),MATCH($S$4,Direct_Cost_Type,0))*O11*HLOOKUP(X$5,Escalators!$I$25:$U$30,3,FALSE)</f>
        <v>400.16096960874177</v>
      </c>
      <c r="Y11" s="128">
        <f>INDEX(Direct_Cost_Splits_Network,MATCH($H11,RIN_Asset_Cat_Network,0),MATCH($S$4,Direct_Cost_Type,0))*P11*HLOOKUP(Y$5,Escalators!$I$25:$U$30,3,FALSE)</f>
        <v>240.96904483913573</v>
      </c>
      <c r="Z11" s="128">
        <f>INDEX(Direct_Cost_Splits_Network,MATCH($H11,RIN_Asset_Cat_Network,0),MATCH($S$4,Direct_Cost_Type,0))*Q11*HLOOKUP(Z$5,Escalators!$I$25:$U$30,3,FALSE)</f>
        <v>10.947077005327408</v>
      </c>
      <c r="AA11" s="129"/>
      <c r="AB11" s="128">
        <f>INDEX(Direct_Cost_Splits_Network,MATCH($H11,RIN_Asset_Cat_Network,0),MATCH($AG$4,Direct_Cost_Type,0))*$J11*INDEX(Act_Type_Repex_Splits,MATCH($I11,Act_Type_Repex,0),MATCH(AB$4,Mat_Type,0))*INDEX(Escalators!$I$44:$U$49,MATCH(AB$4,Escalators!$C$44:$C$49,0),MATCH(AB$5,Escalators!$I$43:$U$43,0))</f>
        <v>0</v>
      </c>
      <c r="AC11" s="128">
        <f>INDEX(Direct_Cost_Splits_Network,MATCH($H11,RIN_Asset_Cat_Network,0),MATCH($AG$4,Direct_Cost_Type,0))*$J11*INDEX(Act_Type_Repex_Splits,MATCH($I11,Act_Type_Repex,0),MATCH(AC$4,Mat_Type,0))*INDEX(Escalators!$I$44:$U$49,MATCH(AC$4,Escalators!$C$44:$C$49,0),MATCH(AC$5,Escalators!$I$43:$U$43,0))</f>
        <v>0</v>
      </c>
      <c r="AD11" s="128">
        <f>INDEX(Direct_Cost_Splits_Network,MATCH($H11,RIN_Asset_Cat_Network,0),MATCH($AG$4,Direct_Cost_Type,0))*$J11*INDEX(Act_Type_Repex_Splits,MATCH($I11,Act_Type_Repex,0),MATCH(AD$4,Mat_Type,0))*INDEX(Escalators!$I$44:$U$49,MATCH(AD$4,Escalators!$C$44:$C$49,0),MATCH(AD$5,Escalators!$I$43:$U$43,0))</f>
        <v>0</v>
      </c>
      <c r="AE11" s="128">
        <f>INDEX(Direct_Cost_Splits_Network,MATCH($H11,RIN_Asset_Cat_Network,0),MATCH($AG$4,Direct_Cost_Type,0))*$J11*INDEX(Act_Type_Repex_Splits,MATCH($I11,Act_Type_Repex,0),MATCH(AE$4,Mat_Type,0))*INDEX(Escalators!$I$44:$U$49,MATCH(AE$4,Escalators!$C$44:$C$49,0),MATCH(AE$5,Escalators!$I$43:$U$43,0))</f>
        <v>0</v>
      </c>
      <c r="AF11" s="128">
        <f>INDEX(Direct_Cost_Splits_Network,MATCH($H11,RIN_Asset_Cat_Network,0),MATCH($AG$4,Direct_Cost_Type,0))*$J11*INDEX(Act_Type_Repex_Splits,MATCH($I11,Act_Type_Repex,0),MATCH(AF$4,Mat_Type,0))*INDEX(Escalators!$I$44:$U$49,MATCH(AF$4,Escalators!$C$44:$C$49,0),MATCH(AF$5,Escalators!$I$43:$U$43,0))</f>
        <v>0</v>
      </c>
      <c r="AG11" s="128">
        <f t="shared" si="24"/>
        <v>0</v>
      </c>
      <c r="AH11" s="128">
        <f>INDEX(Direct_Cost_Splits_Network,MATCH($H11,RIN_Asset_Cat_Network,0),MATCH($AY$4,Direct_Cost_Type,0))*$K11*INDEX(Act_Type_Repex_Splits,MATCH($I11,Act_Type_Repex,0),MATCH(AH$4,Mat_Type,0))*INDEX(Escalators!$I$44:$U$49,MATCH(AH$4,Escalators!$C$44:$C$49,0),MATCH(AH$5,Escalators!$I$43:$U$43,0))</f>
        <v>0</v>
      </c>
      <c r="AI11" s="128">
        <f>INDEX(Direct_Cost_Splits_Network,MATCH($H11,RIN_Asset_Cat_Network,0),MATCH($AY$4,Direct_Cost_Type,0))*$K11*INDEX(Act_Type_Repex_Splits,MATCH($I11,Act_Type_Repex,0),MATCH(AI$4,Mat_Type,0))*INDEX(Escalators!$I$44:$U$49,MATCH(AI$4,Escalators!$C$44:$C$49,0),MATCH(AI$5,Escalators!$I$43:$U$43,0))</f>
        <v>0</v>
      </c>
      <c r="AJ11" s="128">
        <f>INDEX(Direct_Cost_Splits_Network,MATCH($H11,RIN_Asset_Cat_Network,0),MATCH($AY$4,Direct_Cost_Type,0))*$K11*INDEX(Act_Type_Repex_Splits,MATCH($I11,Act_Type_Repex,0),MATCH(AJ$4,Mat_Type,0))*INDEX(Escalators!$I$44:$U$49,MATCH(AJ$4,Escalators!$C$44:$C$49,0),MATCH(AJ$5,Escalators!$I$43:$U$43,0))</f>
        <v>0</v>
      </c>
      <c r="AK11" s="128">
        <f>INDEX(Direct_Cost_Splits_Network,MATCH($H11,RIN_Asset_Cat_Network,0),MATCH($AY$4,Direct_Cost_Type,0))*$K11*INDEX(Act_Type_Repex_Splits,MATCH($I11,Act_Type_Repex,0),MATCH(AK$4,Mat_Type,0))*INDEX(Escalators!$I$44:$U$49,MATCH(AK$4,Escalators!$C$44:$C$49,0),MATCH(AK$5,Escalators!$I$43:$U$43,0))</f>
        <v>0</v>
      </c>
      <c r="AL11" s="128">
        <f>INDEX(Direct_Cost_Splits_Network,MATCH($H11,RIN_Asset_Cat_Network,0),MATCH($AY$4,Direct_Cost_Type,0))*$K11*INDEX(Act_Type_Repex_Splits,MATCH($I11,Act_Type_Repex,0),MATCH(AL$4,Mat_Type,0))*INDEX(Escalators!$I$44:$U$49,MATCH(AL$4,Escalators!$C$44:$C$49,0),MATCH(AL$5,Escalators!$I$43:$U$43,0))</f>
        <v>0</v>
      </c>
      <c r="AM11" s="128">
        <f t="shared" si="8"/>
        <v>0</v>
      </c>
      <c r="AN11" s="128">
        <f>INDEX(Direct_Cost_Splits_Network,MATCH($H11,RIN_Asset_Cat_Network,0),MATCH($AY$4,Direct_Cost_Type,0))*$L11*INDEX(Act_Type_Repex_Splits,MATCH($I11,Act_Type_Repex,0),MATCH(AN$4,Mat_Type,0))*INDEX(Escalators!$I$44:$U$49,MATCH(AN$4,Escalators!$C$44:$C$49,0),MATCH(AN$5,Escalators!$I$43:$U$43,0))</f>
        <v>0</v>
      </c>
      <c r="AO11" s="128">
        <f>INDEX(Direct_Cost_Splits_Network,MATCH($H11,RIN_Asset_Cat_Network,0),MATCH($AY$4,Direct_Cost_Type,0))*$L11*INDEX(Act_Type_Repex_Splits,MATCH($I11,Act_Type_Repex,0),MATCH(AO$4,Mat_Type,0))*INDEX(Escalators!$I$44:$U$49,MATCH(AO$4,Escalators!$C$44:$C$49,0),MATCH(AO$5,Escalators!$I$43:$U$43,0))</f>
        <v>0</v>
      </c>
      <c r="AP11" s="128">
        <f>INDEX(Direct_Cost_Splits_Network,MATCH($H11,RIN_Asset_Cat_Network,0),MATCH($AY$4,Direct_Cost_Type,0))*$L11*INDEX(Act_Type_Repex_Splits,MATCH($I11,Act_Type_Repex,0),MATCH(AP$4,Mat_Type,0))*INDEX(Escalators!$I$44:$U$49,MATCH(AP$4,Escalators!$C$44:$C$49,0),MATCH(AP$5,Escalators!$I$43:$U$43,0))</f>
        <v>0</v>
      </c>
      <c r="AQ11" s="128">
        <f>INDEX(Direct_Cost_Splits_Network,MATCH($H11,RIN_Asset_Cat_Network,0),MATCH($AY$4,Direct_Cost_Type,0))*$L11*INDEX(Act_Type_Repex_Splits,MATCH($I11,Act_Type_Repex,0),MATCH(AQ$4,Mat_Type,0))*INDEX(Escalators!$I$44:$U$49,MATCH(AQ$4,Escalators!$C$44:$C$49,0),MATCH(AQ$5,Escalators!$I$43:$U$43,0))</f>
        <v>0</v>
      </c>
      <c r="AR11" s="128">
        <f>INDEX(Direct_Cost_Splits_Network,MATCH($H11,RIN_Asset_Cat_Network,0),MATCH($AY$4,Direct_Cost_Type,0))*$L11*INDEX(Act_Type_Repex_Splits,MATCH($I11,Act_Type_Repex,0),MATCH(AR$4,Mat_Type,0))*INDEX(Escalators!$I$44:$U$49,MATCH(AR$4,Escalators!$C$44:$C$49,0),MATCH(AR$5,Escalators!$I$43:$U$43,0))</f>
        <v>0</v>
      </c>
      <c r="AS11" s="128">
        <f t="shared" si="9"/>
        <v>0</v>
      </c>
      <c r="AT11" s="128">
        <f>INDEX(Direct_Cost_Splits_Network,MATCH($H11,RIN_Asset_Cat_Network,0),MATCH($AY$4,Direct_Cost_Type,0))*$M11*INDEX(Act_Type_Repex_Splits,MATCH($I11,Act_Type_Repex,0),MATCH(AT$4,Mat_Type,0))*INDEX(Escalators!$I$44:$U$49,MATCH(AT$4,Escalators!$C$44:$C$49,0),MATCH(AT$5,Escalators!$I$43:$U$43,0))</f>
        <v>0.90224609611418849</v>
      </c>
      <c r="AU11" s="128">
        <f>INDEX(Direct_Cost_Splits_Network,MATCH($H11,RIN_Asset_Cat_Network,0),MATCH($AY$4,Direct_Cost_Type,0))*$M11*INDEX(Act_Type_Repex_Splits,MATCH($I11,Act_Type_Repex,0),MATCH(AU$4,Mat_Type,0))*INDEX(Escalators!$I$44:$U$49,MATCH(AU$4,Escalators!$C$44:$C$49,0),MATCH(AU$5,Escalators!$I$43:$U$43,0))</f>
        <v>2.7067382883425655</v>
      </c>
      <c r="AV11" s="128">
        <f>INDEX(Direct_Cost_Splits_Network,MATCH($H11,RIN_Asset_Cat_Network,0),MATCH($AY$4,Direct_Cost_Type,0))*$M11*INDEX(Act_Type_Repex_Splits,MATCH($I11,Act_Type_Repex,0),MATCH(AV$4,Mat_Type,0))*INDEX(Escalators!$I$44:$U$49,MATCH(AV$4,Escalators!$C$44:$C$49,0),MATCH(AV$5,Escalators!$I$43:$U$43,0))</f>
        <v>7.2179687689135079</v>
      </c>
      <c r="AW11" s="128">
        <f>INDEX(Direct_Cost_Splits_Network,MATCH($H11,RIN_Asset_Cat_Network,0),MATCH($AY$4,Direct_Cost_Type,0))*$M11*INDEX(Act_Type_Repex_Splits,MATCH($I11,Act_Type_Repex,0),MATCH(AW$4,Mat_Type,0))*INDEX(Escalators!$I$44:$U$49,MATCH(AW$4,Escalators!$C$44:$C$49,0),MATCH(AW$5,Escalators!$I$43:$U$43,0))</f>
        <v>0</v>
      </c>
      <c r="AX11" s="128">
        <f>INDEX(Direct_Cost_Splits_Network,MATCH($H11,RIN_Asset_Cat_Network,0),MATCH($AY$4,Direct_Cost_Type,0))*$M11*INDEX(Act_Type_Repex_Splits,MATCH($I11,Act_Type_Repex,0),MATCH(AX$4,Mat_Type,0))*INDEX(Escalators!$I$44:$U$49,MATCH(AX$4,Escalators!$C$44:$C$49,0),MATCH(AX$5,Escalators!$I$43:$U$43,0))</f>
        <v>7.2179687689135079</v>
      </c>
      <c r="AY11" s="128">
        <f t="shared" si="10"/>
        <v>18.04492192228377</v>
      </c>
      <c r="AZ11" s="128">
        <f>INDEX(Direct_Cost_Splits_Network,MATCH($H11,RIN_Asset_Cat_Network,0),MATCH($BE$4,Direct_Cost_Type,0))*$N11*INDEX(Act_Type_Repex_Splits,MATCH($I11,Act_Type_Repex,0),MATCH(AZ$4,Mat_Type,0))*INDEX(Escalators!$I$44:$U$49,MATCH(AZ$4,Escalators!$C$44:$C$49,0),MATCH(AZ$5,Escalators!$I$43:$U$43,0))</f>
        <v>20.864440972640612</v>
      </c>
      <c r="BA11" s="128">
        <f>INDEX(Direct_Cost_Splits_Network,MATCH($H11,RIN_Asset_Cat_Network,0),MATCH($BE$4,Direct_Cost_Type,0))*$N11*INDEX(Act_Type_Repex_Splits,MATCH($I11,Act_Type_Repex,0),MATCH(BA$4,Mat_Type,0))*INDEX(Escalators!$I$44:$U$49,MATCH(BA$4,Escalators!$C$44:$C$49,0),MATCH(BA$5,Escalators!$I$43:$U$43,0))</f>
        <v>62.593322917921832</v>
      </c>
      <c r="BB11" s="128">
        <f>INDEX(Direct_Cost_Splits_Network,MATCH($H11,RIN_Asset_Cat_Network,0),MATCH($BE$4,Direct_Cost_Type,0))*$N11*INDEX(Act_Type_Repex_Splits,MATCH($I11,Act_Type_Repex,0),MATCH(BB$4,Mat_Type,0))*INDEX(Escalators!$I$44:$U$49,MATCH(BB$4,Escalators!$C$44:$C$49,0),MATCH(BB$5,Escalators!$I$43:$U$43,0))</f>
        <v>166.91552778112489</v>
      </c>
      <c r="BC11" s="128">
        <f>INDEX(Direct_Cost_Splits_Network,MATCH($H11,RIN_Asset_Cat_Network,0),MATCH($BE$4,Direct_Cost_Type,0))*$N11*INDEX(Act_Type_Repex_Splits,MATCH($I11,Act_Type_Repex,0),MATCH(BC$4,Mat_Type,0))*INDEX(Escalators!$I$44:$U$49,MATCH(BC$4,Escalators!$C$44:$C$49,0),MATCH(BC$5,Escalators!$I$43:$U$43,0))</f>
        <v>0</v>
      </c>
      <c r="BD11" s="128">
        <f>INDEX(Direct_Cost_Splits_Network,MATCH($H11,RIN_Asset_Cat_Network,0),MATCH($BE$4,Direct_Cost_Type,0))*$N11*INDEX(Act_Type_Repex_Splits,MATCH($I11,Act_Type_Repex,0),MATCH(BD$4,Mat_Type,0))*INDEX(Escalators!$I$44:$U$49,MATCH(BD$4,Escalators!$C$44:$C$49,0),MATCH(BD$5,Escalators!$I$43:$U$43,0))</f>
        <v>166.91552778112489</v>
      </c>
      <c r="BE11" s="128">
        <f t="shared" si="25"/>
        <v>417.28881945281228</v>
      </c>
      <c r="BF11" s="128">
        <f>INDEX(Direct_Cost_Splits_Network,MATCH($H11,RIN_Asset_Cat_Network,0),MATCH($BK$4,Direct_Cost_Type,0))*$O11*INDEX(Act_Type_Repex_Splits,MATCH($I11,Act_Type_Repex,0),MATCH(BF$4,Mat_Type,0))*INDEX(Escalators!$I$44:$U$49,MATCH(BF$4,Escalators!$C$44:$C$49,0),MATCH(BF$5,Escalators!$I$43:$U$43,0))</f>
        <v>42.180004993338315</v>
      </c>
      <c r="BG11" s="128">
        <f>INDEX(Direct_Cost_Splits_Network,MATCH($H11,RIN_Asset_Cat_Network,0),MATCH($BK$4,Direct_Cost_Type,0))*$O11*INDEX(Act_Type_Repex_Splits,MATCH($I11,Act_Type_Repex,0),MATCH(BG$4,Mat_Type,0))*INDEX(Escalators!$I$44:$U$49,MATCH(BG$4,Escalators!$C$44:$C$49,0),MATCH(BG$5,Escalators!$I$43:$U$43,0))</f>
        <v>126.54001498001494</v>
      </c>
      <c r="BH11" s="128">
        <f>INDEX(Direct_Cost_Splits_Network,MATCH($H11,RIN_Asset_Cat_Network,0),MATCH($BK$4,Direct_Cost_Type,0))*$O11*INDEX(Act_Type_Repex_Splits,MATCH($I11,Act_Type_Repex,0),MATCH(BH$4,Mat_Type,0))*INDEX(Escalators!$I$44:$U$49,MATCH(BH$4,Escalators!$C$44:$C$49,0),MATCH(BH$5,Escalators!$I$43:$U$43,0))</f>
        <v>337.44003994670652</v>
      </c>
      <c r="BI11" s="128">
        <f>INDEX(Direct_Cost_Splits_Network,MATCH($H11,RIN_Asset_Cat_Network,0),MATCH($BK$4,Direct_Cost_Type,0))*$O11*INDEX(Act_Type_Repex_Splits,MATCH($I11,Act_Type_Repex,0),MATCH(BI$4,Mat_Type,0))*INDEX(Escalators!$I$44:$U$49,MATCH(BI$4,Escalators!$C$44:$C$49,0),MATCH(BI$5,Escalators!$I$43:$U$43,0))</f>
        <v>0</v>
      </c>
      <c r="BJ11" s="128">
        <f>INDEX(Direct_Cost_Splits_Network,MATCH($H11,RIN_Asset_Cat_Network,0),MATCH($BK$4,Direct_Cost_Type,0))*$O11*INDEX(Act_Type_Repex_Splits,MATCH($I11,Act_Type_Repex,0),MATCH(BJ$4,Mat_Type,0))*INDEX(Escalators!$I$44:$U$49,MATCH(BJ$4,Escalators!$C$44:$C$49,0),MATCH(BJ$5,Escalators!$I$43:$U$43,0))</f>
        <v>337.44003994670652</v>
      </c>
      <c r="BK11" s="128">
        <f t="shared" si="26"/>
        <v>843.6000998667663</v>
      </c>
      <c r="BL11" s="128">
        <f>INDEX(Direct_Cost_Splits_Network,MATCH($H11,RIN_Asset_Cat_Network,0),MATCH($BQ$4,Direct_Cost_Type,0))*$P11*INDEX(Act_Type_Repex_Splits,MATCH($I11,Act_Type_Repex,0),MATCH(BL$4,Mat_Type,0))*INDEX(Escalators!$I$44:$U$49,MATCH(BL$4,Escalators!$C$44:$C$49,0),MATCH(BL$5,Escalators!$I$43:$U$43,0))</f>
        <v>25.150109929183007</v>
      </c>
      <c r="BM11" s="128">
        <f>INDEX(Direct_Cost_Splits_Network,MATCH($H11,RIN_Asset_Cat_Network,0),MATCH($BQ$4,Direct_Cost_Type,0))*$P11*INDEX(Act_Type_Repex_Splits,MATCH($I11,Act_Type_Repex,0),MATCH(BM$4,Mat_Type,0))*INDEX(Escalators!$I$44:$U$49,MATCH(BM$4,Escalators!$C$44:$C$49,0),MATCH(BM$5,Escalators!$I$43:$U$43,0))</f>
        <v>75.450329787549009</v>
      </c>
      <c r="BN11" s="128">
        <f>INDEX(Direct_Cost_Splits_Network,MATCH($H11,RIN_Asset_Cat_Network,0),MATCH($BQ$4,Direct_Cost_Type,0))*$P11*INDEX(Act_Type_Repex_Splits,MATCH($I11,Act_Type_Repex,0),MATCH(BN$4,Mat_Type,0))*INDEX(Escalators!$I$44:$U$49,MATCH(BN$4,Escalators!$C$44:$C$49,0),MATCH(BN$5,Escalators!$I$43:$U$43,0))</f>
        <v>201.20087943346405</v>
      </c>
      <c r="BO11" s="128">
        <f>INDEX(Direct_Cost_Splits_Network,MATCH($H11,RIN_Asset_Cat_Network,0),MATCH($BQ$4,Direct_Cost_Type,0))*$P11*INDEX(Act_Type_Repex_Splits,MATCH($I11,Act_Type_Repex,0),MATCH(BO$4,Mat_Type,0))*INDEX(Escalators!$I$44:$U$49,MATCH(BO$4,Escalators!$C$44:$C$49,0),MATCH(BO$5,Escalators!$I$43:$U$43,0))</f>
        <v>0</v>
      </c>
      <c r="BP11" s="128">
        <f>INDEX(Direct_Cost_Splits_Network,MATCH($H11,RIN_Asset_Cat_Network,0),MATCH($BQ$4,Direct_Cost_Type,0))*$P11*INDEX(Act_Type_Repex_Splits,MATCH($I11,Act_Type_Repex,0),MATCH(BP$4,Mat_Type,0))*INDEX(Escalators!$I$44:$U$49,MATCH(BP$4,Escalators!$C$44:$C$49,0),MATCH(BP$5,Escalators!$I$43:$U$43,0))</f>
        <v>201.20087943346405</v>
      </c>
      <c r="BQ11" s="128">
        <f t="shared" si="27"/>
        <v>503.00219858366006</v>
      </c>
      <c r="BR11" s="128">
        <f>INDEX(Direct_Cost_Splits_Network,MATCH($H11,RIN_Asset_Cat_Network,0),MATCH($BW$4,Direct_Cost_Type,0))*$Q11*INDEX(Act_Type_Repex_Splits,MATCH($I11,Act_Type_Repex,0),MATCH(BR$4,Mat_Type,0))*INDEX(Escalators!$I$44:$U$49,MATCH(BR$4,Escalators!$C$44:$C$49,0),MATCH(BR$5,Escalators!$I$43:$U$43,0))</f>
        <v>1.1278076201427358</v>
      </c>
      <c r="BS11" s="128">
        <f>INDEX(Direct_Cost_Splits_Network,MATCH($H11,RIN_Asset_Cat_Network,0),MATCH($BW$4,Direct_Cost_Type,0))*$Q11*INDEX(Act_Type_Repex_Splits,MATCH($I11,Act_Type_Repex,0),MATCH(BS$4,Mat_Type,0))*INDEX(Escalators!$I$44:$U$49,MATCH(BS$4,Escalators!$C$44:$C$49,0),MATCH(BS$5,Escalators!$I$43:$U$43,0))</f>
        <v>3.3834228604282068</v>
      </c>
      <c r="BT11" s="128">
        <f>INDEX(Direct_Cost_Splits_Network,MATCH($H11,RIN_Asset_Cat_Network,0),MATCH($BW$4,Direct_Cost_Type,0))*$Q11*INDEX(Act_Type_Repex_Splits,MATCH($I11,Act_Type_Repex,0),MATCH(BT$4,Mat_Type,0))*INDEX(Escalators!$I$44:$U$49,MATCH(BT$4,Escalators!$C$44:$C$49,0),MATCH(BT$5,Escalators!$I$43:$U$43,0))</f>
        <v>9.0224609611418867</v>
      </c>
      <c r="BU11" s="128">
        <f>INDEX(Direct_Cost_Splits_Network,MATCH($H11,RIN_Asset_Cat_Network,0),MATCH($BW$4,Direct_Cost_Type,0))*$Q11*INDEX(Act_Type_Repex_Splits,MATCH($I11,Act_Type_Repex,0),MATCH(BU$4,Mat_Type,0))*INDEX(Escalators!$I$44:$U$49,MATCH(BU$4,Escalators!$C$44:$C$49,0),MATCH(BU$5,Escalators!$I$43:$U$43,0))</f>
        <v>0</v>
      </c>
      <c r="BV11" s="128">
        <f>INDEX(Direct_Cost_Splits_Network,MATCH($H11,RIN_Asset_Cat_Network,0),MATCH($BW$4,Direct_Cost_Type,0))*$Q11*INDEX(Act_Type_Repex_Splits,MATCH($I11,Act_Type_Repex,0),MATCH(BV$4,Mat_Type,0))*INDEX(Escalators!$I$44:$U$49,MATCH(BV$4,Escalators!$C$44:$C$49,0),MATCH(BV$5,Escalators!$I$43:$U$43,0))</f>
        <v>9.0224609611418867</v>
      </c>
      <c r="BW11" s="128">
        <f t="shared" si="28"/>
        <v>22.556152402854714</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48.339949337344898</v>
      </c>
      <c r="CC11" s="128">
        <f>INDEX(Direct_Cost_Splits_Network,MATCH($H11,RIN_Asset_Cat_Network,0),MATCH($BY$4,Direct_Cost_Type,0))*N11*HLOOKUP(CC$5,Escalators!$I$25:$U$30,6,FALSE)</f>
        <v>1117.8613284261007</v>
      </c>
      <c r="CD11" s="128">
        <f>INDEX(Direct_Cost_Splits_Network,MATCH($H11,RIN_Asset_Cat_Network,0),MATCH($BY$4,Direct_Cost_Type,0))*O11*HLOOKUP(CD$5,Escalators!$I$25:$U$30,6,FALSE)</f>
        <v>2259.8926315208741</v>
      </c>
      <c r="CE11" s="128">
        <f>INDEX(Direct_Cost_Splits_Network,MATCH($H11,RIN_Asset_Cat_Network,0),MATCH($BY$4,Direct_Cost_Type,0))*P11*HLOOKUP(CE$5,Escalators!$I$25:$U$30,6,FALSE)</f>
        <v>1347.476087778489</v>
      </c>
      <c r="CF11" s="128">
        <f>INDEX(Direct_Cost_Splits_Network,MATCH($H11,RIN_Asset_Cat_Network,0),MATCH($BY$4,Direct_Cost_Type,0))*Q11*HLOOKUP(CF$5,Escalators!$I$25:$U$30,6,FALSE)</f>
        <v>60.424936671681124</v>
      </c>
      <c r="CG11" s="129"/>
      <c r="CH11" s="675">
        <f t="shared" si="11"/>
        <v>0</v>
      </c>
      <c r="CI11" s="675">
        <f t="shared" si="12"/>
        <v>0</v>
      </c>
      <c r="CJ11" s="675">
        <f t="shared" si="12"/>
        <v>0</v>
      </c>
      <c r="CK11" s="675">
        <f t="shared" si="13"/>
        <v>7.4808482406112056</v>
      </c>
      <c r="CL11" s="675">
        <f t="shared" si="14"/>
        <v>172.99461556413414</v>
      </c>
      <c r="CM11" s="675">
        <f t="shared" si="15"/>
        <v>349.72965524857392</v>
      </c>
      <c r="CN11" s="675">
        <f t="shared" si="16"/>
        <v>208.52864470703736</v>
      </c>
      <c r="CO11" s="675">
        <f t="shared" si="17"/>
        <v>9.3510603007640078</v>
      </c>
      <c r="CP11" s="129"/>
      <c r="CQ11" s="128">
        <f t="shared" si="18"/>
        <v>0</v>
      </c>
      <c r="CR11" s="128">
        <f t="shared" si="29"/>
        <v>0</v>
      </c>
      <c r="CS11" s="128">
        <f t="shared" si="30"/>
        <v>0</v>
      </c>
      <c r="CT11" s="128">
        <f t="shared" si="19"/>
        <v>82.327947900329548</v>
      </c>
      <c r="CU11" s="128">
        <f t="shared" si="20"/>
        <v>1904.8045876288443</v>
      </c>
      <c r="CV11" s="128">
        <f t="shared" si="21"/>
        <v>3853.3833562449563</v>
      </c>
      <c r="CW11" s="128">
        <f t="shared" si="22"/>
        <v>2299.9759759083227</v>
      </c>
      <c r="CX11" s="128">
        <f t="shared" si="23"/>
        <v>103.27922638062725</v>
      </c>
      <c r="CY11" s="129"/>
      <c r="CZ11" s="128">
        <f t="shared" ref="CZ11:CZ21" si="33">SUM(M11:Q11)</f>
        <v>8206.0000000000018</v>
      </c>
      <c r="DA11" s="128">
        <f t="shared" ref="DA11:DA21" si="34">SUM(CT11:CX11)</f>
        <v>8243.7710940630805</v>
      </c>
      <c r="DB11" s="128">
        <f>DA11*Escalators!$M$17</f>
        <v>8736.6176402847213</v>
      </c>
      <c r="DC11" s="128">
        <f>SUMPRODUCT(1+AusNet_Overheads!$K$20:$O$20,CT11:CX11)</f>
        <v>9198.6514402875819</v>
      </c>
      <c r="DD11" s="128">
        <f>DC11*Escalators!$M$17</f>
        <v>9748.5846614449929</v>
      </c>
      <c r="DE11" s="157"/>
      <c r="DF11" s="157"/>
      <c r="DG11" s="201"/>
      <c r="DH11" s="258"/>
    </row>
    <row r="12" spans="2:112">
      <c r="B12" s="75" t="s">
        <v>431</v>
      </c>
      <c r="C12" s="75" t="s">
        <v>434</v>
      </c>
      <c r="D12" s="75" t="s">
        <v>107</v>
      </c>
      <c r="E12" s="75" t="s">
        <v>44</v>
      </c>
      <c r="F12" s="75" t="s">
        <v>131</v>
      </c>
      <c r="G12" s="75" t="s">
        <v>150</v>
      </c>
      <c r="H12" s="75" t="s">
        <v>176</v>
      </c>
      <c r="I12" s="75" t="s">
        <v>248</v>
      </c>
      <c r="J12" s="128"/>
      <c r="K12" s="128">
        <v>0</v>
      </c>
      <c r="L12" s="128">
        <v>104.7</v>
      </c>
      <c r="M12" s="128">
        <v>2421.1875000000005</v>
      </c>
      <c r="N12" s="128">
        <v>4894.7249999999995</v>
      </c>
      <c r="O12" s="128">
        <v>2918.5124999999998</v>
      </c>
      <c r="P12" s="128">
        <v>130.875</v>
      </c>
      <c r="Q12" s="128">
        <v>0</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10.713759042787553</v>
      </c>
      <c r="V12" s="128">
        <f>INDEX(Direct_Cost_Splits_Network,MATCH($H12,RIN_Asset_Cat_Network,0),MATCH($S$4,Direct_Cost_Type,0))*M12*HLOOKUP(V$5,Escalators!$I$25:$U$30,3,FALSE)</f>
        <v>249.67879142629931</v>
      </c>
      <c r="W12" s="128">
        <f>INDEX(Direct_Cost_Splits_Network,MATCH($H12,RIN_Asset_Cat_Network,0),MATCH($S$4,Direct_Cost_Type,0))*N12*HLOOKUP(W$5,Escalators!$I$25:$U$30,3,FALSE)</f>
        <v>507.26008415085892</v>
      </c>
      <c r="X12" s="128">
        <f>INDEX(Direct_Cost_Splits_Network,MATCH($H12,RIN_Asset_Cat_Network,0),MATCH($S$4,Direct_Cost_Type,0))*O12*HLOOKUP(X$5,Escalators!$I$25:$U$30,3,FALSE)</f>
        <v>304.42699207055563</v>
      </c>
      <c r="Y12" s="128">
        <f>INDEX(Direct_Cost_Splits_Network,MATCH($H12,RIN_Asset_Cat_Network,0),MATCH($S$4,Direct_Cost_Type,0))*P12*HLOOKUP(Y$5,Escalators!$I$25:$U$30,3,FALSE)</f>
        <v>13.787056717034954</v>
      </c>
      <c r="Z12" s="128">
        <f>INDEX(Direct_Cost_Splits_Network,MATCH($H12,RIN_Asset_Cat_Network,0),MATCH($S$4,Direct_Cost_Type,0))*Q12*HLOOKUP(Z$5,Escalators!$I$25:$U$30,3,FALSE)</f>
        <v>0</v>
      </c>
      <c r="AA12" s="129"/>
      <c r="AB12" s="128">
        <f>INDEX(Direct_Cost_Splits_Network,MATCH($H12,RIN_Asset_Cat_Network,0),MATCH($AG$4,Direct_Cost_Type,0))*$J12*INDEX(Act_Type_Repex_Splits,MATCH($I12,Act_Type_Repex,0),MATCH(AB$4,Mat_Type,0))*INDEX(Escalators!$I$44:$U$49,MATCH(AB$4,Escalators!$C$44:$C$49,0),MATCH(AB$5,Escalators!$I$43:$U$43,0))</f>
        <v>0</v>
      </c>
      <c r="AC12" s="128">
        <f>INDEX(Direct_Cost_Splits_Network,MATCH($H12,RIN_Asset_Cat_Network,0),MATCH($AG$4,Direct_Cost_Type,0))*$J12*INDEX(Act_Type_Repex_Splits,MATCH($I12,Act_Type_Repex,0),MATCH(AC$4,Mat_Type,0))*INDEX(Escalators!$I$44:$U$49,MATCH(AC$4,Escalators!$C$44:$C$49,0),MATCH(AC$5,Escalators!$I$43:$U$43,0))</f>
        <v>0</v>
      </c>
      <c r="AD12" s="128">
        <f>INDEX(Direct_Cost_Splits_Network,MATCH($H12,RIN_Asset_Cat_Network,0),MATCH($AG$4,Direct_Cost_Type,0))*$J12*INDEX(Act_Type_Repex_Splits,MATCH($I12,Act_Type_Repex,0),MATCH(AD$4,Mat_Type,0))*INDEX(Escalators!$I$44:$U$49,MATCH(AD$4,Escalators!$C$44:$C$49,0),MATCH(AD$5,Escalators!$I$43:$U$43,0))</f>
        <v>0</v>
      </c>
      <c r="AE12" s="128">
        <f>INDEX(Direct_Cost_Splits_Network,MATCH($H12,RIN_Asset_Cat_Network,0),MATCH($AG$4,Direct_Cost_Type,0))*$J12*INDEX(Act_Type_Repex_Splits,MATCH($I12,Act_Type_Repex,0),MATCH(AE$4,Mat_Type,0))*INDEX(Escalators!$I$44:$U$49,MATCH(AE$4,Escalators!$C$44:$C$49,0),MATCH(AE$5,Escalators!$I$43:$U$43,0))</f>
        <v>0</v>
      </c>
      <c r="AF12" s="128">
        <f>INDEX(Direct_Cost_Splits_Network,MATCH($H12,RIN_Asset_Cat_Network,0),MATCH($AG$4,Direct_Cost_Type,0))*$J12*INDEX(Act_Type_Repex_Splits,MATCH($I12,Act_Type_Repex,0),MATCH(AF$4,Mat_Type,0))*INDEX(Escalators!$I$44:$U$49,MATCH(AF$4,Escalators!$C$44:$C$49,0),MATCH(AF$5,Escalators!$I$43:$U$43,0))</f>
        <v>0</v>
      </c>
      <c r="AG12" s="128">
        <f t="shared" si="24"/>
        <v>0</v>
      </c>
      <c r="AH12" s="128">
        <f>INDEX(Direct_Cost_Splits_Network,MATCH($H12,RIN_Asset_Cat_Network,0),MATCH($AY$4,Direct_Cost_Type,0))*$K12*INDEX(Act_Type_Repex_Splits,MATCH($I12,Act_Type_Repex,0),MATCH(AH$4,Mat_Type,0))*INDEX(Escalators!$I$44:$U$49,MATCH(AH$4,Escalators!$C$44:$C$49,0),MATCH(AH$5,Escalators!$I$43:$U$43,0))</f>
        <v>0</v>
      </c>
      <c r="AI12" s="128">
        <f>INDEX(Direct_Cost_Splits_Network,MATCH($H12,RIN_Asset_Cat_Network,0),MATCH($AY$4,Direct_Cost_Type,0))*$K12*INDEX(Act_Type_Repex_Splits,MATCH($I12,Act_Type_Repex,0),MATCH(AI$4,Mat_Type,0))*INDEX(Escalators!$I$44:$U$49,MATCH(AI$4,Escalators!$C$44:$C$49,0),MATCH(AI$5,Escalators!$I$43:$U$43,0))</f>
        <v>0</v>
      </c>
      <c r="AJ12" s="128">
        <f>INDEX(Direct_Cost_Splits_Network,MATCH($H12,RIN_Asset_Cat_Network,0),MATCH($AY$4,Direct_Cost_Type,0))*$K12*INDEX(Act_Type_Repex_Splits,MATCH($I12,Act_Type_Repex,0),MATCH(AJ$4,Mat_Type,0))*INDEX(Escalators!$I$44:$U$49,MATCH(AJ$4,Escalators!$C$44:$C$49,0),MATCH(AJ$5,Escalators!$I$43:$U$43,0))</f>
        <v>0</v>
      </c>
      <c r="AK12" s="128">
        <f>INDEX(Direct_Cost_Splits_Network,MATCH($H12,RIN_Asset_Cat_Network,0),MATCH($AY$4,Direct_Cost_Type,0))*$K12*INDEX(Act_Type_Repex_Splits,MATCH($I12,Act_Type_Repex,0),MATCH(AK$4,Mat_Type,0))*INDEX(Escalators!$I$44:$U$49,MATCH(AK$4,Escalators!$C$44:$C$49,0),MATCH(AK$5,Escalators!$I$43:$U$43,0))</f>
        <v>0</v>
      </c>
      <c r="AL12" s="128">
        <f>INDEX(Direct_Cost_Splits_Network,MATCH($H12,RIN_Asset_Cat_Network,0),MATCH($AY$4,Direct_Cost_Type,0))*$K12*INDEX(Act_Type_Repex_Splits,MATCH($I12,Act_Type_Repex,0),MATCH(AL$4,Mat_Type,0))*INDEX(Escalators!$I$44:$U$49,MATCH(AL$4,Escalators!$C$44:$C$49,0),MATCH(AL$5,Escalators!$I$43:$U$43,0))</f>
        <v>0</v>
      </c>
      <c r="AM12" s="128">
        <f t="shared" si="8"/>
        <v>0</v>
      </c>
      <c r="AN12" s="128">
        <f>INDEX(Direct_Cost_Splits_Network,MATCH($H12,RIN_Asset_Cat_Network,0),MATCH($AY$4,Direct_Cost_Type,0))*$L12*INDEX(Act_Type_Repex_Splits,MATCH($I12,Act_Type_Repex,0),MATCH(AN$4,Mat_Type,0))*INDEX(Escalators!$I$44:$U$49,MATCH(AN$4,Escalators!$C$44:$C$49,0),MATCH(AN$5,Escalators!$I$43:$U$43,0))</f>
        <v>1.1511719018176401</v>
      </c>
      <c r="AO12" s="128">
        <f>INDEX(Direct_Cost_Splits_Network,MATCH($H12,RIN_Asset_Cat_Network,0),MATCH($AY$4,Direct_Cost_Type,0))*$L12*INDEX(Act_Type_Repex_Splits,MATCH($I12,Act_Type_Repex,0),MATCH(AO$4,Mat_Type,0))*INDEX(Escalators!$I$44:$U$49,MATCH(AO$4,Escalators!$C$44:$C$49,0),MATCH(AO$5,Escalators!$I$43:$U$43,0))</f>
        <v>3.45351570545292</v>
      </c>
      <c r="AP12" s="128">
        <f>INDEX(Direct_Cost_Splits_Network,MATCH($H12,RIN_Asset_Cat_Network,0),MATCH($AY$4,Direct_Cost_Type,0))*$L12*INDEX(Act_Type_Repex_Splits,MATCH($I12,Act_Type_Repex,0),MATCH(AP$4,Mat_Type,0))*INDEX(Escalators!$I$44:$U$49,MATCH(AP$4,Escalators!$C$44:$C$49,0),MATCH(AP$5,Escalators!$I$43:$U$43,0))</f>
        <v>9.2093752145411205</v>
      </c>
      <c r="AQ12" s="128">
        <f>INDEX(Direct_Cost_Splits_Network,MATCH($H12,RIN_Asset_Cat_Network,0),MATCH($AY$4,Direct_Cost_Type,0))*$L12*INDEX(Act_Type_Repex_Splits,MATCH($I12,Act_Type_Repex,0),MATCH(AQ$4,Mat_Type,0))*INDEX(Escalators!$I$44:$U$49,MATCH(AQ$4,Escalators!$C$44:$C$49,0),MATCH(AQ$5,Escalators!$I$43:$U$43,0))</f>
        <v>0</v>
      </c>
      <c r="AR12" s="128">
        <f>INDEX(Direct_Cost_Splits_Network,MATCH($H12,RIN_Asset_Cat_Network,0),MATCH($AY$4,Direct_Cost_Type,0))*$L12*INDEX(Act_Type_Repex_Splits,MATCH($I12,Act_Type_Repex,0),MATCH(AR$4,Mat_Type,0))*INDEX(Escalators!$I$44:$U$49,MATCH(AR$4,Escalators!$C$44:$C$49,0),MATCH(AR$5,Escalators!$I$43:$U$43,0))</f>
        <v>9.2093752145411205</v>
      </c>
      <c r="AS12" s="128">
        <f t="shared" si="9"/>
        <v>23.0234380363528</v>
      </c>
      <c r="AT12" s="128">
        <f>INDEX(Direct_Cost_Splits_Network,MATCH($H12,RIN_Asset_Cat_Network,0),MATCH($AY$4,Direct_Cost_Type,0))*$M12*INDEX(Act_Type_Repex_Splits,MATCH($I12,Act_Type_Repex,0),MATCH(AT$4,Mat_Type,0))*INDEX(Escalators!$I$44:$U$49,MATCH(AT$4,Escalators!$C$44:$C$49,0),MATCH(AT$5,Escalators!$I$43:$U$43,0))</f>
        <v>26.620850229532934</v>
      </c>
      <c r="AU12" s="128">
        <f>INDEX(Direct_Cost_Splits_Network,MATCH($H12,RIN_Asset_Cat_Network,0),MATCH($AY$4,Direct_Cost_Type,0))*$M12*INDEX(Act_Type_Repex_Splits,MATCH($I12,Act_Type_Repex,0),MATCH(AU$4,Mat_Type,0))*INDEX(Escalators!$I$44:$U$49,MATCH(AU$4,Escalators!$C$44:$C$49,0),MATCH(AU$5,Escalators!$I$43:$U$43,0))</f>
        <v>79.862550688598787</v>
      </c>
      <c r="AV12" s="128">
        <f>INDEX(Direct_Cost_Splits_Network,MATCH($H12,RIN_Asset_Cat_Network,0),MATCH($AY$4,Direct_Cost_Type,0))*$M12*INDEX(Act_Type_Repex_Splits,MATCH($I12,Act_Type_Repex,0),MATCH(AV$4,Mat_Type,0))*INDEX(Escalators!$I$44:$U$49,MATCH(AV$4,Escalators!$C$44:$C$49,0),MATCH(AV$5,Escalators!$I$43:$U$43,0))</f>
        <v>212.96680183626347</v>
      </c>
      <c r="AW12" s="128">
        <f>INDEX(Direct_Cost_Splits_Network,MATCH($H12,RIN_Asset_Cat_Network,0),MATCH($AY$4,Direct_Cost_Type,0))*$M12*INDEX(Act_Type_Repex_Splits,MATCH($I12,Act_Type_Repex,0),MATCH(AW$4,Mat_Type,0))*INDEX(Escalators!$I$44:$U$49,MATCH(AW$4,Escalators!$C$44:$C$49,0),MATCH(AW$5,Escalators!$I$43:$U$43,0))</f>
        <v>0</v>
      </c>
      <c r="AX12" s="128">
        <f>INDEX(Direct_Cost_Splits_Network,MATCH($H12,RIN_Asset_Cat_Network,0),MATCH($AY$4,Direct_Cost_Type,0))*$M12*INDEX(Act_Type_Repex_Splits,MATCH($I12,Act_Type_Repex,0),MATCH(AX$4,Mat_Type,0))*INDEX(Escalators!$I$44:$U$49,MATCH(AX$4,Escalators!$C$44:$C$49,0),MATCH(AX$5,Escalators!$I$43:$U$43,0))</f>
        <v>212.96680183626347</v>
      </c>
      <c r="AY12" s="128">
        <f t="shared" si="10"/>
        <v>532.41700459065873</v>
      </c>
      <c r="AZ12" s="128">
        <f>INDEX(Direct_Cost_Splits_Network,MATCH($H12,RIN_Asset_Cat_Network,0),MATCH($BE$4,Direct_Cost_Type,0))*$N12*INDEX(Act_Type_Repex_Splits,MATCH($I12,Act_Type_Repex,0),MATCH(AZ$4,Mat_Type,0))*INDEX(Escalators!$I$44:$U$49,MATCH(AZ$4,Escalators!$C$44:$C$49,0),MATCH(AZ$5,Escalators!$I$43:$U$43,0))</f>
        <v>53.81728640997467</v>
      </c>
      <c r="BA12" s="128">
        <f>INDEX(Direct_Cost_Splits_Network,MATCH($H12,RIN_Asset_Cat_Network,0),MATCH($BE$4,Direct_Cost_Type,0))*$N12*INDEX(Act_Type_Repex_Splits,MATCH($I12,Act_Type_Repex,0),MATCH(BA$4,Mat_Type,0))*INDEX(Escalators!$I$44:$U$49,MATCH(BA$4,Escalators!$C$44:$C$49,0),MATCH(BA$5,Escalators!$I$43:$U$43,0))</f>
        <v>161.451859229924</v>
      </c>
      <c r="BB12" s="128">
        <f>INDEX(Direct_Cost_Splits_Network,MATCH($H12,RIN_Asset_Cat_Network,0),MATCH($BE$4,Direct_Cost_Type,0))*$N12*INDEX(Act_Type_Repex_Splits,MATCH($I12,Act_Type_Repex,0),MATCH(BB$4,Mat_Type,0))*INDEX(Escalators!$I$44:$U$49,MATCH(BB$4,Escalators!$C$44:$C$49,0),MATCH(BB$5,Escalators!$I$43:$U$43,0))</f>
        <v>430.53829127979736</v>
      </c>
      <c r="BC12" s="128">
        <f>INDEX(Direct_Cost_Splits_Network,MATCH($H12,RIN_Asset_Cat_Network,0),MATCH($BE$4,Direct_Cost_Type,0))*$N12*INDEX(Act_Type_Repex_Splits,MATCH($I12,Act_Type_Repex,0),MATCH(BC$4,Mat_Type,0))*INDEX(Escalators!$I$44:$U$49,MATCH(BC$4,Escalators!$C$44:$C$49,0),MATCH(BC$5,Escalators!$I$43:$U$43,0))</f>
        <v>0</v>
      </c>
      <c r="BD12" s="128">
        <f>INDEX(Direct_Cost_Splits_Network,MATCH($H12,RIN_Asset_Cat_Network,0),MATCH($BE$4,Direct_Cost_Type,0))*$N12*INDEX(Act_Type_Repex_Splits,MATCH($I12,Act_Type_Repex,0),MATCH(BD$4,Mat_Type,0))*INDEX(Escalators!$I$44:$U$49,MATCH(BD$4,Escalators!$C$44:$C$49,0),MATCH(BD$5,Escalators!$I$43:$U$43,0))</f>
        <v>430.53829127979736</v>
      </c>
      <c r="BE12" s="128">
        <f t="shared" si="25"/>
        <v>1076.3457281994934</v>
      </c>
      <c r="BF12" s="128">
        <f>INDEX(Direct_Cost_Splits_Network,MATCH($H12,RIN_Asset_Cat_Network,0),MATCH($BK$4,Direct_Cost_Type,0))*$O12*INDEX(Act_Type_Repex_Splits,MATCH($I12,Act_Type_Repex,0),MATCH(BF$4,Mat_Type,0))*INDEX(Escalators!$I$44:$U$49,MATCH(BF$4,Escalators!$C$44:$C$49,0),MATCH(BF$5,Escalators!$I$43:$U$43,0))</f>
        <v>32.088916763166715</v>
      </c>
      <c r="BG12" s="128">
        <f>INDEX(Direct_Cost_Splits_Network,MATCH($H12,RIN_Asset_Cat_Network,0),MATCH($BK$4,Direct_Cost_Type,0))*$O12*INDEX(Act_Type_Repex_Splits,MATCH($I12,Act_Type_Repex,0),MATCH(BG$4,Mat_Type,0))*INDEX(Escalators!$I$44:$U$49,MATCH(BG$4,Escalators!$C$44:$C$49,0),MATCH(BG$5,Escalators!$I$43:$U$43,0))</f>
        <v>96.266750289500138</v>
      </c>
      <c r="BH12" s="128">
        <f>INDEX(Direct_Cost_Splits_Network,MATCH($H12,RIN_Asset_Cat_Network,0),MATCH($BK$4,Direct_Cost_Type,0))*$O12*INDEX(Act_Type_Repex_Splits,MATCH($I12,Act_Type_Repex,0),MATCH(BH$4,Mat_Type,0))*INDEX(Escalators!$I$44:$U$49,MATCH(BH$4,Escalators!$C$44:$C$49,0),MATCH(BH$5,Escalators!$I$43:$U$43,0))</f>
        <v>256.71133410533372</v>
      </c>
      <c r="BI12" s="128">
        <f>INDEX(Direct_Cost_Splits_Network,MATCH($H12,RIN_Asset_Cat_Network,0),MATCH($BK$4,Direct_Cost_Type,0))*$O12*INDEX(Act_Type_Repex_Splits,MATCH($I12,Act_Type_Repex,0),MATCH(BI$4,Mat_Type,0))*INDEX(Escalators!$I$44:$U$49,MATCH(BI$4,Escalators!$C$44:$C$49,0),MATCH(BI$5,Escalators!$I$43:$U$43,0))</f>
        <v>0</v>
      </c>
      <c r="BJ12" s="128">
        <f>INDEX(Direct_Cost_Splits_Network,MATCH($H12,RIN_Asset_Cat_Network,0),MATCH($BK$4,Direct_Cost_Type,0))*$O12*INDEX(Act_Type_Repex_Splits,MATCH($I12,Act_Type_Repex,0),MATCH(BJ$4,Mat_Type,0))*INDEX(Escalators!$I$44:$U$49,MATCH(BJ$4,Escalators!$C$44:$C$49,0),MATCH(BJ$5,Escalators!$I$43:$U$43,0))</f>
        <v>256.71133410533372</v>
      </c>
      <c r="BK12" s="128">
        <f t="shared" si="26"/>
        <v>641.77833526333438</v>
      </c>
      <c r="BL12" s="128">
        <f>INDEX(Direct_Cost_Splits_Network,MATCH($H12,RIN_Asset_Cat_Network,0),MATCH($BQ$4,Direct_Cost_Type,0))*$P12*INDEX(Act_Type_Repex_Splits,MATCH($I12,Act_Type_Repex,0),MATCH(BL$4,Mat_Type,0))*INDEX(Escalators!$I$44:$U$49,MATCH(BL$4,Escalators!$C$44:$C$49,0),MATCH(BL$5,Escalators!$I$43:$U$43,0))</f>
        <v>1.43896487727205</v>
      </c>
      <c r="BM12" s="128">
        <f>INDEX(Direct_Cost_Splits_Network,MATCH($H12,RIN_Asset_Cat_Network,0),MATCH($BQ$4,Direct_Cost_Type,0))*$P12*INDEX(Act_Type_Repex_Splits,MATCH($I12,Act_Type_Repex,0),MATCH(BM$4,Mat_Type,0))*INDEX(Escalators!$I$44:$U$49,MATCH(BM$4,Escalators!$C$44:$C$49,0),MATCH(BM$5,Escalators!$I$43:$U$43,0))</f>
        <v>4.3168946318161501</v>
      </c>
      <c r="BN12" s="128">
        <f>INDEX(Direct_Cost_Splits_Network,MATCH($H12,RIN_Asset_Cat_Network,0),MATCH($BQ$4,Direct_Cost_Type,0))*$P12*INDEX(Act_Type_Repex_Splits,MATCH($I12,Act_Type_Repex,0),MATCH(BN$4,Mat_Type,0))*INDEX(Escalators!$I$44:$U$49,MATCH(BN$4,Escalators!$C$44:$C$49,0),MATCH(BN$5,Escalators!$I$43:$U$43,0))</f>
        <v>11.5117190181764</v>
      </c>
      <c r="BO12" s="128">
        <f>INDEX(Direct_Cost_Splits_Network,MATCH($H12,RIN_Asset_Cat_Network,0),MATCH($BQ$4,Direct_Cost_Type,0))*$P12*INDEX(Act_Type_Repex_Splits,MATCH($I12,Act_Type_Repex,0),MATCH(BO$4,Mat_Type,0))*INDEX(Escalators!$I$44:$U$49,MATCH(BO$4,Escalators!$C$44:$C$49,0),MATCH(BO$5,Escalators!$I$43:$U$43,0))</f>
        <v>0</v>
      </c>
      <c r="BP12" s="128">
        <f>INDEX(Direct_Cost_Splits_Network,MATCH($H12,RIN_Asset_Cat_Network,0),MATCH($BQ$4,Direct_Cost_Type,0))*$P12*INDEX(Act_Type_Repex_Splits,MATCH($I12,Act_Type_Repex,0),MATCH(BP$4,Mat_Type,0))*INDEX(Escalators!$I$44:$U$49,MATCH(BP$4,Escalators!$C$44:$C$49,0),MATCH(BP$5,Escalators!$I$43:$U$43,0))</f>
        <v>11.5117190181764</v>
      </c>
      <c r="BQ12" s="128">
        <f t="shared" si="27"/>
        <v>28.779297545441</v>
      </c>
      <c r="BR12" s="128">
        <f>INDEX(Direct_Cost_Splits_Network,MATCH($H12,RIN_Asset_Cat_Network,0),MATCH($BW$4,Direct_Cost_Type,0))*$Q12*INDEX(Act_Type_Repex_Splits,MATCH($I12,Act_Type_Repex,0),MATCH(BR$4,Mat_Type,0))*INDEX(Escalators!$I$44:$U$49,MATCH(BR$4,Escalators!$C$44:$C$49,0),MATCH(BR$5,Escalators!$I$43:$U$43,0))</f>
        <v>0</v>
      </c>
      <c r="BS12" s="128">
        <f>INDEX(Direct_Cost_Splits_Network,MATCH($H12,RIN_Asset_Cat_Network,0),MATCH($BW$4,Direct_Cost_Type,0))*$Q12*INDEX(Act_Type_Repex_Splits,MATCH($I12,Act_Type_Repex,0),MATCH(BS$4,Mat_Type,0))*INDEX(Escalators!$I$44:$U$49,MATCH(BS$4,Escalators!$C$44:$C$49,0),MATCH(BS$5,Escalators!$I$43:$U$43,0))</f>
        <v>0</v>
      </c>
      <c r="BT12" s="128">
        <f>INDEX(Direct_Cost_Splits_Network,MATCH($H12,RIN_Asset_Cat_Network,0),MATCH($BW$4,Direct_Cost_Type,0))*$Q12*INDEX(Act_Type_Repex_Splits,MATCH($I12,Act_Type_Repex,0),MATCH(BT$4,Mat_Type,0))*INDEX(Escalators!$I$44:$U$49,MATCH(BT$4,Escalators!$C$44:$C$49,0),MATCH(BT$5,Escalators!$I$43:$U$43,0))</f>
        <v>0</v>
      </c>
      <c r="BU12" s="128">
        <f>INDEX(Direct_Cost_Splits_Network,MATCH($H12,RIN_Asset_Cat_Network,0),MATCH($BW$4,Direct_Cost_Type,0))*$Q12*INDEX(Act_Type_Repex_Splits,MATCH($I12,Act_Type_Repex,0),MATCH(BU$4,Mat_Type,0))*INDEX(Escalators!$I$44:$U$49,MATCH(BU$4,Escalators!$C$44:$C$49,0),MATCH(BU$5,Escalators!$I$43:$U$43,0))</f>
        <v>0</v>
      </c>
      <c r="BV12" s="128">
        <f>INDEX(Direct_Cost_Splits_Network,MATCH($H12,RIN_Asset_Cat_Network,0),MATCH($BW$4,Direct_Cost_Type,0))*$Q12*INDEX(Act_Type_Repex_Splits,MATCH($I12,Act_Type_Repex,0),MATCH(BV$4,Mat_Type,0))*INDEX(Escalators!$I$44:$U$49,MATCH(BV$4,Escalators!$C$44:$C$49,0),MATCH(BV$5,Escalators!$I$43:$U$43,0))</f>
        <v>0</v>
      </c>
      <c r="BW12" s="128">
        <f t="shared" si="28"/>
        <v>0</v>
      </c>
      <c r="BX12" s="129"/>
      <c r="BY12" s="128">
        <f>INDEX(Direct_Cost_Splits_Network,MATCH($H12,RIN_Asset_Cat_Network,0),MATCH($BY$4,Direct_Cost_Type,0))*J12*HLOOKUP(BY$5,Escalators!$I$25:$U$30,6,FALSE)</f>
        <v>0</v>
      </c>
      <c r="BZ12" s="128">
        <f>INDEX(Direct_Cost_Splits_Network,MATCH($H12,RIN_Asset_Cat_Network,0),MATCH($BY$4,Direct_Cost_Type,0))*K12*HLOOKUP(BZ$5,Escalators!$I$25:$U$30,6,FALSE)</f>
        <v>0</v>
      </c>
      <c r="CA12" s="128">
        <f>INDEX(Direct_Cost_Splits_Network,MATCH($H12,RIN_Asset_Cat_Network,0),MATCH($BY$4,Direct_Cost_Type,0))*L12*HLOOKUP(CA$5,Escalators!$I$25:$U$30,6,FALSE)</f>
        <v>61.676732825006226</v>
      </c>
      <c r="CB12" s="128">
        <f>INDEX(Direct_Cost_Splits_Network,MATCH($H12,RIN_Asset_Cat_Network,0),MATCH($BY$4,Direct_Cost_Type,0))*M12*HLOOKUP(CB$5,Escalators!$I$25:$U$30,6,FALSE)</f>
        <v>1426.2744465782691</v>
      </c>
      <c r="CC12" s="128">
        <f>INDEX(Direct_Cost_Splits_Network,MATCH($H12,RIN_Asset_Cat_Network,0),MATCH($BY$4,Direct_Cost_Type,0))*N12*HLOOKUP(CC$5,Escalators!$I$25:$U$30,6,FALSE)</f>
        <v>2883.3872595690405</v>
      </c>
      <c r="CD12" s="128">
        <f>INDEX(Direct_Cost_Splits_Network,MATCH($H12,RIN_Asset_Cat_Network,0),MATCH($BY$4,Direct_Cost_Type,0))*O12*HLOOKUP(CD$5,Escalators!$I$25:$U$30,6,FALSE)</f>
        <v>1719.2389274970483</v>
      </c>
      <c r="CE12" s="128">
        <f>INDEX(Direct_Cost_Splits_Network,MATCH($H12,RIN_Asset_Cat_Network,0),MATCH($BY$4,Direct_Cost_Type,0))*P12*HLOOKUP(CE$5,Escalators!$I$25:$U$30,6,FALSE)</f>
        <v>77.095916031257786</v>
      </c>
      <c r="CF12" s="128">
        <f>INDEX(Direct_Cost_Splits_Network,MATCH($H12,RIN_Asset_Cat_Network,0),MATCH($BY$4,Direct_Cost_Type,0))*Q12*HLOOKUP(CF$5,Escalators!$I$25:$U$30,6,FALSE)</f>
        <v>0</v>
      </c>
      <c r="CG12" s="129"/>
      <c r="CH12" s="675">
        <f t="shared" si="11"/>
        <v>0</v>
      </c>
      <c r="CI12" s="675">
        <f t="shared" si="12"/>
        <v>0</v>
      </c>
      <c r="CJ12" s="675">
        <f t="shared" si="12"/>
        <v>9.544781998440083</v>
      </c>
      <c r="CK12" s="675">
        <f t="shared" si="13"/>
        <v>220.72308371392697</v>
      </c>
      <c r="CL12" s="675">
        <f t="shared" si="14"/>
        <v>446.21855842707384</v>
      </c>
      <c r="CM12" s="675">
        <f t="shared" si="15"/>
        <v>266.06079820651729</v>
      </c>
      <c r="CN12" s="675">
        <f t="shared" si="16"/>
        <v>11.930977498050105</v>
      </c>
      <c r="CO12" s="675">
        <f t="shared" si="17"/>
        <v>0</v>
      </c>
      <c r="CP12" s="129"/>
      <c r="CQ12" s="128">
        <f t="shared" si="18"/>
        <v>0</v>
      </c>
      <c r="CR12" s="128">
        <f t="shared" si="29"/>
        <v>0</v>
      </c>
      <c r="CS12" s="128">
        <f t="shared" si="30"/>
        <v>104.95871190258667</v>
      </c>
      <c r="CT12" s="128">
        <f t="shared" si="19"/>
        <v>2429.0933263091538</v>
      </c>
      <c r="CU12" s="128">
        <f t="shared" si="20"/>
        <v>4913.2116303464663</v>
      </c>
      <c r="CV12" s="128">
        <f t="shared" si="21"/>
        <v>2931.5050530374551</v>
      </c>
      <c r="CW12" s="128">
        <f t="shared" si="22"/>
        <v>131.59324779178385</v>
      </c>
      <c r="CX12" s="128">
        <f t="shared" si="23"/>
        <v>0</v>
      </c>
      <c r="CY12" s="129"/>
      <c r="CZ12" s="128">
        <f t="shared" si="33"/>
        <v>10365.299999999999</v>
      </c>
      <c r="DA12" s="128">
        <f t="shared" si="34"/>
        <v>10405.403257484859</v>
      </c>
      <c r="DB12" s="128">
        <f>DA12*Escalators!$M$17</f>
        <v>11027.481066169776</v>
      </c>
      <c r="DC12" s="128">
        <f>SUMPRODUCT(1+AusNet_Overheads!$K$20:$O$20,CT12:CX12)</f>
        <v>11486.636045378324</v>
      </c>
      <c r="DD12" s="128">
        <f>DC12*Escalators!$M$17</f>
        <v>12173.354397704568</v>
      </c>
      <c r="DE12" s="157"/>
      <c r="DF12" s="157"/>
      <c r="DG12" s="201"/>
      <c r="DH12" s="258"/>
    </row>
    <row r="13" spans="2:112">
      <c r="B13" s="75" t="s">
        <v>431</v>
      </c>
      <c r="C13" s="75" t="s">
        <v>435</v>
      </c>
      <c r="D13" s="75" t="s">
        <v>107</v>
      </c>
      <c r="E13" s="75" t="s">
        <v>44</v>
      </c>
      <c r="F13" s="75" t="s">
        <v>131</v>
      </c>
      <c r="G13" s="75" t="s">
        <v>150</v>
      </c>
      <c r="H13" s="75" t="s">
        <v>176</v>
      </c>
      <c r="I13" s="75" t="s">
        <v>248</v>
      </c>
      <c r="J13" s="128"/>
      <c r="K13" s="128">
        <v>0</v>
      </c>
      <c r="L13" s="128">
        <v>0</v>
      </c>
      <c r="M13" s="128">
        <v>115.97</v>
      </c>
      <c r="N13" s="128">
        <v>2681.8062500000001</v>
      </c>
      <c r="O13" s="128">
        <v>5421.5975000000008</v>
      </c>
      <c r="P13" s="128">
        <v>3232.6637500000002</v>
      </c>
      <c r="Q13" s="128">
        <v>144.96250000000001</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11.959110742851564</v>
      </c>
      <c r="W13" s="128">
        <f>INDEX(Direct_Cost_Splits_Network,MATCH($H13,RIN_Asset_Cat_Network,0),MATCH($S$4,Direct_Cost_Type,0))*N13*HLOOKUP(W$5,Escalators!$I$25:$U$30,3,FALSE)</f>
        <v>277.92639301519489</v>
      </c>
      <c r="X13" s="128">
        <f>INDEX(Direct_Cost_Splits_Network,MATCH($H13,RIN_Asset_Cat_Network,0),MATCH($S$4,Direct_Cost_Type,0))*O13*HLOOKUP(X$5,Escalators!$I$25:$U$30,3,FALSE)</f>
        <v>565.52117530496946</v>
      </c>
      <c r="Y13" s="128">
        <f>INDEX(Direct_Cost_Splits_Network,MATCH($H13,RIN_Asset_Cat_Network,0),MATCH($S$4,Direct_Cost_Type,0))*P13*HLOOKUP(Y$5,Escalators!$I$25:$U$30,3,FALSE)</f>
        <v>340.54569985369932</v>
      </c>
      <c r="Z13" s="128">
        <f>INDEX(Direct_Cost_Splits_Network,MATCH($H13,RIN_Asset_Cat_Network,0),MATCH($S$4,Direct_Cost_Type,0))*Q13*HLOOKUP(Z$5,Escalators!$I$25:$U$30,3,FALSE)</f>
        <v>15.470783820470626</v>
      </c>
      <c r="AA13" s="129"/>
      <c r="AB13" s="128">
        <f>INDEX(Direct_Cost_Splits_Network,MATCH($H13,RIN_Asset_Cat_Network,0),MATCH($AG$4,Direct_Cost_Type,0))*$J13*INDEX(Act_Type_Repex_Splits,MATCH($I13,Act_Type_Repex,0),MATCH(AB$4,Mat_Type,0))*INDEX(Escalators!$I$44:$U$49,MATCH(AB$4,Escalators!$C$44:$C$49,0),MATCH(AB$5,Escalators!$I$43:$U$43,0))</f>
        <v>0</v>
      </c>
      <c r="AC13" s="128">
        <f>INDEX(Direct_Cost_Splits_Network,MATCH($H13,RIN_Asset_Cat_Network,0),MATCH($AG$4,Direct_Cost_Type,0))*$J13*INDEX(Act_Type_Repex_Splits,MATCH($I13,Act_Type_Repex,0),MATCH(AC$4,Mat_Type,0))*INDEX(Escalators!$I$44:$U$49,MATCH(AC$4,Escalators!$C$44:$C$49,0),MATCH(AC$5,Escalators!$I$43:$U$43,0))</f>
        <v>0</v>
      </c>
      <c r="AD13" s="128">
        <f>INDEX(Direct_Cost_Splits_Network,MATCH($H13,RIN_Asset_Cat_Network,0),MATCH($AG$4,Direct_Cost_Type,0))*$J13*INDEX(Act_Type_Repex_Splits,MATCH($I13,Act_Type_Repex,0),MATCH(AD$4,Mat_Type,0))*INDEX(Escalators!$I$44:$U$49,MATCH(AD$4,Escalators!$C$44:$C$49,0),MATCH(AD$5,Escalators!$I$43:$U$43,0))</f>
        <v>0</v>
      </c>
      <c r="AE13" s="128">
        <f>INDEX(Direct_Cost_Splits_Network,MATCH($H13,RIN_Asset_Cat_Network,0),MATCH($AG$4,Direct_Cost_Type,0))*$J13*INDEX(Act_Type_Repex_Splits,MATCH($I13,Act_Type_Repex,0),MATCH(AE$4,Mat_Type,0))*INDEX(Escalators!$I$44:$U$49,MATCH(AE$4,Escalators!$C$44:$C$49,0),MATCH(AE$5,Escalators!$I$43:$U$43,0))</f>
        <v>0</v>
      </c>
      <c r="AF13" s="128">
        <f>INDEX(Direct_Cost_Splits_Network,MATCH($H13,RIN_Asset_Cat_Network,0),MATCH($AG$4,Direct_Cost_Type,0))*$J13*INDEX(Act_Type_Repex_Splits,MATCH($I13,Act_Type_Repex,0),MATCH(AF$4,Mat_Type,0))*INDEX(Escalators!$I$44:$U$49,MATCH(AF$4,Escalators!$C$44:$C$49,0),MATCH(AF$5,Escalators!$I$43:$U$43,0))</f>
        <v>0</v>
      </c>
      <c r="AG13" s="128">
        <f t="shared" si="24"/>
        <v>0</v>
      </c>
      <c r="AH13" s="128">
        <f>INDEX(Direct_Cost_Splits_Network,MATCH($H13,RIN_Asset_Cat_Network,0),MATCH($AY$4,Direct_Cost_Type,0))*$K13*INDEX(Act_Type_Repex_Splits,MATCH($I13,Act_Type_Repex,0),MATCH(AH$4,Mat_Type,0))*INDEX(Escalators!$I$44:$U$49,MATCH(AH$4,Escalators!$C$44:$C$49,0),MATCH(AH$5,Escalators!$I$43:$U$43,0))</f>
        <v>0</v>
      </c>
      <c r="AI13" s="128">
        <f>INDEX(Direct_Cost_Splits_Network,MATCH($H13,RIN_Asset_Cat_Network,0),MATCH($AY$4,Direct_Cost_Type,0))*$K13*INDEX(Act_Type_Repex_Splits,MATCH($I13,Act_Type_Repex,0),MATCH(AI$4,Mat_Type,0))*INDEX(Escalators!$I$44:$U$49,MATCH(AI$4,Escalators!$C$44:$C$49,0),MATCH(AI$5,Escalators!$I$43:$U$43,0))</f>
        <v>0</v>
      </c>
      <c r="AJ13" s="128">
        <f>INDEX(Direct_Cost_Splits_Network,MATCH($H13,RIN_Asset_Cat_Network,0),MATCH($AY$4,Direct_Cost_Type,0))*$K13*INDEX(Act_Type_Repex_Splits,MATCH($I13,Act_Type_Repex,0),MATCH(AJ$4,Mat_Type,0))*INDEX(Escalators!$I$44:$U$49,MATCH(AJ$4,Escalators!$C$44:$C$49,0),MATCH(AJ$5,Escalators!$I$43:$U$43,0))</f>
        <v>0</v>
      </c>
      <c r="AK13" s="128">
        <f>INDEX(Direct_Cost_Splits_Network,MATCH($H13,RIN_Asset_Cat_Network,0),MATCH($AY$4,Direct_Cost_Type,0))*$K13*INDEX(Act_Type_Repex_Splits,MATCH($I13,Act_Type_Repex,0),MATCH(AK$4,Mat_Type,0))*INDEX(Escalators!$I$44:$U$49,MATCH(AK$4,Escalators!$C$44:$C$49,0),MATCH(AK$5,Escalators!$I$43:$U$43,0))</f>
        <v>0</v>
      </c>
      <c r="AL13" s="128">
        <f>INDEX(Direct_Cost_Splits_Network,MATCH($H13,RIN_Asset_Cat_Network,0),MATCH($AY$4,Direct_Cost_Type,0))*$K13*INDEX(Act_Type_Repex_Splits,MATCH($I13,Act_Type_Repex,0),MATCH(AL$4,Mat_Type,0))*INDEX(Escalators!$I$44:$U$49,MATCH(AL$4,Escalators!$C$44:$C$49,0),MATCH(AL$5,Escalators!$I$43:$U$43,0))</f>
        <v>0</v>
      </c>
      <c r="AM13" s="128">
        <f t="shared" si="8"/>
        <v>0</v>
      </c>
      <c r="AN13" s="128">
        <f>INDEX(Direct_Cost_Splits_Network,MATCH($H13,RIN_Asset_Cat_Network,0),MATCH($AY$4,Direct_Cost_Type,0))*$L13*INDEX(Act_Type_Repex_Splits,MATCH($I13,Act_Type_Repex,0),MATCH(AN$4,Mat_Type,0))*INDEX(Escalators!$I$44:$U$49,MATCH(AN$4,Escalators!$C$44:$C$49,0),MATCH(AN$5,Escalators!$I$43:$U$43,0))</f>
        <v>0</v>
      </c>
      <c r="AO13" s="128">
        <f>INDEX(Direct_Cost_Splits_Network,MATCH($H13,RIN_Asset_Cat_Network,0),MATCH($AY$4,Direct_Cost_Type,0))*$L13*INDEX(Act_Type_Repex_Splits,MATCH($I13,Act_Type_Repex,0),MATCH(AO$4,Mat_Type,0))*INDEX(Escalators!$I$44:$U$49,MATCH(AO$4,Escalators!$C$44:$C$49,0),MATCH(AO$5,Escalators!$I$43:$U$43,0))</f>
        <v>0</v>
      </c>
      <c r="AP13" s="128">
        <f>INDEX(Direct_Cost_Splits_Network,MATCH($H13,RIN_Asset_Cat_Network,0),MATCH($AY$4,Direct_Cost_Type,0))*$L13*INDEX(Act_Type_Repex_Splits,MATCH($I13,Act_Type_Repex,0),MATCH(AP$4,Mat_Type,0))*INDEX(Escalators!$I$44:$U$49,MATCH(AP$4,Escalators!$C$44:$C$49,0),MATCH(AP$5,Escalators!$I$43:$U$43,0))</f>
        <v>0</v>
      </c>
      <c r="AQ13" s="128">
        <f>INDEX(Direct_Cost_Splits_Network,MATCH($H13,RIN_Asset_Cat_Network,0),MATCH($AY$4,Direct_Cost_Type,0))*$L13*INDEX(Act_Type_Repex_Splits,MATCH($I13,Act_Type_Repex,0),MATCH(AQ$4,Mat_Type,0))*INDEX(Escalators!$I$44:$U$49,MATCH(AQ$4,Escalators!$C$44:$C$49,0),MATCH(AQ$5,Escalators!$I$43:$U$43,0))</f>
        <v>0</v>
      </c>
      <c r="AR13" s="128">
        <f>INDEX(Direct_Cost_Splits_Network,MATCH($H13,RIN_Asset_Cat_Network,0),MATCH($AY$4,Direct_Cost_Type,0))*$L13*INDEX(Act_Type_Repex_Splits,MATCH($I13,Act_Type_Repex,0),MATCH(AR$4,Mat_Type,0))*INDEX(Escalators!$I$44:$U$49,MATCH(AR$4,Escalators!$C$44:$C$49,0),MATCH(AR$5,Escalators!$I$43:$U$43,0))</f>
        <v>0</v>
      </c>
      <c r="AS13" s="128">
        <f t="shared" si="9"/>
        <v>0</v>
      </c>
      <c r="AT13" s="128">
        <f>INDEX(Direct_Cost_Splits_Network,MATCH($H13,RIN_Asset_Cat_Network,0),MATCH($AY$4,Direct_Cost_Type,0))*$M13*INDEX(Act_Type_Repex_Splits,MATCH($I13,Act_Type_Repex,0),MATCH(AT$4,Mat_Type,0))*INDEX(Escalators!$I$44:$U$49,MATCH(AT$4,Escalators!$C$44:$C$49,0),MATCH(AT$5,Escalators!$I$43:$U$43,0))</f>
        <v>1.2750850568652503</v>
      </c>
      <c r="AU13" s="128">
        <f>INDEX(Direct_Cost_Splits_Network,MATCH($H13,RIN_Asset_Cat_Network,0),MATCH($AY$4,Direct_Cost_Type,0))*$M13*INDEX(Act_Type_Repex_Splits,MATCH($I13,Act_Type_Repex,0),MATCH(AU$4,Mat_Type,0))*INDEX(Escalators!$I$44:$U$49,MATCH(AU$4,Escalators!$C$44:$C$49,0),MATCH(AU$5,Escalators!$I$43:$U$43,0))</f>
        <v>3.8252551705957507</v>
      </c>
      <c r="AV13" s="128">
        <f>INDEX(Direct_Cost_Splits_Network,MATCH($H13,RIN_Asset_Cat_Network,0),MATCH($AY$4,Direct_Cost_Type,0))*$M13*INDEX(Act_Type_Repex_Splits,MATCH($I13,Act_Type_Repex,0),MATCH(AV$4,Mat_Type,0))*INDEX(Escalators!$I$44:$U$49,MATCH(AV$4,Escalators!$C$44:$C$49,0),MATCH(AV$5,Escalators!$I$43:$U$43,0))</f>
        <v>10.200680454922002</v>
      </c>
      <c r="AW13" s="128">
        <f>INDEX(Direct_Cost_Splits_Network,MATCH($H13,RIN_Asset_Cat_Network,0),MATCH($AY$4,Direct_Cost_Type,0))*$M13*INDEX(Act_Type_Repex_Splits,MATCH($I13,Act_Type_Repex,0),MATCH(AW$4,Mat_Type,0))*INDEX(Escalators!$I$44:$U$49,MATCH(AW$4,Escalators!$C$44:$C$49,0),MATCH(AW$5,Escalators!$I$43:$U$43,0))</f>
        <v>0</v>
      </c>
      <c r="AX13" s="128">
        <f>INDEX(Direct_Cost_Splits_Network,MATCH($H13,RIN_Asset_Cat_Network,0),MATCH($AY$4,Direct_Cost_Type,0))*$M13*INDEX(Act_Type_Repex_Splits,MATCH($I13,Act_Type_Repex,0),MATCH(AX$4,Mat_Type,0))*INDEX(Escalators!$I$44:$U$49,MATCH(AX$4,Escalators!$C$44:$C$49,0),MATCH(AX$5,Escalators!$I$43:$U$43,0))</f>
        <v>10.200680454922002</v>
      </c>
      <c r="AY13" s="128">
        <f t="shared" si="10"/>
        <v>25.501701137305005</v>
      </c>
      <c r="AZ13" s="128">
        <f>INDEX(Direct_Cost_Splits_Network,MATCH($H13,RIN_Asset_Cat_Network,0),MATCH($BE$4,Direct_Cost_Type,0))*$N13*INDEX(Act_Type_Repex_Splits,MATCH($I13,Act_Type_Repex,0),MATCH(AZ$4,Mat_Type,0))*INDEX(Escalators!$I$44:$U$49,MATCH(AZ$4,Escalators!$C$44:$C$49,0),MATCH(AZ$5,Escalators!$I$43:$U$43,0))</f>
        <v>29.486341940008913</v>
      </c>
      <c r="BA13" s="128">
        <f>INDEX(Direct_Cost_Splits_Network,MATCH($H13,RIN_Asset_Cat_Network,0),MATCH($BE$4,Direct_Cost_Type,0))*$N13*INDEX(Act_Type_Repex_Splits,MATCH($I13,Act_Type_Repex,0),MATCH(BA$4,Mat_Type,0))*INDEX(Escalators!$I$44:$U$49,MATCH(BA$4,Escalators!$C$44:$C$49,0),MATCH(BA$5,Escalators!$I$43:$U$43,0))</f>
        <v>88.459025820026739</v>
      </c>
      <c r="BB13" s="128">
        <f>INDEX(Direct_Cost_Splits_Network,MATCH($H13,RIN_Asset_Cat_Network,0),MATCH($BE$4,Direct_Cost_Type,0))*$N13*INDEX(Act_Type_Repex_Splits,MATCH($I13,Act_Type_Repex,0),MATCH(BB$4,Mat_Type,0))*INDEX(Escalators!$I$44:$U$49,MATCH(BB$4,Escalators!$C$44:$C$49,0),MATCH(BB$5,Escalators!$I$43:$U$43,0))</f>
        <v>235.8907355200713</v>
      </c>
      <c r="BC13" s="128">
        <f>INDEX(Direct_Cost_Splits_Network,MATCH($H13,RIN_Asset_Cat_Network,0),MATCH($BE$4,Direct_Cost_Type,0))*$N13*INDEX(Act_Type_Repex_Splits,MATCH($I13,Act_Type_Repex,0),MATCH(BC$4,Mat_Type,0))*INDEX(Escalators!$I$44:$U$49,MATCH(BC$4,Escalators!$C$44:$C$49,0),MATCH(BC$5,Escalators!$I$43:$U$43,0))</f>
        <v>0</v>
      </c>
      <c r="BD13" s="128">
        <f>INDEX(Direct_Cost_Splits_Network,MATCH($H13,RIN_Asset_Cat_Network,0),MATCH($BE$4,Direct_Cost_Type,0))*$N13*INDEX(Act_Type_Repex_Splits,MATCH($I13,Act_Type_Repex,0),MATCH(BD$4,Mat_Type,0))*INDEX(Escalators!$I$44:$U$49,MATCH(BD$4,Escalators!$C$44:$C$49,0),MATCH(BD$5,Escalators!$I$43:$U$43,0))</f>
        <v>235.8907355200713</v>
      </c>
      <c r="BE13" s="128">
        <f t="shared" si="25"/>
        <v>589.72683880017826</v>
      </c>
      <c r="BF13" s="128">
        <f>INDEX(Direct_Cost_Splits_Network,MATCH($H13,RIN_Asset_Cat_Network,0),MATCH($BK$4,Direct_Cost_Type,0))*$O13*INDEX(Act_Type_Repex_Splits,MATCH($I13,Act_Type_Repex,0),MATCH(BF$4,Mat_Type,0))*INDEX(Escalators!$I$44:$U$49,MATCH(BF$4,Escalators!$C$44:$C$49,0),MATCH(BF$5,Escalators!$I$43:$U$43,0))</f>
        <v>59.610226408450472</v>
      </c>
      <c r="BG13" s="128">
        <f>INDEX(Direct_Cost_Splits_Network,MATCH($H13,RIN_Asset_Cat_Network,0),MATCH($BK$4,Direct_Cost_Type,0))*$O13*INDEX(Act_Type_Repex_Splits,MATCH($I13,Act_Type_Repex,0),MATCH(BG$4,Mat_Type,0))*INDEX(Escalators!$I$44:$U$49,MATCH(BG$4,Escalators!$C$44:$C$49,0),MATCH(BG$5,Escalators!$I$43:$U$43,0))</f>
        <v>178.83067922535139</v>
      </c>
      <c r="BH13" s="128">
        <f>INDEX(Direct_Cost_Splits_Network,MATCH($H13,RIN_Asset_Cat_Network,0),MATCH($BK$4,Direct_Cost_Type,0))*$O13*INDEX(Act_Type_Repex_Splits,MATCH($I13,Act_Type_Repex,0),MATCH(BH$4,Mat_Type,0))*INDEX(Escalators!$I$44:$U$49,MATCH(BH$4,Escalators!$C$44:$C$49,0),MATCH(BH$5,Escalators!$I$43:$U$43,0))</f>
        <v>476.88181126760378</v>
      </c>
      <c r="BI13" s="128">
        <f>INDEX(Direct_Cost_Splits_Network,MATCH($H13,RIN_Asset_Cat_Network,0),MATCH($BK$4,Direct_Cost_Type,0))*$O13*INDEX(Act_Type_Repex_Splits,MATCH($I13,Act_Type_Repex,0),MATCH(BI$4,Mat_Type,0))*INDEX(Escalators!$I$44:$U$49,MATCH(BI$4,Escalators!$C$44:$C$49,0),MATCH(BI$5,Escalators!$I$43:$U$43,0))</f>
        <v>0</v>
      </c>
      <c r="BJ13" s="128">
        <f>INDEX(Direct_Cost_Splits_Network,MATCH($H13,RIN_Asset_Cat_Network,0),MATCH($BK$4,Direct_Cost_Type,0))*$O13*INDEX(Act_Type_Repex_Splits,MATCH($I13,Act_Type_Repex,0),MATCH(BJ$4,Mat_Type,0))*INDEX(Escalators!$I$44:$U$49,MATCH(BJ$4,Escalators!$C$44:$C$49,0),MATCH(BJ$5,Escalators!$I$43:$U$43,0))</f>
        <v>476.88181126760378</v>
      </c>
      <c r="BK13" s="128">
        <f t="shared" si="26"/>
        <v>1192.2045281690093</v>
      </c>
      <c r="BL13" s="128">
        <f>INDEX(Direct_Cost_Splits_Network,MATCH($H13,RIN_Asset_Cat_Network,0),MATCH($BQ$4,Direct_Cost_Type,0))*$P13*INDEX(Act_Type_Repex_Splits,MATCH($I13,Act_Type_Repex,0),MATCH(BL$4,Mat_Type,0))*INDEX(Escalators!$I$44:$U$49,MATCH(BL$4,Escalators!$C$44:$C$49,0),MATCH(BL$5,Escalators!$I$43:$U$43,0))</f>
        <v>35.542995960118859</v>
      </c>
      <c r="BM13" s="128">
        <f>INDEX(Direct_Cost_Splits_Network,MATCH($H13,RIN_Asset_Cat_Network,0),MATCH($BQ$4,Direct_Cost_Type,0))*$P13*INDEX(Act_Type_Repex_Splits,MATCH($I13,Act_Type_Repex,0),MATCH(BM$4,Mat_Type,0))*INDEX(Escalators!$I$44:$U$49,MATCH(BM$4,Escalators!$C$44:$C$49,0),MATCH(BM$5,Escalators!$I$43:$U$43,0))</f>
        <v>106.62898788035656</v>
      </c>
      <c r="BN13" s="128">
        <f>INDEX(Direct_Cost_Splits_Network,MATCH($H13,RIN_Asset_Cat_Network,0),MATCH($BQ$4,Direct_Cost_Type,0))*$P13*INDEX(Act_Type_Repex_Splits,MATCH($I13,Act_Type_Repex,0),MATCH(BN$4,Mat_Type,0))*INDEX(Escalators!$I$44:$U$49,MATCH(BN$4,Escalators!$C$44:$C$49,0),MATCH(BN$5,Escalators!$I$43:$U$43,0))</f>
        <v>284.34396768095087</v>
      </c>
      <c r="BO13" s="128">
        <f>INDEX(Direct_Cost_Splits_Network,MATCH($H13,RIN_Asset_Cat_Network,0),MATCH($BQ$4,Direct_Cost_Type,0))*$P13*INDEX(Act_Type_Repex_Splits,MATCH($I13,Act_Type_Repex,0),MATCH(BO$4,Mat_Type,0))*INDEX(Escalators!$I$44:$U$49,MATCH(BO$4,Escalators!$C$44:$C$49,0),MATCH(BO$5,Escalators!$I$43:$U$43,0))</f>
        <v>0</v>
      </c>
      <c r="BP13" s="128">
        <f>INDEX(Direct_Cost_Splits_Network,MATCH($H13,RIN_Asset_Cat_Network,0),MATCH($BQ$4,Direct_Cost_Type,0))*$P13*INDEX(Act_Type_Repex_Splits,MATCH($I13,Act_Type_Repex,0),MATCH(BP$4,Mat_Type,0))*INDEX(Escalators!$I$44:$U$49,MATCH(BP$4,Escalators!$C$44:$C$49,0),MATCH(BP$5,Escalators!$I$43:$U$43,0))</f>
        <v>284.34396768095087</v>
      </c>
      <c r="BQ13" s="128">
        <f t="shared" si="27"/>
        <v>710.85991920237711</v>
      </c>
      <c r="BR13" s="128">
        <f>INDEX(Direct_Cost_Splits_Network,MATCH($H13,RIN_Asset_Cat_Network,0),MATCH($BW$4,Direct_Cost_Type,0))*$Q13*INDEX(Act_Type_Repex_Splits,MATCH($I13,Act_Type_Repex,0),MATCH(BR$4,Mat_Type,0))*INDEX(Escalators!$I$44:$U$49,MATCH(BR$4,Escalators!$C$44:$C$49,0),MATCH(BR$5,Escalators!$I$43:$U$43,0))</f>
        <v>1.5938563210815631</v>
      </c>
      <c r="BS13" s="128">
        <f>INDEX(Direct_Cost_Splits_Network,MATCH($H13,RIN_Asset_Cat_Network,0),MATCH($BW$4,Direct_Cost_Type,0))*$Q13*INDEX(Act_Type_Repex_Splits,MATCH($I13,Act_Type_Repex,0),MATCH(BS$4,Mat_Type,0))*INDEX(Escalators!$I$44:$U$49,MATCH(BS$4,Escalators!$C$44:$C$49,0),MATCH(BS$5,Escalators!$I$43:$U$43,0))</f>
        <v>4.7815689632446885</v>
      </c>
      <c r="BT13" s="128">
        <f>INDEX(Direct_Cost_Splits_Network,MATCH($H13,RIN_Asset_Cat_Network,0),MATCH($BW$4,Direct_Cost_Type,0))*$Q13*INDEX(Act_Type_Repex_Splits,MATCH($I13,Act_Type_Repex,0),MATCH(BT$4,Mat_Type,0))*INDEX(Escalators!$I$44:$U$49,MATCH(BT$4,Escalators!$C$44:$C$49,0),MATCH(BT$5,Escalators!$I$43:$U$43,0))</f>
        <v>12.750850568652504</v>
      </c>
      <c r="BU13" s="128">
        <f>INDEX(Direct_Cost_Splits_Network,MATCH($H13,RIN_Asset_Cat_Network,0),MATCH($BW$4,Direct_Cost_Type,0))*$Q13*INDEX(Act_Type_Repex_Splits,MATCH($I13,Act_Type_Repex,0),MATCH(BU$4,Mat_Type,0))*INDEX(Escalators!$I$44:$U$49,MATCH(BU$4,Escalators!$C$44:$C$49,0),MATCH(BU$5,Escalators!$I$43:$U$43,0))</f>
        <v>0</v>
      </c>
      <c r="BV13" s="128">
        <f>INDEX(Direct_Cost_Splits_Network,MATCH($H13,RIN_Asset_Cat_Network,0),MATCH($BW$4,Direct_Cost_Type,0))*$Q13*INDEX(Act_Type_Repex_Splits,MATCH($I13,Act_Type_Repex,0),MATCH(BV$4,Mat_Type,0))*INDEX(Escalators!$I$44:$U$49,MATCH(BV$4,Escalators!$C$44:$C$49,0),MATCH(BV$5,Escalators!$I$43:$U$43,0))</f>
        <v>12.750850568652504</v>
      </c>
      <c r="BW13" s="128">
        <f t="shared" si="28"/>
        <v>31.87712642163126</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68.315670541699831</v>
      </c>
      <c r="CC13" s="128">
        <f>INDEX(Direct_Cost_Splits_Network,MATCH($H13,RIN_Asset_Cat_Network,0),MATCH($BY$4,Direct_Cost_Type,0))*N13*HLOOKUP(CC$5,Escalators!$I$25:$U$30,6,FALSE)</f>
        <v>1579.7998812768085</v>
      </c>
      <c r="CD13" s="128">
        <f>INDEX(Direct_Cost_Splits_Network,MATCH($H13,RIN_Asset_Cat_Network,0),MATCH($BY$4,Direct_Cost_Type,0))*O13*HLOOKUP(CD$5,Escalators!$I$25:$U$30,6,FALSE)</f>
        <v>3193.7575978244672</v>
      </c>
      <c r="CE13" s="128">
        <f>INDEX(Direct_Cost_Splits_Network,MATCH($H13,RIN_Asset_Cat_Network,0),MATCH($BY$4,Direct_Cost_Type,0))*P13*HLOOKUP(CE$5,Escalators!$I$25:$U$30,6,FALSE)</f>
        <v>1904.2993163498827</v>
      </c>
      <c r="CF13" s="128">
        <f>INDEX(Direct_Cost_Splits_Network,MATCH($H13,RIN_Asset_Cat_Network,0),MATCH($BY$4,Direct_Cost_Type,0))*Q13*HLOOKUP(CF$5,Escalators!$I$25:$U$30,6,FALSE)</f>
        <v>85.394588177124788</v>
      </c>
      <c r="CG13" s="129"/>
      <c r="CH13" s="675">
        <f t="shared" si="11"/>
        <v>0</v>
      </c>
      <c r="CI13" s="675">
        <f t="shared" si="12"/>
        <v>0</v>
      </c>
      <c r="CJ13" s="675">
        <f t="shared" si="12"/>
        <v>0</v>
      </c>
      <c r="CK13" s="675">
        <f t="shared" si="13"/>
        <v>10.572190719762144</v>
      </c>
      <c r="CL13" s="675">
        <f t="shared" si="14"/>
        <v>244.48191039449958</v>
      </c>
      <c r="CM13" s="675">
        <f t="shared" si="15"/>
        <v>494.24991614888029</v>
      </c>
      <c r="CN13" s="675">
        <f t="shared" si="16"/>
        <v>294.69981631336975</v>
      </c>
      <c r="CO13" s="675">
        <f t="shared" si="17"/>
        <v>13.215238399702681</v>
      </c>
      <c r="CP13" s="129"/>
      <c r="CQ13" s="128">
        <f t="shared" si="18"/>
        <v>0</v>
      </c>
      <c r="CR13" s="128">
        <f t="shared" si="29"/>
        <v>0</v>
      </c>
      <c r="CS13" s="128">
        <f t="shared" si="30"/>
        <v>0</v>
      </c>
      <c r="CT13" s="128">
        <f t="shared" si="19"/>
        <v>116.34867314161855</v>
      </c>
      <c r="CU13" s="128">
        <f t="shared" si="20"/>
        <v>2691.9350234866811</v>
      </c>
      <c r="CV13" s="128">
        <f t="shared" si="21"/>
        <v>5445.7332174473258</v>
      </c>
      <c r="CW13" s="128">
        <f t="shared" si="22"/>
        <v>3250.4047517193289</v>
      </c>
      <c r="CX13" s="128">
        <f t="shared" si="23"/>
        <v>145.95773681892936</v>
      </c>
      <c r="CY13" s="129"/>
      <c r="CZ13" s="128">
        <f t="shared" si="33"/>
        <v>11597</v>
      </c>
      <c r="DA13" s="128">
        <f t="shared" si="34"/>
        <v>11650.379402613884</v>
      </c>
      <c r="DB13" s="128">
        <f>DA13*Escalators!$M$17</f>
        <v>12346.887006383366</v>
      </c>
      <c r="DC13" s="128">
        <f>SUMPRODUCT(1+AusNet_Overheads!$K$20:$O$20,CT13:CX13)</f>
        <v>12999.848982819287</v>
      </c>
      <c r="DD13" s="128">
        <f>DC13*Escalators!$M$17</f>
        <v>13777.033429049177</v>
      </c>
      <c r="DE13" s="157"/>
      <c r="DF13" s="157"/>
      <c r="DG13" s="201"/>
      <c r="DH13" s="258"/>
    </row>
    <row r="14" spans="2:112">
      <c r="B14" s="75"/>
      <c r="C14" s="75"/>
      <c r="D14" s="75"/>
      <c r="E14" s="75" t="s">
        <v>44</v>
      </c>
      <c r="F14" s="75" t="s">
        <v>131</v>
      </c>
      <c r="G14" s="75" t="s">
        <v>150</v>
      </c>
      <c r="H14" s="75" t="s">
        <v>176</v>
      </c>
      <c r="I14" s="75" t="s">
        <v>248</v>
      </c>
      <c r="J14" s="128"/>
      <c r="K14" s="128"/>
      <c r="L14" s="128"/>
      <c r="M14" s="128"/>
      <c r="N14" s="128"/>
      <c r="O14" s="128"/>
      <c r="P14" s="128"/>
      <c r="Q14" s="128"/>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0</v>
      </c>
      <c r="W14" s="128">
        <f>INDEX(Direct_Cost_Splits_Network,MATCH($H14,RIN_Asset_Cat_Network,0),MATCH($S$4,Direct_Cost_Type,0))*N14*HLOOKUP(W$5,Escalators!$I$25:$U$30,3,FALSE)</f>
        <v>0</v>
      </c>
      <c r="X14" s="128">
        <f>INDEX(Direct_Cost_Splits_Network,MATCH($H14,RIN_Asset_Cat_Network,0),MATCH($S$4,Direct_Cost_Type,0))*O14*HLOOKUP(X$5,Escalators!$I$25:$U$30,3,FALSE)</f>
        <v>0</v>
      </c>
      <c r="Y14" s="128">
        <f>INDEX(Direct_Cost_Splits_Network,MATCH($H14,RIN_Asset_Cat_Network,0),MATCH($S$4,Direct_Cost_Type,0))*P14*HLOOKUP(Y$5,Escalators!$I$25:$U$30,3,FALSE)</f>
        <v>0</v>
      </c>
      <c r="Z14" s="128">
        <f>INDEX(Direct_Cost_Splits_Network,MATCH($H14,RIN_Asset_Cat_Network,0),MATCH($S$4,Direct_Cost_Type,0))*Q14*HLOOKUP(Z$5,Escalators!$I$25:$U$30,3,FALSE)</f>
        <v>0</v>
      </c>
      <c r="AA14" s="129"/>
      <c r="AB14" s="75">
        <f>INDEX(Direct_Cost_Splits_Network,MATCH($H14,RIN_Asset_Cat_Network,0),MATCH($AG$4,Direct_Cost_Type,0))*$J14*INDEX(Act_Type_Repex_Splits,MATCH($I14,Act_Type_Repex,0),MATCH(AB$4,Mat_Type,0))*INDEX(Escalators!$I$44:$U$49,MATCH(AB$4,Escalators!$C$44:$C$49,0),MATCH(AB$5,Escalators!$I$43:$U$43,0))</f>
        <v>0</v>
      </c>
      <c r="AC14" s="75">
        <f>INDEX(Direct_Cost_Splits_Network,MATCH($H14,RIN_Asset_Cat_Network,0),MATCH($AG$4,Direct_Cost_Type,0))*$J14*INDEX(Act_Type_Repex_Splits,MATCH($I14,Act_Type_Repex,0),MATCH(AC$4,Mat_Type,0))*INDEX(Escalators!$I$44:$U$49,MATCH(AC$4,Escalators!$C$44:$C$49,0),MATCH(AC$5,Escalators!$I$43:$U$43,0))</f>
        <v>0</v>
      </c>
      <c r="AD14" s="75">
        <f>INDEX(Direct_Cost_Splits_Network,MATCH($H14,RIN_Asset_Cat_Network,0),MATCH($AG$4,Direct_Cost_Type,0))*$J14*INDEX(Act_Type_Repex_Splits,MATCH($I14,Act_Type_Repex,0),MATCH(AD$4,Mat_Type,0))*INDEX(Escalators!$I$44:$U$49,MATCH(AD$4,Escalators!$C$44:$C$49,0),MATCH(AD$5,Escalators!$I$43:$U$43,0))</f>
        <v>0</v>
      </c>
      <c r="AE14" s="75">
        <f>INDEX(Direct_Cost_Splits_Network,MATCH($H14,RIN_Asset_Cat_Network,0),MATCH($AG$4,Direct_Cost_Type,0))*$J14*INDEX(Act_Type_Repex_Splits,MATCH($I14,Act_Type_Repex,0),MATCH(AE$4,Mat_Type,0))*INDEX(Escalators!$I$44:$U$49,MATCH(AE$4,Escalators!$C$44:$C$49,0),MATCH(AE$5,Escalators!$I$43:$U$43,0))</f>
        <v>0</v>
      </c>
      <c r="AF14" s="75">
        <f>INDEX(Direct_Cost_Splits_Network,MATCH($H14,RIN_Asset_Cat_Network,0),MATCH($AG$4,Direct_Cost_Type,0))*$J14*INDEX(Act_Type_Repex_Splits,MATCH($I14,Act_Type_Repex,0),MATCH(AF$4,Mat_Type,0))*INDEX(Escalators!$I$44:$U$49,MATCH(AF$4,Escalators!$C$44:$C$49,0),MATCH(AF$5,Escalators!$I$43:$U$43,0))</f>
        <v>0</v>
      </c>
      <c r="AG14" s="128">
        <f t="shared" si="24"/>
        <v>0</v>
      </c>
      <c r="AH14" s="128">
        <f>INDEX(Direct_Cost_Splits_Network,MATCH($H14,RIN_Asset_Cat_Network,0),MATCH($AY$4,Direct_Cost_Type,0))*$K14*INDEX(Act_Type_Repex_Splits,MATCH($I14,Act_Type_Repex,0),MATCH(AH$4,Mat_Type,0))*INDEX(Escalators!$I$44:$U$49,MATCH(AH$4,Escalators!$C$44:$C$49,0),MATCH(AH$5,Escalators!$I$43:$U$43,0))</f>
        <v>0</v>
      </c>
      <c r="AI14" s="128">
        <f>INDEX(Direct_Cost_Splits_Network,MATCH($H14,RIN_Asset_Cat_Network,0),MATCH($AY$4,Direct_Cost_Type,0))*$K14*INDEX(Act_Type_Repex_Splits,MATCH($I14,Act_Type_Repex,0),MATCH(AI$4,Mat_Type,0))*INDEX(Escalators!$I$44:$U$49,MATCH(AI$4,Escalators!$C$44:$C$49,0),MATCH(AI$5,Escalators!$I$43:$U$43,0))</f>
        <v>0</v>
      </c>
      <c r="AJ14" s="128">
        <f>INDEX(Direct_Cost_Splits_Network,MATCH($H14,RIN_Asset_Cat_Network,0),MATCH($AY$4,Direct_Cost_Type,0))*$K14*INDEX(Act_Type_Repex_Splits,MATCH($I14,Act_Type_Repex,0),MATCH(AJ$4,Mat_Type,0))*INDEX(Escalators!$I$44:$U$49,MATCH(AJ$4,Escalators!$C$44:$C$49,0),MATCH(AJ$5,Escalators!$I$43:$U$43,0))</f>
        <v>0</v>
      </c>
      <c r="AK14" s="128">
        <f>INDEX(Direct_Cost_Splits_Network,MATCH($H14,RIN_Asset_Cat_Network,0),MATCH($AY$4,Direct_Cost_Type,0))*$K14*INDEX(Act_Type_Repex_Splits,MATCH($I14,Act_Type_Repex,0),MATCH(AK$4,Mat_Type,0))*INDEX(Escalators!$I$44:$U$49,MATCH(AK$4,Escalators!$C$44:$C$49,0),MATCH(AK$5,Escalators!$I$43:$U$43,0))</f>
        <v>0</v>
      </c>
      <c r="AL14" s="128">
        <f>INDEX(Direct_Cost_Splits_Network,MATCH($H14,RIN_Asset_Cat_Network,0),MATCH($AY$4,Direct_Cost_Type,0))*$K14*INDEX(Act_Type_Repex_Splits,MATCH($I14,Act_Type_Repex,0),MATCH(AL$4,Mat_Type,0))*INDEX(Escalators!$I$44:$U$49,MATCH(AL$4,Escalators!$C$44:$C$49,0),MATCH(AL$5,Escalators!$I$43:$U$43,0))</f>
        <v>0</v>
      </c>
      <c r="AM14" s="128">
        <f t="shared" si="8"/>
        <v>0</v>
      </c>
      <c r="AN14" s="128">
        <f>INDEX(Direct_Cost_Splits_Network,MATCH($H14,RIN_Asset_Cat_Network,0),MATCH($AY$4,Direct_Cost_Type,0))*$L14*INDEX(Act_Type_Repex_Splits,MATCH($I14,Act_Type_Repex,0),MATCH(AN$4,Mat_Type,0))*INDEX(Escalators!$I$44:$U$49,MATCH(AN$4,Escalators!$C$44:$C$49,0),MATCH(AN$5,Escalators!$I$43:$U$43,0))</f>
        <v>0</v>
      </c>
      <c r="AO14" s="128">
        <f>INDEX(Direct_Cost_Splits_Network,MATCH($H14,RIN_Asset_Cat_Network,0),MATCH($AY$4,Direct_Cost_Type,0))*$L14*INDEX(Act_Type_Repex_Splits,MATCH($I14,Act_Type_Repex,0),MATCH(AO$4,Mat_Type,0))*INDEX(Escalators!$I$44:$U$49,MATCH(AO$4,Escalators!$C$44:$C$49,0),MATCH(AO$5,Escalators!$I$43:$U$43,0))</f>
        <v>0</v>
      </c>
      <c r="AP14" s="128">
        <f>INDEX(Direct_Cost_Splits_Network,MATCH($H14,RIN_Asset_Cat_Network,0),MATCH($AY$4,Direct_Cost_Type,0))*$L14*INDEX(Act_Type_Repex_Splits,MATCH($I14,Act_Type_Repex,0),MATCH(AP$4,Mat_Type,0))*INDEX(Escalators!$I$44:$U$49,MATCH(AP$4,Escalators!$C$44:$C$49,0),MATCH(AP$5,Escalators!$I$43:$U$43,0))</f>
        <v>0</v>
      </c>
      <c r="AQ14" s="128">
        <f>INDEX(Direct_Cost_Splits_Network,MATCH($H14,RIN_Asset_Cat_Network,0),MATCH($AY$4,Direct_Cost_Type,0))*$L14*INDEX(Act_Type_Repex_Splits,MATCH($I14,Act_Type_Repex,0),MATCH(AQ$4,Mat_Type,0))*INDEX(Escalators!$I$44:$U$49,MATCH(AQ$4,Escalators!$C$44:$C$49,0),MATCH(AQ$5,Escalators!$I$43:$U$43,0))</f>
        <v>0</v>
      </c>
      <c r="AR14" s="128">
        <f>INDEX(Direct_Cost_Splits_Network,MATCH($H14,RIN_Asset_Cat_Network,0),MATCH($AY$4,Direct_Cost_Type,0))*$L14*INDEX(Act_Type_Repex_Splits,MATCH($I14,Act_Type_Repex,0),MATCH(AR$4,Mat_Type,0))*INDEX(Escalators!$I$44:$U$49,MATCH(AR$4,Escalators!$C$44:$C$49,0),MATCH(AR$5,Escalators!$I$43:$U$43,0))</f>
        <v>0</v>
      </c>
      <c r="AS14" s="128">
        <f t="shared" si="9"/>
        <v>0</v>
      </c>
      <c r="AT14" s="128">
        <f>INDEX(Direct_Cost_Splits_Network,MATCH($H14,RIN_Asset_Cat_Network,0),MATCH($AY$4,Direct_Cost_Type,0))*$M14*INDEX(Act_Type_Repex_Splits,MATCH($I14,Act_Type_Repex,0),MATCH(AT$4,Mat_Type,0))*INDEX(Escalators!$I$44:$U$49,MATCH(AT$4,Escalators!$C$44:$C$49,0),MATCH(AT$5,Escalators!$I$43:$U$43,0))</f>
        <v>0</v>
      </c>
      <c r="AU14" s="128">
        <f>INDEX(Direct_Cost_Splits_Network,MATCH($H14,RIN_Asset_Cat_Network,0),MATCH($AY$4,Direct_Cost_Type,0))*$M14*INDEX(Act_Type_Repex_Splits,MATCH($I14,Act_Type_Repex,0),MATCH(AU$4,Mat_Type,0))*INDEX(Escalators!$I$44:$U$49,MATCH(AU$4,Escalators!$C$44:$C$49,0),MATCH(AU$5,Escalators!$I$43:$U$43,0))</f>
        <v>0</v>
      </c>
      <c r="AV14" s="128">
        <f>INDEX(Direct_Cost_Splits_Network,MATCH($H14,RIN_Asset_Cat_Network,0),MATCH($AY$4,Direct_Cost_Type,0))*$M14*INDEX(Act_Type_Repex_Splits,MATCH($I14,Act_Type_Repex,0),MATCH(AV$4,Mat_Type,0))*INDEX(Escalators!$I$44:$U$49,MATCH(AV$4,Escalators!$C$44:$C$49,0),MATCH(AV$5,Escalators!$I$43:$U$43,0))</f>
        <v>0</v>
      </c>
      <c r="AW14" s="128">
        <f>INDEX(Direct_Cost_Splits_Network,MATCH($H14,RIN_Asset_Cat_Network,0),MATCH($AY$4,Direct_Cost_Type,0))*$M14*INDEX(Act_Type_Repex_Splits,MATCH($I14,Act_Type_Repex,0),MATCH(AW$4,Mat_Type,0))*INDEX(Escalators!$I$44:$U$49,MATCH(AW$4,Escalators!$C$44:$C$49,0),MATCH(AW$5,Escalators!$I$43:$U$43,0))</f>
        <v>0</v>
      </c>
      <c r="AX14" s="128">
        <f>INDEX(Direct_Cost_Splits_Network,MATCH($H14,RIN_Asset_Cat_Network,0),MATCH($AY$4,Direct_Cost_Type,0))*$M14*INDEX(Act_Type_Repex_Splits,MATCH($I14,Act_Type_Repex,0),MATCH(AX$4,Mat_Type,0))*INDEX(Escalators!$I$44:$U$49,MATCH(AX$4,Escalators!$C$44:$C$49,0),MATCH(AX$5,Escalators!$I$43:$U$43,0))</f>
        <v>0</v>
      </c>
      <c r="AY14" s="128">
        <f t="shared" si="10"/>
        <v>0</v>
      </c>
      <c r="AZ14" s="128">
        <f>INDEX(Direct_Cost_Splits_Network,MATCH($H14,RIN_Asset_Cat_Network,0),MATCH($BE$4,Direct_Cost_Type,0))*$N14*INDEX(Act_Type_Repex_Splits,MATCH($I14,Act_Type_Repex,0),MATCH(AZ$4,Mat_Type,0))*INDEX(Escalators!$I$44:$U$49,MATCH(AZ$4,Escalators!$C$44:$C$49,0),MATCH(AZ$5,Escalators!$I$43:$U$43,0))</f>
        <v>0</v>
      </c>
      <c r="BA14" s="128">
        <f>INDEX(Direct_Cost_Splits_Network,MATCH($H14,RIN_Asset_Cat_Network,0),MATCH($BE$4,Direct_Cost_Type,0))*$N14*INDEX(Act_Type_Repex_Splits,MATCH($I14,Act_Type_Repex,0),MATCH(BA$4,Mat_Type,0))*INDEX(Escalators!$I$44:$U$49,MATCH(BA$4,Escalators!$C$44:$C$49,0),MATCH(BA$5,Escalators!$I$43:$U$43,0))</f>
        <v>0</v>
      </c>
      <c r="BB14" s="128">
        <f>INDEX(Direct_Cost_Splits_Network,MATCH($H14,RIN_Asset_Cat_Network,0),MATCH($BE$4,Direct_Cost_Type,0))*$N14*INDEX(Act_Type_Repex_Splits,MATCH($I14,Act_Type_Repex,0),MATCH(BB$4,Mat_Type,0))*INDEX(Escalators!$I$44:$U$49,MATCH(BB$4,Escalators!$C$44:$C$49,0),MATCH(BB$5,Escalators!$I$43:$U$43,0))</f>
        <v>0</v>
      </c>
      <c r="BC14" s="128">
        <f>INDEX(Direct_Cost_Splits_Network,MATCH($H14,RIN_Asset_Cat_Network,0),MATCH($BE$4,Direct_Cost_Type,0))*$N14*INDEX(Act_Type_Repex_Splits,MATCH($I14,Act_Type_Repex,0),MATCH(BC$4,Mat_Type,0))*INDEX(Escalators!$I$44:$U$49,MATCH(BC$4,Escalators!$C$44:$C$49,0),MATCH(BC$5,Escalators!$I$43:$U$43,0))</f>
        <v>0</v>
      </c>
      <c r="BD14" s="128">
        <f>INDEX(Direct_Cost_Splits_Network,MATCH($H14,RIN_Asset_Cat_Network,0),MATCH($BE$4,Direct_Cost_Type,0))*$N14*INDEX(Act_Type_Repex_Splits,MATCH($I14,Act_Type_Repex,0),MATCH(BD$4,Mat_Type,0))*INDEX(Escalators!$I$44:$U$49,MATCH(BD$4,Escalators!$C$44:$C$49,0),MATCH(BD$5,Escalators!$I$43:$U$43,0))</f>
        <v>0</v>
      </c>
      <c r="BE14" s="128">
        <f t="shared" si="25"/>
        <v>0</v>
      </c>
      <c r="BF14" s="128">
        <f>INDEX(Direct_Cost_Splits_Network,MATCH($H14,RIN_Asset_Cat_Network,0),MATCH($BK$4,Direct_Cost_Type,0))*$O14*INDEX(Act_Type_Repex_Splits,MATCH($I14,Act_Type_Repex,0),MATCH(BF$4,Mat_Type,0))*INDEX(Escalators!$I$44:$U$49,MATCH(BF$4,Escalators!$C$44:$C$49,0),MATCH(BF$5,Escalators!$I$43:$U$43,0))</f>
        <v>0</v>
      </c>
      <c r="BG14" s="128">
        <f>INDEX(Direct_Cost_Splits_Network,MATCH($H14,RIN_Asset_Cat_Network,0),MATCH($BK$4,Direct_Cost_Type,0))*$O14*INDEX(Act_Type_Repex_Splits,MATCH($I14,Act_Type_Repex,0),MATCH(BG$4,Mat_Type,0))*INDEX(Escalators!$I$44:$U$49,MATCH(BG$4,Escalators!$C$44:$C$49,0),MATCH(BG$5,Escalators!$I$43:$U$43,0))</f>
        <v>0</v>
      </c>
      <c r="BH14" s="128">
        <f>INDEX(Direct_Cost_Splits_Network,MATCH($H14,RIN_Asset_Cat_Network,0),MATCH($BK$4,Direct_Cost_Type,0))*$O14*INDEX(Act_Type_Repex_Splits,MATCH($I14,Act_Type_Repex,0),MATCH(BH$4,Mat_Type,0))*INDEX(Escalators!$I$44:$U$49,MATCH(BH$4,Escalators!$C$44:$C$49,0),MATCH(BH$5,Escalators!$I$43:$U$43,0))</f>
        <v>0</v>
      </c>
      <c r="BI14" s="128">
        <f>INDEX(Direct_Cost_Splits_Network,MATCH($H14,RIN_Asset_Cat_Network,0),MATCH($BK$4,Direct_Cost_Type,0))*$O14*INDEX(Act_Type_Repex_Splits,MATCH($I14,Act_Type_Repex,0),MATCH(BI$4,Mat_Type,0))*INDEX(Escalators!$I$44:$U$49,MATCH(BI$4,Escalators!$C$44:$C$49,0),MATCH(BI$5,Escalators!$I$43:$U$43,0))</f>
        <v>0</v>
      </c>
      <c r="BJ14" s="128">
        <f>INDEX(Direct_Cost_Splits_Network,MATCH($H14,RIN_Asset_Cat_Network,0),MATCH($BK$4,Direct_Cost_Type,0))*$O14*INDEX(Act_Type_Repex_Splits,MATCH($I14,Act_Type_Repex,0),MATCH(BJ$4,Mat_Type,0))*INDEX(Escalators!$I$44:$U$49,MATCH(BJ$4,Escalators!$C$44:$C$49,0),MATCH(BJ$5,Escalators!$I$43:$U$43,0))</f>
        <v>0</v>
      </c>
      <c r="BK14" s="128">
        <f t="shared" si="26"/>
        <v>0</v>
      </c>
      <c r="BL14" s="128">
        <f>INDEX(Direct_Cost_Splits_Network,MATCH($H14,RIN_Asset_Cat_Network,0),MATCH($BQ$4,Direct_Cost_Type,0))*$P14*INDEX(Act_Type_Repex_Splits,MATCH($I14,Act_Type_Repex,0),MATCH(BL$4,Mat_Type,0))*INDEX(Escalators!$I$44:$U$49,MATCH(BL$4,Escalators!$C$44:$C$49,0),MATCH(BL$5,Escalators!$I$43:$U$43,0))</f>
        <v>0</v>
      </c>
      <c r="BM14" s="128">
        <f>INDEX(Direct_Cost_Splits_Network,MATCH($H14,RIN_Asset_Cat_Network,0),MATCH($BQ$4,Direct_Cost_Type,0))*$P14*INDEX(Act_Type_Repex_Splits,MATCH($I14,Act_Type_Repex,0),MATCH(BM$4,Mat_Type,0))*INDEX(Escalators!$I$44:$U$49,MATCH(BM$4,Escalators!$C$44:$C$49,0),MATCH(BM$5,Escalators!$I$43:$U$43,0))</f>
        <v>0</v>
      </c>
      <c r="BN14" s="128">
        <f>INDEX(Direct_Cost_Splits_Network,MATCH($H14,RIN_Asset_Cat_Network,0),MATCH($BQ$4,Direct_Cost_Type,0))*$P14*INDEX(Act_Type_Repex_Splits,MATCH($I14,Act_Type_Repex,0),MATCH(BN$4,Mat_Type,0))*INDEX(Escalators!$I$44:$U$49,MATCH(BN$4,Escalators!$C$44:$C$49,0),MATCH(BN$5,Escalators!$I$43:$U$43,0))</f>
        <v>0</v>
      </c>
      <c r="BO14" s="128">
        <f>INDEX(Direct_Cost_Splits_Network,MATCH($H14,RIN_Asset_Cat_Network,0),MATCH($BQ$4,Direct_Cost_Type,0))*$P14*INDEX(Act_Type_Repex_Splits,MATCH($I14,Act_Type_Repex,0),MATCH(BO$4,Mat_Type,0))*INDEX(Escalators!$I$44:$U$49,MATCH(BO$4,Escalators!$C$44:$C$49,0),MATCH(BO$5,Escalators!$I$43:$U$43,0))</f>
        <v>0</v>
      </c>
      <c r="BP14" s="128">
        <f>INDEX(Direct_Cost_Splits_Network,MATCH($H14,RIN_Asset_Cat_Network,0),MATCH($BQ$4,Direct_Cost_Type,0))*$P14*INDEX(Act_Type_Repex_Splits,MATCH($I14,Act_Type_Repex,0),MATCH(BP$4,Mat_Type,0))*INDEX(Escalators!$I$44:$U$49,MATCH(BP$4,Escalators!$C$44:$C$49,0),MATCH(BP$5,Escalators!$I$43:$U$43,0))</f>
        <v>0</v>
      </c>
      <c r="BQ14" s="128">
        <f t="shared" si="27"/>
        <v>0</v>
      </c>
      <c r="BR14" s="128">
        <f>INDEX(Direct_Cost_Splits_Network,MATCH($H14,RIN_Asset_Cat_Network,0),MATCH($BW$4,Direct_Cost_Type,0))*$Q14*INDEX(Act_Type_Repex_Splits,MATCH($I14,Act_Type_Repex,0),MATCH(BR$4,Mat_Type,0))*INDEX(Escalators!$I$44:$U$49,MATCH(BR$4,Escalators!$C$44:$C$49,0),MATCH(BR$5,Escalators!$I$43:$U$43,0))</f>
        <v>0</v>
      </c>
      <c r="BS14" s="128">
        <f>INDEX(Direct_Cost_Splits_Network,MATCH($H14,RIN_Asset_Cat_Network,0),MATCH($BW$4,Direct_Cost_Type,0))*$Q14*INDEX(Act_Type_Repex_Splits,MATCH($I14,Act_Type_Repex,0),MATCH(BS$4,Mat_Type,0))*INDEX(Escalators!$I$44:$U$49,MATCH(BS$4,Escalators!$C$44:$C$49,0),MATCH(BS$5,Escalators!$I$43:$U$43,0))</f>
        <v>0</v>
      </c>
      <c r="BT14" s="128">
        <f>INDEX(Direct_Cost_Splits_Network,MATCH($H14,RIN_Asset_Cat_Network,0),MATCH($BW$4,Direct_Cost_Type,0))*$Q14*INDEX(Act_Type_Repex_Splits,MATCH($I14,Act_Type_Repex,0),MATCH(BT$4,Mat_Type,0))*INDEX(Escalators!$I$44:$U$49,MATCH(BT$4,Escalators!$C$44:$C$49,0),MATCH(BT$5,Escalators!$I$43:$U$43,0))</f>
        <v>0</v>
      </c>
      <c r="BU14" s="128">
        <f>INDEX(Direct_Cost_Splits_Network,MATCH($H14,RIN_Asset_Cat_Network,0),MATCH($BW$4,Direct_Cost_Type,0))*$Q14*INDEX(Act_Type_Repex_Splits,MATCH($I14,Act_Type_Repex,0),MATCH(BU$4,Mat_Type,0))*INDEX(Escalators!$I$44:$U$49,MATCH(BU$4,Escalators!$C$44:$C$49,0),MATCH(BU$5,Escalators!$I$43:$U$43,0))</f>
        <v>0</v>
      </c>
      <c r="BV14" s="128">
        <f>INDEX(Direct_Cost_Splits_Network,MATCH($H14,RIN_Asset_Cat_Network,0),MATCH($BW$4,Direct_Cost_Type,0))*$Q14*INDEX(Act_Type_Repex_Splits,MATCH($I14,Act_Type_Repex,0),MATCH(BV$4,Mat_Type,0))*INDEX(Escalators!$I$44:$U$49,MATCH(BV$4,Escalators!$C$44:$C$49,0),MATCH(BV$5,Escalators!$I$43:$U$43,0))</f>
        <v>0</v>
      </c>
      <c r="BW14" s="128">
        <f t="shared" si="28"/>
        <v>0</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0</v>
      </c>
      <c r="CC14" s="128">
        <f>INDEX(Direct_Cost_Splits_Network,MATCH($H14,RIN_Asset_Cat_Network,0),MATCH($BY$4,Direct_Cost_Type,0))*N14*HLOOKUP(CC$5,Escalators!$I$25:$U$30,6,FALSE)</f>
        <v>0</v>
      </c>
      <c r="CD14" s="128">
        <f>INDEX(Direct_Cost_Splits_Network,MATCH($H14,RIN_Asset_Cat_Network,0),MATCH($BY$4,Direct_Cost_Type,0))*O14*HLOOKUP(CD$5,Escalators!$I$25:$U$30,6,FALSE)</f>
        <v>0</v>
      </c>
      <c r="CE14" s="128">
        <f>INDEX(Direct_Cost_Splits_Network,MATCH($H14,RIN_Asset_Cat_Network,0),MATCH($BY$4,Direct_Cost_Type,0))*P14*HLOOKUP(CE$5,Escalators!$I$25:$U$30,6,FALSE)</f>
        <v>0</v>
      </c>
      <c r="CF14" s="128">
        <f>INDEX(Direct_Cost_Splits_Network,MATCH($H14,RIN_Asset_Cat_Network,0),MATCH($BY$4,Direct_Cost_Type,0))*Q14*HLOOKUP(CF$5,Escalators!$I$25:$U$30,6,FALSE)</f>
        <v>0</v>
      </c>
      <c r="CG14" s="129"/>
      <c r="CH14" s="675">
        <f t="shared" si="11"/>
        <v>0</v>
      </c>
      <c r="CI14" s="675">
        <f t="shared" si="12"/>
        <v>0</v>
      </c>
      <c r="CJ14" s="675">
        <f t="shared" si="12"/>
        <v>0</v>
      </c>
      <c r="CK14" s="675">
        <f t="shared" si="13"/>
        <v>0</v>
      </c>
      <c r="CL14" s="675">
        <f t="shared" si="14"/>
        <v>0</v>
      </c>
      <c r="CM14" s="675">
        <f t="shared" si="15"/>
        <v>0</v>
      </c>
      <c r="CN14" s="675">
        <f t="shared" si="16"/>
        <v>0</v>
      </c>
      <c r="CO14" s="675">
        <f t="shared" si="17"/>
        <v>0</v>
      </c>
      <c r="CP14" s="129"/>
      <c r="CQ14" s="128">
        <f t="shared" si="18"/>
        <v>0</v>
      </c>
      <c r="CR14" s="128">
        <f t="shared" si="29"/>
        <v>0</v>
      </c>
      <c r="CS14" s="128">
        <f t="shared" si="30"/>
        <v>0</v>
      </c>
      <c r="CT14" s="128">
        <f t="shared" si="19"/>
        <v>0</v>
      </c>
      <c r="CU14" s="128">
        <f t="shared" si="20"/>
        <v>0</v>
      </c>
      <c r="CV14" s="128">
        <f t="shared" si="21"/>
        <v>0</v>
      </c>
      <c r="CW14" s="128">
        <f t="shared" si="22"/>
        <v>0</v>
      </c>
      <c r="CX14" s="128">
        <f t="shared" si="23"/>
        <v>0</v>
      </c>
      <c r="CY14" s="129"/>
      <c r="CZ14" s="128">
        <f t="shared" si="33"/>
        <v>0</v>
      </c>
      <c r="DA14" s="128">
        <f t="shared" si="34"/>
        <v>0</v>
      </c>
      <c r="DB14" s="128">
        <f>DA14*Escalators!$M$17</f>
        <v>0</v>
      </c>
      <c r="DC14" s="128">
        <f>SUMPRODUCT(1+AusNet_Overheads!$K$20:$O$20,CT14:CX14)</f>
        <v>0</v>
      </c>
      <c r="DD14" s="128">
        <f>DC14*Escalators!$M$17</f>
        <v>0</v>
      </c>
      <c r="DE14" s="157"/>
      <c r="DF14" s="157"/>
      <c r="DG14" s="201"/>
      <c r="DH14" s="258"/>
    </row>
    <row r="15" spans="2:112">
      <c r="B15" s="75"/>
      <c r="C15" s="328" t="s">
        <v>574</v>
      </c>
      <c r="D15" s="75"/>
      <c r="E15" s="75" t="s">
        <v>44</v>
      </c>
      <c r="F15" s="75" t="s">
        <v>131</v>
      </c>
      <c r="G15" s="75" t="s">
        <v>150</v>
      </c>
      <c r="H15" s="75" t="s">
        <v>176</v>
      </c>
      <c r="I15" s="75" t="s">
        <v>248</v>
      </c>
      <c r="J15" s="128"/>
      <c r="K15" s="128"/>
      <c r="L15" s="128"/>
      <c r="M15" s="128">
        <f>-8210/2/5</f>
        <v>-821</v>
      </c>
      <c r="N15" s="128">
        <f>-8210/2/5</f>
        <v>-821</v>
      </c>
      <c r="O15" s="128">
        <f>-8210/2/5</f>
        <v>-821</v>
      </c>
      <c r="P15" s="128">
        <f>-8210/2/5</f>
        <v>-821</v>
      </c>
      <c r="Q15" s="128">
        <f>-8210/2/5</f>
        <v>-821</v>
      </c>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-84.663532981642973</v>
      </c>
      <c r="W15" s="128">
        <f>INDEX(Direct_Cost_Splits_Network,MATCH($H15,RIN_Asset_Cat_Network,0),MATCH($S$4,Direct_Cost_Type,0))*N15*HLOOKUP(W$5,Escalators!$I$25:$U$30,3,FALSE)</f>
        <v>-85.083539746942932</v>
      </c>
      <c r="X15" s="128">
        <f>INDEX(Direct_Cost_Splits_Network,MATCH($H15,RIN_Asset_Cat_Network,0),MATCH($S$4,Direct_Cost_Type,0))*O15*HLOOKUP(X$5,Escalators!$I$25:$U$30,3,FALSE)</f>
        <v>-85.637652910489905</v>
      </c>
      <c r="Y15" s="128">
        <f>INDEX(Direct_Cost_Splits_Network,MATCH($H15,RIN_Asset_Cat_Network,0),MATCH($S$4,Direct_Cost_Type,0))*P15*HLOOKUP(Y$5,Escalators!$I$25:$U$30,3,FALSE)</f>
        <v>-86.488432203902164</v>
      </c>
      <c r="Z15" s="128">
        <f>INDEX(Direct_Cost_Splits_Network,MATCH($H15,RIN_Asset_Cat_Network,0),MATCH($S$4,Direct_Cost_Type,0))*Q15*HLOOKUP(Z$5,Escalators!$I$25:$U$30,3,FALSE)</f>
        <v>-87.619305107226921</v>
      </c>
      <c r="AA15" s="129"/>
      <c r="AB15" s="75">
        <f>INDEX(Direct_Cost_Splits_Network,MATCH($H15,RIN_Asset_Cat_Network,0),MATCH($AG$4,Direct_Cost_Type,0))*$J15*INDEX(Act_Type_Repex_Splits,MATCH($I15,Act_Type_Repex,0),MATCH(AB$4,Mat_Type,0))*INDEX(Escalators!$I$44:$U$49,MATCH(AB$4,Escalators!$C$44:$C$49,0),MATCH(AB$5,Escalators!$I$43:$U$43,0))</f>
        <v>0</v>
      </c>
      <c r="AC15" s="75">
        <f>INDEX(Direct_Cost_Splits_Network,MATCH($H15,RIN_Asset_Cat_Network,0),MATCH($AG$4,Direct_Cost_Type,0))*$J15*INDEX(Act_Type_Repex_Splits,MATCH($I15,Act_Type_Repex,0),MATCH(AC$4,Mat_Type,0))*INDEX(Escalators!$I$44:$U$49,MATCH(AC$4,Escalators!$C$44:$C$49,0),MATCH(AC$5,Escalators!$I$43:$U$43,0))</f>
        <v>0</v>
      </c>
      <c r="AD15" s="75">
        <f>INDEX(Direct_Cost_Splits_Network,MATCH($H15,RIN_Asset_Cat_Network,0),MATCH($AG$4,Direct_Cost_Type,0))*$J15*INDEX(Act_Type_Repex_Splits,MATCH($I15,Act_Type_Repex,0),MATCH(AD$4,Mat_Type,0))*INDEX(Escalators!$I$44:$U$49,MATCH(AD$4,Escalators!$C$44:$C$49,0),MATCH(AD$5,Escalators!$I$43:$U$43,0))</f>
        <v>0</v>
      </c>
      <c r="AE15" s="75">
        <f>INDEX(Direct_Cost_Splits_Network,MATCH($H15,RIN_Asset_Cat_Network,0),MATCH($AG$4,Direct_Cost_Type,0))*$J15*INDEX(Act_Type_Repex_Splits,MATCH($I15,Act_Type_Repex,0),MATCH(AE$4,Mat_Type,0))*INDEX(Escalators!$I$44:$U$49,MATCH(AE$4,Escalators!$C$44:$C$49,0),MATCH(AE$5,Escalators!$I$43:$U$43,0))</f>
        <v>0</v>
      </c>
      <c r="AF15" s="75">
        <f>INDEX(Direct_Cost_Splits_Network,MATCH($H15,RIN_Asset_Cat_Network,0),MATCH($AG$4,Direct_Cost_Type,0))*$J15*INDEX(Act_Type_Repex_Splits,MATCH($I15,Act_Type_Repex,0),MATCH(AF$4,Mat_Type,0))*INDEX(Escalators!$I$44:$U$49,MATCH(AF$4,Escalators!$C$44:$C$49,0),MATCH(AF$5,Escalators!$I$43:$U$43,0))</f>
        <v>0</v>
      </c>
      <c r="AG15" s="128">
        <f t="shared" si="24"/>
        <v>0</v>
      </c>
      <c r="AH15" s="128">
        <f>INDEX(Direct_Cost_Splits_Network,MATCH($H15,RIN_Asset_Cat_Network,0),MATCH($AY$4,Direct_Cost_Type,0))*$K15*INDEX(Act_Type_Repex_Splits,MATCH($I15,Act_Type_Repex,0),MATCH(AH$4,Mat_Type,0))*INDEX(Escalators!$I$44:$U$49,MATCH(AH$4,Escalators!$C$44:$C$49,0),MATCH(AH$5,Escalators!$I$43:$U$43,0))</f>
        <v>0</v>
      </c>
      <c r="AI15" s="128">
        <f>INDEX(Direct_Cost_Splits_Network,MATCH($H15,RIN_Asset_Cat_Network,0),MATCH($AY$4,Direct_Cost_Type,0))*$K15*INDEX(Act_Type_Repex_Splits,MATCH($I15,Act_Type_Repex,0),MATCH(AI$4,Mat_Type,0))*INDEX(Escalators!$I$44:$U$49,MATCH(AI$4,Escalators!$C$44:$C$49,0),MATCH(AI$5,Escalators!$I$43:$U$43,0))</f>
        <v>0</v>
      </c>
      <c r="AJ15" s="128">
        <f>INDEX(Direct_Cost_Splits_Network,MATCH($H15,RIN_Asset_Cat_Network,0),MATCH($AY$4,Direct_Cost_Type,0))*$K15*INDEX(Act_Type_Repex_Splits,MATCH($I15,Act_Type_Repex,0),MATCH(AJ$4,Mat_Type,0))*INDEX(Escalators!$I$44:$U$49,MATCH(AJ$4,Escalators!$C$44:$C$49,0),MATCH(AJ$5,Escalators!$I$43:$U$43,0))</f>
        <v>0</v>
      </c>
      <c r="AK15" s="128">
        <f>INDEX(Direct_Cost_Splits_Network,MATCH($H15,RIN_Asset_Cat_Network,0),MATCH($AY$4,Direct_Cost_Type,0))*$K15*INDEX(Act_Type_Repex_Splits,MATCH($I15,Act_Type_Repex,0),MATCH(AK$4,Mat_Type,0))*INDEX(Escalators!$I$44:$U$49,MATCH(AK$4,Escalators!$C$44:$C$49,0),MATCH(AK$5,Escalators!$I$43:$U$43,0))</f>
        <v>0</v>
      </c>
      <c r="AL15" s="128">
        <f>INDEX(Direct_Cost_Splits_Network,MATCH($H15,RIN_Asset_Cat_Network,0),MATCH($AY$4,Direct_Cost_Type,0))*$K15*INDEX(Act_Type_Repex_Splits,MATCH($I15,Act_Type_Repex,0),MATCH(AL$4,Mat_Type,0))*INDEX(Escalators!$I$44:$U$49,MATCH(AL$4,Escalators!$C$44:$C$49,0),MATCH(AL$5,Escalators!$I$43:$U$43,0))</f>
        <v>0</v>
      </c>
      <c r="AM15" s="128">
        <f t="shared" si="8"/>
        <v>0</v>
      </c>
      <c r="AN15" s="128">
        <f>INDEX(Direct_Cost_Splits_Network,MATCH($H15,RIN_Asset_Cat_Network,0),MATCH($AY$4,Direct_Cost_Type,0))*$L15*INDEX(Act_Type_Repex_Splits,MATCH($I15,Act_Type_Repex,0),MATCH(AN$4,Mat_Type,0))*INDEX(Escalators!$I$44:$U$49,MATCH(AN$4,Escalators!$C$44:$C$49,0),MATCH(AN$5,Escalators!$I$43:$U$43,0))</f>
        <v>0</v>
      </c>
      <c r="AO15" s="128">
        <f>INDEX(Direct_Cost_Splits_Network,MATCH($H15,RIN_Asset_Cat_Network,0),MATCH($AY$4,Direct_Cost_Type,0))*$L15*INDEX(Act_Type_Repex_Splits,MATCH($I15,Act_Type_Repex,0),MATCH(AO$4,Mat_Type,0))*INDEX(Escalators!$I$44:$U$49,MATCH(AO$4,Escalators!$C$44:$C$49,0),MATCH(AO$5,Escalators!$I$43:$U$43,0))</f>
        <v>0</v>
      </c>
      <c r="AP15" s="128">
        <f>INDEX(Direct_Cost_Splits_Network,MATCH($H15,RIN_Asset_Cat_Network,0),MATCH($AY$4,Direct_Cost_Type,0))*$L15*INDEX(Act_Type_Repex_Splits,MATCH($I15,Act_Type_Repex,0),MATCH(AP$4,Mat_Type,0))*INDEX(Escalators!$I$44:$U$49,MATCH(AP$4,Escalators!$C$44:$C$49,0),MATCH(AP$5,Escalators!$I$43:$U$43,0))</f>
        <v>0</v>
      </c>
      <c r="AQ15" s="128">
        <f>INDEX(Direct_Cost_Splits_Network,MATCH($H15,RIN_Asset_Cat_Network,0),MATCH($AY$4,Direct_Cost_Type,0))*$L15*INDEX(Act_Type_Repex_Splits,MATCH($I15,Act_Type_Repex,0),MATCH(AQ$4,Mat_Type,0))*INDEX(Escalators!$I$44:$U$49,MATCH(AQ$4,Escalators!$C$44:$C$49,0),MATCH(AQ$5,Escalators!$I$43:$U$43,0))</f>
        <v>0</v>
      </c>
      <c r="AR15" s="128">
        <f>INDEX(Direct_Cost_Splits_Network,MATCH($H15,RIN_Asset_Cat_Network,0),MATCH($AY$4,Direct_Cost_Type,0))*$L15*INDEX(Act_Type_Repex_Splits,MATCH($I15,Act_Type_Repex,0),MATCH(AR$4,Mat_Type,0))*INDEX(Escalators!$I$44:$U$49,MATCH(AR$4,Escalators!$C$44:$C$49,0),MATCH(AR$5,Escalators!$I$43:$U$43,0))</f>
        <v>0</v>
      </c>
      <c r="AS15" s="128">
        <f t="shared" si="9"/>
        <v>0</v>
      </c>
      <c r="AT15" s="128">
        <f>INDEX(Direct_Cost_Splits_Network,MATCH($H15,RIN_Asset_Cat_Network,0),MATCH($AY$4,Direct_Cost_Type,0))*$M15*INDEX(Act_Type_Repex_Splits,MATCH($I15,Act_Type_Repex,0),MATCH(AT$4,Mat_Type,0))*INDEX(Escalators!$I$44:$U$49,MATCH(AT$4,Escalators!$C$44:$C$49,0),MATCH(AT$5,Escalators!$I$43:$U$43,0))</f>
        <v>-9.0268589435748083</v>
      </c>
      <c r="AU15" s="128">
        <f>INDEX(Direct_Cost_Splits_Network,MATCH($H15,RIN_Asset_Cat_Network,0),MATCH($AY$4,Direct_Cost_Type,0))*$M15*INDEX(Act_Type_Repex_Splits,MATCH($I15,Act_Type_Repex,0),MATCH(AU$4,Mat_Type,0))*INDEX(Escalators!$I$44:$U$49,MATCH(AU$4,Escalators!$C$44:$C$49,0),MATCH(AU$5,Escalators!$I$43:$U$43,0))</f>
        <v>-27.080576830724425</v>
      </c>
      <c r="AV15" s="128">
        <f>INDEX(Direct_Cost_Splits_Network,MATCH($H15,RIN_Asset_Cat_Network,0),MATCH($AY$4,Direct_Cost_Type,0))*$M15*INDEX(Act_Type_Repex_Splits,MATCH($I15,Act_Type_Repex,0),MATCH(AV$4,Mat_Type,0))*INDEX(Escalators!$I$44:$U$49,MATCH(AV$4,Escalators!$C$44:$C$49,0),MATCH(AV$5,Escalators!$I$43:$U$43,0))</f>
        <v>-72.214871548598467</v>
      </c>
      <c r="AW15" s="128">
        <f>INDEX(Direct_Cost_Splits_Network,MATCH($H15,RIN_Asset_Cat_Network,0),MATCH($AY$4,Direct_Cost_Type,0))*$M15*INDEX(Act_Type_Repex_Splits,MATCH($I15,Act_Type_Repex,0),MATCH(AW$4,Mat_Type,0))*INDEX(Escalators!$I$44:$U$49,MATCH(AW$4,Escalators!$C$44:$C$49,0),MATCH(AW$5,Escalators!$I$43:$U$43,0))</f>
        <v>0</v>
      </c>
      <c r="AX15" s="128">
        <f>INDEX(Direct_Cost_Splits_Network,MATCH($H15,RIN_Asset_Cat_Network,0),MATCH($AY$4,Direct_Cost_Type,0))*$M15*INDEX(Act_Type_Repex_Splits,MATCH($I15,Act_Type_Repex,0),MATCH(AX$4,Mat_Type,0))*INDEX(Escalators!$I$44:$U$49,MATCH(AX$4,Escalators!$C$44:$C$49,0),MATCH(AX$5,Escalators!$I$43:$U$43,0))</f>
        <v>-72.214871548598467</v>
      </c>
      <c r="AY15" s="128">
        <f t="shared" si="10"/>
        <v>-180.53717887149617</v>
      </c>
      <c r="AZ15" s="128">
        <f>INDEX(Direct_Cost_Splits_Network,MATCH($H15,RIN_Asset_Cat_Network,0),MATCH($BE$4,Direct_Cost_Type,0))*$N15*INDEX(Act_Type_Repex_Splits,MATCH($I15,Act_Type_Repex,0),MATCH(AZ$4,Mat_Type,0))*INDEX(Escalators!$I$44:$U$49,MATCH(AZ$4,Escalators!$C$44:$C$49,0),MATCH(AZ$5,Escalators!$I$43:$U$43,0))</f>
        <v>-9.0268589435748083</v>
      </c>
      <c r="BA15" s="128">
        <f>INDEX(Direct_Cost_Splits_Network,MATCH($H15,RIN_Asset_Cat_Network,0),MATCH($BE$4,Direct_Cost_Type,0))*$N15*INDEX(Act_Type_Repex_Splits,MATCH($I15,Act_Type_Repex,0),MATCH(BA$4,Mat_Type,0))*INDEX(Escalators!$I$44:$U$49,MATCH(BA$4,Escalators!$C$44:$C$49,0),MATCH(BA$5,Escalators!$I$43:$U$43,0))</f>
        <v>-27.080576830724425</v>
      </c>
      <c r="BB15" s="128">
        <f>INDEX(Direct_Cost_Splits_Network,MATCH($H15,RIN_Asset_Cat_Network,0),MATCH($BE$4,Direct_Cost_Type,0))*$N15*INDEX(Act_Type_Repex_Splits,MATCH($I15,Act_Type_Repex,0),MATCH(BB$4,Mat_Type,0))*INDEX(Escalators!$I$44:$U$49,MATCH(BB$4,Escalators!$C$44:$C$49,0),MATCH(BB$5,Escalators!$I$43:$U$43,0))</f>
        <v>-72.214871548598467</v>
      </c>
      <c r="BC15" s="128">
        <f>INDEX(Direct_Cost_Splits_Network,MATCH($H15,RIN_Asset_Cat_Network,0),MATCH($BE$4,Direct_Cost_Type,0))*$N15*INDEX(Act_Type_Repex_Splits,MATCH($I15,Act_Type_Repex,0),MATCH(BC$4,Mat_Type,0))*INDEX(Escalators!$I$44:$U$49,MATCH(BC$4,Escalators!$C$44:$C$49,0),MATCH(BC$5,Escalators!$I$43:$U$43,0))</f>
        <v>0</v>
      </c>
      <c r="BD15" s="128">
        <f>INDEX(Direct_Cost_Splits_Network,MATCH($H15,RIN_Asset_Cat_Network,0),MATCH($BE$4,Direct_Cost_Type,0))*$N15*INDEX(Act_Type_Repex_Splits,MATCH($I15,Act_Type_Repex,0),MATCH(BD$4,Mat_Type,0))*INDEX(Escalators!$I$44:$U$49,MATCH(BD$4,Escalators!$C$44:$C$49,0),MATCH(BD$5,Escalators!$I$43:$U$43,0))</f>
        <v>-72.214871548598467</v>
      </c>
      <c r="BE15" s="128">
        <f t="shared" si="25"/>
        <v>-180.53717887149617</v>
      </c>
      <c r="BF15" s="128">
        <f>INDEX(Direct_Cost_Splits_Network,MATCH($H15,RIN_Asset_Cat_Network,0),MATCH($BK$4,Direct_Cost_Type,0))*$O15*INDEX(Act_Type_Repex_Splits,MATCH($I15,Act_Type_Repex,0),MATCH(BF$4,Mat_Type,0))*INDEX(Escalators!$I$44:$U$49,MATCH(BF$4,Escalators!$C$44:$C$49,0),MATCH(BF$5,Escalators!$I$43:$U$43,0))</f>
        <v>-9.0268589435748083</v>
      </c>
      <c r="BG15" s="128">
        <f>INDEX(Direct_Cost_Splits_Network,MATCH($H15,RIN_Asset_Cat_Network,0),MATCH($BK$4,Direct_Cost_Type,0))*$O15*INDEX(Act_Type_Repex_Splits,MATCH($I15,Act_Type_Repex,0),MATCH(BG$4,Mat_Type,0))*INDEX(Escalators!$I$44:$U$49,MATCH(BG$4,Escalators!$C$44:$C$49,0),MATCH(BG$5,Escalators!$I$43:$U$43,0))</f>
        <v>-27.080576830724425</v>
      </c>
      <c r="BH15" s="128">
        <f>INDEX(Direct_Cost_Splits_Network,MATCH($H15,RIN_Asset_Cat_Network,0),MATCH($BK$4,Direct_Cost_Type,0))*$O15*INDEX(Act_Type_Repex_Splits,MATCH($I15,Act_Type_Repex,0),MATCH(BH$4,Mat_Type,0))*INDEX(Escalators!$I$44:$U$49,MATCH(BH$4,Escalators!$C$44:$C$49,0),MATCH(BH$5,Escalators!$I$43:$U$43,0))</f>
        <v>-72.214871548598467</v>
      </c>
      <c r="BI15" s="128">
        <f>INDEX(Direct_Cost_Splits_Network,MATCH($H15,RIN_Asset_Cat_Network,0),MATCH($BK$4,Direct_Cost_Type,0))*$O15*INDEX(Act_Type_Repex_Splits,MATCH($I15,Act_Type_Repex,0),MATCH(BI$4,Mat_Type,0))*INDEX(Escalators!$I$44:$U$49,MATCH(BI$4,Escalators!$C$44:$C$49,0),MATCH(BI$5,Escalators!$I$43:$U$43,0))</f>
        <v>0</v>
      </c>
      <c r="BJ15" s="128">
        <f>INDEX(Direct_Cost_Splits_Network,MATCH($H15,RIN_Asset_Cat_Network,0),MATCH($BK$4,Direct_Cost_Type,0))*$O15*INDEX(Act_Type_Repex_Splits,MATCH($I15,Act_Type_Repex,0),MATCH(BJ$4,Mat_Type,0))*INDEX(Escalators!$I$44:$U$49,MATCH(BJ$4,Escalators!$C$44:$C$49,0),MATCH(BJ$5,Escalators!$I$43:$U$43,0))</f>
        <v>-72.214871548598467</v>
      </c>
      <c r="BK15" s="128">
        <f t="shared" si="26"/>
        <v>-180.53717887149617</v>
      </c>
      <c r="BL15" s="128">
        <f>INDEX(Direct_Cost_Splits_Network,MATCH($H15,RIN_Asset_Cat_Network,0),MATCH($BQ$4,Direct_Cost_Type,0))*$P15*INDEX(Act_Type_Repex_Splits,MATCH($I15,Act_Type_Repex,0),MATCH(BL$4,Mat_Type,0))*INDEX(Escalators!$I$44:$U$49,MATCH(BL$4,Escalators!$C$44:$C$49,0),MATCH(BL$5,Escalators!$I$43:$U$43,0))</f>
        <v>-9.0268589435748083</v>
      </c>
      <c r="BM15" s="128">
        <f>INDEX(Direct_Cost_Splits_Network,MATCH($H15,RIN_Asset_Cat_Network,0),MATCH($BQ$4,Direct_Cost_Type,0))*$P15*INDEX(Act_Type_Repex_Splits,MATCH($I15,Act_Type_Repex,0),MATCH(BM$4,Mat_Type,0))*INDEX(Escalators!$I$44:$U$49,MATCH(BM$4,Escalators!$C$44:$C$49,0),MATCH(BM$5,Escalators!$I$43:$U$43,0))</f>
        <v>-27.080576830724425</v>
      </c>
      <c r="BN15" s="128">
        <f>INDEX(Direct_Cost_Splits_Network,MATCH($H15,RIN_Asset_Cat_Network,0),MATCH($BQ$4,Direct_Cost_Type,0))*$P15*INDEX(Act_Type_Repex_Splits,MATCH($I15,Act_Type_Repex,0),MATCH(BN$4,Mat_Type,0))*INDEX(Escalators!$I$44:$U$49,MATCH(BN$4,Escalators!$C$44:$C$49,0),MATCH(BN$5,Escalators!$I$43:$U$43,0))</f>
        <v>-72.214871548598467</v>
      </c>
      <c r="BO15" s="128">
        <f>INDEX(Direct_Cost_Splits_Network,MATCH($H15,RIN_Asset_Cat_Network,0),MATCH($BQ$4,Direct_Cost_Type,0))*$P15*INDEX(Act_Type_Repex_Splits,MATCH($I15,Act_Type_Repex,0),MATCH(BO$4,Mat_Type,0))*INDEX(Escalators!$I$44:$U$49,MATCH(BO$4,Escalators!$C$44:$C$49,0),MATCH(BO$5,Escalators!$I$43:$U$43,0))</f>
        <v>0</v>
      </c>
      <c r="BP15" s="128">
        <f>INDEX(Direct_Cost_Splits_Network,MATCH($H15,RIN_Asset_Cat_Network,0),MATCH($BQ$4,Direct_Cost_Type,0))*$P15*INDEX(Act_Type_Repex_Splits,MATCH($I15,Act_Type_Repex,0),MATCH(BP$4,Mat_Type,0))*INDEX(Escalators!$I$44:$U$49,MATCH(BP$4,Escalators!$C$44:$C$49,0),MATCH(BP$5,Escalators!$I$43:$U$43,0))</f>
        <v>-72.214871548598467</v>
      </c>
      <c r="BQ15" s="128">
        <f t="shared" si="27"/>
        <v>-180.53717887149617</v>
      </c>
      <c r="BR15" s="128">
        <f>INDEX(Direct_Cost_Splits_Network,MATCH($H15,RIN_Asset_Cat_Network,0),MATCH($BW$4,Direct_Cost_Type,0))*$Q15*INDEX(Act_Type_Repex_Splits,MATCH($I15,Act_Type_Repex,0),MATCH(BR$4,Mat_Type,0))*INDEX(Escalators!$I$44:$U$49,MATCH(BR$4,Escalators!$C$44:$C$49,0),MATCH(BR$5,Escalators!$I$43:$U$43,0))</f>
        <v>-9.0268589435748083</v>
      </c>
      <c r="BS15" s="128">
        <f>INDEX(Direct_Cost_Splits_Network,MATCH($H15,RIN_Asset_Cat_Network,0),MATCH($BW$4,Direct_Cost_Type,0))*$Q15*INDEX(Act_Type_Repex_Splits,MATCH($I15,Act_Type_Repex,0),MATCH(BS$4,Mat_Type,0))*INDEX(Escalators!$I$44:$U$49,MATCH(BS$4,Escalators!$C$44:$C$49,0),MATCH(BS$5,Escalators!$I$43:$U$43,0))</f>
        <v>-27.080576830724425</v>
      </c>
      <c r="BT15" s="128">
        <f>INDEX(Direct_Cost_Splits_Network,MATCH($H15,RIN_Asset_Cat_Network,0),MATCH($BW$4,Direct_Cost_Type,0))*$Q15*INDEX(Act_Type_Repex_Splits,MATCH($I15,Act_Type_Repex,0),MATCH(BT$4,Mat_Type,0))*INDEX(Escalators!$I$44:$U$49,MATCH(BT$4,Escalators!$C$44:$C$49,0),MATCH(BT$5,Escalators!$I$43:$U$43,0))</f>
        <v>-72.214871548598467</v>
      </c>
      <c r="BU15" s="128">
        <f>INDEX(Direct_Cost_Splits_Network,MATCH($H15,RIN_Asset_Cat_Network,0),MATCH($BW$4,Direct_Cost_Type,0))*$Q15*INDEX(Act_Type_Repex_Splits,MATCH($I15,Act_Type_Repex,0),MATCH(BU$4,Mat_Type,0))*INDEX(Escalators!$I$44:$U$49,MATCH(BU$4,Escalators!$C$44:$C$49,0),MATCH(BU$5,Escalators!$I$43:$U$43,0))</f>
        <v>0</v>
      </c>
      <c r="BV15" s="128">
        <f>INDEX(Direct_Cost_Splits_Network,MATCH($H15,RIN_Asset_Cat_Network,0),MATCH($BW$4,Direct_Cost_Type,0))*$Q15*INDEX(Act_Type_Repex_Splits,MATCH($I15,Act_Type_Repex,0),MATCH(BV$4,Mat_Type,0))*INDEX(Escalators!$I$44:$U$49,MATCH(BV$4,Escalators!$C$44:$C$49,0),MATCH(BV$5,Escalators!$I$43:$U$43,0))</f>
        <v>-72.214871548598467</v>
      </c>
      <c r="BW15" s="128">
        <f t="shared" si="28"/>
        <v>-180.53717887149617</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-483.63512559054544</v>
      </c>
      <c r="CC15" s="128">
        <f>INDEX(Direct_Cost_Splits_Network,MATCH($H15,RIN_Asset_Cat_Network,0),MATCH($BY$4,Direct_Cost_Type,0))*N15*HLOOKUP(CC$5,Escalators!$I$25:$U$30,6,FALSE)</f>
        <v>-483.63512559054544</v>
      </c>
      <c r="CD15" s="128">
        <f>INDEX(Direct_Cost_Splits_Network,MATCH($H15,RIN_Asset_Cat_Network,0),MATCH($BY$4,Direct_Cost_Type,0))*O15*HLOOKUP(CD$5,Escalators!$I$25:$U$30,6,FALSE)</f>
        <v>-483.63512559054544</v>
      </c>
      <c r="CE15" s="128">
        <f>INDEX(Direct_Cost_Splits_Network,MATCH($H15,RIN_Asset_Cat_Network,0),MATCH($BY$4,Direct_Cost_Type,0))*P15*HLOOKUP(CE$5,Escalators!$I$25:$U$30,6,FALSE)</f>
        <v>-483.63512559054544</v>
      </c>
      <c r="CF15" s="128">
        <f>INDEX(Direct_Cost_Splits_Network,MATCH($H15,RIN_Asset_Cat_Network,0),MATCH($BY$4,Direct_Cost_Type,0))*Q15*HLOOKUP(CF$5,Escalators!$I$25:$U$30,6,FALSE)</f>
        <v>-483.63512559054544</v>
      </c>
      <c r="CG15" s="129"/>
      <c r="CH15" s="675">
        <f t="shared" si="11"/>
        <v>0</v>
      </c>
      <c r="CI15" s="675">
        <f t="shared" si="12"/>
        <v>0</v>
      </c>
      <c r="CJ15" s="675">
        <f t="shared" si="12"/>
        <v>0</v>
      </c>
      <c r="CK15" s="675">
        <f t="shared" si="13"/>
        <v>-74.844947666851084</v>
      </c>
      <c r="CL15" s="675">
        <f t="shared" si="14"/>
        <v>-74.844947666851084</v>
      </c>
      <c r="CM15" s="675">
        <f t="shared" si="15"/>
        <v>-74.844947666851084</v>
      </c>
      <c r="CN15" s="675">
        <f t="shared" si="16"/>
        <v>-74.844947666851084</v>
      </c>
      <c r="CO15" s="675">
        <f t="shared" si="17"/>
        <v>-74.844947666851084</v>
      </c>
      <c r="CP15" s="129"/>
      <c r="CQ15" s="128">
        <f t="shared" si="18"/>
        <v>0</v>
      </c>
      <c r="CR15" s="128">
        <f t="shared" si="29"/>
        <v>0</v>
      </c>
      <c r="CS15" s="128">
        <f t="shared" si="30"/>
        <v>0</v>
      </c>
      <c r="CT15" s="128">
        <f t="shared" si="19"/>
        <v>-823.68078511053568</v>
      </c>
      <c r="CU15" s="128">
        <f t="shared" si="20"/>
        <v>-824.10079187583574</v>
      </c>
      <c r="CV15" s="128">
        <f t="shared" si="21"/>
        <v>-824.65490503938258</v>
      </c>
      <c r="CW15" s="128">
        <f t="shared" si="22"/>
        <v>-825.50568433279489</v>
      </c>
      <c r="CX15" s="128">
        <f t="shared" si="23"/>
        <v>-826.63655723611964</v>
      </c>
      <c r="CY15" s="129"/>
      <c r="CZ15" s="128">
        <f t="shared" si="33"/>
        <v>-4105</v>
      </c>
      <c r="DA15" s="128">
        <f t="shared" si="34"/>
        <v>-4124.5787235946682</v>
      </c>
      <c r="DB15" s="128">
        <f>DA15*Escalators!$M$17</f>
        <v>-4371.1630058786395</v>
      </c>
      <c r="DC15" s="128">
        <f>SUMPRODUCT(1+AusNet_Overheads!$K$20:$O$20,CT15:CX15)</f>
        <v>-4603.7548492406167</v>
      </c>
      <c r="DD15" s="128">
        <f>DC15*Escalators!$M$17</f>
        <v>-4878.9862513756661</v>
      </c>
      <c r="DE15" s="157"/>
      <c r="DF15" s="157"/>
      <c r="DG15" s="201"/>
      <c r="DH15" s="258"/>
    </row>
    <row r="16" spans="2:112">
      <c r="B16" s="75"/>
      <c r="C16" s="75"/>
      <c r="D16" s="75"/>
      <c r="E16" s="75" t="s">
        <v>44</v>
      </c>
      <c r="F16" s="75" t="s">
        <v>131</v>
      </c>
      <c r="G16" s="75" t="s">
        <v>150</v>
      </c>
      <c r="H16" s="75" t="s">
        <v>176</v>
      </c>
      <c r="I16" s="75" t="s">
        <v>248</v>
      </c>
      <c r="J16" s="128"/>
      <c r="K16" s="128"/>
      <c r="L16" s="128"/>
      <c r="M16" s="128"/>
      <c r="N16" s="128"/>
      <c r="O16" s="128"/>
      <c r="P16" s="128"/>
      <c r="Q16" s="128"/>
      <c r="S16" s="47">
        <f>INDEX(Direct_Cost_Splits_Network,MATCH($H16,RIN_Asset_Cat_Network,0),MATCH($S$4,Direct_Cost_Type,0))*J16*HLOOKUP(S$5,Escalators!$I$25:$U$30,3,FALSE)</f>
        <v>0</v>
      </c>
      <c r="T16" s="47">
        <f>INDEX(Direct_Cost_Splits_Network,MATCH($H16,RIN_Asset_Cat_Network,0),MATCH($S$4,Direct_Cost_Type,0))*K16*HLOOKUP(T$5,Escalators!$I$25:$U$30,3,FALSE)</f>
        <v>0</v>
      </c>
      <c r="U16" s="47">
        <f>INDEX(Direct_Cost_Splits_Network,MATCH($H16,RIN_Asset_Cat_Network,0),MATCH($S$4,Direct_Cost_Type,0))*L16*HLOOKUP(U$5,Escalators!$I$25:$U$30,3,FALSE)</f>
        <v>0</v>
      </c>
      <c r="V16" s="47">
        <f>INDEX(Direct_Cost_Splits_Network,MATCH($H16,RIN_Asset_Cat_Network,0),MATCH($S$4,Direct_Cost_Type,0))*M16*HLOOKUP(V$5,Escalators!$I$25:$U$30,3,FALSE)</f>
        <v>0</v>
      </c>
      <c r="W16" s="47">
        <f>INDEX(Direct_Cost_Splits_Network,MATCH($H16,RIN_Asset_Cat_Network,0),MATCH($S$4,Direct_Cost_Type,0))*N16*HLOOKUP(W$5,Escalators!$I$25:$U$30,3,FALSE)</f>
        <v>0</v>
      </c>
      <c r="X16" s="47">
        <f>INDEX(Direct_Cost_Splits_Network,MATCH($H16,RIN_Asset_Cat_Network,0),MATCH($S$4,Direct_Cost_Type,0))*O16*HLOOKUP(X$5,Escalators!$I$25:$U$30,3,FALSE)</f>
        <v>0</v>
      </c>
      <c r="Y16" s="47">
        <f>INDEX(Direct_Cost_Splits_Network,MATCH($H16,RIN_Asset_Cat_Network,0),MATCH($S$4,Direct_Cost_Type,0))*P16*HLOOKUP(Y$5,Escalators!$I$25:$U$30,3,FALSE)</f>
        <v>0</v>
      </c>
      <c r="Z16" s="47">
        <f>INDEX(Direct_Cost_Splits_Network,MATCH($H16,RIN_Asset_Cat_Network,0),MATCH($S$4,Direct_Cost_Type,0))*Q16*HLOOKUP(Z$5,Escalators!$I$25:$U$30,3,FALSE)</f>
        <v>0</v>
      </c>
      <c r="AB16" s="6">
        <f>INDEX(Direct_Cost_Splits_Network,MATCH($H16,RIN_Asset_Cat_Network,0),MATCH($AG$4,Direct_Cost_Type,0))*$J16*INDEX(Act_Type_Repex_Splits,MATCH($I16,Act_Type_Repex,0),MATCH(AB$4,Mat_Type,0))*INDEX(Escalators!$I$44:$U$49,MATCH(AB$4,Escalators!$C$44:$C$49,0),MATCH(AB$5,Escalators!$I$43:$U$43,0))</f>
        <v>0</v>
      </c>
      <c r="AC16" s="6">
        <f>INDEX(Direct_Cost_Splits_Network,MATCH($H16,RIN_Asset_Cat_Network,0),MATCH($AG$4,Direct_Cost_Type,0))*$J16*INDEX(Act_Type_Repex_Splits,MATCH($I16,Act_Type_Repex,0),MATCH(AC$4,Mat_Type,0))*INDEX(Escalators!$I$44:$U$49,MATCH(AC$4,Escalators!$C$44:$C$49,0),MATCH(AC$5,Escalators!$I$43:$U$43,0))</f>
        <v>0</v>
      </c>
      <c r="AD16" s="6">
        <f>INDEX(Direct_Cost_Splits_Network,MATCH($H16,RIN_Asset_Cat_Network,0),MATCH($AG$4,Direct_Cost_Type,0))*$J16*INDEX(Act_Type_Repex_Splits,MATCH($I16,Act_Type_Repex,0),MATCH(AD$4,Mat_Type,0))*INDEX(Escalators!$I$44:$U$49,MATCH(AD$4,Escalators!$C$44:$C$49,0),MATCH(AD$5,Escalators!$I$43:$U$43,0))</f>
        <v>0</v>
      </c>
      <c r="AE16" s="6">
        <f>INDEX(Direct_Cost_Splits_Network,MATCH($H16,RIN_Asset_Cat_Network,0),MATCH($AG$4,Direct_Cost_Type,0))*$J16*INDEX(Act_Type_Repex_Splits,MATCH($I16,Act_Type_Repex,0),MATCH(AE$4,Mat_Type,0))*INDEX(Escalators!$I$44:$U$49,MATCH(AE$4,Escalators!$C$44:$C$49,0),MATCH(AE$5,Escalators!$I$43:$U$43,0))</f>
        <v>0</v>
      </c>
      <c r="AF16" s="6">
        <f>INDEX(Direct_Cost_Splits_Network,MATCH($H16,RIN_Asset_Cat_Network,0),MATCH($AG$4,Direct_Cost_Type,0))*$J16*INDEX(Act_Type_Repex_Splits,MATCH($I16,Act_Type_Repex,0),MATCH(AF$4,Mat_Type,0))*INDEX(Escalators!$I$44:$U$49,MATCH(AF$4,Escalators!$C$44:$C$49,0),MATCH(AF$5,Escalators!$I$43:$U$43,0))</f>
        <v>0</v>
      </c>
      <c r="AG16" s="47">
        <f t="shared" si="24"/>
        <v>0</v>
      </c>
      <c r="AH16" s="47">
        <f>INDEX(Direct_Cost_Splits_Network,MATCH($H16,RIN_Asset_Cat_Network,0),MATCH($AY$4,Direct_Cost_Type,0))*$K16*INDEX(Act_Type_Repex_Splits,MATCH($I16,Act_Type_Repex,0),MATCH(AH$4,Mat_Type,0))*INDEX(Escalators!$I$44:$U$49,MATCH(AH$4,Escalators!$C$44:$C$49,0),MATCH(AH$5,Escalators!$I$43:$U$43,0))</f>
        <v>0</v>
      </c>
      <c r="AI16" s="47">
        <f>INDEX(Direct_Cost_Splits_Network,MATCH($H16,RIN_Asset_Cat_Network,0),MATCH($AY$4,Direct_Cost_Type,0))*$K16*INDEX(Act_Type_Repex_Splits,MATCH($I16,Act_Type_Repex,0),MATCH(AI$4,Mat_Type,0))*INDEX(Escalators!$I$44:$U$49,MATCH(AI$4,Escalators!$C$44:$C$49,0),MATCH(AI$5,Escalators!$I$43:$U$43,0))</f>
        <v>0</v>
      </c>
      <c r="AJ16" s="47">
        <f>INDEX(Direct_Cost_Splits_Network,MATCH($H16,RIN_Asset_Cat_Network,0),MATCH($AY$4,Direct_Cost_Type,0))*$K16*INDEX(Act_Type_Repex_Splits,MATCH($I16,Act_Type_Repex,0),MATCH(AJ$4,Mat_Type,0))*INDEX(Escalators!$I$44:$U$49,MATCH(AJ$4,Escalators!$C$44:$C$49,0),MATCH(AJ$5,Escalators!$I$43:$U$43,0))</f>
        <v>0</v>
      </c>
      <c r="AK16" s="47">
        <f>INDEX(Direct_Cost_Splits_Network,MATCH($H16,RIN_Asset_Cat_Network,0),MATCH($AY$4,Direct_Cost_Type,0))*$K16*INDEX(Act_Type_Repex_Splits,MATCH($I16,Act_Type_Repex,0),MATCH(AK$4,Mat_Type,0))*INDEX(Escalators!$I$44:$U$49,MATCH(AK$4,Escalators!$C$44:$C$49,0),MATCH(AK$5,Escalators!$I$43:$U$43,0))</f>
        <v>0</v>
      </c>
      <c r="AL16" s="47">
        <f>INDEX(Direct_Cost_Splits_Network,MATCH($H16,RIN_Asset_Cat_Network,0),MATCH($AY$4,Direct_Cost_Type,0))*$K16*INDEX(Act_Type_Repex_Splits,MATCH($I16,Act_Type_Repex,0),MATCH(AL$4,Mat_Type,0))*INDEX(Escalators!$I$44:$U$49,MATCH(AL$4,Escalators!$C$44:$C$49,0),MATCH(AL$5,Escalators!$I$43:$U$43,0))</f>
        <v>0</v>
      </c>
      <c r="AM16" s="47">
        <f t="shared" si="8"/>
        <v>0</v>
      </c>
      <c r="AN16" s="47">
        <f>INDEX(Direct_Cost_Splits_Network,MATCH($H16,RIN_Asset_Cat_Network,0),MATCH($AY$4,Direct_Cost_Type,0))*$L16*INDEX(Act_Type_Repex_Splits,MATCH($I16,Act_Type_Repex,0),MATCH(AN$4,Mat_Type,0))*INDEX(Escalators!$I$44:$U$49,MATCH(AN$4,Escalators!$C$44:$C$49,0),MATCH(AN$5,Escalators!$I$43:$U$43,0))</f>
        <v>0</v>
      </c>
      <c r="AO16" s="47">
        <f>INDEX(Direct_Cost_Splits_Network,MATCH($H16,RIN_Asset_Cat_Network,0),MATCH($AY$4,Direct_Cost_Type,0))*$L16*INDEX(Act_Type_Repex_Splits,MATCH($I16,Act_Type_Repex,0),MATCH(AO$4,Mat_Type,0))*INDEX(Escalators!$I$44:$U$49,MATCH(AO$4,Escalators!$C$44:$C$49,0),MATCH(AO$5,Escalators!$I$43:$U$43,0))</f>
        <v>0</v>
      </c>
      <c r="AP16" s="47">
        <f>INDEX(Direct_Cost_Splits_Network,MATCH($H16,RIN_Asset_Cat_Network,0),MATCH($AY$4,Direct_Cost_Type,0))*$L16*INDEX(Act_Type_Repex_Splits,MATCH($I16,Act_Type_Repex,0),MATCH(AP$4,Mat_Type,0))*INDEX(Escalators!$I$44:$U$49,MATCH(AP$4,Escalators!$C$44:$C$49,0),MATCH(AP$5,Escalators!$I$43:$U$43,0))</f>
        <v>0</v>
      </c>
      <c r="AQ16" s="47">
        <f>INDEX(Direct_Cost_Splits_Network,MATCH($H16,RIN_Asset_Cat_Network,0),MATCH($AY$4,Direct_Cost_Type,0))*$L16*INDEX(Act_Type_Repex_Splits,MATCH($I16,Act_Type_Repex,0),MATCH(AQ$4,Mat_Type,0))*INDEX(Escalators!$I$44:$U$49,MATCH(AQ$4,Escalators!$C$44:$C$49,0),MATCH(AQ$5,Escalators!$I$43:$U$43,0))</f>
        <v>0</v>
      </c>
      <c r="AR16" s="47">
        <f>INDEX(Direct_Cost_Splits_Network,MATCH($H16,RIN_Asset_Cat_Network,0),MATCH($AY$4,Direct_Cost_Type,0))*$L16*INDEX(Act_Type_Repex_Splits,MATCH($I16,Act_Type_Repex,0),MATCH(AR$4,Mat_Type,0))*INDEX(Escalators!$I$44:$U$49,MATCH(AR$4,Escalators!$C$44:$C$49,0),MATCH(AR$5,Escalators!$I$43:$U$43,0))</f>
        <v>0</v>
      </c>
      <c r="AS16" s="47">
        <f t="shared" si="9"/>
        <v>0</v>
      </c>
      <c r="AT16" s="47">
        <f>INDEX(Direct_Cost_Splits_Network,MATCH($H16,RIN_Asset_Cat_Network,0),MATCH($AY$4,Direct_Cost_Type,0))*$M16*INDEX(Act_Type_Repex_Splits,MATCH($I16,Act_Type_Repex,0),MATCH(AT$4,Mat_Type,0))*INDEX(Escalators!$I$44:$U$49,MATCH(AT$4,Escalators!$C$44:$C$49,0),MATCH(AT$5,Escalators!$I$43:$U$43,0))</f>
        <v>0</v>
      </c>
      <c r="AU16" s="47">
        <f>INDEX(Direct_Cost_Splits_Network,MATCH($H16,RIN_Asset_Cat_Network,0),MATCH($AY$4,Direct_Cost_Type,0))*$M16*INDEX(Act_Type_Repex_Splits,MATCH($I16,Act_Type_Repex,0),MATCH(AU$4,Mat_Type,0))*INDEX(Escalators!$I$44:$U$49,MATCH(AU$4,Escalators!$C$44:$C$49,0),MATCH(AU$5,Escalators!$I$43:$U$43,0))</f>
        <v>0</v>
      </c>
      <c r="AV16" s="47">
        <f>INDEX(Direct_Cost_Splits_Network,MATCH($H16,RIN_Asset_Cat_Network,0),MATCH($AY$4,Direct_Cost_Type,0))*$M16*INDEX(Act_Type_Repex_Splits,MATCH($I16,Act_Type_Repex,0),MATCH(AV$4,Mat_Type,0))*INDEX(Escalators!$I$44:$U$49,MATCH(AV$4,Escalators!$C$44:$C$49,0),MATCH(AV$5,Escalators!$I$43:$U$43,0))</f>
        <v>0</v>
      </c>
      <c r="AW16" s="47">
        <f>INDEX(Direct_Cost_Splits_Network,MATCH($H16,RIN_Asset_Cat_Network,0),MATCH($AY$4,Direct_Cost_Type,0))*$M16*INDEX(Act_Type_Repex_Splits,MATCH($I16,Act_Type_Repex,0),MATCH(AW$4,Mat_Type,0))*INDEX(Escalators!$I$44:$U$49,MATCH(AW$4,Escalators!$C$44:$C$49,0),MATCH(AW$5,Escalators!$I$43:$U$43,0))</f>
        <v>0</v>
      </c>
      <c r="AX16" s="47">
        <f>INDEX(Direct_Cost_Splits_Network,MATCH($H16,RIN_Asset_Cat_Network,0),MATCH($AY$4,Direct_Cost_Type,0))*$M16*INDEX(Act_Type_Repex_Splits,MATCH($I16,Act_Type_Repex,0),MATCH(AX$4,Mat_Type,0))*INDEX(Escalators!$I$44:$U$49,MATCH(AX$4,Escalators!$C$44:$C$49,0),MATCH(AX$5,Escalators!$I$43:$U$43,0))</f>
        <v>0</v>
      </c>
      <c r="AY16" s="47">
        <f t="shared" si="10"/>
        <v>0</v>
      </c>
      <c r="AZ16" s="47">
        <f>INDEX(Direct_Cost_Splits_Network,MATCH($H16,RIN_Asset_Cat_Network,0),MATCH($BE$4,Direct_Cost_Type,0))*$N16*INDEX(Act_Type_Repex_Splits,MATCH($I16,Act_Type_Repex,0),MATCH(AZ$4,Mat_Type,0))*INDEX(Escalators!$I$44:$U$49,MATCH(AZ$4,Escalators!$C$44:$C$49,0),MATCH(AZ$5,Escalators!$I$43:$U$43,0))</f>
        <v>0</v>
      </c>
      <c r="BA16" s="47">
        <f>INDEX(Direct_Cost_Splits_Network,MATCH($H16,RIN_Asset_Cat_Network,0),MATCH($BE$4,Direct_Cost_Type,0))*$N16*INDEX(Act_Type_Repex_Splits,MATCH($I16,Act_Type_Repex,0),MATCH(BA$4,Mat_Type,0))*INDEX(Escalators!$I$44:$U$49,MATCH(BA$4,Escalators!$C$44:$C$49,0),MATCH(BA$5,Escalators!$I$43:$U$43,0))</f>
        <v>0</v>
      </c>
      <c r="BB16" s="47">
        <f>INDEX(Direct_Cost_Splits_Network,MATCH($H16,RIN_Asset_Cat_Network,0),MATCH($BE$4,Direct_Cost_Type,0))*$N16*INDEX(Act_Type_Repex_Splits,MATCH($I16,Act_Type_Repex,0),MATCH(BB$4,Mat_Type,0))*INDEX(Escalators!$I$44:$U$49,MATCH(BB$4,Escalators!$C$44:$C$49,0),MATCH(BB$5,Escalators!$I$43:$U$43,0))</f>
        <v>0</v>
      </c>
      <c r="BC16" s="47">
        <f>INDEX(Direct_Cost_Splits_Network,MATCH($H16,RIN_Asset_Cat_Network,0),MATCH($BE$4,Direct_Cost_Type,0))*$N16*INDEX(Act_Type_Repex_Splits,MATCH($I16,Act_Type_Repex,0),MATCH(BC$4,Mat_Type,0))*INDEX(Escalators!$I$44:$U$49,MATCH(BC$4,Escalators!$C$44:$C$49,0),MATCH(BC$5,Escalators!$I$43:$U$43,0))</f>
        <v>0</v>
      </c>
      <c r="BD16" s="47">
        <f>INDEX(Direct_Cost_Splits_Network,MATCH($H16,RIN_Asset_Cat_Network,0),MATCH($BE$4,Direct_Cost_Type,0))*$N16*INDEX(Act_Type_Repex_Splits,MATCH($I16,Act_Type_Repex,0),MATCH(BD$4,Mat_Type,0))*INDEX(Escalators!$I$44:$U$49,MATCH(BD$4,Escalators!$C$44:$C$49,0),MATCH(BD$5,Escalators!$I$43:$U$43,0))</f>
        <v>0</v>
      </c>
      <c r="BE16" s="47">
        <f t="shared" si="25"/>
        <v>0</v>
      </c>
      <c r="BF16" s="47">
        <f>INDEX(Direct_Cost_Splits_Network,MATCH($H16,RIN_Asset_Cat_Network,0),MATCH($BK$4,Direct_Cost_Type,0))*$O16*INDEX(Act_Type_Repex_Splits,MATCH($I16,Act_Type_Repex,0),MATCH(BF$4,Mat_Type,0))*INDEX(Escalators!$I$44:$U$49,MATCH(BF$4,Escalators!$C$44:$C$49,0),MATCH(BF$5,Escalators!$I$43:$U$43,0))</f>
        <v>0</v>
      </c>
      <c r="BG16" s="47">
        <f>INDEX(Direct_Cost_Splits_Network,MATCH($H16,RIN_Asset_Cat_Network,0),MATCH($BK$4,Direct_Cost_Type,0))*$O16*INDEX(Act_Type_Repex_Splits,MATCH($I16,Act_Type_Repex,0),MATCH(BG$4,Mat_Type,0))*INDEX(Escalators!$I$44:$U$49,MATCH(BG$4,Escalators!$C$44:$C$49,0),MATCH(BG$5,Escalators!$I$43:$U$43,0))</f>
        <v>0</v>
      </c>
      <c r="BH16" s="47">
        <f>INDEX(Direct_Cost_Splits_Network,MATCH($H16,RIN_Asset_Cat_Network,0),MATCH($BK$4,Direct_Cost_Type,0))*$O16*INDEX(Act_Type_Repex_Splits,MATCH($I16,Act_Type_Repex,0),MATCH(BH$4,Mat_Type,0))*INDEX(Escalators!$I$44:$U$49,MATCH(BH$4,Escalators!$C$44:$C$49,0),MATCH(BH$5,Escalators!$I$43:$U$43,0))</f>
        <v>0</v>
      </c>
      <c r="BI16" s="47">
        <f>INDEX(Direct_Cost_Splits_Network,MATCH($H16,RIN_Asset_Cat_Network,0),MATCH($BK$4,Direct_Cost_Type,0))*$O16*INDEX(Act_Type_Repex_Splits,MATCH($I16,Act_Type_Repex,0),MATCH(BI$4,Mat_Type,0))*INDEX(Escalators!$I$44:$U$49,MATCH(BI$4,Escalators!$C$44:$C$49,0),MATCH(BI$5,Escalators!$I$43:$U$43,0))</f>
        <v>0</v>
      </c>
      <c r="BJ16" s="47">
        <f>INDEX(Direct_Cost_Splits_Network,MATCH($H16,RIN_Asset_Cat_Network,0),MATCH($BK$4,Direct_Cost_Type,0))*$O16*INDEX(Act_Type_Repex_Splits,MATCH($I16,Act_Type_Repex,0),MATCH(BJ$4,Mat_Type,0))*INDEX(Escalators!$I$44:$U$49,MATCH(BJ$4,Escalators!$C$44:$C$49,0),MATCH(BJ$5,Escalators!$I$43:$U$43,0))</f>
        <v>0</v>
      </c>
      <c r="BK16" s="47">
        <f t="shared" si="26"/>
        <v>0</v>
      </c>
      <c r="BL16" s="47">
        <f>INDEX(Direct_Cost_Splits_Network,MATCH($H16,RIN_Asset_Cat_Network,0),MATCH($BQ$4,Direct_Cost_Type,0))*$P16*INDEX(Act_Type_Repex_Splits,MATCH($I16,Act_Type_Repex,0),MATCH(BL$4,Mat_Type,0))*INDEX(Escalators!$I$44:$U$49,MATCH(BL$4,Escalators!$C$44:$C$49,0),MATCH(BL$5,Escalators!$I$43:$U$43,0))</f>
        <v>0</v>
      </c>
      <c r="BM16" s="47">
        <f>INDEX(Direct_Cost_Splits_Network,MATCH($H16,RIN_Asset_Cat_Network,0),MATCH($BQ$4,Direct_Cost_Type,0))*$P16*INDEX(Act_Type_Repex_Splits,MATCH($I16,Act_Type_Repex,0),MATCH(BM$4,Mat_Type,0))*INDEX(Escalators!$I$44:$U$49,MATCH(BM$4,Escalators!$C$44:$C$49,0),MATCH(BM$5,Escalators!$I$43:$U$43,0))</f>
        <v>0</v>
      </c>
      <c r="BN16" s="47">
        <f>INDEX(Direct_Cost_Splits_Network,MATCH($H16,RIN_Asset_Cat_Network,0),MATCH($BQ$4,Direct_Cost_Type,0))*$P16*INDEX(Act_Type_Repex_Splits,MATCH($I16,Act_Type_Repex,0),MATCH(BN$4,Mat_Type,0))*INDEX(Escalators!$I$44:$U$49,MATCH(BN$4,Escalators!$C$44:$C$49,0),MATCH(BN$5,Escalators!$I$43:$U$43,0))</f>
        <v>0</v>
      </c>
      <c r="BO16" s="47">
        <f>INDEX(Direct_Cost_Splits_Network,MATCH($H16,RIN_Asset_Cat_Network,0),MATCH($BQ$4,Direct_Cost_Type,0))*$P16*INDEX(Act_Type_Repex_Splits,MATCH($I16,Act_Type_Repex,0),MATCH(BO$4,Mat_Type,0))*INDEX(Escalators!$I$44:$U$49,MATCH(BO$4,Escalators!$C$44:$C$49,0),MATCH(BO$5,Escalators!$I$43:$U$43,0))</f>
        <v>0</v>
      </c>
      <c r="BP16" s="47">
        <f>INDEX(Direct_Cost_Splits_Network,MATCH($H16,RIN_Asset_Cat_Network,0),MATCH($BQ$4,Direct_Cost_Type,0))*$P16*INDEX(Act_Type_Repex_Splits,MATCH($I16,Act_Type_Repex,0),MATCH(BP$4,Mat_Type,0))*INDEX(Escalators!$I$44:$U$49,MATCH(BP$4,Escalators!$C$44:$C$49,0),MATCH(BP$5,Escalators!$I$43:$U$43,0))</f>
        <v>0</v>
      </c>
      <c r="BQ16" s="47">
        <f t="shared" si="27"/>
        <v>0</v>
      </c>
      <c r="BR16" s="47">
        <f>INDEX(Direct_Cost_Splits_Network,MATCH($H16,RIN_Asset_Cat_Network,0),MATCH($BW$4,Direct_Cost_Type,0))*$Q16*INDEX(Act_Type_Repex_Splits,MATCH($I16,Act_Type_Repex,0),MATCH(BR$4,Mat_Type,0))*INDEX(Escalators!$I$44:$U$49,MATCH(BR$4,Escalators!$C$44:$C$49,0),MATCH(BR$5,Escalators!$I$43:$U$43,0))</f>
        <v>0</v>
      </c>
      <c r="BS16" s="47">
        <f>INDEX(Direct_Cost_Splits_Network,MATCH($H16,RIN_Asset_Cat_Network,0),MATCH($BW$4,Direct_Cost_Type,0))*$Q16*INDEX(Act_Type_Repex_Splits,MATCH($I16,Act_Type_Repex,0),MATCH(BS$4,Mat_Type,0))*INDEX(Escalators!$I$44:$U$49,MATCH(BS$4,Escalators!$C$44:$C$49,0),MATCH(BS$5,Escalators!$I$43:$U$43,0))</f>
        <v>0</v>
      </c>
      <c r="BT16" s="47">
        <f>INDEX(Direct_Cost_Splits_Network,MATCH($H16,RIN_Asset_Cat_Network,0),MATCH($BW$4,Direct_Cost_Type,0))*$Q16*INDEX(Act_Type_Repex_Splits,MATCH($I16,Act_Type_Repex,0),MATCH(BT$4,Mat_Type,0))*INDEX(Escalators!$I$44:$U$49,MATCH(BT$4,Escalators!$C$44:$C$49,0),MATCH(BT$5,Escalators!$I$43:$U$43,0))</f>
        <v>0</v>
      </c>
      <c r="BU16" s="47">
        <f>INDEX(Direct_Cost_Splits_Network,MATCH($H16,RIN_Asset_Cat_Network,0),MATCH($BW$4,Direct_Cost_Type,0))*$Q16*INDEX(Act_Type_Repex_Splits,MATCH($I16,Act_Type_Repex,0),MATCH(BU$4,Mat_Type,0))*INDEX(Escalators!$I$44:$U$49,MATCH(BU$4,Escalators!$C$44:$C$49,0),MATCH(BU$5,Escalators!$I$43:$U$43,0))</f>
        <v>0</v>
      </c>
      <c r="BV16" s="47">
        <f>INDEX(Direct_Cost_Splits_Network,MATCH($H16,RIN_Asset_Cat_Network,0),MATCH($BW$4,Direct_Cost_Type,0))*$Q16*INDEX(Act_Type_Repex_Splits,MATCH($I16,Act_Type_Repex,0),MATCH(BV$4,Mat_Type,0))*INDEX(Escalators!$I$44:$U$49,MATCH(BV$4,Escalators!$C$44:$C$49,0),MATCH(BV$5,Escalators!$I$43:$U$43,0))</f>
        <v>0</v>
      </c>
      <c r="BW16" s="47">
        <f t="shared" si="28"/>
        <v>0</v>
      </c>
      <c r="BY16" s="47">
        <f>INDEX(Direct_Cost_Splits_Network,MATCH($H16,RIN_Asset_Cat_Network,0),MATCH($BY$4,Direct_Cost_Type,0))*J16*HLOOKUP(BY$5,Escalators!$I$25:$U$30,6,FALSE)</f>
        <v>0</v>
      </c>
      <c r="BZ16" s="47">
        <f>INDEX(Direct_Cost_Splits_Network,MATCH($H16,RIN_Asset_Cat_Network,0),MATCH($BY$4,Direct_Cost_Type,0))*K16*HLOOKUP(BZ$5,Escalators!$I$25:$U$30,6,FALSE)</f>
        <v>0</v>
      </c>
      <c r="CA16" s="47">
        <f>INDEX(Direct_Cost_Splits_Network,MATCH($H16,RIN_Asset_Cat_Network,0),MATCH($BY$4,Direct_Cost_Type,0))*L16*HLOOKUP(CA$5,Escalators!$I$25:$U$30,6,FALSE)</f>
        <v>0</v>
      </c>
      <c r="CB16" s="47">
        <f>INDEX(Direct_Cost_Splits_Network,MATCH($H16,RIN_Asset_Cat_Network,0),MATCH($BY$4,Direct_Cost_Type,0))*M16*HLOOKUP(CB$5,Escalators!$I$25:$U$30,6,FALSE)</f>
        <v>0</v>
      </c>
      <c r="CC16" s="47">
        <f>INDEX(Direct_Cost_Splits_Network,MATCH($H16,RIN_Asset_Cat_Network,0),MATCH($BY$4,Direct_Cost_Type,0))*N16*HLOOKUP(CC$5,Escalators!$I$25:$U$30,6,FALSE)</f>
        <v>0</v>
      </c>
      <c r="CD16" s="47">
        <f>INDEX(Direct_Cost_Splits_Network,MATCH($H16,RIN_Asset_Cat_Network,0),MATCH($BY$4,Direct_Cost_Type,0))*O16*HLOOKUP(CD$5,Escalators!$I$25:$U$30,6,FALSE)</f>
        <v>0</v>
      </c>
      <c r="CE16" s="47">
        <f>INDEX(Direct_Cost_Splits_Network,MATCH($H16,RIN_Asset_Cat_Network,0),MATCH($BY$4,Direct_Cost_Type,0))*P16*HLOOKUP(CE$5,Escalators!$I$25:$U$30,6,FALSE)</f>
        <v>0</v>
      </c>
      <c r="CF16" s="47">
        <f>INDEX(Direct_Cost_Splits_Network,MATCH($H16,RIN_Asset_Cat_Network,0),MATCH($BY$4,Direct_Cost_Type,0))*Q16*HLOOKUP(CF$5,Escalators!$I$25:$U$30,6,FALSE)</f>
        <v>0</v>
      </c>
      <c r="CH16" s="82">
        <f t="shared" si="11"/>
        <v>0</v>
      </c>
      <c r="CI16" s="82">
        <f t="shared" si="12"/>
        <v>0</v>
      </c>
      <c r="CJ16" s="82">
        <f t="shared" si="12"/>
        <v>0</v>
      </c>
      <c r="CK16" s="82">
        <f t="shared" si="13"/>
        <v>0</v>
      </c>
      <c r="CL16" s="82">
        <f t="shared" si="14"/>
        <v>0</v>
      </c>
      <c r="CM16" s="82">
        <f t="shared" si="15"/>
        <v>0</v>
      </c>
      <c r="CN16" s="82">
        <f t="shared" si="16"/>
        <v>0</v>
      </c>
      <c r="CO16" s="82">
        <f t="shared" si="17"/>
        <v>0</v>
      </c>
      <c r="CQ16" s="47">
        <f t="shared" si="18"/>
        <v>0</v>
      </c>
      <c r="CR16" s="47">
        <f t="shared" si="29"/>
        <v>0</v>
      </c>
      <c r="CS16" s="47">
        <f t="shared" si="30"/>
        <v>0</v>
      </c>
      <c r="CT16" s="47">
        <f t="shared" si="19"/>
        <v>0</v>
      </c>
      <c r="CU16" s="47">
        <f t="shared" si="20"/>
        <v>0</v>
      </c>
      <c r="CV16" s="47">
        <f t="shared" si="21"/>
        <v>0</v>
      </c>
      <c r="CW16" s="47">
        <f t="shared" si="22"/>
        <v>0</v>
      </c>
      <c r="CX16" s="47">
        <f t="shared" si="23"/>
        <v>0</v>
      </c>
      <c r="CZ16" s="47">
        <f t="shared" si="33"/>
        <v>0</v>
      </c>
      <c r="DA16" s="47">
        <f t="shared" si="34"/>
        <v>0</v>
      </c>
      <c r="DB16" s="47">
        <f>DA16*Escalators!$M$17</f>
        <v>0</v>
      </c>
      <c r="DC16" s="47">
        <f>SUMPRODUCT(1+AusNet_Overheads!$K$20:$O$20,CT16:CX16)</f>
        <v>0</v>
      </c>
      <c r="DD16" s="369">
        <f>DC16*Escalators!$M$17</f>
        <v>0</v>
      </c>
      <c r="DE16" s="157"/>
      <c r="DF16" s="157"/>
      <c r="DG16" s="201"/>
      <c r="DH16" s="258"/>
    </row>
    <row r="17" spans="2:112">
      <c r="B17" s="75"/>
      <c r="C17" s="75"/>
      <c r="D17" s="75"/>
      <c r="E17" s="75" t="s">
        <v>44</v>
      </c>
      <c r="F17" s="75" t="s">
        <v>131</v>
      </c>
      <c r="G17" s="75" t="s">
        <v>150</v>
      </c>
      <c r="H17" s="75" t="s">
        <v>176</v>
      </c>
      <c r="I17" s="75" t="s">
        <v>248</v>
      </c>
      <c r="J17" s="128"/>
      <c r="K17" s="128"/>
      <c r="L17" s="128"/>
      <c r="M17" s="128"/>
      <c r="N17" s="128"/>
      <c r="O17" s="128"/>
      <c r="P17" s="128"/>
      <c r="Q17" s="128"/>
      <c r="S17" s="47">
        <f>INDEX(Direct_Cost_Splits_Network,MATCH($H17,RIN_Asset_Cat_Network,0),MATCH($S$4,Direct_Cost_Type,0))*J17*HLOOKUP(S$5,Escalators!$I$25:$U$30,3,FALSE)</f>
        <v>0</v>
      </c>
      <c r="T17" s="47">
        <f>INDEX(Direct_Cost_Splits_Network,MATCH($H17,RIN_Asset_Cat_Network,0),MATCH($S$4,Direct_Cost_Type,0))*K17*HLOOKUP(T$5,Escalators!$I$25:$U$30,3,FALSE)</f>
        <v>0</v>
      </c>
      <c r="U17" s="47">
        <f>INDEX(Direct_Cost_Splits_Network,MATCH($H17,RIN_Asset_Cat_Network,0),MATCH($S$4,Direct_Cost_Type,0))*L17*HLOOKUP(U$5,Escalators!$I$25:$U$30,3,FALSE)</f>
        <v>0</v>
      </c>
      <c r="V17" s="47">
        <f>INDEX(Direct_Cost_Splits_Network,MATCH($H17,RIN_Asset_Cat_Network,0),MATCH($S$4,Direct_Cost_Type,0))*M17*HLOOKUP(V$5,Escalators!$I$25:$U$30,3,FALSE)</f>
        <v>0</v>
      </c>
      <c r="W17" s="47">
        <f>INDEX(Direct_Cost_Splits_Network,MATCH($H17,RIN_Asset_Cat_Network,0),MATCH($S$4,Direct_Cost_Type,0))*N17*HLOOKUP(W$5,Escalators!$I$25:$U$30,3,FALSE)</f>
        <v>0</v>
      </c>
      <c r="X17" s="47">
        <f>INDEX(Direct_Cost_Splits_Network,MATCH($H17,RIN_Asset_Cat_Network,0),MATCH($S$4,Direct_Cost_Type,0))*O17*HLOOKUP(X$5,Escalators!$I$25:$U$30,3,FALSE)</f>
        <v>0</v>
      </c>
      <c r="Y17" s="47">
        <f>INDEX(Direct_Cost_Splits_Network,MATCH($H17,RIN_Asset_Cat_Network,0),MATCH($S$4,Direct_Cost_Type,0))*P17*HLOOKUP(Y$5,Escalators!$I$25:$U$30,3,FALSE)</f>
        <v>0</v>
      </c>
      <c r="Z17" s="47">
        <f>INDEX(Direct_Cost_Splits_Network,MATCH($H17,RIN_Asset_Cat_Network,0),MATCH($S$4,Direct_Cost_Type,0))*Q17*HLOOKUP(Z$5,Escalators!$I$25:$U$30,3,FALSE)</f>
        <v>0</v>
      </c>
      <c r="AB17" s="6">
        <f>INDEX(Direct_Cost_Splits_Network,MATCH($H17,RIN_Asset_Cat_Network,0),MATCH($AG$4,Direct_Cost_Type,0))*$J17*INDEX(Act_Type_Repex_Splits,MATCH($I17,Act_Type_Repex,0),MATCH(AB$4,Mat_Type,0))*INDEX(Escalators!$I$44:$U$49,MATCH(AB$4,Escalators!$C$44:$C$49,0),MATCH(AB$5,Escalators!$I$43:$U$43,0))</f>
        <v>0</v>
      </c>
      <c r="AC17" s="6">
        <f>INDEX(Direct_Cost_Splits_Network,MATCH($H17,RIN_Asset_Cat_Network,0),MATCH($AG$4,Direct_Cost_Type,0))*$J17*INDEX(Act_Type_Repex_Splits,MATCH($I17,Act_Type_Repex,0),MATCH(AC$4,Mat_Type,0))*INDEX(Escalators!$I$44:$U$49,MATCH(AC$4,Escalators!$C$44:$C$49,0),MATCH(AC$5,Escalators!$I$43:$U$43,0))</f>
        <v>0</v>
      </c>
      <c r="AD17" s="6">
        <f>INDEX(Direct_Cost_Splits_Network,MATCH($H17,RIN_Asset_Cat_Network,0),MATCH($AG$4,Direct_Cost_Type,0))*$J17*INDEX(Act_Type_Repex_Splits,MATCH($I17,Act_Type_Repex,0),MATCH(AD$4,Mat_Type,0))*INDEX(Escalators!$I$44:$U$49,MATCH(AD$4,Escalators!$C$44:$C$49,0),MATCH(AD$5,Escalators!$I$43:$U$43,0))</f>
        <v>0</v>
      </c>
      <c r="AE17" s="6">
        <f>INDEX(Direct_Cost_Splits_Network,MATCH($H17,RIN_Asset_Cat_Network,0),MATCH($AG$4,Direct_Cost_Type,0))*$J17*INDEX(Act_Type_Repex_Splits,MATCH($I17,Act_Type_Repex,0),MATCH(AE$4,Mat_Type,0))*INDEX(Escalators!$I$44:$U$49,MATCH(AE$4,Escalators!$C$44:$C$49,0),MATCH(AE$5,Escalators!$I$43:$U$43,0))</f>
        <v>0</v>
      </c>
      <c r="AF17" s="6">
        <f>INDEX(Direct_Cost_Splits_Network,MATCH($H17,RIN_Asset_Cat_Network,0),MATCH($AG$4,Direct_Cost_Type,0))*$J17*INDEX(Act_Type_Repex_Splits,MATCH($I17,Act_Type_Repex,0),MATCH(AF$4,Mat_Type,0))*INDEX(Escalators!$I$44:$U$49,MATCH(AF$4,Escalators!$C$44:$C$49,0),MATCH(AF$5,Escalators!$I$43:$U$43,0))</f>
        <v>0</v>
      </c>
      <c r="AG17" s="47">
        <f t="shared" si="24"/>
        <v>0</v>
      </c>
      <c r="AH17" s="47">
        <f>INDEX(Direct_Cost_Splits_Network,MATCH($H17,RIN_Asset_Cat_Network,0),MATCH($AY$4,Direct_Cost_Type,0))*$K17*INDEX(Act_Type_Repex_Splits,MATCH($I17,Act_Type_Repex,0),MATCH(AH$4,Mat_Type,0))*INDEX(Escalators!$I$44:$U$49,MATCH(AH$4,Escalators!$C$44:$C$49,0),MATCH(AH$5,Escalators!$I$43:$U$43,0))</f>
        <v>0</v>
      </c>
      <c r="AI17" s="47">
        <f>INDEX(Direct_Cost_Splits_Network,MATCH($H17,RIN_Asset_Cat_Network,0),MATCH($AY$4,Direct_Cost_Type,0))*$K17*INDEX(Act_Type_Repex_Splits,MATCH($I17,Act_Type_Repex,0),MATCH(AI$4,Mat_Type,0))*INDEX(Escalators!$I$44:$U$49,MATCH(AI$4,Escalators!$C$44:$C$49,0),MATCH(AI$5,Escalators!$I$43:$U$43,0))</f>
        <v>0</v>
      </c>
      <c r="AJ17" s="47">
        <f>INDEX(Direct_Cost_Splits_Network,MATCH($H17,RIN_Asset_Cat_Network,0),MATCH($AY$4,Direct_Cost_Type,0))*$K17*INDEX(Act_Type_Repex_Splits,MATCH($I17,Act_Type_Repex,0),MATCH(AJ$4,Mat_Type,0))*INDEX(Escalators!$I$44:$U$49,MATCH(AJ$4,Escalators!$C$44:$C$49,0),MATCH(AJ$5,Escalators!$I$43:$U$43,0))</f>
        <v>0</v>
      </c>
      <c r="AK17" s="47">
        <f>INDEX(Direct_Cost_Splits_Network,MATCH($H17,RIN_Asset_Cat_Network,0),MATCH($AY$4,Direct_Cost_Type,0))*$K17*INDEX(Act_Type_Repex_Splits,MATCH($I17,Act_Type_Repex,0),MATCH(AK$4,Mat_Type,0))*INDEX(Escalators!$I$44:$U$49,MATCH(AK$4,Escalators!$C$44:$C$49,0),MATCH(AK$5,Escalators!$I$43:$U$43,0))</f>
        <v>0</v>
      </c>
      <c r="AL17" s="47">
        <f>INDEX(Direct_Cost_Splits_Network,MATCH($H17,RIN_Asset_Cat_Network,0),MATCH($AY$4,Direct_Cost_Type,0))*$K17*INDEX(Act_Type_Repex_Splits,MATCH($I17,Act_Type_Repex,0),MATCH(AL$4,Mat_Type,0))*INDEX(Escalators!$I$44:$U$49,MATCH(AL$4,Escalators!$C$44:$C$49,0),MATCH(AL$5,Escalators!$I$43:$U$43,0))</f>
        <v>0</v>
      </c>
      <c r="AM17" s="47">
        <f t="shared" si="8"/>
        <v>0</v>
      </c>
      <c r="AN17" s="47">
        <f>INDEX(Direct_Cost_Splits_Network,MATCH($H17,RIN_Asset_Cat_Network,0),MATCH($AY$4,Direct_Cost_Type,0))*$L17*INDEX(Act_Type_Repex_Splits,MATCH($I17,Act_Type_Repex,0),MATCH(AN$4,Mat_Type,0))*INDEX(Escalators!$I$44:$U$49,MATCH(AN$4,Escalators!$C$44:$C$49,0),MATCH(AN$5,Escalators!$I$43:$U$43,0))</f>
        <v>0</v>
      </c>
      <c r="AO17" s="47">
        <f>INDEX(Direct_Cost_Splits_Network,MATCH($H17,RIN_Asset_Cat_Network,0),MATCH($AY$4,Direct_Cost_Type,0))*$L17*INDEX(Act_Type_Repex_Splits,MATCH($I17,Act_Type_Repex,0),MATCH(AO$4,Mat_Type,0))*INDEX(Escalators!$I$44:$U$49,MATCH(AO$4,Escalators!$C$44:$C$49,0),MATCH(AO$5,Escalators!$I$43:$U$43,0))</f>
        <v>0</v>
      </c>
      <c r="AP17" s="47">
        <f>INDEX(Direct_Cost_Splits_Network,MATCH($H17,RIN_Asset_Cat_Network,0),MATCH($AY$4,Direct_Cost_Type,0))*$L17*INDEX(Act_Type_Repex_Splits,MATCH($I17,Act_Type_Repex,0),MATCH(AP$4,Mat_Type,0))*INDEX(Escalators!$I$44:$U$49,MATCH(AP$4,Escalators!$C$44:$C$49,0),MATCH(AP$5,Escalators!$I$43:$U$43,0))</f>
        <v>0</v>
      </c>
      <c r="AQ17" s="47">
        <f>INDEX(Direct_Cost_Splits_Network,MATCH($H17,RIN_Asset_Cat_Network,0),MATCH($AY$4,Direct_Cost_Type,0))*$L17*INDEX(Act_Type_Repex_Splits,MATCH($I17,Act_Type_Repex,0),MATCH(AQ$4,Mat_Type,0))*INDEX(Escalators!$I$44:$U$49,MATCH(AQ$4,Escalators!$C$44:$C$49,0),MATCH(AQ$5,Escalators!$I$43:$U$43,0))</f>
        <v>0</v>
      </c>
      <c r="AR17" s="47">
        <f>INDEX(Direct_Cost_Splits_Network,MATCH($H17,RIN_Asset_Cat_Network,0),MATCH($AY$4,Direct_Cost_Type,0))*$L17*INDEX(Act_Type_Repex_Splits,MATCH($I17,Act_Type_Repex,0),MATCH(AR$4,Mat_Type,0))*INDEX(Escalators!$I$44:$U$49,MATCH(AR$4,Escalators!$C$44:$C$49,0),MATCH(AR$5,Escalators!$I$43:$U$43,0))</f>
        <v>0</v>
      </c>
      <c r="AS17" s="47">
        <f t="shared" si="9"/>
        <v>0</v>
      </c>
      <c r="AT17" s="47">
        <f>INDEX(Direct_Cost_Splits_Network,MATCH($H17,RIN_Asset_Cat_Network,0),MATCH($AY$4,Direct_Cost_Type,0))*$M17*INDEX(Act_Type_Repex_Splits,MATCH($I17,Act_Type_Repex,0),MATCH(AT$4,Mat_Type,0))*INDEX(Escalators!$I$44:$U$49,MATCH(AT$4,Escalators!$C$44:$C$49,0),MATCH(AT$5,Escalators!$I$43:$U$43,0))</f>
        <v>0</v>
      </c>
      <c r="AU17" s="47">
        <f>INDEX(Direct_Cost_Splits_Network,MATCH($H17,RIN_Asset_Cat_Network,0),MATCH($AY$4,Direct_Cost_Type,0))*$M17*INDEX(Act_Type_Repex_Splits,MATCH($I17,Act_Type_Repex,0),MATCH(AU$4,Mat_Type,0))*INDEX(Escalators!$I$44:$U$49,MATCH(AU$4,Escalators!$C$44:$C$49,0),MATCH(AU$5,Escalators!$I$43:$U$43,0))</f>
        <v>0</v>
      </c>
      <c r="AV17" s="47">
        <f>INDEX(Direct_Cost_Splits_Network,MATCH($H17,RIN_Asset_Cat_Network,0),MATCH($AY$4,Direct_Cost_Type,0))*$M17*INDEX(Act_Type_Repex_Splits,MATCH($I17,Act_Type_Repex,0),MATCH(AV$4,Mat_Type,0))*INDEX(Escalators!$I$44:$U$49,MATCH(AV$4,Escalators!$C$44:$C$49,0),MATCH(AV$5,Escalators!$I$43:$U$43,0))</f>
        <v>0</v>
      </c>
      <c r="AW17" s="47">
        <f>INDEX(Direct_Cost_Splits_Network,MATCH($H17,RIN_Asset_Cat_Network,0),MATCH($AY$4,Direct_Cost_Type,0))*$M17*INDEX(Act_Type_Repex_Splits,MATCH($I17,Act_Type_Repex,0),MATCH(AW$4,Mat_Type,0))*INDEX(Escalators!$I$44:$U$49,MATCH(AW$4,Escalators!$C$44:$C$49,0),MATCH(AW$5,Escalators!$I$43:$U$43,0))</f>
        <v>0</v>
      </c>
      <c r="AX17" s="47">
        <f>INDEX(Direct_Cost_Splits_Network,MATCH($H17,RIN_Asset_Cat_Network,0),MATCH($AY$4,Direct_Cost_Type,0))*$M17*INDEX(Act_Type_Repex_Splits,MATCH($I17,Act_Type_Repex,0),MATCH(AX$4,Mat_Type,0))*INDEX(Escalators!$I$44:$U$49,MATCH(AX$4,Escalators!$C$44:$C$49,0),MATCH(AX$5,Escalators!$I$43:$U$43,0))</f>
        <v>0</v>
      </c>
      <c r="AY17" s="47">
        <f t="shared" si="10"/>
        <v>0</v>
      </c>
      <c r="AZ17" s="47">
        <f>INDEX(Direct_Cost_Splits_Network,MATCH($H17,RIN_Asset_Cat_Network,0),MATCH($BE$4,Direct_Cost_Type,0))*$N17*INDEX(Act_Type_Repex_Splits,MATCH($I17,Act_Type_Repex,0),MATCH(AZ$4,Mat_Type,0))*INDEX(Escalators!$I$44:$U$49,MATCH(AZ$4,Escalators!$C$44:$C$49,0),MATCH(AZ$5,Escalators!$I$43:$U$43,0))</f>
        <v>0</v>
      </c>
      <c r="BA17" s="47">
        <f>INDEX(Direct_Cost_Splits_Network,MATCH($H17,RIN_Asset_Cat_Network,0),MATCH($BE$4,Direct_Cost_Type,0))*$N17*INDEX(Act_Type_Repex_Splits,MATCH($I17,Act_Type_Repex,0),MATCH(BA$4,Mat_Type,0))*INDEX(Escalators!$I$44:$U$49,MATCH(BA$4,Escalators!$C$44:$C$49,0),MATCH(BA$5,Escalators!$I$43:$U$43,0))</f>
        <v>0</v>
      </c>
      <c r="BB17" s="47">
        <f>INDEX(Direct_Cost_Splits_Network,MATCH($H17,RIN_Asset_Cat_Network,0),MATCH($BE$4,Direct_Cost_Type,0))*$N17*INDEX(Act_Type_Repex_Splits,MATCH($I17,Act_Type_Repex,0),MATCH(BB$4,Mat_Type,0))*INDEX(Escalators!$I$44:$U$49,MATCH(BB$4,Escalators!$C$44:$C$49,0),MATCH(BB$5,Escalators!$I$43:$U$43,0))</f>
        <v>0</v>
      </c>
      <c r="BC17" s="47">
        <f>INDEX(Direct_Cost_Splits_Network,MATCH($H17,RIN_Asset_Cat_Network,0),MATCH($BE$4,Direct_Cost_Type,0))*$N17*INDEX(Act_Type_Repex_Splits,MATCH($I17,Act_Type_Repex,0),MATCH(BC$4,Mat_Type,0))*INDEX(Escalators!$I$44:$U$49,MATCH(BC$4,Escalators!$C$44:$C$49,0),MATCH(BC$5,Escalators!$I$43:$U$43,0))</f>
        <v>0</v>
      </c>
      <c r="BD17" s="47">
        <f>INDEX(Direct_Cost_Splits_Network,MATCH($H17,RIN_Asset_Cat_Network,0),MATCH($BE$4,Direct_Cost_Type,0))*$N17*INDEX(Act_Type_Repex_Splits,MATCH($I17,Act_Type_Repex,0),MATCH(BD$4,Mat_Type,0))*INDEX(Escalators!$I$44:$U$49,MATCH(BD$4,Escalators!$C$44:$C$49,0),MATCH(BD$5,Escalators!$I$43:$U$43,0))</f>
        <v>0</v>
      </c>
      <c r="BE17" s="47">
        <f t="shared" si="25"/>
        <v>0</v>
      </c>
      <c r="BF17" s="47">
        <f>INDEX(Direct_Cost_Splits_Network,MATCH($H17,RIN_Asset_Cat_Network,0),MATCH($BK$4,Direct_Cost_Type,0))*$O17*INDEX(Act_Type_Repex_Splits,MATCH($I17,Act_Type_Repex,0),MATCH(BF$4,Mat_Type,0))*INDEX(Escalators!$I$44:$U$49,MATCH(BF$4,Escalators!$C$44:$C$49,0),MATCH(BF$5,Escalators!$I$43:$U$43,0))</f>
        <v>0</v>
      </c>
      <c r="BG17" s="47">
        <f>INDEX(Direct_Cost_Splits_Network,MATCH($H17,RIN_Asset_Cat_Network,0),MATCH($BK$4,Direct_Cost_Type,0))*$O17*INDEX(Act_Type_Repex_Splits,MATCH($I17,Act_Type_Repex,0),MATCH(BG$4,Mat_Type,0))*INDEX(Escalators!$I$44:$U$49,MATCH(BG$4,Escalators!$C$44:$C$49,0),MATCH(BG$5,Escalators!$I$43:$U$43,0))</f>
        <v>0</v>
      </c>
      <c r="BH17" s="47">
        <f>INDEX(Direct_Cost_Splits_Network,MATCH($H17,RIN_Asset_Cat_Network,0),MATCH($BK$4,Direct_Cost_Type,0))*$O17*INDEX(Act_Type_Repex_Splits,MATCH($I17,Act_Type_Repex,0),MATCH(BH$4,Mat_Type,0))*INDEX(Escalators!$I$44:$U$49,MATCH(BH$4,Escalators!$C$44:$C$49,0),MATCH(BH$5,Escalators!$I$43:$U$43,0))</f>
        <v>0</v>
      </c>
      <c r="BI17" s="47">
        <f>INDEX(Direct_Cost_Splits_Network,MATCH($H17,RIN_Asset_Cat_Network,0),MATCH($BK$4,Direct_Cost_Type,0))*$O17*INDEX(Act_Type_Repex_Splits,MATCH($I17,Act_Type_Repex,0),MATCH(BI$4,Mat_Type,0))*INDEX(Escalators!$I$44:$U$49,MATCH(BI$4,Escalators!$C$44:$C$49,0),MATCH(BI$5,Escalators!$I$43:$U$43,0))</f>
        <v>0</v>
      </c>
      <c r="BJ17" s="47">
        <f>INDEX(Direct_Cost_Splits_Network,MATCH($H17,RIN_Asset_Cat_Network,0),MATCH($BK$4,Direct_Cost_Type,0))*$O17*INDEX(Act_Type_Repex_Splits,MATCH($I17,Act_Type_Repex,0),MATCH(BJ$4,Mat_Type,0))*INDEX(Escalators!$I$44:$U$49,MATCH(BJ$4,Escalators!$C$44:$C$49,0),MATCH(BJ$5,Escalators!$I$43:$U$43,0))</f>
        <v>0</v>
      </c>
      <c r="BK17" s="47">
        <f t="shared" si="26"/>
        <v>0</v>
      </c>
      <c r="BL17" s="47">
        <f>INDEX(Direct_Cost_Splits_Network,MATCH($H17,RIN_Asset_Cat_Network,0),MATCH($BQ$4,Direct_Cost_Type,0))*$P17*INDEX(Act_Type_Repex_Splits,MATCH($I17,Act_Type_Repex,0),MATCH(BL$4,Mat_Type,0))*INDEX(Escalators!$I$44:$U$49,MATCH(BL$4,Escalators!$C$44:$C$49,0),MATCH(BL$5,Escalators!$I$43:$U$43,0))</f>
        <v>0</v>
      </c>
      <c r="BM17" s="47">
        <f>INDEX(Direct_Cost_Splits_Network,MATCH($H17,RIN_Asset_Cat_Network,0),MATCH($BQ$4,Direct_Cost_Type,0))*$P17*INDEX(Act_Type_Repex_Splits,MATCH($I17,Act_Type_Repex,0),MATCH(BM$4,Mat_Type,0))*INDEX(Escalators!$I$44:$U$49,MATCH(BM$4,Escalators!$C$44:$C$49,0),MATCH(BM$5,Escalators!$I$43:$U$43,0))</f>
        <v>0</v>
      </c>
      <c r="BN17" s="47">
        <f>INDEX(Direct_Cost_Splits_Network,MATCH($H17,RIN_Asset_Cat_Network,0),MATCH($BQ$4,Direct_Cost_Type,0))*$P17*INDEX(Act_Type_Repex_Splits,MATCH($I17,Act_Type_Repex,0),MATCH(BN$4,Mat_Type,0))*INDEX(Escalators!$I$44:$U$49,MATCH(BN$4,Escalators!$C$44:$C$49,0),MATCH(BN$5,Escalators!$I$43:$U$43,0))</f>
        <v>0</v>
      </c>
      <c r="BO17" s="47">
        <f>INDEX(Direct_Cost_Splits_Network,MATCH($H17,RIN_Asset_Cat_Network,0),MATCH($BQ$4,Direct_Cost_Type,0))*$P17*INDEX(Act_Type_Repex_Splits,MATCH($I17,Act_Type_Repex,0),MATCH(BO$4,Mat_Type,0))*INDEX(Escalators!$I$44:$U$49,MATCH(BO$4,Escalators!$C$44:$C$49,0),MATCH(BO$5,Escalators!$I$43:$U$43,0))</f>
        <v>0</v>
      </c>
      <c r="BP17" s="47">
        <f>INDEX(Direct_Cost_Splits_Network,MATCH($H17,RIN_Asset_Cat_Network,0),MATCH($BQ$4,Direct_Cost_Type,0))*$P17*INDEX(Act_Type_Repex_Splits,MATCH($I17,Act_Type_Repex,0),MATCH(BP$4,Mat_Type,0))*INDEX(Escalators!$I$44:$U$49,MATCH(BP$4,Escalators!$C$44:$C$49,0),MATCH(BP$5,Escalators!$I$43:$U$43,0))</f>
        <v>0</v>
      </c>
      <c r="BQ17" s="47">
        <f t="shared" si="27"/>
        <v>0</v>
      </c>
      <c r="BR17" s="47">
        <f>INDEX(Direct_Cost_Splits_Network,MATCH($H17,RIN_Asset_Cat_Network,0),MATCH($BW$4,Direct_Cost_Type,0))*$Q17*INDEX(Act_Type_Repex_Splits,MATCH($I17,Act_Type_Repex,0),MATCH(BR$4,Mat_Type,0))*INDEX(Escalators!$I$44:$U$49,MATCH(BR$4,Escalators!$C$44:$C$49,0),MATCH(BR$5,Escalators!$I$43:$U$43,0))</f>
        <v>0</v>
      </c>
      <c r="BS17" s="47">
        <f>INDEX(Direct_Cost_Splits_Network,MATCH($H17,RIN_Asset_Cat_Network,0),MATCH($BW$4,Direct_Cost_Type,0))*$Q17*INDEX(Act_Type_Repex_Splits,MATCH($I17,Act_Type_Repex,0),MATCH(BS$4,Mat_Type,0))*INDEX(Escalators!$I$44:$U$49,MATCH(BS$4,Escalators!$C$44:$C$49,0),MATCH(BS$5,Escalators!$I$43:$U$43,0))</f>
        <v>0</v>
      </c>
      <c r="BT17" s="47">
        <f>INDEX(Direct_Cost_Splits_Network,MATCH($H17,RIN_Asset_Cat_Network,0),MATCH($BW$4,Direct_Cost_Type,0))*$Q17*INDEX(Act_Type_Repex_Splits,MATCH($I17,Act_Type_Repex,0),MATCH(BT$4,Mat_Type,0))*INDEX(Escalators!$I$44:$U$49,MATCH(BT$4,Escalators!$C$44:$C$49,0),MATCH(BT$5,Escalators!$I$43:$U$43,0))</f>
        <v>0</v>
      </c>
      <c r="BU17" s="47">
        <f>INDEX(Direct_Cost_Splits_Network,MATCH($H17,RIN_Asset_Cat_Network,0),MATCH($BW$4,Direct_Cost_Type,0))*$Q17*INDEX(Act_Type_Repex_Splits,MATCH($I17,Act_Type_Repex,0),MATCH(BU$4,Mat_Type,0))*INDEX(Escalators!$I$44:$U$49,MATCH(BU$4,Escalators!$C$44:$C$49,0),MATCH(BU$5,Escalators!$I$43:$U$43,0))</f>
        <v>0</v>
      </c>
      <c r="BV17" s="47">
        <f>INDEX(Direct_Cost_Splits_Network,MATCH($H17,RIN_Asset_Cat_Network,0),MATCH($BW$4,Direct_Cost_Type,0))*$Q17*INDEX(Act_Type_Repex_Splits,MATCH($I17,Act_Type_Repex,0),MATCH(BV$4,Mat_Type,0))*INDEX(Escalators!$I$44:$U$49,MATCH(BV$4,Escalators!$C$44:$C$49,0),MATCH(BV$5,Escalators!$I$43:$U$43,0))</f>
        <v>0</v>
      </c>
      <c r="BW17" s="47">
        <f t="shared" si="28"/>
        <v>0</v>
      </c>
      <c r="BY17" s="47">
        <f>INDEX(Direct_Cost_Splits_Network,MATCH($H17,RIN_Asset_Cat_Network,0),MATCH($BY$4,Direct_Cost_Type,0))*J17*HLOOKUP(BY$5,Escalators!$I$25:$U$30,6,FALSE)</f>
        <v>0</v>
      </c>
      <c r="BZ17" s="47">
        <f>INDEX(Direct_Cost_Splits_Network,MATCH($H17,RIN_Asset_Cat_Network,0),MATCH($BY$4,Direct_Cost_Type,0))*K17*HLOOKUP(BZ$5,Escalators!$I$25:$U$30,6,FALSE)</f>
        <v>0</v>
      </c>
      <c r="CA17" s="47">
        <f>INDEX(Direct_Cost_Splits_Network,MATCH($H17,RIN_Asset_Cat_Network,0),MATCH($BY$4,Direct_Cost_Type,0))*L17*HLOOKUP(CA$5,Escalators!$I$25:$U$30,6,FALSE)</f>
        <v>0</v>
      </c>
      <c r="CB17" s="47">
        <f>INDEX(Direct_Cost_Splits_Network,MATCH($H17,RIN_Asset_Cat_Network,0),MATCH($BY$4,Direct_Cost_Type,0))*M17*HLOOKUP(CB$5,Escalators!$I$25:$U$30,6,FALSE)</f>
        <v>0</v>
      </c>
      <c r="CC17" s="47">
        <f>INDEX(Direct_Cost_Splits_Network,MATCH($H17,RIN_Asset_Cat_Network,0),MATCH($BY$4,Direct_Cost_Type,0))*N17*HLOOKUP(CC$5,Escalators!$I$25:$U$30,6,FALSE)</f>
        <v>0</v>
      </c>
      <c r="CD17" s="47">
        <f>INDEX(Direct_Cost_Splits_Network,MATCH($H17,RIN_Asset_Cat_Network,0),MATCH($BY$4,Direct_Cost_Type,0))*O17*HLOOKUP(CD$5,Escalators!$I$25:$U$30,6,FALSE)</f>
        <v>0</v>
      </c>
      <c r="CE17" s="47">
        <f>INDEX(Direct_Cost_Splits_Network,MATCH($H17,RIN_Asset_Cat_Network,0),MATCH($BY$4,Direct_Cost_Type,0))*P17*HLOOKUP(CE$5,Escalators!$I$25:$U$30,6,FALSE)</f>
        <v>0</v>
      </c>
      <c r="CF17" s="47">
        <f>INDEX(Direct_Cost_Splits_Network,MATCH($H17,RIN_Asset_Cat_Network,0),MATCH($BY$4,Direct_Cost_Type,0))*Q17*HLOOKUP(CF$5,Escalators!$I$25:$U$30,6,FALSE)</f>
        <v>0</v>
      </c>
      <c r="CH17" s="82">
        <f t="shared" si="11"/>
        <v>0</v>
      </c>
      <c r="CI17" s="82">
        <f t="shared" si="12"/>
        <v>0</v>
      </c>
      <c r="CJ17" s="82">
        <f t="shared" si="12"/>
        <v>0</v>
      </c>
      <c r="CK17" s="82">
        <f t="shared" si="13"/>
        <v>0</v>
      </c>
      <c r="CL17" s="82">
        <f t="shared" si="14"/>
        <v>0</v>
      </c>
      <c r="CM17" s="82">
        <f t="shared" si="15"/>
        <v>0</v>
      </c>
      <c r="CN17" s="82">
        <f t="shared" si="16"/>
        <v>0</v>
      </c>
      <c r="CO17" s="82">
        <f t="shared" si="17"/>
        <v>0</v>
      </c>
      <c r="CQ17" s="47">
        <f t="shared" si="18"/>
        <v>0</v>
      </c>
      <c r="CR17" s="47">
        <f t="shared" si="29"/>
        <v>0</v>
      </c>
      <c r="CS17" s="47">
        <f t="shared" si="30"/>
        <v>0</v>
      </c>
      <c r="CT17" s="47">
        <f t="shared" si="19"/>
        <v>0</v>
      </c>
      <c r="CU17" s="47">
        <f t="shared" si="20"/>
        <v>0</v>
      </c>
      <c r="CV17" s="47">
        <f t="shared" si="21"/>
        <v>0</v>
      </c>
      <c r="CW17" s="47">
        <f t="shared" si="22"/>
        <v>0</v>
      </c>
      <c r="CX17" s="47">
        <f t="shared" si="23"/>
        <v>0</v>
      </c>
      <c r="CZ17" s="47">
        <f t="shared" si="33"/>
        <v>0</v>
      </c>
      <c r="DA17" s="47">
        <f t="shared" si="34"/>
        <v>0</v>
      </c>
      <c r="DB17" s="47">
        <f>DA17*Escalators!$M$17</f>
        <v>0</v>
      </c>
      <c r="DC17" s="47">
        <f>SUMPRODUCT(1+AusNet_Overheads!$K$20:$O$20,CT17:CX17)</f>
        <v>0</v>
      </c>
      <c r="DD17" s="369">
        <f>DC17*Escalators!$M$17</f>
        <v>0</v>
      </c>
      <c r="DE17" s="157"/>
      <c r="DF17" s="157"/>
      <c r="DG17" s="201"/>
      <c r="DH17" s="258"/>
    </row>
    <row r="18" spans="2:112">
      <c r="B18" s="75"/>
      <c r="C18" s="75"/>
      <c r="D18" s="75"/>
      <c r="E18" s="75" t="s">
        <v>44</v>
      </c>
      <c r="F18" s="75" t="s">
        <v>131</v>
      </c>
      <c r="G18" s="75" t="s">
        <v>150</v>
      </c>
      <c r="H18" s="75" t="s">
        <v>176</v>
      </c>
      <c r="I18" s="75" t="s">
        <v>248</v>
      </c>
      <c r="J18" s="128"/>
      <c r="K18" s="128"/>
      <c r="L18" s="128"/>
      <c r="M18" s="128"/>
      <c r="N18" s="128"/>
      <c r="O18" s="128"/>
      <c r="P18" s="128"/>
      <c r="Q18" s="128"/>
      <c r="S18" s="47"/>
      <c r="T18" s="47"/>
      <c r="U18" s="47"/>
      <c r="V18" s="47"/>
      <c r="W18" s="47"/>
      <c r="X18" s="47"/>
      <c r="Y18" s="47"/>
      <c r="Z18" s="47"/>
      <c r="AB18" s="6"/>
      <c r="AC18" s="6"/>
      <c r="AD18" s="6"/>
      <c r="AE18" s="6"/>
      <c r="AF18" s="6"/>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18"/>
        <v>0</v>
      </c>
      <c r="CR18" s="47">
        <f t="shared" si="29"/>
        <v>0</v>
      </c>
      <c r="CS18" s="47">
        <f t="shared" si="30"/>
        <v>0</v>
      </c>
      <c r="CT18" s="47">
        <f t="shared" si="19"/>
        <v>0</v>
      </c>
      <c r="CU18" s="47">
        <f t="shared" si="20"/>
        <v>0</v>
      </c>
      <c r="CV18" s="47">
        <f t="shared" si="21"/>
        <v>0</v>
      </c>
      <c r="CW18" s="47">
        <f t="shared" si="22"/>
        <v>0</v>
      </c>
      <c r="CX18" s="47">
        <f t="shared" si="23"/>
        <v>0</v>
      </c>
      <c r="CZ18" s="47">
        <f t="shared" si="33"/>
        <v>0</v>
      </c>
      <c r="DA18" s="47">
        <f t="shared" si="34"/>
        <v>0</v>
      </c>
      <c r="DB18" s="47">
        <f>DA18*Escalators!$M$17</f>
        <v>0</v>
      </c>
      <c r="DC18" s="47">
        <f>SUMPRODUCT(1+AusNet_Overheads!$K$20:$O$20,CT18:CX18)</f>
        <v>0</v>
      </c>
      <c r="DD18" s="369">
        <f>DC18*Escalators!$M$17</f>
        <v>0</v>
      </c>
    </row>
    <row r="19" spans="2:112">
      <c r="B19" s="75"/>
      <c r="C19" s="75"/>
      <c r="D19" s="75"/>
      <c r="E19" s="75" t="s">
        <v>44</v>
      </c>
      <c r="F19" s="75" t="s">
        <v>131</v>
      </c>
      <c r="G19" s="75" t="s">
        <v>150</v>
      </c>
      <c r="H19" s="75" t="s">
        <v>176</v>
      </c>
      <c r="I19" s="75" t="s">
        <v>248</v>
      </c>
      <c r="J19" s="128"/>
      <c r="K19" s="128"/>
      <c r="L19" s="128"/>
      <c r="M19" s="128"/>
      <c r="N19" s="128"/>
      <c r="O19" s="128"/>
      <c r="P19" s="128"/>
      <c r="Q19" s="128"/>
      <c r="S19" s="47"/>
      <c r="T19" s="47"/>
      <c r="U19" s="47"/>
      <c r="V19" s="47"/>
      <c r="W19" s="47"/>
      <c r="X19" s="47"/>
      <c r="Y19" s="47"/>
      <c r="Z19" s="47"/>
      <c r="AB19" s="6">
        <f>INDEX(Direct_Cost_Splits_Network,MATCH($H19,RIN_Asset_Cat_Network,0),MATCH($AG$4,Direct_Cost_Type,0))*$J19*INDEX(Act_Type_Repex_Splits,MATCH($I19,Act_Type_Repex,0),MATCH(AB$4,Mat_Type,0))*INDEX(Escalators!$I$44:$U$49,MATCH(AB$4,Escalators!$C$44:$C$49,0),MATCH(AB$5,Escalators!$I$43:$U$43,0))</f>
        <v>0</v>
      </c>
      <c r="AC19" s="6">
        <f>INDEX(Direct_Cost_Splits_Network,MATCH($H19,RIN_Asset_Cat_Network,0),MATCH($AG$4,Direct_Cost_Type,0))*$J19*INDEX(Act_Type_Repex_Splits,MATCH($I19,Act_Type_Repex,0),MATCH(AC$4,Mat_Type,0))*INDEX(Escalators!$I$44:$U$49,MATCH(AC$4,Escalators!$C$44:$C$49,0),MATCH(AC$5,Escalators!$I$43:$U$43,0))</f>
        <v>0</v>
      </c>
      <c r="AD19" s="6">
        <f>INDEX(Direct_Cost_Splits_Network,MATCH($H19,RIN_Asset_Cat_Network,0),MATCH($AG$4,Direct_Cost_Type,0))*$J19*INDEX(Act_Type_Repex_Splits,MATCH($I19,Act_Type_Repex,0),MATCH(AD$4,Mat_Type,0))*INDEX(Escalators!$I$44:$U$49,MATCH(AD$4,Escalators!$C$44:$C$49,0),MATCH(AD$5,Escalators!$I$43:$U$43,0))</f>
        <v>0</v>
      </c>
      <c r="AE19" s="6">
        <f>INDEX(Direct_Cost_Splits_Network,MATCH($H19,RIN_Asset_Cat_Network,0),MATCH($AG$4,Direct_Cost_Type,0))*$J19*INDEX(Act_Type_Repex_Splits,MATCH($I19,Act_Type_Repex,0),MATCH(AE$4,Mat_Type,0))*INDEX(Escalators!$I$44:$U$49,MATCH(AE$4,Escalators!$C$44:$C$49,0),MATCH(AE$5,Escalators!$I$43:$U$43,0))</f>
        <v>0</v>
      </c>
      <c r="AF19" s="6">
        <f>INDEX(Direct_Cost_Splits_Network,MATCH($H19,RIN_Asset_Cat_Network,0),MATCH($AG$4,Direct_Cost_Type,0))*$J19*INDEX(Act_Type_Repex_Splits,MATCH($I19,Act_Type_Repex,0),MATCH(AF$4,Mat_Type,0))*INDEX(Escalators!$I$44:$U$49,MATCH(AF$4,Escalators!$C$44:$C$49,0),MATCH(AF$5,Escalators!$I$43:$U$43,0))</f>
        <v>0</v>
      </c>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18"/>
        <v>0</v>
      </c>
      <c r="CR19" s="47">
        <f t="shared" si="29"/>
        <v>0</v>
      </c>
      <c r="CS19" s="47">
        <f t="shared" si="30"/>
        <v>0</v>
      </c>
      <c r="CT19" s="47">
        <f t="shared" si="19"/>
        <v>0</v>
      </c>
      <c r="CU19" s="47">
        <f t="shared" si="20"/>
        <v>0</v>
      </c>
      <c r="CV19" s="47">
        <f t="shared" si="21"/>
        <v>0</v>
      </c>
      <c r="CW19" s="47">
        <f t="shared" si="22"/>
        <v>0</v>
      </c>
      <c r="CX19" s="47">
        <f t="shared" si="23"/>
        <v>0</v>
      </c>
      <c r="CZ19" s="47">
        <f t="shared" si="33"/>
        <v>0</v>
      </c>
      <c r="DA19" s="47">
        <f t="shared" si="34"/>
        <v>0</v>
      </c>
      <c r="DB19" s="47">
        <f>DA19*Escalators!$M$17</f>
        <v>0</v>
      </c>
      <c r="DC19" s="47">
        <f>SUMPRODUCT(1+AusNet_Overheads!$K$20:$O$20,CT19:CX19)</f>
        <v>0</v>
      </c>
      <c r="DD19" s="369">
        <f>DC19*Escalators!$M$17</f>
        <v>0</v>
      </c>
    </row>
    <row r="20" spans="2:112">
      <c r="B20" s="75"/>
      <c r="C20" s="75"/>
      <c r="D20" s="75"/>
      <c r="E20" s="75" t="s">
        <v>44</v>
      </c>
      <c r="F20" s="75" t="s">
        <v>131</v>
      </c>
      <c r="G20" s="75" t="s">
        <v>150</v>
      </c>
      <c r="H20" s="75" t="s">
        <v>176</v>
      </c>
      <c r="I20" s="75" t="s">
        <v>248</v>
      </c>
      <c r="J20" s="128"/>
      <c r="K20" s="128"/>
      <c r="L20" s="128"/>
      <c r="M20" s="128"/>
      <c r="N20" s="128"/>
      <c r="O20" s="128"/>
      <c r="P20" s="128"/>
      <c r="Q20" s="128"/>
      <c r="S20" s="47"/>
      <c r="T20" s="47"/>
      <c r="U20" s="47"/>
      <c r="V20" s="47"/>
      <c r="W20" s="47"/>
      <c r="X20" s="47"/>
      <c r="Y20" s="47"/>
      <c r="Z20" s="47"/>
      <c r="AB20" s="6">
        <f>INDEX(Direct_Cost_Splits_Network,MATCH($H20,RIN_Asset_Cat_Network,0),MATCH($AG$4,Direct_Cost_Type,0))*$J20*INDEX(Act_Type_Repex_Splits,MATCH($I20,Act_Type_Repex,0),MATCH(AB$4,Mat_Type,0))*INDEX(Escalators!$I$44:$U$49,MATCH(AB$4,Escalators!$C$44:$C$49,0),MATCH(AB$5,Escalators!$I$43:$U$43,0))</f>
        <v>0</v>
      </c>
      <c r="AC20" s="6">
        <f>INDEX(Direct_Cost_Splits_Network,MATCH($H20,RIN_Asset_Cat_Network,0),MATCH($AG$4,Direct_Cost_Type,0))*$J20*INDEX(Act_Type_Repex_Splits,MATCH($I20,Act_Type_Repex,0),MATCH(AC$4,Mat_Type,0))*INDEX(Escalators!$I$44:$U$49,MATCH(AC$4,Escalators!$C$44:$C$49,0),MATCH(AC$5,Escalators!$I$43:$U$43,0))</f>
        <v>0</v>
      </c>
      <c r="AD20" s="6">
        <f>INDEX(Direct_Cost_Splits_Network,MATCH($H20,RIN_Asset_Cat_Network,0),MATCH($AG$4,Direct_Cost_Type,0))*$J20*INDEX(Act_Type_Repex_Splits,MATCH($I20,Act_Type_Repex,0),MATCH(AD$4,Mat_Type,0))*INDEX(Escalators!$I$44:$U$49,MATCH(AD$4,Escalators!$C$44:$C$49,0),MATCH(AD$5,Escalators!$I$43:$U$43,0))</f>
        <v>0</v>
      </c>
      <c r="AE20" s="6">
        <f>INDEX(Direct_Cost_Splits_Network,MATCH($H20,RIN_Asset_Cat_Network,0),MATCH($AG$4,Direct_Cost_Type,0))*$J20*INDEX(Act_Type_Repex_Splits,MATCH($I20,Act_Type_Repex,0),MATCH(AE$4,Mat_Type,0))*INDEX(Escalators!$I$44:$U$49,MATCH(AE$4,Escalators!$C$44:$C$49,0),MATCH(AE$5,Escalators!$I$43:$U$43,0))</f>
        <v>0</v>
      </c>
      <c r="AF20" s="6">
        <f>INDEX(Direct_Cost_Splits_Network,MATCH($H20,RIN_Asset_Cat_Network,0),MATCH($AG$4,Direct_Cost_Type,0))*$J20*INDEX(Act_Type_Repex_Splits,MATCH($I20,Act_Type_Repex,0),MATCH(AF$4,Mat_Type,0))*INDEX(Escalators!$I$44:$U$49,MATCH(AF$4,Escalators!$C$44:$C$49,0),MATCH(AF$5,Escalators!$I$43:$U$43,0))</f>
        <v>0</v>
      </c>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82"/>
      <c r="CI20" s="82"/>
      <c r="CJ20" s="82"/>
      <c r="CK20" s="82"/>
      <c r="CL20" s="82"/>
      <c r="CM20" s="82"/>
      <c r="CN20" s="82"/>
      <c r="CO20" s="82"/>
      <c r="CQ20" s="47">
        <f t="shared" si="18"/>
        <v>0</v>
      </c>
      <c r="CR20" s="47">
        <f t="shared" si="29"/>
        <v>0</v>
      </c>
      <c r="CS20" s="47">
        <f t="shared" si="30"/>
        <v>0</v>
      </c>
      <c r="CT20" s="47">
        <f t="shared" si="19"/>
        <v>0</v>
      </c>
      <c r="CU20" s="47">
        <f t="shared" si="20"/>
        <v>0</v>
      </c>
      <c r="CV20" s="47">
        <f t="shared" si="21"/>
        <v>0</v>
      </c>
      <c r="CW20" s="47">
        <f t="shared" si="22"/>
        <v>0</v>
      </c>
      <c r="CX20" s="47">
        <f t="shared" si="23"/>
        <v>0</v>
      </c>
      <c r="CZ20" s="47">
        <f t="shared" si="33"/>
        <v>0</v>
      </c>
      <c r="DA20" s="47">
        <f t="shared" si="34"/>
        <v>0</v>
      </c>
      <c r="DB20" s="47">
        <f>DA20*Escalators!$M$17</f>
        <v>0</v>
      </c>
      <c r="DC20" s="47">
        <f>SUMPRODUCT(1+AusNet_Overheads!$K$20:$O$20,CT20:CX20)</f>
        <v>0</v>
      </c>
      <c r="DD20" s="369">
        <f>DC20*Escalators!$M$17</f>
        <v>0</v>
      </c>
    </row>
    <row r="21" spans="2:112">
      <c r="B21" s="75"/>
      <c r="C21" s="75"/>
      <c r="D21" s="75"/>
      <c r="E21" s="75" t="s">
        <v>44</v>
      </c>
      <c r="F21" s="75" t="s">
        <v>131</v>
      </c>
      <c r="G21" s="75" t="s">
        <v>150</v>
      </c>
      <c r="H21" s="75" t="s">
        <v>176</v>
      </c>
      <c r="I21" s="75" t="s">
        <v>248</v>
      </c>
      <c r="J21" s="128"/>
      <c r="K21" s="128"/>
      <c r="L21" s="128"/>
      <c r="M21" s="128"/>
      <c r="N21" s="128"/>
      <c r="O21" s="128"/>
      <c r="P21" s="128"/>
      <c r="Q21" s="128"/>
      <c r="S21" s="47"/>
      <c r="T21" s="47"/>
      <c r="U21" s="47"/>
      <c r="V21" s="47"/>
      <c r="W21" s="47"/>
      <c r="X21" s="47"/>
      <c r="Y21" s="47"/>
      <c r="Z21" s="47"/>
      <c r="AB21" s="6">
        <f>INDEX(Direct_Cost_Splits_Network,MATCH($H21,RIN_Asset_Cat_Network,0),MATCH($AG$4,Direct_Cost_Type,0))*$J21*INDEX(Act_Type_Repex_Splits,MATCH($I21,Act_Type_Repex,0),MATCH(AB$4,Mat_Type,0))*INDEX(Escalators!$I$44:$U$49,MATCH(AB$4,Escalators!$C$44:$C$49,0),MATCH(AB$5,Escalators!$I$43:$U$43,0))</f>
        <v>0</v>
      </c>
      <c r="AC21" s="6">
        <f>INDEX(Direct_Cost_Splits_Network,MATCH($H21,RIN_Asset_Cat_Network,0),MATCH($AG$4,Direct_Cost_Type,0))*$J21*INDEX(Act_Type_Repex_Splits,MATCH($I21,Act_Type_Repex,0),MATCH(AC$4,Mat_Type,0))*INDEX(Escalators!$I$44:$U$49,MATCH(AC$4,Escalators!$C$44:$C$49,0),MATCH(AC$5,Escalators!$I$43:$U$43,0))</f>
        <v>0</v>
      </c>
      <c r="AD21" s="6">
        <f>INDEX(Direct_Cost_Splits_Network,MATCH($H21,RIN_Asset_Cat_Network,0),MATCH($AG$4,Direct_Cost_Type,0))*$J21*INDEX(Act_Type_Repex_Splits,MATCH($I21,Act_Type_Repex,0),MATCH(AD$4,Mat_Type,0))*INDEX(Escalators!$I$44:$U$49,MATCH(AD$4,Escalators!$C$44:$C$49,0),MATCH(AD$5,Escalators!$I$43:$U$43,0))</f>
        <v>0</v>
      </c>
      <c r="AE21" s="6">
        <f>INDEX(Direct_Cost_Splits_Network,MATCH($H21,RIN_Asset_Cat_Network,0),MATCH($AG$4,Direct_Cost_Type,0))*$J21*INDEX(Act_Type_Repex_Splits,MATCH($I21,Act_Type_Repex,0),MATCH(AE$4,Mat_Type,0))*INDEX(Escalators!$I$44:$U$49,MATCH(AE$4,Escalators!$C$44:$C$49,0),MATCH(AE$5,Escalators!$I$43:$U$43,0))</f>
        <v>0</v>
      </c>
      <c r="AF21" s="6">
        <f>INDEX(Direct_Cost_Splits_Network,MATCH($H21,RIN_Asset_Cat_Network,0),MATCH($AG$4,Direct_Cost_Type,0))*$J21*INDEX(Act_Type_Repex_Splits,MATCH($I21,Act_Type_Repex,0),MATCH(AF$4,Mat_Type,0))*INDEX(Escalators!$I$44:$U$49,MATCH(AF$4,Escalators!$C$44:$C$49,0),MATCH(AF$5,Escalators!$I$43:$U$43,0))</f>
        <v>0</v>
      </c>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82"/>
      <c r="CI21" s="82"/>
      <c r="CJ21" s="82"/>
      <c r="CK21" s="82"/>
      <c r="CL21" s="82"/>
      <c r="CM21" s="82"/>
      <c r="CN21" s="82"/>
      <c r="CO21" s="82"/>
      <c r="CQ21" s="47">
        <f t="shared" si="18"/>
        <v>0</v>
      </c>
      <c r="CR21" s="47">
        <f t="shared" si="29"/>
        <v>0</v>
      </c>
      <c r="CS21" s="47">
        <f t="shared" si="30"/>
        <v>0</v>
      </c>
      <c r="CT21" s="47">
        <f t="shared" si="19"/>
        <v>0</v>
      </c>
      <c r="CU21" s="47">
        <f t="shared" si="20"/>
        <v>0</v>
      </c>
      <c r="CV21" s="47">
        <f t="shared" si="21"/>
        <v>0</v>
      </c>
      <c r="CW21" s="47">
        <f t="shared" si="22"/>
        <v>0</v>
      </c>
      <c r="CX21" s="47">
        <f t="shared" si="23"/>
        <v>0</v>
      </c>
      <c r="CZ21" s="47">
        <f t="shared" si="33"/>
        <v>0</v>
      </c>
      <c r="DA21" s="47">
        <f t="shared" si="34"/>
        <v>0</v>
      </c>
      <c r="DB21" s="47">
        <f>DA21*Escalators!$M$17</f>
        <v>0</v>
      </c>
      <c r="DC21" s="47">
        <f>SUMPRODUCT(1+AusNet_Overheads!$K$20:$O$20,CT21:CX21)</f>
        <v>0</v>
      </c>
      <c r="DD21" s="369">
        <f>DC21*Escalators!$M$17</f>
        <v>0</v>
      </c>
    </row>
    <row r="22" spans="2:112">
      <c r="B22" s="75"/>
      <c r="C22" s="75"/>
      <c r="D22" s="75"/>
      <c r="E22" s="75"/>
      <c r="F22" s="75"/>
      <c r="G22" s="75"/>
      <c r="H22" s="75"/>
      <c r="I22" s="75"/>
      <c r="J22" s="128"/>
      <c r="K22" s="128"/>
      <c r="L22" s="128"/>
      <c r="M22" s="128"/>
      <c r="N22" s="128"/>
      <c r="O22" s="128"/>
      <c r="P22" s="128"/>
      <c r="Q22" s="128"/>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47"/>
      <c r="CI22" s="47"/>
      <c r="CJ22" s="47"/>
      <c r="CK22" s="47"/>
      <c r="CL22" s="47"/>
      <c r="CM22" s="47"/>
      <c r="CN22" s="47"/>
      <c r="CO22" s="47"/>
      <c r="CQ22" s="47">
        <f t="shared" si="18"/>
        <v>0</v>
      </c>
      <c r="CR22" s="47">
        <f t="shared" si="29"/>
        <v>0</v>
      </c>
      <c r="CS22" s="47">
        <f t="shared" si="30"/>
        <v>0</v>
      </c>
      <c r="CT22" s="47">
        <f t="shared" si="19"/>
        <v>0</v>
      </c>
      <c r="CU22" s="47">
        <f t="shared" si="20"/>
        <v>0</v>
      </c>
      <c r="CV22" s="47">
        <f t="shared" si="21"/>
        <v>0</v>
      </c>
      <c r="CW22" s="47">
        <f t="shared" si="22"/>
        <v>0</v>
      </c>
      <c r="CX22" s="47">
        <f t="shared" si="23"/>
        <v>0</v>
      </c>
      <c r="CZ22" s="6"/>
      <c r="DA22" s="6"/>
      <c r="DB22" s="6"/>
      <c r="DC22" s="6"/>
      <c r="DD22" s="6"/>
    </row>
    <row r="23" spans="2:112">
      <c r="B23" s="75"/>
      <c r="C23" s="75"/>
      <c r="D23" s="75"/>
      <c r="E23" s="75"/>
      <c r="F23" s="75"/>
      <c r="G23" s="75"/>
      <c r="H23" s="75"/>
      <c r="I23" s="75"/>
      <c r="J23" s="128"/>
      <c r="K23" s="128"/>
      <c r="L23" s="128"/>
      <c r="M23" s="128"/>
      <c r="N23" s="128"/>
      <c r="O23" s="128"/>
      <c r="P23" s="128"/>
      <c r="Q23" s="128"/>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47"/>
      <c r="CI23" s="47"/>
      <c r="CJ23" s="47"/>
      <c r="CK23" s="47"/>
      <c r="CL23" s="47"/>
      <c r="CM23" s="47"/>
      <c r="CN23" s="47"/>
      <c r="CO23" s="47"/>
      <c r="CQ23" s="47">
        <f t="shared" si="18"/>
        <v>0</v>
      </c>
      <c r="CR23" s="47">
        <f t="shared" si="29"/>
        <v>0</v>
      </c>
      <c r="CS23" s="47">
        <f t="shared" si="30"/>
        <v>0</v>
      </c>
      <c r="CT23" s="47">
        <f t="shared" si="19"/>
        <v>0</v>
      </c>
      <c r="CU23" s="47">
        <f t="shared" si="20"/>
        <v>0</v>
      </c>
      <c r="CV23" s="47">
        <f t="shared" si="21"/>
        <v>0</v>
      </c>
      <c r="CW23" s="47">
        <f t="shared" si="22"/>
        <v>0</v>
      </c>
      <c r="CX23" s="47">
        <f t="shared" si="23"/>
        <v>0</v>
      </c>
      <c r="CZ23" s="6"/>
      <c r="DA23" s="6"/>
      <c r="DB23" s="6"/>
      <c r="DC23" s="6"/>
      <c r="DD23" s="6"/>
    </row>
    <row r="24" spans="2:112">
      <c r="B24" s="75"/>
      <c r="C24" s="75"/>
      <c r="D24" s="75"/>
      <c r="E24" s="75"/>
      <c r="F24" s="75"/>
      <c r="G24" s="75"/>
      <c r="H24" s="75"/>
      <c r="I24" s="75"/>
      <c r="J24" s="128"/>
      <c r="K24" s="128"/>
      <c r="L24" s="128"/>
      <c r="M24" s="128"/>
      <c r="N24" s="128"/>
      <c r="O24" s="128"/>
      <c r="P24" s="128"/>
      <c r="Q24" s="128"/>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47"/>
      <c r="CI24" s="47"/>
      <c r="CJ24" s="47"/>
      <c r="CK24" s="47"/>
      <c r="CL24" s="47"/>
      <c r="CM24" s="47"/>
      <c r="CN24" s="47"/>
      <c r="CO24" s="47"/>
      <c r="CQ24" s="47">
        <f t="shared" si="18"/>
        <v>0</v>
      </c>
      <c r="CR24" s="47">
        <f t="shared" si="29"/>
        <v>0</v>
      </c>
      <c r="CS24" s="47">
        <f t="shared" si="30"/>
        <v>0</v>
      </c>
      <c r="CT24" s="47">
        <f t="shared" si="19"/>
        <v>0</v>
      </c>
      <c r="CU24" s="47">
        <f t="shared" si="20"/>
        <v>0</v>
      </c>
      <c r="CV24" s="47">
        <f t="shared" si="21"/>
        <v>0</v>
      </c>
      <c r="CW24" s="47">
        <f t="shared" si="22"/>
        <v>0</v>
      </c>
      <c r="CX24" s="47">
        <f t="shared" si="23"/>
        <v>0</v>
      </c>
      <c r="CZ24" s="6"/>
      <c r="DA24" s="6"/>
      <c r="DB24" s="6"/>
      <c r="DC24" s="6"/>
      <c r="DD24" s="6"/>
    </row>
    <row r="25" spans="2:112">
      <c r="B25" s="75"/>
      <c r="C25" s="75"/>
      <c r="D25" s="75"/>
      <c r="E25" s="75"/>
      <c r="F25" s="75"/>
      <c r="G25" s="75"/>
      <c r="H25" s="75"/>
      <c r="I25" s="75"/>
      <c r="J25" s="128"/>
      <c r="K25" s="128"/>
      <c r="L25" s="128"/>
      <c r="M25" s="128"/>
      <c r="N25" s="128"/>
      <c r="O25" s="128"/>
      <c r="P25" s="128"/>
      <c r="Q25" s="128"/>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47"/>
      <c r="CI25" s="47"/>
      <c r="CJ25" s="47"/>
      <c r="CK25" s="47"/>
      <c r="CL25" s="47"/>
      <c r="CM25" s="47"/>
      <c r="CN25" s="47"/>
      <c r="CO25" s="47"/>
      <c r="CQ25" s="47">
        <f t="shared" si="18"/>
        <v>0</v>
      </c>
      <c r="CR25" s="47">
        <f t="shared" si="29"/>
        <v>0</v>
      </c>
      <c r="CS25" s="47">
        <f t="shared" si="30"/>
        <v>0</v>
      </c>
      <c r="CT25" s="47">
        <f t="shared" si="19"/>
        <v>0</v>
      </c>
      <c r="CU25" s="47">
        <f t="shared" si="20"/>
        <v>0</v>
      </c>
      <c r="CV25" s="47">
        <f t="shared" si="21"/>
        <v>0</v>
      </c>
      <c r="CW25" s="47">
        <f t="shared" si="22"/>
        <v>0</v>
      </c>
      <c r="CX25" s="47">
        <f t="shared" si="23"/>
        <v>0</v>
      </c>
      <c r="CZ25" s="6"/>
      <c r="DA25" s="6"/>
      <c r="DB25" s="6"/>
      <c r="DC25" s="6"/>
      <c r="DD25" s="6"/>
    </row>
    <row r="26" spans="2:112">
      <c r="B26" s="75"/>
      <c r="C26" s="75"/>
      <c r="D26" s="75"/>
      <c r="E26" s="75"/>
      <c r="F26" s="75"/>
      <c r="G26" s="75"/>
      <c r="H26" s="75"/>
      <c r="I26" s="75"/>
      <c r="J26" s="128"/>
      <c r="K26" s="128"/>
      <c r="L26" s="128"/>
      <c r="M26" s="128"/>
      <c r="N26" s="128"/>
      <c r="O26" s="128"/>
      <c r="P26" s="128"/>
      <c r="Q26" s="128"/>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47"/>
      <c r="CI26" s="47"/>
      <c r="CJ26" s="47"/>
      <c r="CK26" s="47"/>
      <c r="CL26" s="47"/>
      <c r="CM26" s="47"/>
      <c r="CN26" s="47"/>
      <c r="CO26" s="47"/>
      <c r="CQ26" s="47">
        <f t="shared" si="18"/>
        <v>0</v>
      </c>
      <c r="CR26" s="47">
        <f t="shared" si="29"/>
        <v>0</v>
      </c>
      <c r="CS26" s="47">
        <f t="shared" si="30"/>
        <v>0</v>
      </c>
      <c r="CT26" s="47">
        <f t="shared" si="19"/>
        <v>0</v>
      </c>
      <c r="CU26" s="47">
        <f t="shared" si="20"/>
        <v>0</v>
      </c>
      <c r="CV26" s="47">
        <f t="shared" si="21"/>
        <v>0</v>
      </c>
      <c r="CW26" s="47">
        <f t="shared" si="22"/>
        <v>0</v>
      </c>
      <c r="CX26" s="47">
        <f t="shared" si="23"/>
        <v>0</v>
      </c>
      <c r="CZ26" s="6"/>
      <c r="DA26" s="6"/>
      <c r="DB26" s="6"/>
      <c r="DC26" s="6"/>
      <c r="DD26" s="6"/>
    </row>
    <row r="27" spans="2:112">
      <c r="B27" s="75"/>
      <c r="C27" s="75"/>
      <c r="D27" s="75"/>
      <c r="E27" s="75"/>
      <c r="F27" s="75"/>
      <c r="G27" s="75"/>
      <c r="H27" s="75"/>
      <c r="I27" s="75"/>
      <c r="J27" s="128"/>
      <c r="K27" s="128"/>
      <c r="L27" s="128"/>
      <c r="M27" s="128"/>
      <c r="N27" s="128"/>
      <c r="O27" s="128"/>
      <c r="P27" s="128"/>
      <c r="Q27" s="128"/>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47"/>
      <c r="CI27" s="47"/>
      <c r="CJ27" s="47"/>
      <c r="CK27" s="47"/>
      <c r="CL27" s="47"/>
      <c r="CM27" s="47"/>
      <c r="CN27" s="47"/>
      <c r="CO27" s="47"/>
      <c r="CQ27" s="47">
        <f t="shared" si="18"/>
        <v>0</v>
      </c>
      <c r="CR27" s="47">
        <f t="shared" si="29"/>
        <v>0</v>
      </c>
      <c r="CS27" s="47">
        <f t="shared" si="30"/>
        <v>0</v>
      </c>
      <c r="CT27" s="47">
        <f t="shared" si="19"/>
        <v>0</v>
      </c>
      <c r="CU27" s="47">
        <f t="shared" si="20"/>
        <v>0</v>
      </c>
      <c r="CV27" s="47">
        <f t="shared" si="21"/>
        <v>0</v>
      </c>
      <c r="CW27" s="47">
        <f t="shared" si="22"/>
        <v>0</v>
      </c>
      <c r="CX27" s="47">
        <f t="shared" si="23"/>
        <v>0</v>
      </c>
      <c r="CZ27" s="6"/>
      <c r="DA27" s="6"/>
      <c r="DB27" s="6"/>
      <c r="DC27" s="6"/>
      <c r="DD27" s="6"/>
    </row>
    <row r="28" spans="2:112">
      <c r="B28" s="75"/>
      <c r="C28" s="75"/>
      <c r="D28" s="75"/>
      <c r="E28" s="75"/>
      <c r="F28" s="75"/>
      <c r="G28" s="75"/>
      <c r="H28" s="75"/>
      <c r="I28" s="75"/>
      <c r="J28" s="128"/>
      <c r="K28" s="128"/>
      <c r="L28" s="128"/>
      <c r="M28" s="128"/>
      <c r="N28" s="128"/>
      <c r="O28" s="128"/>
      <c r="P28" s="128"/>
      <c r="Q28" s="128"/>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47"/>
      <c r="CI28" s="47"/>
      <c r="CJ28" s="47"/>
      <c r="CK28" s="47"/>
      <c r="CL28" s="47"/>
      <c r="CM28" s="47"/>
      <c r="CN28" s="47"/>
      <c r="CO28" s="47"/>
      <c r="CQ28" s="47">
        <f t="shared" si="18"/>
        <v>0</v>
      </c>
      <c r="CR28" s="47">
        <f t="shared" si="29"/>
        <v>0</v>
      </c>
      <c r="CS28" s="47">
        <f t="shared" si="30"/>
        <v>0</v>
      </c>
      <c r="CT28" s="47">
        <f t="shared" si="19"/>
        <v>0</v>
      </c>
      <c r="CU28" s="47">
        <f t="shared" si="20"/>
        <v>0</v>
      </c>
      <c r="CV28" s="47">
        <f t="shared" si="21"/>
        <v>0</v>
      </c>
      <c r="CW28" s="47">
        <f t="shared" si="22"/>
        <v>0</v>
      </c>
      <c r="CX28" s="47">
        <f t="shared" si="23"/>
        <v>0</v>
      </c>
      <c r="CZ28" s="6"/>
      <c r="DA28" s="6"/>
      <c r="DB28" s="6"/>
      <c r="DC28" s="6"/>
      <c r="DD28" s="6"/>
    </row>
    <row r="29" spans="2:112">
      <c r="B29" s="75"/>
      <c r="C29" s="75"/>
      <c r="D29" s="75"/>
      <c r="E29" s="75"/>
      <c r="F29" s="75"/>
      <c r="G29" s="75"/>
      <c r="H29" s="75"/>
      <c r="I29" s="75"/>
      <c r="J29" s="128"/>
      <c r="K29" s="128"/>
      <c r="L29" s="128"/>
      <c r="M29" s="128"/>
      <c r="N29" s="128"/>
      <c r="O29" s="128"/>
      <c r="P29" s="128"/>
      <c r="Q29" s="128"/>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47"/>
      <c r="CI29" s="47"/>
      <c r="CJ29" s="47"/>
      <c r="CK29" s="47"/>
      <c r="CL29" s="47"/>
      <c r="CM29" s="47"/>
      <c r="CN29" s="47"/>
      <c r="CO29" s="47"/>
      <c r="CQ29" s="47">
        <f t="shared" si="18"/>
        <v>0</v>
      </c>
      <c r="CR29" s="47">
        <f t="shared" si="29"/>
        <v>0</v>
      </c>
      <c r="CS29" s="47">
        <f t="shared" si="30"/>
        <v>0</v>
      </c>
      <c r="CT29" s="47">
        <f t="shared" si="19"/>
        <v>0</v>
      </c>
      <c r="CU29" s="47">
        <f t="shared" si="20"/>
        <v>0</v>
      </c>
      <c r="CV29" s="47">
        <f t="shared" si="21"/>
        <v>0</v>
      </c>
      <c r="CW29" s="47">
        <f t="shared" si="22"/>
        <v>0</v>
      </c>
      <c r="CX29" s="47">
        <f t="shared" si="23"/>
        <v>0</v>
      </c>
      <c r="CZ29" s="6"/>
      <c r="DA29" s="6"/>
      <c r="DB29" s="6"/>
      <c r="DC29" s="6"/>
      <c r="DD29" s="6"/>
    </row>
    <row r="30" spans="2:112">
      <c r="B30" s="75"/>
      <c r="C30" s="75"/>
      <c r="D30" s="75"/>
      <c r="E30" s="75"/>
      <c r="F30" s="75"/>
      <c r="G30" s="75"/>
      <c r="H30" s="75"/>
      <c r="I30" s="75"/>
      <c r="J30" s="128"/>
      <c r="K30" s="128"/>
      <c r="L30" s="128"/>
      <c r="M30" s="128"/>
      <c r="N30" s="128"/>
      <c r="O30" s="128"/>
      <c r="P30" s="128"/>
      <c r="Q30" s="128"/>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18"/>
        <v>0</v>
      </c>
      <c r="CR30" s="47">
        <f t="shared" si="29"/>
        <v>0</v>
      </c>
      <c r="CS30" s="47">
        <f t="shared" si="30"/>
        <v>0</v>
      </c>
      <c r="CT30" s="47">
        <f t="shared" si="19"/>
        <v>0</v>
      </c>
      <c r="CU30" s="47">
        <f t="shared" si="20"/>
        <v>0</v>
      </c>
      <c r="CV30" s="47">
        <f t="shared" si="21"/>
        <v>0</v>
      </c>
      <c r="CW30" s="47">
        <f t="shared" si="22"/>
        <v>0</v>
      </c>
      <c r="CX30" s="47">
        <f t="shared" si="23"/>
        <v>0</v>
      </c>
      <c r="CZ30" s="6"/>
      <c r="DA30" s="6"/>
      <c r="DB30" s="6"/>
      <c r="DC30" s="6"/>
      <c r="DD30" s="6"/>
    </row>
    <row r="31" spans="2:112">
      <c r="B31" s="75"/>
      <c r="C31" s="75"/>
      <c r="D31" s="75"/>
      <c r="E31" s="75"/>
      <c r="F31" s="75"/>
      <c r="G31" s="75"/>
      <c r="H31" s="75"/>
      <c r="I31" s="75"/>
      <c r="J31" s="128"/>
      <c r="K31" s="128"/>
      <c r="L31" s="128"/>
      <c r="M31" s="128"/>
      <c r="N31" s="128"/>
      <c r="O31" s="128"/>
      <c r="P31" s="128"/>
      <c r="Q31" s="128"/>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18"/>
        <v>0</v>
      </c>
      <c r="CR31" s="47">
        <f t="shared" si="29"/>
        <v>0</v>
      </c>
      <c r="CS31" s="47">
        <f t="shared" si="30"/>
        <v>0</v>
      </c>
      <c r="CT31" s="47">
        <f t="shared" si="19"/>
        <v>0</v>
      </c>
      <c r="CU31" s="47">
        <f t="shared" si="20"/>
        <v>0</v>
      </c>
      <c r="CV31" s="47">
        <f t="shared" si="21"/>
        <v>0</v>
      </c>
      <c r="CW31" s="47">
        <f t="shared" si="22"/>
        <v>0</v>
      </c>
      <c r="CX31" s="47">
        <f t="shared" si="23"/>
        <v>0</v>
      </c>
      <c r="CZ31" s="6"/>
      <c r="DA31" s="6"/>
      <c r="DB31" s="6"/>
      <c r="DC31" s="6"/>
      <c r="DD31" s="6"/>
    </row>
    <row r="32" spans="2:112">
      <c r="B32" s="75"/>
      <c r="C32" s="75"/>
      <c r="D32" s="75"/>
      <c r="E32" s="75"/>
      <c r="F32" s="75"/>
      <c r="G32" s="75"/>
      <c r="H32" s="75"/>
      <c r="I32" s="75"/>
      <c r="J32" s="128"/>
      <c r="K32" s="128"/>
      <c r="L32" s="128"/>
      <c r="M32" s="128"/>
      <c r="N32" s="128"/>
      <c r="O32" s="128"/>
      <c r="P32" s="128"/>
      <c r="Q32" s="128"/>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18"/>
        <v>0</v>
      </c>
      <c r="CR32" s="47">
        <f t="shared" si="29"/>
        <v>0</v>
      </c>
      <c r="CS32" s="47">
        <f t="shared" si="30"/>
        <v>0</v>
      </c>
      <c r="CT32" s="47">
        <f t="shared" si="19"/>
        <v>0</v>
      </c>
      <c r="CU32" s="47">
        <f t="shared" si="20"/>
        <v>0</v>
      </c>
      <c r="CV32" s="47">
        <f t="shared" si="21"/>
        <v>0</v>
      </c>
      <c r="CW32" s="47">
        <f t="shared" si="22"/>
        <v>0</v>
      </c>
      <c r="CX32" s="47">
        <f t="shared" si="23"/>
        <v>0</v>
      </c>
      <c r="CZ32" s="6"/>
      <c r="DA32" s="6"/>
      <c r="DB32" s="6"/>
      <c r="DC32" s="6"/>
      <c r="DD32" s="6"/>
    </row>
    <row r="33" spans="2:108">
      <c r="B33" s="75"/>
      <c r="C33" s="75"/>
      <c r="D33" s="75"/>
      <c r="E33" s="75"/>
      <c r="F33" s="75"/>
      <c r="G33" s="75"/>
      <c r="H33" s="75"/>
      <c r="I33" s="75"/>
      <c r="J33" s="128"/>
      <c r="K33" s="128"/>
      <c r="L33" s="128"/>
      <c r="M33" s="128"/>
      <c r="N33" s="128"/>
      <c r="O33" s="128"/>
      <c r="P33" s="128"/>
      <c r="Q33" s="128"/>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18"/>
        <v>0</v>
      </c>
      <c r="CR33" s="47">
        <f t="shared" si="29"/>
        <v>0</v>
      </c>
      <c r="CS33" s="47">
        <f t="shared" si="30"/>
        <v>0</v>
      </c>
      <c r="CT33" s="47">
        <f t="shared" si="19"/>
        <v>0</v>
      </c>
      <c r="CU33" s="47">
        <f t="shared" si="20"/>
        <v>0</v>
      </c>
      <c r="CV33" s="47">
        <f t="shared" si="21"/>
        <v>0</v>
      </c>
      <c r="CW33" s="47">
        <f t="shared" si="22"/>
        <v>0</v>
      </c>
      <c r="CX33" s="47">
        <f t="shared" si="23"/>
        <v>0</v>
      </c>
      <c r="CZ33" s="6"/>
      <c r="DA33" s="6"/>
      <c r="DB33" s="6"/>
      <c r="DC33" s="6"/>
      <c r="DD33" s="6"/>
    </row>
    <row r="34" spans="2:108">
      <c r="B34" s="75"/>
      <c r="C34" s="75"/>
      <c r="D34" s="75"/>
      <c r="E34" s="75"/>
      <c r="F34" s="75"/>
      <c r="G34" s="75"/>
      <c r="H34" s="75"/>
      <c r="I34" s="75"/>
      <c r="J34" s="128"/>
      <c r="K34" s="128"/>
      <c r="L34" s="128"/>
      <c r="M34" s="128"/>
      <c r="N34" s="128"/>
      <c r="O34" s="128"/>
      <c r="P34" s="128"/>
      <c r="Q34" s="128"/>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18"/>
        <v>0</v>
      </c>
      <c r="CR34" s="47">
        <f t="shared" si="29"/>
        <v>0</v>
      </c>
      <c r="CS34" s="47">
        <f t="shared" si="30"/>
        <v>0</v>
      </c>
      <c r="CT34" s="47">
        <f t="shared" si="19"/>
        <v>0</v>
      </c>
      <c r="CU34" s="47">
        <f t="shared" si="20"/>
        <v>0</v>
      </c>
      <c r="CV34" s="47">
        <f t="shared" si="21"/>
        <v>0</v>
      </c>
      <c r="CW34" s="47">
        <f t="shared" si="22"/>
        <v>0</v>
      </c>
      <c r="CX34" s="47">
        <f t="shared" si="23"/>
        <v>0</v>
      </c>
      <c r="CZ34" s="6"/>
      <c r="DA34" s="6"/>
      <c r="DB34" s="6"/>
      <c r="DC34" s="6"/>
      <c r="DD34" s="6"/>
    </row>
    <row r="35" spans="2:108">
      <c r="B35" s="75"/>
      <c r="C35" s="75"/>
      <c r="D35" s="75"/>
      <c r="E35" s="75"/>
      <c r="F35" s="75"/>
      <c r="G35" s="75"/>
      <c r="H35" s="75"/>
      <c r="I35" s="75"/>
      <c r="J35" s="128"/>
      <c r="K35" s="128"/>
      <c r="L35" s="128"/>
      <c r="M35" s="128"/>
      <c r="N35" s="128"/>
      <c r="O35" s="128"/>
      <c r="P35" s="128"/>
      <c r="Q35" s="128"/>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18"/>
        <v>0</v>
      </c>
      <c r="CR35" s="47">
        <f t="shared" si="29"/>
        <v>0</v>
      </c>
      <c r="CS35" s="47">
        <f t="shared" si="30"/>
        <v>0</v>
      </c>
      <c r="CT35" s="47">
        <f t="shared" si="19"/>
        <v>0</v>
      </c>
      <c r="CU35" s="47">
        <f t="shared" si="20"/>
        <v>0</v>
      </c>
      <c r="CV35" s="47">
        <f t="shared" si="21"/>
        <v>0</v>
      </c>
      <c r="CW35" s="47">
        <f t="shared" si="22"/>
        <v>0</v>
      </c>
      <c r="CX35" s="47">
        <f t="shared" si="23"/>
        <v>0</v>
      </c>
      <c r="CZ35" s="6"/>
      <c r="DA35" s="6"/>
      <c r="DB35" s="6"/>
      <c r="DC35" s="6"/>
      <c r="DD35" s="6"/>
    </row>
    <row r="36" spans="2:108">
      <c r="B36" s="75"/>
      <c r="C36" s="75"/>
      <c r="D36" s="75"/>
      <c r="E36" s="75"/>
      <c r="F36" s="75"/>
      <c r="G36" s="75"/>
      <c r="H36" s="75"/>
      <c r="I36" s="75"/>
      <c r="J36" s="128"/>
      <c r="K36" s="128"/>
      <c r="L36" s="128"/>
      <c r="M36" s="128"/>
      <c r="N36" s="128"/>
      <c r="O36" s="128"/>
      <c r="P36" s="128"/>
      <c r="Q36" s="128"/>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18"/>
        <v>0</v>
      </c>
      <c r="CR36" s="47">
        <f t="shared" si="29"/>
        <v>0</v>
      </c>
      <c r="CS36" s="47">
        <f t="shared" si="30"/>
        <v>0</v>
      </c>
      <c r="CT36" s="47">
        <f t="shared" si="19"/>
        <v>0</v>
      </c>
      <c r="CU36" s="47">
        <f t="shared" si="20"/>
        <v>0</v>
      </c>
      <c r="CV36" s="47">
        <f t="shared" si="21"/>
        <v>0</v>
      </c>
      <c r="CW36" s="47">
        <f t="shared" si="22"/>
        <v>0</v>
      </c>
      <c r="CX36" s="47">
        <f t="shared" si="23"/>
        <v>0</v>
      </c>
      <c r="CZ36" s="6"/>
      <c r="DA36" s="6"/>
      <c r="DB36" s="6"/>
      <c r="DC36" s="6"/>
      <c r="DD36" s="6"/>
    </row>
    <row r="37" spans="2:108">
      <c r="J37" s="48">
        <f t="shared" ref="J37:Q37" si="35">SUM(J6:J36)</f>
        <v>0</v>
      </c>
      <c r="K37" s="676">
        <f t="shared" si="35"/>
        <v>1070</v>
      </c>
      <c r="L37" s="676">
        <f t="shared" si="35"/>
        <v>2539.0062499999999</v>
      </c>
      <c r="M37" s="676">
        <f t="shared" si="35"/>
        <v>12391.40625</v>
      </c>
      <c r="N37" s="676">
        <f t="shared" si="35"/>
        <v>23575.956249999999</v>
      </c>
      <c r="O37" s="676">
        <f t="shared" si="35"/>
        <v>22360.298749999998</v>
      </c>
      <c r="P37" s="676">
        <f t="shared" si="35"/>
        <v>8734.8649999999998</v>
      </c>
      <c r="Q37" s="676">
        <f t="shared" si="35"/>
        <v>2165.3624999999997</v>
      </c>
      <c r="R37" s="129"/>
      <c r="S37" s="676">
        <f t="shared" ref="S37:Z37" si="36">SUM(S6:S36)</f>
        <v>0</v>
      </c>
      <c r="T37" s="676">
        <f t="shared" si="36"/>
        <v>109.4102659500702</v>
      </c>
      <c r="U37" s="676">
        <f t="shared" ref="U37" si="37">SUM(U6:U36)</f>
        <v>259.81185454280438</v>
      </c>
      <c r="V37" s="676">
        <f t="shared" si="36"/>
        <v>1277.8321945624996</v>
      </c>
      <c r="W37" s="676">
        <f t="shared" si="36"/>
        <v>2443.2713893654845</v>
      </c>
      <c r="X37" s="676">
        <f t="shared" si="36"/>
        <v>2332.3794193999529</v>
      </c>
      <c r="Y37" s="676">
        <f t="shared" si="36"/>
        <v>920.17634514340784</v>
      </c>
      <c r="Z37" s="676">
        <f t="shared" si="36"/>
        <v>231.093249153773</v>
      </c>
      <c r="AA37" s="129"/>
      <c r="AB37" s="676">
        <f t="shared" ref="AB37:AF37" si="38">SUM(AB6:AB36)</f>
        <v>0</v>
      </c>
      <c r="AC37" s="676">
        <f t="shared" si="38"/>
        <v>0</v>
      </c>
      <c r="AD37" s="676">
        <f t="shared" si="38"/>
        <v>0</v>
      </c>
      <c r="AE37" s="676">
        <f t="shared" si="38"/>
        <v>0</v>
      </c>
      <c r="AF37" s="676">
        <f t="shared" si="38"/>
        <v>0</v>
      </c>
      <c r="AG37" s="676">
        <f t="shared" ref="AG37:BW37" si="39">SUM(AG6:AG36)</f>
        <v>0</v>
      </c>
      <c r="AH37" s="676">
        <f t="shared" ref="AH37:AS37" si="40">SUM(AH6:AH36)</f>
        <v>11.764603008069484</v>
      </c>
      <c r="AI37" s="676">
        <f t="shared" si="40"/>
        <v>35.29380902420845</v>
      </c>
      <c r="AJ37" s="676">
        <f t="shared" si="40"/>
        <v>94.116824064555871</v>
      </c>
      <c r="AK37" s="676">
        <f t="shared" si="40"/>
        <v>0</v>
      </c>
      <c r="AL37" s="676">
        <f t="shared" si="40"/>
        <v>94.116824064555871</v>
      </c>
      <c r="AM37" s="676">
        <f t="shared" si="40"/>
        <v>235.29206016138966</v>
      </c>
      <c r="AN37" s="676">
        <f t="shared" si="40"/>
        <v>27.916262211455347</v>
      </c>
      <c r="AO37" s="676">
        <f t="shared" si="40"/>
        <v>83.748786634366013</v>
      </c>
      <c r="AP37" s="676">
        <f t="shared" si="40"/>
        <v>223.33009769164278</v>
      </c>
      <c r="AQ37" s="676">
        <f t="shared" si="40"/>
        <v>0</v>
      </c>
      <c r="AR37" s="676">
        <f t="shared" si="40"/>
        <v>223.33009769164278</v>
      </c>
      <c r="AS37" s="676">
        <f t="shared" si="40"/>
        <v>558.32524422910683</v>
      </c>
      <c r="AT37" s="676">
        <f t="shared" si="39"/>
        <v>136.24296751678597</v>
      </c>
      <c r="AU37" s="676">
        <f t="shared" si="39"/>
        <v>408.72890255035804</v>
      </c>
      <c r="AV37" s="676">
        <f t="shared" si="39"/>
        <v>1089.9437401342877</v>
      </c>
      <c r="AW37" s="676">
        <f t="shared" si="39"/>
        <v>0</v>
      </c>
      <c r="AX37" s="676">
        <f t="shared" si="39"/>
        <v>1089.9437401342877</v>
      </c>
      <c r="AY37" s="676">
        <f t="shared" si="39"/>
        <v>2724.8593503357197</v>
      </c>
      <c r="AZ37" s="676">
        <f t="shared" si="39"/>
        <v>259.21660356716302</v>
      </c>
      <c r="BA37" s="676">
        <f t="shared" si="39"/>
        <v>777.64981070148917</v>
      </c>
      <c r="BB37" s="676">
        <f t="shared" si="39"/>
        <v>2073.7328285373042</v>
      </c>
      <c r="BC37" s="676">
        <f t="shared" si="39"/>
        <v>0</v>
      </c>
      <c r="BD37" s="676">
        <f t="shared" si="39"/>
        <v>2073.7328285373042</v>
      </c>
      <c r="BE37" s="676">
        <f t="shared" si="39"/>
        <v>5184.3320713432613</v>
      </c>
      <c r="BF37" s="676">
        <f t="shared" si="39"/>
        <v>245.85050274353486</v>
      </c>
      <c r="BG37" s="676">
        <f t="shared" si="39"/>
        <v>737.55150823060455</v>
      </c>
      <c r="BH37" s="676">
        <f t="shared" si="39"/>
        <v>1966.8040219482789</v>
      </c>
      <c r="BI37" s="676">
        <f t="shared" si="39"/>
        <v>0</v>
      </c>
      <c r="BJ37" s="676">
        <f t="shared" si="39"/>
        <v>1966.8040219482789</v>
      </c>
      <c r="BK37" s="676">
        <f t="shared" si="39"/>
        <v>4917.0100548706978</v>
      </c>
      <c r="BL37" s="676">
        <f t="shared" si="39"/>
        <v>96.039457059888647</v>
      </c>
      <c r="BM37" s="676">
        <f t="shared" si="39"/>
        <v>288.11837117966593</v>
      </c>
      <c r="BN37" s="676">
        <f t="shared" si="39"/>
        <v>768.31565647910918</v>
      </c>
      <c r="BO37" s="676">
        <f t="shared" si="39"/>
        <v>0</v>
      </c>
      <c r="BP37" s="676">
        <f t="shared" si="39"/>
        <v>768.31565647910918</v>
      </c>
      <c r="BQ37" s="676">
        <f t="shared" si="39"/>
        <v>1920.789141197773</v>
      </c>
      <c r="BR37" s="676">
        <f t="shared" si="39"/>
        <v>23.808065589776497</v>
      </c>
      <c r="BS37" s="676">
        <f t="shared" si="39"/>
        <v>71.424196769329498</v>
      </c>
      <c r="BT37" s="676">
        <f t="shared" si="39"/>
        <v>190.46452471821198</v>
      </c>
      <c r="BU37" s="676">
        <f t="shared" si="39"/>
        <v>0</v>
      </c>
      <c r="BV37" s="676">
        <f t="shared" si="39"/>
        <v>190.46452471821198</v>
      </c>
      <c r="BW37" s="676">
        <f t="shared" si="39"/>
        <v>476.16131179553008</v>
      </c>
      <c r="BX37" s="129"/>
      <c r="BY37" s="676">
        <f t="shared" ref="BY37:CF37" si="41">SUM(BY6:BY36)</f>
        <v>0</v>
      </c>
      <c r="BZ37" s="676">
        <f t="shared" si="41"/>
        <v>630.3161807331104</v>
      </c>
      <c r="CA37" s="676">
        <f t="shared" ref="CA37" si="42">SUM(CA6:CA36)</f>
        <v>1495.6791797733615</v>
      </c>
      <c r="CB37" s="676">
        <f t="shared" si="41"/>
        <v>7299.5363190770031</v>
      </c>
      <c r="CC37" s="676">
        <f t="shared" si="41"/>
        <v>13888.13710339337</v>
      </c>
      <c r="CD37" s="676">
        <f t="shared" si="41"/>
        <v>13172.016923505927</v>
      </c>
      <c r="CE37" s="676">
        <f t="shared" si="41"/>
        <v>5145.5390149713267</v>
      </c>
      <c r="CF37" s="676">
        <f t="shared" si="41"/>
        <v>1275.5729167314953</v>
      </c>
      <c r="CG37" s="129"/>
      <c r="CH37" s="676">
        <f t="shared" ref="CH37:CO37" si="43">SUM(CH6:CH36)</f>
        <v>0</v>
      </c>
      <c r="CI37" s="676">
        <f t="shared" si="43"/>
        <v>97.544572476894828</v>
      </c>
      <c r="CJ37" s="676">
        <f t="shared" si="43"/>
        <v>231.46381231066727</v>
      </c>
      <c r="CK37" s="676">
        <f t="shared" si="43"/>
        <v>1129.6396495736194</v>
      </c>
      <c r="CL37" s="676">
        <f t="shared" si="43"/>
        <v>2149.2584795703056</v>
      </c>
      <c r="CM37" s="676">
        <f t="shared" si="43"/>
        <v>2038.435310303174</v>
      </c>
      <c r="CN37" s="676">
        <f t="shared" si="43"/>
        <v>796.29782436298308</v>
      </c>
      <c r="CO37" s="676">
        <f t="shared" si="43"/>
        <v>197.40127039252357</v>
      </c>
      <c r="CP37" s="129"/>
      <c r="CQ37" s="676">
        <f t="shared" ref="CQ37:DD37" si="44">SUM(CQ6:CQ36)</f>
        <v>0</v>
      </c>
      <c r="CR37" s="676">
        <f t="shared" ref="CR37:CS37" si="45">SUM(CR6:CR36)</f>
        <v>1072.5630793214652</v>
      </c>
      <c r="CS37" s="676">
        <f t="shared" si="45"/>
        <v>2545.2800908559402</v>
      </c>
      <c r="CT37" s="676">
        <f t="shared" si="44"/>
        <v>12431.867513548843</v>
      </c>
      <c r="CU37" s="676">
        <f t="shared" si="44"/>
        <v>23664.999043672415</v>
      </c>
      <c r="CV37" s="676">
        <f t="shared" si="44"/>
        <v>22459.841708079752</v>
      </c>
      <c r="CW37" s="676">
        <f t="shared" si="44"/>
        <v>8782.8023256754932</v>
      </c>
      <c r="CX37" s="676">
        <f t="shared" si="44"/>
        <v>2180.2287480733216</v>
      </c>
      <c r="CY37" s="129"/>
      <c r="CZ37" s="676">
        <f t="shared" si="44"/>
        <v>69227.888749999998</v>
      </c>
      <c r="DA37" s="676">
        <f t="shared" si="44"/>
        <v>69519.739339049833</v>
      </c>
      <c r="DB37" s="676">
        <f t="shared" si="44"/>
        <v>73675.915321684064</v>
      </c>
      <c r="DC37" s="676">
        <f t="shared" si="44"/>
        <v>77129.491205761427</v>
      </c>
      <c r="DD37" s="676">
        <f t="shared" si="44"/>
        <v>81740.609457209197</v>
      </c>
    </row>
    <row r="38" spans="2:108">
      <c r="CQ38" s="84">
        <f t="shared" ref="CQ38:CX38" si="46">IF(ISERROR((CQ37-J37)/J37),0,(CQ37-J37)/J37)</f>
        <v>0</v>
      </c>
      <c r="CR38" s="84">
        <f t="shared" si="46"/>
        <v>2.3954012350142417E-3</v>
      </c>
      <c r="CS38" s="84">
        <f t="shared" si="46"/>
        <v>2.4709828327284769E-3</v>
      </c>
      <c r="CT38" s="84">
        <f t="shared" si="46"/>
        <v>3.2652681005307937E-3</v>
      </c>
      <c r="CU38" s="84">
        <f t="shared" si="46"/>
        <v>3.7768475954147326E-3</v>
      </c>
      <c r="CV38" s="84">
        <f t="shared" si="46"/>
        <v>4.4517722769582225E-3</v>
      </c>
      <c r="CW38" s="84">
        <f t="shared" si="46"/>
        <v>5.4880442543180016E-3</v>
      </c>
      <c r="CX38" s="84">
        <f t="shared" si="46"/>
        <v>6.8654777541044118E-3</v>
      </c>
    </row>
    <row r="39" spans="2:108">
      <c r="J39" s="39"/>
      <c r="K39" s="39"/>
      <c r="L39" s="39"/>
      <c r="M39" s="39"/>
      <c r="N39" s="39"/>
      <c r="O39" s="39"/>
      <c r="P39" s="39"/>
      <c r="Q39" s="39"/>
    </row>
    <row r="40" spans="2:108">
      <c r="J40" s="39"/>
      <c r="K40" s="39"/>
      <c r="L40" s="39"/>
      <c r="M40" s="108"/>
      <c r="N40" s="39"/>
      <c r="O40" s="39"/>
      <c r="P40" s="39"/>
      <c r="Q40" s="39"/>
    </row>
    <row r="41" spans="2:108">
      <c r="D41" s="314"/>
      <c r="E41" s="24"/>
      <c r="F41" s="24"/>
      <c r="G41" s="24"/>
      <c r="H41" s="24"/>
      <c r="I41" s="24"/>
      <c r="J41" s="24"/>
      <c r="K41" s="24"/>
      <c r="L41" s="24"/>
      <c r="M41" s="315"/>
      <c r="N41" s="315"/>
      <c r="O41" s="315"/>
      <c r="P41" s="315"/>
      <c r="Q41" s="315"/>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315"/>
      <c r="CS41" s="315"/>
      <c r="CT41" s="315"/>
      <c r="CU41" s="315"/>
      <c r="CV41" s="315"/>
      <c r="CW41" s="315"/>
      <c r="CX41" s="315"/>
      <c r="CY41" s="24"/>
      <c r="CZ41" s="315"/>
      <c r="DA41" s="315"/>
      <c r="DB41" s="315"/>
      <c r="DC41" s="315"/>
      <c r="DD41" s="315"/>
    </row>
    <row r="42" spans="2:108">
      <c r="Q42" s="51"/>
    </row>
    <row r="55" spans="13:17">
      <c r="M55" s="39"/>
      <c r="N55" s="39"/>
      <c r="O55" s="39"/>
      <c r="P55" s="39"/>
      <c r="Q55" s="39"/>
    </row>
    <row r="56" spans="13:17">
      <c r="M56" s="39"/>
      <c r="N56" s="39"/>
      <c r="O56" s="39"/>
      <c r="P56" s="39"/>
      <c r="Q56" s="39"/>
    </row>
    <row r="57" spans="13:17">
      <c r="M57" s="39"/>
      <c r="N57" s="39"/>
      <c r="O57" s="39"/>
      <c r="P57" s="39"/>
      <c r="Q57" s="39"/>
    </row>
    <row r="58" spans="13:17">
      <c r="M58" s="39"/>
      <c r="N58" s="39"/>
      <c r="O58" s="39"/>
      <c r="P58" s="39"/>
      <c r="Q58" s="39"/>
    </row>
    <row r="59" spans="13:17">
      <c r="M59" s="39"/>
      <c r="N59" s="39"/>
      <c r="O59" s="39"/>
      <c r="P59" s="39"/>
      <c r="Q59" s="39"/>
    </row>
    <row r="60" spans="13:17">
      <c r="M60" s="39"/>
      <c r="N60" s="39"/>
      <c r="O60" s="39"/>
      <c r="P60" s="39"/>
      <c r="Q60" s="39"/>
    </row>
    <row r="61" spans="13:17">
      <c r="M61" s="39"/>
      <c r="N61" s="39"/>
      <c r="O61" s="39"/>
      <c r="P61" s="39"/>
      <c r="Q61" s="39"/>
    </row>
    <row r="62" spans="13:17">
      <c r="M62" s="39"/>
      <c r="N62" s="39"/>
      <c r="O62" s="39"/>
      <c r="P62" s="39"/>
      <c r="Q62" s="39"/>
    </row>
  </sheetData>
  <mergeCells count="11">
    <mergeCell ref="M1:N1"/>
    <mergeCell ref="J3:Q3"/>
    <mergeCell ref="S3:Z3"/>
    <mergeCell ref="BY3:CF3"/>
    <mergeCell ref="CQ3:CX3"/>
    <mergeCell ref="CH3:CO3"/>
    <mergeCell ref="CQ4:CX4"/>
    <mergeCell ref="BY4:CF4"/>
    <mergeCell ref="CH4:CO4"/>
    <mergeCell ref="S4:Z4"/>
    <mergeCell ref="J4:Q4"/>
  </mergeCells>
  <hyperlinks>
    <hyperlink ref="B2" location="Contents!A1" display="Table of Contents" xr:uid="{00000000-0004-0000-0C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r:uid="{00000000-0002-0000-0C00-000000000000}">
          <x14:formula1>
            <xm:f>Lookups!$C$5:$C$13</xm:f>
          </x14:formula1>
          <xm:sqref>E6:E36</xm:sqref>
        </x14:dataValidation>
        <x14:dataValidation type="list" errorStyle="warning" showInputMessage="1" showErrorMessage="1" error="Invalid data entered" prompt="Select from drop down list" xr:uid="{00000000-0002-0000-0C00-000001000000}">
          <x14:formula1>
            <xm:f>Lookups!$C$16:$C$27</xm:f>
          </x14:formula1>
          <xm:sqref>F6:F36</xm:sqref>
        </x14:dataValidation>
        <x14:dataValidation type="list" errorStyle="warning" allowBlank="1" showInputMessage="1" showErrorMessage="1" prompt="Select from drop down list" xr:uid="{00000000-0002-0000-0C00-000002000000}">
          <x14:formula1>
            <xm:f>Lab_Mat!$C$62:$C$98</xm:f>
          </x14:formula1>
          <xm:sqref>I6:I36</xm:sqref>
        </x14:dataValidation>
        <x14:dataValidation type="list" errorStyle="warning" showInputMessage="1" showErrorMessage="1" error="Invalid data entered" prompt="Select from drop down list" xr:uid="{00000000-0002-0000-0C00-000003000000}">
          <x14:formula1>
            <xm:f>Lookups!$I$5:$I$10</xm:f>
          </x14:formula1>
          <xm:sqref>G6:G36</xm:sqref>
        </x14:dataValidation>
        <x14:dataValidation type="list" errorStyle="warning" allowBlank="1" showInputMessage="1" showErrorMessage="1" prompt="Select from drop down list" xr:uid="{00000000-0002-0000-0C00-000004000000}">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1:DT42"/>
  <sheetViews>
    <sheetView zoomScale="85" zoomScaleNormal="85" zoomScalePageLayoutView="125" workbookViewId="0">
      <pane xSplit="9" topLeftCell="J1" activePane="topRight" state="frozen"/>
      <selection activeCell="V33" sqref="V33"/>
      <selection pane="topRight" activeCell="T39" sqref="T39"/>
    </sheetView>
  </sheetViews>
  <sheetFormatPr defaultColWidth="8.85546875" defaultRowHeight="15" outlineLevelRow="1" outlineLevelCol="1"/>
  <cols>
    <col min="1" max="1" width="4" style="1" customWidth="1"/>
    <col min="2" max="2" width="11.7109375" style="1" customWidth="1"/>
    <col min="3" max="3" width="43.7109375" style="1" customWidth="1"/>
    <col min="4" max="4" width="30.7109375" style="1" customWidth="1"/>
    <col min="5" max="5" width="15.7109375" style="1" hidden="1" customWidth="1" outlineLevel="1"/>
    <col min="6" max="6" width="33.85546875" style="1" hidden="1" customWidth="1" outlineLevel="1"/>
    <col min="7" max="7" width="28.85546875" style="1" hidden="1" customWidth="1" outlineLevel="1"/>
    <col min="8" max="8" width="18" style="1" hidden="1" customWidth="1" outlineLevel="1"/>
    <col min="9" max="9" width="8.28515625" style="1" hidden="1" customWidth="1" outlineLevel="1"/>
    <col min="10" max="10" width="8.85546875" style="1" collapsed="1"/>
    <col min="11" max="17" width="8.85546875" style="1"/>
    <col min="18" max="18" width="9.42578125" style="1" customWidth="1"/>
    <col min="19" max="19" width="2.85546875" style="1" customWidth="1"/>
    <col min="20" max="27" width="9.5703125" style="1" customWidth="1"/>
    <col min="28" max="28" width="2.710937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8.85546875"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6384" width="8.85546875" style="1"/>
  </cols>
  <sheetData>
    <row r="1" spans="2:124" ht="18.75">
      <c r="B1" s="10" t="s">
        <v>1</v>
      </c>
      <c r="M1" s="969" t="s">
        <v>737</v>
      </c>
      <c r="N1" s="969"/>
    </row>
    <row r="2" spans="2:124">
      <c r="B2" s="25" t="s">
        <v>6</v>
      </c>
    </row>
    <row r="3" spans="2:124">
      <c r="R3" s="66"/>
      <c r="T3" s="964"/>
      <c r="U3" s="964"/>
      <c r="V3" s="964"/>
      <c r="W3" s="964"/>
      <c r="X3" s="964"/>
      <c r="Y3" s="964"/>
      <c r="Z3" s="964"/>
      <c r="AA3" s="964"/>
      <c r="AH3" s="964"/>
      <c r="AI3" s="964"/>
      <c r="AJ3" s="964"/>
      <c r="AK3" s="964"/>
      <c r="AL3" s="964"/>
      <c r="AM3" s="964"/>
      <c r="AN3" s="964"/>
      <c r="AO3" s="964"/>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964"/>
      <c r="CO3" s="964"/>
      <c r="CP3" s="964"/>
      <c r="CQ3" s="964"/>
      <c r="CR3" s="964"/>
      <c r="CS3" s="964"/>
      <c r="CT3" s="964"/>
      <c r="CU3" s="964"/>
      <c r="CW3" s="964"/>
      <c r="CX3" s="964"/>
      <c r="CY3" s="964"/>
      <c r="CZ3" s="964"/>
      <c r="DA3" s="964"/>
      <c r="DB3" s="964"/>
      <c r="DC3" s="964"/>
      <c r="DD3" s="964"/>
      <c r="DF3" s="964"/>
      <c r="DG3" s="964"/>
      <c r="DH3" s="964"/>
      <c r="DI3" s="964"/>
      <c r="DJ3" s="964"/>
      <c r="DK3" s="964"/>
      <c r="DL3" s="964"/>
      <c r="DM3" s="964"/>
    </row>
    <row r="4" spans="2:124" hidden="1" outlineLevel="1">
      <c r="R4" s="66"/>
      <c r="T4" s="80"/>
      <c r="U4" s="221"/>
      <c r="V4" s="329"/>
      <c r="W4" s="80"/>
      <c r="X4" s="80"/>
      <c r="Y4" s="80"/>
      <c r="Z4" s="80"/>
      <c r="AA4" s="80"/>
      <c r="AC4" s="1" t="s">
        <v>174</v>
      </c>
      <c r="AD4" s="1" t="s">
        <v>173</v>
      </c>
      <c r="AE4" s="1" t="s">
        <v>297</v>
      </c>
      <c r="AF4" s="1" t="s">
        <v>175</v>
      </c>
      <c r="AH4" s="80"/>
      <c r="AI4" s="221"/>
      <c r="AJ4" s="329"/>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29"/>
      <c r="CQ4" s="80"/>
      <c r="CR4" s="80"/>
      <c r="CS4" s="80"/>
      <c r="CT4" s="80"/>
      <c r="CU4" s="80"/>
      <c r="CW4" s="93"/>
      <c r="CX4" s="221"/>
      <c r="CY4" s="329"/>
      <c r="CZ4" s="93"/>
      <c r="DA4" s="93"/>
      <c r="DB4" s="93"/>
      <c r="DC4" s="93"/>
      <c r="DD4" s="93"/>
      <c r="DF4" s="80"/>
      <c r="DG4" s="221"/>
      <c r="DH4" s="329"/>
      <c r="DI4" s="80"/>
      <c r="DJ4" s="80"/>
      <c r="DK4" s="80"/>
      <c r="DL4" s="80"/>
      <c r="DM4" s="80"/>
    </row>
    <row r="5" spans="2:124" ht="75" collapsed="1">
      <c r="J5" s="961" t="s">
        <v>385</v>
      </c>
      <c r="K5" s="962"/>
      <c r="L5" s="962"/>
      <c r="M5" s="962"/>
      <c r="N5" s="962"/>
      <c r="O5" s="962"/>
      <c r="P5" s="962"/>
      <c r="Q5" s="963"/>
      <c r="R5" s="9" t="s">
        <v>377</v>
      </c>
      <c r="T5" s="961" t="s">
        <v>386</v>
      </c>
      <c r="U5" s="962"/>
      <c r="V5" s="962"/>
      <c r="W5" s="962"/>
      <c r="X5" s="962"/>
      <c r="Y5" s="962"/>
      <c r="Z5" s="962"/>
      <c r="AA5" s="963"/>
      <c r="AC5" s="9" t="s">
        <v>381</v>
      </c>
      <c r="AD5" s="9" t="s">
        <v>382</v>
      </c>
      <c r="AE5" s="9" t="s">
        <v>383</v>
      </c>
      <c r="AF5" s="9" t="s">
        <v>384</v>
      </c>
      <c r="AG5" s="57"/>
      <c r="AH5" s="961" t="s">
        <v>174</v>
      </c>
      <c r="AI5" s="962"/>
      <c r="AJ5" s="962"/>
      <c r="AK5" s="962"/>
      <c r="AL5" s="962"/>
      <c r="AM5" s="962"/>
      <c r="AN5" s="962"/>
      <c r="AO5" s="963"/>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961" t="s">
        <v>297</v>
      </c>
      <c r="CO5" s="962"/>
      <c r="CP5" s="962"/>
      <c r="CQ5" s="962"/>
      <c r="CR5" s="962"/>
      <c r="CS5" s="962"/>
      <c r="CT5" s="962"/>
      <c r="CU5" s="963"/>
      <c r="CV5" s="57"/>
      <c r="CW5" s="961" t="s">
        <v>175</v>
      </c>
      <c r="CX5" s="962"/>
      <c r="CY5" s="962"/>
      <c r="CZ5" s="962"/>
      <c r="DA5" s="962"/>
      <c r="DB5" s="962"/>
      <c r="DC5" s="962"/>
      <c r="DD5" s="963"/>
      <c r="DE5" s="57"/>
      <c r="DF5" s="961" t="s">
        <v>379</v>
      </c>
      <c r="DG5" s="962"/>
      <c r="DH5" s="962"/>
      <c r="DI5" s="962"/>
      <c r="DJ5" s="962"/>
      <c r="DK5" s="962"/>
      <c r="DL5" s="962"/>
      <c r="DM5" s="963"/>
    </row>
    <row r="6" spans="2:124">
      <c r="B6" s="8" t="s">
        <v>23</v>
      </c>
      <c r="C6" s="8" t="s">
        <v>24</v>
      </c>
      <c r="D6" s="17" t="s">
        <v>98</v>
      </c>
      <c r="E6" s="17" t="s">
        <v>76</v>
      </c>
      <c r="F6" s="17" t="s">
        <v>77</v>
      </c>
      <c r="G6" s="17" t="s">
        <v>322</v>
      </c>
      <c r="H6" s="17" t="s">
        <v>212</v>
      </c>
      <c r="I6" s="17" t="s">
        <v>177</v>
      </c>
      <c r="J6" s="331">
        <f>CP_Yr_4</f>
        <v>43800</v>
      </c>
      <c r="K6" s="331">
        <f>CP_Yr_5</f>
        <v>44166</v>
      </c>
      <c r="L6" s="331">
        <f>Stub</f>
        <v>44377</v>
      </c>
      <c r="M6" s="331">
        <f>Yr_1</f>
        <v>44742</v>
      </c>
      <c r="N6" s="331">
        <f>Yr_2</f>
        <v>45107</v>
      </c>
      <c r="O6" s="331">
        <f>Yr_3</f>
        <v>45473</v>
      </c>
      <c r="P6" s="331">
        <f>Yr_4</f>
        <v>45838</v>
      </c>
      <c r="Q6" s="331">
        <f>Yr_5</f>
        <v>46203</v>
      </c>
      <c r="R6" s="17"/>
      <c r="T6" s="331">
        <f>CP_Yr_4</f>
        <v>43800</v>
      </c>
      <c r="U6" s="331">
        <f>CP_Yr_5</f>
        <v>44166</v>
      </c>
      <c r="V6" s="331">
        <f>Stub</f>
        <v>44377</v>
      </c>
      <c r="W6" s="331">
        <f>Yr_1</f>
        <v>44742</v>
      </c>
      <c r="X6" s="331">
        <f>Yr_2</f>
        <v>45107</v>
      </c>
      <c r="Y6" s="331">
        <f>Yr_3</f>
        <v>45473</v>
      </c>
      <c r="Z6" s="331">
        <f>Yr_4</f>
        <v>45838</v>
      </c>
      <c r="AA6" s="331">
        <f>Yr_5</f>
        <v>46203</v>
      </c>
      <c r="AB6" s="332"/>
      <c r="AC6" s="331"/>
      <c r="AD6" s="331"/>
      <c r="AE6" s="331"/>
      <c r="AF6" s="331"/>
      <c r="AG6" s="223"/>
      <c r="AH6" s="331">
        <f>CP_Yr_4</f>
        <v>43800</v>
      </c>
      <c r="AI6" s="331">
        <f>CP_Yr_5</f>
        <v>44166</v>
      </c>
      <c r="AJ6" s="331">
        <f>Stub</f>
        <v>44377</v>
      </c>
      <c r="AK6" s="331">
        <f>Yr_1</f>
        <v>44742</v>
      </c>
      <c r="AL6" s="331">
        <f>Yr_2</f>
        <v>45107</v>
      </c>
      <c r="AM6" s="331">
        <f>Yr_3</f>
        <v>45473</v>
      </c>
      <c r="AN6" s="331">
        <f>Yr_4</f>
        <v>45838</v>
      </c>
      <c r="AO6" s="331">
        <f>Yr_5</f>
        <v>46203</v>
      </c>
      <c r="AP6" s="332"/>
      <c r="AQ6" s="331">
        <f t="shared" ref="AQ6:AV6" si="0">CP_Yr_4</f>
        <v>43800</v>
      </c>
      <c r="AR6" s="331">
        <f t="shared" si="0"/>
        <v>43800</v>
      </c>
      <c r="AS6" s="331">
        <f t="shared" si="0"/>
        <v>43800</v>
      </c>
      <c r="AT6" s="331">
        <f t="shared" si="0"/>
        <v>43800</v>
      </c>
      <c r="AU6" s="331">
        <f t="shared" si="0"/>
        <v>43800</v>
      </c>
      <c r="AV6" s="331">
        <f t="shared" si="0"/>
        <v>43800</v>
      </c>
      <c r="AW6" s="331">
        <f t="shared" ref="AW6:BB6" si="1">CP_Yr_5</f>
        <v>44166</v>
      </c>
      <c r="AX6" s="331">
        <f t="shared" si="1"/>
        <v>44166</v>
      </c>
      <c r="AY6" s="331">
        <f t="shared" si="1"/>
        <v>44166</v>
      </c>
      <c r="AZ6" s="331">
        <f t="shared" si="1"/>
        <v>44166</v>
      </c>
      <c r="BA6" s="331">
        <f t="shared" si="1"/>
        <v>44166</v>
      </c>
      <c r="BB6" s="331">
        <f t="shared" si="1"/>
        <v>44166</v>
      </c>
      <c r="BC6" s="331">
        <f t="shared" ref="BC6:BH6" si="2">Stub</f>
        <v>44377</v>
      </c>
      <c r="BD6" s="331">
        <f t="shared" si="2"/>
        <v>44377</v>
      </c>
      <c r="BE6" s="331">
        <f t="shared" si="2"/>
        <v>44377</v>
      </c>
      <c r="BF6" s="331">
        <f t="shared" si="2"/>
        <v>44377</v>
      </c>
      <c r="BG6" s="331">
        <f t="shared" si="2"/>
        <v>44377</v>
      </c>
      <c r="BH6" s="331">
        <f t="shared" si="2"/>
        <v>44377</v>
      </c>
      <c r="BI6" s="331">
        <f t="shared" ref="BI6:BN6" si="3">Yr_1</f>
        <v>44742</v>
      </c>
      <c r="BJ6" s="331">
        <f t="shared" si="3"/>
        <v>44742</v>
      </c>
      <c r="BK6" s="331">
        <f t="shared" si="3"/>
        <v>44742</v>
      </c>
      <c r="BL6" s="331">
        <f t="shared" si="3"/>
        <v>44742</v>
      </c>
      <c r="BM6" s="331">
        <f t="shared" si="3"/>
        <v>44742</v>
      </c>
      <c r="BN6" s="331">
        <f t="shared" si="3"/>
        <v>44742</v>
      </c>
      <c r="BO6" s="331">
        <f t="shared" ref="BO6:BT6" si="4">Yr_2</f>
        <v>45107</v>
      </c>
      <c r="BP6" s="331">
        <f t="shared" si="4"/>
        <v>45107</v>
      </c>
      <c r="BQ6" s="331">
        <f t="shared" si="4"/>
        <v>45107</v>
      </c>
      <c r="BR6" s="331">
        <f t="shared" si="4"/>
        <v>45107</v>
      </c>
      <c r="BS6" s="331">
        <f t="shared" si="4"/>
        <v>45107</v>
      </c>
      <c r="BT6" s="331">
        <f t="shared" si="4"/>
        <v>45107</v>
      </c>
      <c r="BU6" s="331">
        <f t="shared" ref="BU6:BZ6" si="5">Yr_3</f>
        <v>45473</v>
      </c>
      <c r="BV6" s="331">
        <f t="shared" si="5"/>
        <v>45473</v>
      </c>
      <c r="BW6" s="331">
        <f t="shared" si="5"/>
        <v>45473</v>
      </c>
      <c r="BX6" s="331">
        <f t="shared" si="5"/>
        <v>45473</v>
      </c>
      <c r="BY6" s="331">
        <f t="shared" si="5"/>
        <v>45473</v>
      </c>
      <c r="BZ6" s="331">
        <f t="shared" si="5"/>
        <v>45473</v>
      </c>
      <c r="CA6" s="331">
        <f t="shared" ref="CA6:CF6" si="6">Yr_4</f>
        <v>45838</v>
      </c>
      <c r="CB6" s="331">
        <f t="shared" si="6"/>
        <v>45838</v>
      </c>
      <c r="CC6" s="331">
        <f t="shared" si="6"/>
        <v>45838</v>
      </c>
      <c r="CD6" s="331">
        <f t="shared" si="6"/>
        <v>45838</v>
      </c>
      <c r="CE6" s="331">
        <f t="shared" si="6"/>
        <v>45838</v>
      </c>
      <c r="CF6" s="331">
        <f t="shared" si="6"/>
        <v>45838</v>
      </c>
      <c r="CG6" s="331">
        <f t="shared" ref="CG6:CL6" si="7">Yr_5</f>
        <v>46203</v>
      </c>
      <c r="CH6" s="331">
        <f t="shared" si="7"/>
        <v>46203</v>
      </c>
      <c r="CI6" s="331">
        <f t="shared" si="7"/>
        <v>46203</v>
      </c>
      <c r="CJ6" s="331">
        <f t="shared" si="7"/>
        <v>46203</v>
      </c>
      <c r="CK6" s="331">
        <f t="shared" si="7"/>
        <v>46203</v>
      </c>
      <c r="CL6" s="331">
        <f t="shared" si="7"/>
        <v>46203</v>
      </c>
      <c r="CM6" s="332"/>
      <c r="CN6" s="331">
        <f>CP_Yr_4</f>
        <v>43800</v>
      </c>
      <c r="CO6" s="331">
        <f>CP_Yr_5</f>
        <v>44166</v>
      </c>
      <c r="CP6" s="331">
        <f>Stub</f>
        <v>44377</v>
      </c>
      <c r="CQ6" s="331">
        <f>Yr_1</f>
        <v>44742</v>
      </c>
      <c r="CR6" s="331">
        <f>Yr_2</f>
        <v>45107</v>
      </c>
      <c r="CS6" s="331">
        <f>Yr_3</f>
        <v>45473</v>
      </c>
      <c r="CT6" s="331">
        <f>Yr_4</f>
        <v>45838</v>
      </c>
      <c r="CU6" s="331">
        <f>Yr_5</f>
        <v>46203</v>
      </c>
      <c r="CV6" s="332"/>
      <c r="CW6" s="331">
        <f>CP_Yr_4</f>
        <v>43800</v>
      </c>
      <c r="CX6" s="331">
        <f>CP_Yr_5</f>
        <v>44166</v>
      </c>
      <c r="CY6" s="331">
        <f>Stub</f>
        <v>44377</v>
      </c>
      <c r="CZ6" s="331">
        <f>Yr_1</f>
        <v>44742</v>
      </c>
      <c r="DA6" s="331">
        <f>Yr_2</f>
        <v>45107</v>
      </c>
      <c r="DB6" s="331">
        <f>Yr_3</f>
        <v>45473</v>
      </c>
      <c r="DC6" s="331">
        <f>Yr_4</f>
        <v>45838</v>
      </c>
      <c r="DD6" s="331">
        <f>Yr_5</f>
        <v>46203</v>
      </c>
      <c r="DE6" s="332"/>
      <c r="DF6" s="331">
        <f>CP_Yr_4</f>
        <v>43800</v>
      </c>
      <c r="DG6" s="331">
        <f>CP_Yr_5</f>
        <v>44166</v>
      </c>
      <c r="DH6" s="331">
        <f>Stub</f>
        <v>44377</v>
      </c>
      <c r="DI6" s="331">
        <f>Yr_1</f>
        <v>44742</v>
      </c>
      <c r="DJ6" s="331">
        <f>Yr_2</f>
        <v>45107</v>
      </c>
      <c r="DK6" s="331">
        <f>Yr_3</f>
        <v>45473</v>
      </c>
      <c r="DL6" s="331">
        <f>Yr_4</f>
        <v>45838</v>
      </c>
      <c r="DM6" s="331">
        <f>Yr_5</f>
        <v>46203</v>
      </c>
    </row>
    <row r="7" spans="2:124">
      <c r="B7" s="7"/>
      <c r="C7" s="7" t="s">
        <v>82</v>
      </c>
      <c r="D7" s="7" t="s">
        <v>106</v>
      </c>
      <c r="E7" s="7" t="s">
        <v>44</v>
      </c>
      <c r="F7" s="7" t="s">
        <v>130</v>
      </c>
      <c r="G7" s="7" t="s">
        <v>150</v>
      </c>
      <c r="H7" s="7" t="s">
        <v>5</v>
      </c>
      <c r="I7" s="7" t="s">
        <v>209</v>
      </c>
      <c r="J7" s="7"/>
      <c r="K7" s="7"/>
      <c r="L7" s="7"/>
      <c r="M7" s="939"/>
      <c r="N7" s="939"/>
      <c r="O7" s="939"/>
      <c r="P7" s="939"/>
      <c r="Q7" s="939"/>
      <c r="R7" s="936"/>
      <c r="S7" s="867"/>
      <c r="T7" s="937"/>
      <c r="U7" s="937"/>
      <c r="V7" s="937"/>
      <c r="W7" s="937"/>
      <c r="X7" s="937"/>
      <c r="Y7" s="937"/>
      <c r="Z7" s="937"/>
      <c r="AA7" s="937"/>
      <c r="AB7" s="867"/>
      <c r="AC7" s="936"/>
      <c r="AD7" s="936"/>
      <c r="AE7" s="936"/>
      <c r="AF7" s="936"/>
      <c r="AG7" s="867"/>
      <c r="AH7" s="937"/>
      <c r="AI7" s="937"/>
      <c r="AJ7" s="937"/>
      <c r="AK7" s="937"/>
      <c r="AL7" s="937"/>
      <c r="AM7" s="937"/>
      <c r="AN7" s="937"/>
      <c r="AO7" s="937"/>
      <c r="AP7" s="86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867"/>
      <c r="CN7" s="937"/>
      <c r="CO7" s="937"/>
      <c r="CP7" s="937"/>
      <c r="CQ7" s="937"/>
      <c r="CR7" s="937"/>
      <c r="CS7" s="937"/>
      <c r="CT7" s="937"/>
      <c r="CU7" s="937"/>
      <c r="CV7" s="867"/>
      <c r="CW7" s="936"/>
      <c r="CX7" s="936"/>
      <c r="CY7" s="936"/>
      <c r="CZ7" s="936"/>
      <c r="DA7" s="936"/>
      <c r="DB7" s="936"/>
      <c r="DC7" s="936"/>
      <c r="DD7" s="936"/>
      <c r="DE7" s="867"/>
      <c r="DF7" s="937"/>
      <c r="DG7" s="937"/>
      <c r="DH7" s="937"/>
      <c r="DI7" s="937"/>
      <c r="DJ7" s="937"/>
      <c r="DK7" s="937"/>
      <c r="DL7" s="937"/>
      <c r="DM7" s="937"/>
      <c r="DO7" s="39"/>
      <c r="DP7" s="39"/>
      <c r="DQ7" s="39"/>
      <c r="DR7" s="39"/>
      <c r="DS7" s="39"/>
      <c r="DT7" s="39"/>
    </row>
    <row r="8" spans="2:124">
      <c r="B8" s="7"/>
      <c r="C8" s="7" t="s">
        <v>83</v>
      </c>
      <c r="D8" s="7" t="s">
        <v>106</v>
      </c>
      <c r="E8" s="7" t="s">
        <v>44</v>
      </c>
      <c r="F8" s="7" t="s">
        <v>130</v>
      </c>
      <c r="G8" s="7" t="s">
        <v>150</v>
      </c>
      <c r="H8" s="7" t="s">
        <v>5</v>
      </c>
      <c r="I8" s="7" t="s">
        <v>209</v>
      </c>
      <c r="J8" s="7"/>
      <c r="K8" s="7"/>
      <c r="L8" s="7"/>
      <c r="M8" s="939"/>
      <c r="N8" s="939"/>
      <c r="O8" s="939"/>
      <c r="P8" s="939"/>
      <c r="Q8" s="939"/>
      <c r="R8" s="936"/>
      <c r="S8" s="867"/>
      <c r="T8" s="937"/>
      <c r="U8" s="937"/>
      <c r="V8" s="937"/>
      <c r="W8" s="937"/>
      <c r="X8" s="937"/>
      <c r="Y8" s="937"/>
      <c r="Z8" s="937"/>
      <c r="AA8" s="937"/>
      <c r="AB8" s="867"/>
      <c r="AC8" s="936"/>
      <c r="AD8" s="936"/>
      <c r="AE8" s="936"/>
      <c r="AF8" s="936"/>
      <c r="AG8" s="867"/>
      <c r="AH8" s="937"/>
      <c r="AI8" s="937"/>
      <c r="AJ8" s="937"/>
      <c r="AK8" s="937"/>
      <c r="AL8" s="937"/>
      <c r="AM8" s="937"/>
      <c r="AN8" s="937"/>
      <c r="AO8" s="937"/>
      <c r="AP8" s="867"/>
      <c r="AQ8" s="937"/>
      <c r="AR8" s="937"/>
      <c r="AS8" s="937"/>
      <c r="AT8" s="937"/>
      <c r="AU8" s="937"/>
      <c r="AV8" s="937"/>
      <c r="AW8" s="937"/>
      <c r="AX8" s="937"/>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867"/>
      <c r="CN8" s="937"/>
      <c r="CO8" s="937"/>
      <c r="CP8" s="937"/>
      <c r="CQ8" s="937"/>
      <c r="CR8" s="937"/>
      <c r="CS8" s="937"/>
      <c r="CT8" s="937"/>
      <c r="CU8" s="937"/>
      <c r="CV8" s="867"/>
      <c r="CW8" s="936"/>
      <c r="CX8" s="936"/>
      <c r="CY8" s="936"/>
      <c r="CZ8" s="936"/>
      <c r="DA8" s="936"/>
      <c r="DB8" s="936"/>
      <c r="DC8" s="936"/>
      <c r="DD8" s="936"/>
      <c r="DE8" s="867"/>
      <c r="DF8" s="937"/>
      <c r="DG8" s="937"/>
      <c r="DH8" s="937"/>
      <c r="DI8" s="937"/>
      <c r="DJ8" s="937"/>
      <c r="DK8" s="937"/>
      <c r="DL8" s="937"/>
      <c r="DM8" s="937"/>
      <c r="DO8" s="39"/>
      <c r="DP8" s="39"/>
      <c r="DQ8" s="39"/>
      <c r="DR8" s="39"/>
      <c r="DS8" s="39"/>
      <c r="DT8" s="39"/>
    </row>
    <row r="9" spans="2:124">
      <c r="B9" s="7"/>
      <c r="C9" s="7"/>
      <c r="D9" s="7"/>
      <c r="E9" s="7"/>
      <c r="F9" s="7"/>
      <c r="G9" s="7"/>
      <c r="H9" s="7"/>
      <c r="I9" s="7"/>
      <c r="J9" s="7"/>
      <c r="K9" s="7"/>
      <c r="L9" s="7"/>
      <c r="M9" s="939"/>
      <c r="N9" s="939"/>
      <c r="O9" s="939"/>
      <c r="P9" s="939"/>
      <c r="Q9" s="939"/>
      <c r="R9" s="936"/>
      <c r="S9" s="867"/>
      <c r="T9" s="937"/>
      <c r="U9" s="937"/>
      <c r="V9" s="937"/>
      <c r="W9" s="937"/>
      <c r="X9" s="937"/>
      <c r="Y9" s="937"/>
      <c r="Z9" s="937"/>
      <c r="AA9" s="937"/>
      <c r="AB9" s="867"/>
      <c r="AC9" s="936"/>
      <c r="AD9" s="936"/>
      <c r="AE9" s="936"/>
      <c r="AF9" s="936"/>
      <c r="AG9" s="867"/>
      <c r="AH9" s="937"/>
      <c r="AI9" s="937"/>
      <c r="AJ9" s="937"/>
      <c r="AK9" s="937"/>
      <c r="AL9" s="937"/>
      <c r="AM9" s="937"/>
      <c r="AN9" s="937"/>
      <c r="AO9" s="937"/>
      <c r="AP9" s="86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c r="CA9" s="937"/>
      <c r="CB9" s="937"/>
      <c r="CC9" s="937"/>
      <c r="CD9" s="937"/>
      <c r="CE9" s="937"/>
      <c r="CF9" s="937"/>
      <c r="CG9" s="937"/>
      <c r="CH9" s="937"/>
      <c r="CI9" s="937"/>
      <c r="CJ9" s="937"/>
      <c r="CK9" s="937"/>
      <c r="CL9" s="937"/>
      <c r="CM9" s="867"/>
      <c r="CN9" s="937"/>
      <c r="CO9" s="937"/>
      <c r="CP9" s="937"/>
      <c r="CQ9" s="937"/>
      <c r="CR9" s="937"/>
      <c r="CS9" s="937"/>
      <c r="CT9" s="937"/>
      <c r="CU9" s="937"/>
      <c r="CV9" s="867"/>
      <c r="CW9" s="936"/>
      <c r="CX9" s="936"/>
      <c r="CY9" s="936"/>
      <c r="CZ9" s="936"/>
      <c r="DA9" s="936"/>
      <c r="DB9" s="936"/>
      <c r="DC9" s="936"/>
      <c r="DD9" s="936"/>
      <c r="DE9" s="867"/>
      <c r="DF9" s="937"/>
      <c r="DG9" s="937"/>
      <c r="DH9" s="937"/>
      <c r="DI9" s="937"/>
      <c r="DJ9" s="937"/>
      <c r="DK9" s="937"/>
      <c r="DL9" s="937"/>
      <c r="DM9" s="937"/>
      <c r="DO9" s="39"/>
      <c r="DP9" s="39"/>
      <c r="DQ9" s="39"/>
      <c r="DR9" s="39"/>
      <c r="DS9" s="39"/>
      <c r="DT9" s="39"/>
    </row>
    <row r="10" spans="2:124">
      <c r="B10" s="7"/>
      <c r="C10" s="7" t="s">
        <v>472</v>
      </c>
      <c r="D10" s="7" t="s">
        <v>186</v>
      </c>
      <c r="E10" s="7" t="s">
        <v>44</v>
      </c>
      <c r="F10" s="7" t="s">
        <v>54</v>
      </c>
      <c r="G10" s="7" t="s">
        <v>150</v>
      </c>
      <c r="H10" s="7" t="s">
        <v>160</v>
      </c>
      <c r="I10" s="7" t="s">
        <v>186</v>
      </c>
      <c r="J10" s="7"/>
      <c r="K10" s="7"/>
      <c r="L10" s="7"/>
      <c r="M10" s="939"/>
      <c r="N10" s="939"/>
      <c r="O10" s="939"/>
      <c r="P10" s="939"/>
      <c r="Q10" s="939"/>
      <c r="R10" s="936"/>
      <c r="S10" s="867"/>
      <c r="T10" s="937"/>
      <c r="U10" s="937"/>
      <c r="V10" s="937"/>
      <c r="W10" s="937"/>
      <c r="X10" s="937"/>
      <c r="Y10" s="937"/>
      <c r="Z10" s="937"/>
      <c r="AA10" s="937"/>
      <c r="AB10" s="867"/>
      <c r="AC10" s="936"/>
      <c r="AD10" s="936"/>
      <c r="AE10" s="936"/>
      <c r="AF10" s="936"/>
      <c r="AG10" s="867"/>
      <c r="AH10" s="937"/>
      <c r="AI10" s="937"/>
      <c r="AJ10" s="937"/>
      <c r="AK10" s="937"/>
      <c r="AL10" s="937"/>
      <c r="AM10" s="937"/>
      <c r="AN10" s="937"/>
      <c r="AO10" s="937"/>
      <c r="AP10" s="86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937"/>
      <c r="BY10" s="937"/>
      <c r="BZ10" s="937"/>
      <c r="CA10" s="937"/>
      <c r="CB10" s="937"/>
      <c r="CC10" s="937"/>
      <c r="CD10" s="937"/>
      <c r="CE10" s="937"/>
      <c r="CF10" s="937"/>
      <c r="CG10" s="937"/>
      <c r="CH10" s="937"/>
      <c r="CI10" s="937"/>
      <c r="CJ10" s="937"/>
      <c r="CK10" s="937"/>
      <c r="CL10" s="937"/>
      <c r="CM10" s="867"/>
      <c r="CN10" s="937"/>
      <c r="CO10" s="937"/>
      <c r="CP10" s="937"/>
      <c r="CQ10" s="937"/>
      <c r="CR10" s="937"/>
      <c r="CS10" s="937"/>
      <c r="CT10" s="937"/>
      <c r="CU10" s="937"/>
      <c r="CV10" s="867"/>
      <c r="CW10" s="936"/>
      <c r="CX10" s="936"/>
      <c r="CY10" s="936"/>
      <c r="CZ10" s="936"/>
      <c r="DA10" s="936"/>
      <c r="DB10" s="936"/>
      <c r="DC10" s="936"/>
      <c r="DD10" s="936"/>
      <c r="DE10" s="867"/>
      <c r="DF10" s="937"/>
      <c r="DG10" s="937"/>
      <c r="DH10" s="937"/>
      <c r="DI10" s="937"/>
      <c r="DJ10" s="937"/>
      <c r="DK10" s="937"/>
      <c r="DL10" s="937"/>
      <c r="DM10" s="937"/>
      <c r="DO10" s="39"/>
      <c r="DP10" s="39"/>
      <c r="DQ10" s="39"/>
      <c r="DR10" s="39"/>
      <c r="DS10" s="39"/>
      <c r="DT10" s="39"/>
    </row>
    <row r="11" spans="2:124">
      <c r="B11" s="7"/>
      <c r="C11" s="7" t="s">
        <v>473</v>
      </c>
      <c r="D11" s="7" t="s">
        <v>186</v>
      </c>
      <c r="E11" s="7" t="s">
        <v>44</v>
      </c>
      <c r="F11" s="7" t="s">
        <v>54</v>
      </c>
      <c r="G11" s="7" t="s">
        <v>150</v>
      </c>
      <c r="H11" s="7" t="s">
        <v>160</v>
      </c>
      <c r="I11" s="7" t="s">
        <v>186</v>
      </c>
      <c r="J11" s="7"/>
      <c r="K11" s="7"/>
      <c r="L11" s="7"/>
      <c r="M11" s="939"/>
      <c r="N11" s="939"/>
      <c r="O11" s="939"/>
      <c r="P11" s="939"/>
      <c r="Q11" s="939"/>
      <c r="R11" s="936"/>
      <c r="S11" s="867"/>
      <c r="T11" s="937"/>
      <c r="U11" s="937"/>
      <c r="V11" s="937"/>
      <c r="W11" s="937"/>
      <c r="X11" s="937"/>
      <c r="Y11" s="937"/>
      <c r="Z11" s="937"/>
      <c r="AA11" s="937"/>
      <c r="AB11" s="867"/>
      <c r="AC11" s="936"/>
      <c r="AD11" s="936"/>
      <c r="AE11" s="936"/>
      <c r="AF11" s="936"/>
      <c r="AG11" s="867"/>
      <c r="AH11" s="937"/>
      <c r="AI11" s="937"/>
      <c r="AJ11" s="937"/>
      <c r="AK11" s="937"/>
      <c r="AL11" s="937"/>
      <c r="AM11" s="937"/>
      <c r="AN11" s="937"/>
      <c r="AO11" s="937"/>
      <c r="AP11" s="86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G11" s="937"/>
      <c r="CH11" s="937"/>
      <c r="CI11" s="937"/>
      <c r="CJ11" s="937"/>
      <c r="CK11" s="937"/>
      <c r="CL11" s="937"/>
      <c r="CM11" s="867"/>
      <c r="CN11" s="937"/>
      <c r="CO11" s="937"/>
      <c r="CP11" s="937"/>
      <c r="CQ11" s="937"/>
      <c r="CR11" s="937"/>
      <c r="CS11" s="937"/>
      <c r="CT11" s="937"/>
      <c r="CU11" s="937"/>
      <c r="CV11" s="867"/>
      <c r="CW11" s="936"/>
      <c r="CX11" s="936"/>
      <c r="CY11" s="936"/>
      <c r="CZ11" s="936"/>
      <c r="DA11" s="936"/>
      <c r="DB11" s="936"/>
      <c r="DC11" s="936"/>
      <c r="DD11" s="936"/>
      <c r="DE11" s="867"/>
      <c r="DF11" s="937"/>
      <c r="DG11" s="937"/>
      <c r="DH11" s="937"/>
      <c r="DI11" s="937"/>
      <c r="DJ11" s="937"/>
      <c r="DK11" s="937"/>
      <c r="DL11" s="937"/>
      <c r="DM11" s="937"/>
      <c r="DO11" s="39"/>
      <c r="DP11" s="39"/>
      <c r="DQ11" s="39"/>
      <c r="DR11" s="39"/>
      <c r="DS11" s="39"/>
      <c r="DT11" s="39"/>
    </row>
    <row r="12" spans="2:124">
      <c r="B12" s="7"/>
      <c r="C12" s="7" t="s">
        <v>468</v>
      </c>
      <c r="D12" s="7" t="s">
        <v>186</v>
      </c>
      <c r="E12" s="7" t="s">
        <v>44</v>
      </c>
      <c r="F12" s="7" t="s">
        <v>54</v>
      </c>
      <c r="G12" s="7" t="s">
        <v>150</v>
      </c>
      <c r="H12" s="7" t="s">
        <v>160</v>
      </c>
      <c r="I12" s="7" t="s">
        <v>186</v>
      </c>
      <c r="J12" s="7"/>
      <c r="K12" s="7"/>
      <c r="L12" s="7"/>
      <c r="M12" s="939"/>
      <c r="N12" s="939"/>
      <c r="O12" s="939"/>
      <c r="P12" s="939"/>
      <c r="Q12" s="939"/>
      <c r="R12" s="936"/>
      <c r="S12" s="867"/>
      <c r="T12" s="937"/>
      <c r="U12" s="937"/>
      <c r="V12" s="937"/>
      <c r="W12" s="937"/>
      <c r="X12" s="937"/>
      <c r="Y12" s="937"/>
      <c r="Z12" s="937"/>
      <c r="AA12" s="937"/>
      <c r="AB12" s="867"/>
      <c r="AC12" s="936"/>
      <c r="AD12" s="936"/>
      <c r="AE12" s="936"/>
      <c r="AF12" s="936"/>
      <c r="AG12" s="867"/>
      <c r="AH12" s="937"/>
      <c r="AI12" s="937"/>
      <c r="AJ12" s="937"/>
      <c r="AK12" s="937"/>
      <c r="AL12" s="937"/>
      <c r="AM12" s="937"/>
      <c r="AN12" s="937"/>
      <c r="AO12" s="937"/>
      <c r="AP12" s="86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c r="CB12" s="937"/>
      <c r="CC12" s="937"/>
      <c r="CD12" s="937"/>
      <c r="CE12" s="937"/>
      <c r="CF12" s="937"/>
      <c r="CG12" s="937"/>
      <c r="CH12" s="937"/>
      <c r="CI12" s="937"/>
      <c r="CJ12" s="937"/>
      <c r="CK12" s="937"/>
      <c r="CL12" s="937"/>
      <c r="CM12" s="867"/>
      <c r="CN12" s="937"/>
      <c r="CO12" s="937"/>
      <c r="CP12" s="937"/>
      <c r="CQ12" s="937"/>
      <c r="CR12" s="937"/>
      <c r="CS12" s="937"/>
      <c r="CT12" s="937"/>
      <c r="CU12" s="937"/>
      <c r="CV12" s="867"/>
      <c r="CW12" s="936"/>
      <c r="CX12" s="936"/>
      <c r="CY12" s="936"/>
      <c r="CZ12" s="936"/>
      <c r="DA12" s="936"/>
      <c r="DB12" s="936"/>
      <c r="DC12" s="936"/>
      <c r="DD12" s="936"/>
      <c r="DE12" s="867"/>
      <c r="DF12" s="937"/>
      <c r="DG12" s="937"/>
      <c r="DH12" s="937"/>
      <c r="DI12" s="937"/>
      <c r="DJ12" s="937"/>
      <c r="DK12" s="937"/>
      <c r="DL12" s="937"/>
      <c r="DM12" s="937"/>
      <c r="DO12" s="39"/>
      <c r="DP12" s="39"/>
      <c r="DQ12" s="39"/>
      <c r="DR12" s="39"/>
      <c r="DS12" s="39"/>
      <c r="DT12" s="39"/>
    </row>
    <row r="13" spans="2:124">
      <c r="B13" s="7"/>
      <c r="C13" s="7" t="s">
        <v>469</v>
      </c>
      <c r="D13" s="7" t="s">
        <v>186</v>
      </c>
      <c r="E13" s="7" t="s">
        <v>44</v>
      </c>
      <c r="F13" s="7" t="s">
        <v>54</v>
      </c>
      <c r="G13" s="7" t="s">
        <v>150</v>
      </c>
      <c r="H13" s="7" t="s">
        <v>160</v>
      </c>
      <c r="I13" s="7" t="s">
        <v>186</v>
      </c>
      <c r="J13" s="7"/>
      <c r="K13" s="7"/>
      <c r="L13" s="7"/>
      <c r="M13" s="939"/>
      <c r="N13" s="939"/>
      <c r="O13" s="939"/>
      <c r="P13" s="939"/>
      <c r="Q13" s="939"/>
      <c r="R13" s="936"/>
      <c r="S13" s="867"/>
      <c r="T13" s="937"/>
      <c r="U13" s="937"/>
      <c r="V13" s="937"/>
      <c r="W13" s="937"/>
      <c r="X13" s="937"/>
      <c r="Y13" s="937"/>
      <c r="Z13" s="937"/>
      <c r="AA13" s="937"/>
      <c r="AB13" s="867"/>
      <c r="AC13" s="936"/>
      <c r="AD13" s="936"/>
      <c r="AE13" s="936"/>
      <c r="AF13" s="936"/>
      <c r="AG13" s="867"/>
      <c r="AH13" s="937"/>
      <c r="AI13" s="937"/>
      <c r="AJ13" s="937"/>
      <c r="AK13" s="937"/>
      <c r="AL13" s="937"/>
      <c r="AM13" s="937"/>
      <c r="AN13" s="937"/>
      <c r="AO13" s="937"/>
      <c r="AP13" s="86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c r="CB13" s="937"/>
      <c r="CC13" s="937"/>
      <c r="CD13" s="937"/>
      <c r="CE13" s="937"/>
      <c r="CF13" s="937"/>
      <c r="CG13" s="937"/>
      <c r="CH13" s="937"/>
      <c r="CI13" s="937"/>
      <c r="CJ13" s="937"/>
      <c r="CK13" s="937"/>
      <c r="CL13" s="937"/>
      <c r="CM13" s="867"/>
      <c r="CN13" s="937"/>
      <c r="CO13" s="937"/>
      <c r="CP13" s="937"/>
      <c r="CQ13" s="937"/>
      <c r="CR13" s="937"/>
      <c r="CS13" s="937"/>
      <c r="CT13" s="937"/>
      <c r="CU13" s="937"/>
      <c r="CV13" s="867"/>
      <c r="CW13" s="936"/>
      <c r="CX13" s="936"/>
      <c r="CY13" s="936"/>
      <c r="CZ13" s="936"/>
      <c r="DA13" s="936"/>
      <c r="DB13" s="936"/>
      <c r="DC13" s="936"/>
      <c r="DD13" s="936"/>
      <c r="DE13" s="867"/>
      <c r="DF13" s="937"/>
      <c r="DG13" s="937"/>
      <c r="DH13" s="937"/>
      <c r="DI13" s="937"/>
      <c r="DJ13" s="937"/>
      <c r="DK13" s="937"/>
      <c r="DL13" s="937"/>
      <c r="DM13" s="937"/>
      <c r="DO13" s="39"/>
      <c r="DP13" s="39"/>
      <c r="DQ13" s="39"/>
      <c r="DR13" s="39"/>
      <c r="DS13" s="39"/>
      <c r="DT13" s="39"/>
    </row>
    <row r="14" spans="2:124">
      <c r="B14" s="7"/>
      <c r="C14" s="7" t="s">
        <v>442</v>
      </c>
      <c r="D14" s="7" t="s">
        <v>243</v>
      </c>
      <c r="E14" s="7" t="s">
        <v>44</v>
      </c>
      <c r="F14" s="7" t="s">
        <v>53</v>
      </c>
      <c r="G14" s="7" t="s">
        <v>150</v>
      </c>
      <c r="H14" s="7" t="s">
        <v>5</v>
      </c>
      <c r="I14" s="7" t="s">
        <v>243</v>
      </c>
      <c r="J14" s="7"/>
      <c r="K14" s="7"/>
      <c r="L14" s="7"/>
      <c r="M14" s="939"/>
      <c r="N14" s="939"/>
      <c r="O14" s="939"/>
      <c r="P14" s="939"/>
      <c r="Q14" s="939"/>
      <c r="R14" s="936"/>
      <c r="S14" s="867"/>
      <c r="T14" s="937"/>
      <c r="U14" s="937"/>
      <c r="V14" s="937"/>
      <c r="W14" s="937"/>
      <c r="X14" s="937"/>
      <c r="Y14" s="937"/>
      <c r="Z14" s="937"/>
      <c r="AA14" s="937"/>
      <c r="AB14" s="867"/>
      <c r="AC14" s="936"/>
      <c r="AD14" s="936"/>
      <c r="AE14" s="936"/>
      <c r="AF14" s="936"/>
      <c r="AG14" s="867"/>
      <c r="AH14" s="937"/>
      <c r="AI14" s="937"/>
      <c r="AJ14" s="937"/>
      <c r="AK14" s="937"/>
      <c r="AL14" s="937"/>
      <c r="AM14" s="937"/>
      <c r="AN14" s="937"/>
      <c r="AO14" s="937"/>
      <c r="AP14" s="86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c r="CB14" s="937"/>
      <c r="CC14" s="937"/>
      <c r="CD14" s="937"/>
      <c r="CE14" s="937"/>
      <c r="CF14" s="937"/>
      <c r="CG14" s="937"/>
      <c r="CH14" s="937"/>
      <c r="CI14" s="937"/>
      <c r="CJ14" s="937"/>
      <c r="CK14" s="937"/>
      <c r="CL14" s="937"/>
      <c r="CM14" s="867"/>
      <c r="CN14" s="937"/>
      <c r="CO14" s="937"/>
      <c r="CP14" s="937"/>
      <c r="CQ14" s="937"/>
      <c r="CR14" s="937"/>
      <c r="CS14" s="937"/>
      <c r="CT14" s="937"/>
      <c r="CU14" s="937"/>
      <c r="CV14" s="867"/>
      <c r="CW14" s="936"/>
      <c r="CX14" s="936"/>
      <c r="CY14" s="936"/>
      <c r="CZ14" s="936"/>
      <c r="DA14" s="936"/>
      <c r="DB14" s="936"/>
      <c r="DC14" s="936"/>
      <c r="DD14" s="936"/>
      <c r="DE14" s="867"/>
      <c r="DF14" s="937"/>
      <c r="DG14" s="937"/>
      <c r="DH14" s="937"/>
      <c r="DI14" s="937"/>
      <c r="DJ14" s="937"/>
      <c r="DK14" s="937"/>
      <c r="DL14" s="937"/>
      <c r="DM14" s="937"/>
      <c r="DO14" s="39"/>
      <c r="DP14" s="39"/>
      <c r="DQ14" s="39"/>
      <c r="DR14" s="39"/>
      <c r="DS14" s="39"/>
      <c r="DT14" s="39"/>
    </row>
    <row r="15" spans="2:124">
      <c r="B15" s="7"/>
      <c r="C15" s="7" t="s">
        <v>443</v>
      </c>
      <c r="D15" s="7" t="s">
        <v>470</v>
      </c>
      <c r="E15" s="7" t="s">
        <v>44</v>
      </c>
      <c r="F15" s="7" t="s">
        <v>53</v>
      </c>
      <c r="G15" s="7" t="s">
        <v>150</v>
      </c>
      <c r="H15" s="7" t="s">
        <v>5</v>
      </c>
      <c r="I15" s="7" t="s">
        <v>242</v>
      </c>
      <c r="J15" s="7"/>
      <c r="K15" s="7"/>
      <c r="L15" s="7"/>
      <c r="M15" s="939"/>
      <c r="N15" s="939"/>
      <c r="O15" s="939"/>
      <c r="P15" s="939"/>
      <c r="Q15" s="939"/>
      <c r="R15" s="936"/>
      <c r="S15" s="867"/>
      <c r="T15" s="937"/>
      <c r="U15" s="937"/>
      <c r="V15" s="937"/>
      <c r="W15" s="937"/>
      <c r="X15" s="937"/>
      <c r="Y15" s="937"/>
      <c r="Z15" s="937"/>
      <c r="AA15" s="937"/>
      <c r="AB15" s="867"/>
      <c r="AC15" s="936"/>
      <c r="AD15" s="936"/>
      <c r="AE15" s="936"/>
      <c r="AF15" s="936"/>
      <c r="AG15" s="867"/>
      <c r="AH15" s="937"/>
      <c r="AI15" s="937"/>
      <c r="AJ15" s="937"/>
      <c r="AK15" s="937"/>
      <c r="AL15" s="937"/>
      <c r="AM15" s="937"/>
      <c r="AN15" s="937"/>
      <c r="AO15" s="937"/>
      <c r="AP15" s="86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c r="CB15" s="937"/>
      <c r="CC15" s="937"/>
      <c r="CD15" s="937"/>
      <c r="CE15" s="937"/>
      <c r="CF15" s="937"/>
      <c r="CG15" s="937"/>
      <c r="CH15" s="937"/>
      <c r="CI15" s="937"/>
      <c r="CJ15" s="937"/>
      <c r="CK15" s="937"/>
      <c r="CL15" s="937"/>
      <c r="CM15" s="867"/>
      <c r="CN15" s="937"/>
      <c r="CO15" s="937"/>
      <c r="CP15" s="937"/>
      <c r="CQ15" s="937"/>
      <c r="CR15" s="937"/>
      <c r="CS15" s="937"/>
      <c r="CT15" s="937"/>
      <c r="CU15" s="937"/>
      <c r="CV15" s="867"/>
      <c r="CW15" s="936"/>
      <c r="CX15" s="936"/>
      <c r="CY15" s="936"/>
      <c r="CZ15" s="936"/>
      <c r="DA15" s="936"/>
      <c r="DB15" s="936"/>
      <c r="DC15" s="936"/>
      <c r="DD15" s="936"/>
      <c r="DE15" s="867"/>
      <c r="DF15" s="937"/>
      <c r="DG15" s="937"/>
      <c r="DH15" s="937"/>
      <c r="DI15" s="937"/>
      <c r="DJ15" s="937"/>
      <c r="DK15" s="937"/>
      <c r="DL15" s="937"/>
      <c r="DM15" s="937"/>
      <c r="DO15" s="39"/>
      <c r="DP15" s="39"/>
      <c r="DQ15" s="39"/>
      <c r="DR15" s="39"/>
      <c r="DS15" s="39"/>
      <c r="DT15" s="39"/>
    </row>
    <row r="16" spans="2:124">
      <c r="B16" s="7"/>
      <c r="C16" s="7" t="s">
        <v>84</v>
      </c>
      <c r="D16" s="7" t="s">
        <v>204</v>
      </c>
      <c r="E16" s="7" t="s">
        <v>44</v>
      </c>
      <c r="F16" s="7" t="s">
        <v>130</v>
      </c>
      <c r="G16" s="7" t="s">
        <v>150</v>
      </c>
      <c r="H16" s="7" t="s">
        <v>5</v>
      </c>
      <c r="I16" s="7" t="s">
        <v>204</v>
      </c>
      <c r="J16" s="7"/>
      <c r="K16" s="7"/>
      <c r="L16" s="7"/>
      <c r="M16" s="939"/>
      <c r="N16" s="939"/>
      <c r="O16" s="939"/>
      <c r="P16" s="939"/>
      <c r="Q16" s="939"/>
      <c r="R16" s="936"/>
      <c r="S16" s="867"/>
      <c r="T16" s="937"/>
      <c r="U16" s="937"/>
      <c r="V16" s="937"/>
      <c r="W16" s="937"/>
      <c r="X16" s="937"/>
      <c r="Y16" s="937"/>
      <c r="Z16" s="937"/>
      <c r="AA16" s="937"/>
      <c r="AB16" s="867"/>
      <c r="AC16" s="936"/>
      <c r="AD16" s="936"/>
      <c r="AE16" s="936"/>
      <c r="AF16" s="936"/>
      <c r="AG16" s="867"/>
      <c r="AH16" s="937"/>
      <c r="AI16" s="937"/>
      <c r="AJ16" s="937"/>
      <c r="AK16" s="937"/>
      <c r="AL16" s="937"/>
      <c r="AM16" s="937"/>
      <c r="AN16" s="937"/>
      <c r="AO16" s="937"/>
      <c r="AP16" s="86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c r="CB16" s="937"/>
      <c r="CC16" s="937"/>
      <c r="CD16" s="937"/>
      <c r="CE16" s="937"/>
      <c r="CF16" s="937"/>
      <c r="CG16" s="937"/>
      <c r="CH16" s="937"/>
      <c r="CI16" s="937"/>
      <c r="CJ16" s="937"/>
      <c r="CK16" s="937"/>
      <c r="CL16" s="937"/>
      <c r="CM16" s="867"/>
      <c r="CN16" s="937"/>
      <c r="CO16" s="937"/>
      <c r="CP16" s="937"/>
      <c r="CQ16" s="937"/>
      <c r="CR16" s="937"/>
      <c r="CS16" s="937"/>
      <c r="CT16" s="937"/>
      <c r="CU16" s="937"/>
      <c r="CV16" s="867"/>
      <c r="CW16" s="936"/>
      <c r="CX16" s="936"/>
      <c r="CY16" s="936"/>
      <c r="CZ16" s="936"/>
      <c r="DA16" s="936"/>
      <c r="DB16" s="936"/>
      <c r="DC16" s="936"/>
      <c r="DD16" s="936"/>
      <c r="DE16" s="867"/>
      <c r="DF16" s="937"/>
      <c r="DG16" s="937"/>
      <c r="DH16" s="937"/>
      <c r="DI16" s="937"/>
      <c r="DJ16" s="937"/>
      <c r="DK16" s="937"/>
      <c r="DL16" s="937"/>
      <c r="DM16" s="937"/>
      <c r="DO16" s="39"/>
      <c r="DP16" s="39"/>
      <c r="DQ16" s="39"/>
      <c r="DR16" s="39"/>
      <c r="DS16" s="39"/>
      <c r="DT16" s="39"/>
    </row>
    <row r="17" spans="2:119">
      <c r="B17" s="7"/>
      <c r="C17" s="7" t="s">
        <v>256</v>
      </c>
      <c r="D17" s="7" t="s">
        <v>247</v>
      </c>
      <c r="E17" s="7" t="s">
        <v>44</v>
      </c>
      <c r="F17" s="7" t="s">
        <v>54</v>
      </c>
      <c r="G17" s="7" t="s">
        <v>150</v>
      </c>
      <c r="H17" s="7" t="s">
        <v>160</v>
      </c>
      <c r="I17" s="7" t="s">
        <v>247</v>
      </c>
      <c r="J17" s="7"/>
      <c r="K17" s="7"/>
      <c r="L17" s="7"/>
      <c r="M17" s="939"/>
      <c r="N17" s="939"/>
      <c r="O17" s="939"/>
      <c r="P17" s="939"/>
      <c r="Q17" s="939"/>
      <c r="R17" s="936"/>
      <c r="S17" s="867"/>
      <c r="T17" s="937"/>
      <c r="U17" s="937"/>
      <c r="V17" s="937"/>
      <c r="W17" s="937"/>
      <c r="X17" s="937"/>
      <c r="Y17" s="937"/>
      <c r="Z17" s="937"/>
      <c r="AA17" s="937"/>
      <c r="AB17" s="867"/>
      <c r="AC17" s="936"/>
      <c r="AD17" s="936"/>
      <c r="AE17" s="936"/>
      <c r="AF17" s="936"/>
      <c r="AG17" s="867"/>
      <c r="AH17" s="937"/>
      <c r="AI17" s="937"/>
      <c r="AJ17" s="937"/>
      <c r="AK17" s="937"/>
      <c r="AL17" s="937"/>
      <c r="AM17" s="937"/>
      <c r="AN17" s="937"/>
      <c r="AO17" s="937"/>
      <c r="AP17" s="86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c r="CB17" s="937"/>
      <c r="CC17" s="937"/>
      <c r="CD17" s="937"/>
      <c r="CE17" s="937"/>
      <c r="CF17" s="937"/>
      <c r="CG17" s="937"/>
      <c r="CH17" s="937"/>
      <c r="CI17" s="937"/>
      <c r="CJ17" s="937"/>
      <c r="CK17" s="937"/>
      <c r="CL17" s="937"/>
      <c r="CM17" s="867"/>
      <c r="CN17" s="937"/>
      <c r="CO17" s="937"/>
      <c r="CP17" s="937"/>
      <c r="CQ17" s="937"/>
      <c r="CR17" s="937"/>
      <c r="CS17" s="937"/>
      <c r="CT17" s="937"/>
      <c r="CU17" s="937"/>
      <c r="CV17" s="867"/>
      <c r="CW17" s="936"/>
      <c r="CX17" s="936"/>
      <c r="CY17" s="936"/>
      <c r="CZ17" s="936"/>
      <c r="DA17" s="936"/>
      <c r="DB17" s="936"/>
      <c r="DC17" s="936"/>
      <c r="DD17" s="936"/>
      <c r="DE17" s="867"/>
      <c r="DF17" s="937"/>
      <c r="DG17" s="937"/>
      <c r="DH17" s="937"/>
      <c r="DI17" s="937"/>
      <c r="DJ17" s="937"/>
      <c r="DK17" s="937"/>
      <c r="DL17" s="937"/>
      <c r="DM17" s="937"/>
      <c r="DO17" s="39"/>
    </row>
    <row r="18" spans="2:119">
      <c r="B18" s="7"/>
      <c r="C18" s="7" t="s">
        <v>466</v>
      </c>
      <c r="D18" s="7" t="s">
        <v>247</v>
      </c>
      <c r="E18" s="7" t="s">
        <v>44</v>
      </c>
      <c r="F18" s="7" t="s">
        <v>54</v>
      </c>
      <c r="G18" s="7" t="s">
        <v>150</v>
      </c>
      <c r="H18" s="7" t="s">
        <v>160</v>
      </c>
      <c r="I18" s="7" t="s">
        <v>247</v>
      </c>
      <c r="J18" s="7"/>
      <c r="K18" s="7"/>
      <c r="L18" s="7"/>
      <c r="M18" s="939"/>
      <c r="N18" s="939"/>
      <c r="O18" s="939"/>
      <c r="P18" s="939"/>
      <c r="Q18" s="939"/>
      <c r="R18" s="936"/>
      <c r="S18" s="867"/>
      <c r="T18" s="937"/>
      <c r="U18" s="937"/>
      <c r="V18" s="937"/>
      <c r="W18" s="937"/>
      <c r="X18" s="937"/>
      <c r="Y18" s="937"/>
      <c r="Z18" s="937"/>
      <c r="AA18" s="937"/>
      <c r="AB18" s="867"/>
      <c r="AC18" s="936"/>
      <c r="AD18" s="936"/>
      <c r="AE18" s="936"/>
      <c r="AF18" s="936"/>
      <c r="AG18" s="867"/>
      <c r="AH18" s="937"/>
      <c r="AI18" s="937"/>
      <c r="AJ18" s="937"/>
      <c r="AK18" s="937"/>
      <c r="AL18" s="937"/>
      <c r="AM18" s="937"/>
      <c r="AN18" s="937"/>
      <c r="AO18" s="937"/>
      <c r="AP18" s="86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937"/>
      <c r="BT18" s="937"/>
      <c r="BU18" s="937"/>
      <c r="BV18" s="937"/>
      <c r="BW18" s="937"/>
      <c r="BX18" s="937"/>
      <c r="BY18" s="937"/>
      <c r="BZ18" s="937"/>
      <c r="CA18" s="937"/>
      <c r="CB18" s="937"/>
      <c r="CC18" s="937"/>
      <c r="CD18" s="937"/>
      <c r="CE18" s="937"/>
      <c r="CF18" s="937"/>
      <c r="CG18" s="937"/>
      <c r="CH18" s="937"/>
      <c r="CI18" s="937"/>
      <c r="CJ18" s="937"/>
      <c r="CK18" s="937"/>
      <c r="CL18" s="937"/>
      <c r="CM18" s="867"/>
      <c r="CN18" s="937"/>
      <c r="CO18" s="937"/>
      <c r="CP18" s="937"/>
      <c r="CQ18" s="937"/>
      <c r="CR18" s="937"/>
      <c r="CS18" s="937"/>
      <c r="CT18" s="937"/>
      <c r="CU18" s="937"/>
      <c r="CV18" s="867"/>
      <c r="CW18" s="936"/>
      <c r="CX18" s="936"/>
      <c r="CY18" s="936"/>
      <c r="CZ18" s="936"/>
      <c r="DA18" s="936"/>
      <c r="DB18" s="936"/>
      <c r="DC18" s="936"/>
      <c r="DD18" s="936"/>
      <c r="DE18" s="867"/>
      <c r="DF18" s="937"/>
      <c r="DG18" s="937"/>
      <c r="DH18" s="937"/>
      <c r="DI18" s="937"/>
      <c r="DJ18" s="937"/>
      <c r="DK18" s="937"/>
      <c r="DL18" s="937"/>
      <c r="DM18" s="937"/>
      <c r="DO18" s="39"/>
    </row>
    <row r="19" spans="2:119">
      <c r="B19" s="7"/>
      <c r="C19" s="7" t="s">
        <v>467</v>
      </c>
      <c r="D19" s="7" t="s">
        <v>247</v>
      </c>
      <c r="E19" s="7" t="s">
        <v>44</v>
      </c>
      <c r="F19" s="7" t="s">
        <v>54</v>
      </c>
      <c r="G19" s="7" t="s">
        <v>150</v>
      </c>
      <c r="H19" s="7" t="s">
        <v>160</v>
      </c>
      <c r="I19" s="7" t="s">
        <v>247</v>
      </c>
      <c r="J19" s="7"/>
      <c r="K19" s="7"/>
      <c r="L19" s="7"/>
      <c r="M19" s="939"/>
      <c r="N19" s="939"/>
      <c r="O19" s="939"/>
      <c r="P19" s="939"/>
      <c r="Q19" s="939"/>
      <c r="R19" s="936"/>
      <c r="S19" s="867"/>
      <c r="T19" s="937"/>
      <c r="U19" s="937"/>
      <c r="V19" s="937"/>
      <c r="W19" s="937"/>
      <c r="X19" s="937"/>
      <c r="Y19" s="937"/>
      <c r="Z19" s="937"/>
      <c r="AA19" s="937"/>
      <c r="AB19" s="867"/>
      <c r="AC19" s="936"/>
      <c r="AD19" s="936"/>
      <c r="AE19" s="936"/>
      <c r="AF19" s="936"/>
      <c r="AG19" s="867"/>
      <c r="AH19" s="937"/>
      <c r="AI19" s="937"/>
      <c r="AJ19" s="937"/>
      <c r="AK19" s="937"/>
      <c r="AL19" s="937"/>
      <c r="AM19" s="937"/>
      <c r="AN19" s="937"/>
      <c r="AO19" s="937"/>
      <c r="AP19" s="86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937"/>
      <c r="BT19" s="937"/>
      <c r="BU19" s="937"/>
      <c r="BV19" s="937"/>
      <c r="BW19" s="937"/>
      <c r="BX19" s="937"/>
      <c r="BY19" s="937"/>
      <c r="BZ19" s="937"/>
      <c r="CA19" s="937"/>
      <c r="CB19" s="937"/>
      <c r="CC19" s="937"/>
      <c r="CD19" s="937"/>
      <c r="CE19" s="937"/>
      <c r="CF19" s="937"/>
      <c r="CG19" s="937"/>
      <c r="CH19" s="937"/>
      <c r="CI19" s="937"/>
      <c r="CJ19" s="937"/>
      <c r="CK19" s="937"/>
      <c r="CL19" s="937"/>
      <c r="CM19" s="867"/>
      <c r="CN19" s="937"/>
      <c r="CO19" s="937"/>
      <c r="CP19" s="937"/>
      <c r="CQ19" s="937"/>
      <c r="CR19" s="937"/>
      <c r="CS19" s="937"/>
      <c r="CT19" s="937"/>
      <c r="CU19" s="937"/>
      <c r="CV19" s="867"/>
      <c r="CW19" s="936"/>
      <c r="CX19" s="936"/>
      <c r="CY19" s="936"/>
      <c r="CZ19" s="936"/>
      <c r="DA19" s="936"/>
      <c r="DB19" s="936"/>
      <c r="DC19" s="936"/>
      <c r="DD19" s="936"/>
      <c r="DE19" s="867"/>
      <c r="DF19" s="937"/>
      <c r="DG19" s="937"/>
      <c r="DH19" s="937"/>
      <c r="DI19" s="937"/>
      <c r="DJ19" s="937"/>
      <c r="DK19" s="937"/>
      <c r="DL19" s="937"/>
      <c r="DM19" s="937"/>
      <c r="DO19" s="39"/>
    </row>
    <row r="20" spans="2:119">
      <c r="B20" s="7"/>
      <c r="C20" s="7" t="s">
        <v>257</v>
      </c>
      <c r="D20" s="7" t="s">
        <v>244</v>
      </c>
      <c r="E20" s="7" t="s">
        <v>44</v>
      </c>
      <c r="F20" s="7" t="s">
        <v>130</v>
      </c>
      <c r="G20" s="7" t="s">
        <v>150</v>
      </c>
      <c r="H20" s="7" t="s">
        <v>5</v>
      </c>
      <c r="I20" s="7" t="s">
        <v>244</v>
      </c>
      <c r="J20" s="7"/>
      <c r="K20" s="7"/>
      <c r="L20" s="7"/>
      <c r="M20" s="939"/>
      <c r="N20" s="939"/>
      <c r="O20" s="939"/>
      <c r="P20" s="939"/>
      <c r="Q20" s="939"/>
      <c r="R20" s="936"/>
      <c r="S20" s="867"/>
      <c r="T20" s="937"/>
      <c r="U20" s="937"/>
      <c r="V20" s="937"/>
      <c r="W20" s="937"/>
      <c r="X20" s="937"/>
      <c r="Y20" s="937"/>
      <c r="Z20" s="937"/>
      <c r="AA20" s="937"/>
      <c r="AB20" s="867"/>
      <c r="AC20" s="936"/>
      <c r="AD20" s="936"/>
      <c r="AE20" s="936"/>
      <c r="AF20" s="936"/>
      <c r="AG20" s="867"/>
      <c r="AH20" s="937"/>
      <c r="AI20" s="937"/>
      <c r="AJ20" s="937"/>
      <c r="AK20" s="937"/>
      <c r="AL20" s="937"/>
      <c r="AM20" s="937"/>
      <c r="AN20" s="937"/>
      <c r="AO20" s="937"/>
      <c r="AP20" s="86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7"/>
      <c r="BO20" s="937"/>
      <c r="BP20" s="937"/>
      <c r="BQ20" s="937"/>
      <c r="BR20" s="937"/>
      <c r="BS20" s="937"/>
      <c r="BT20" s="937"/>
      <c r="BU20" s="937"/>
      <c r="BV20" s="937"/>
      <c r="BW20" s="937"/>
      <c r="BX20" s="937"/>
      <c r="BY20" s="937"/>
      <c r="BZ20" s="937"/>
      <c r="CA20" s="937"/>
      <c r="CB20" s="937"/>
      <c r="CC20" s="937"/>
      <c r="CD20" s="937"/>
      <c r="CE20" s="937"/>
      <c r="CF20" s="937"/>
      <c r="CG20" s="937"/>
      <c r="CH20" s="937"/>
      <c r="CI20" s="937"/>
      <c r="CJ20" s="937"/>
      <c r="CK20" s="937"/>
      <c r="CL20" s="937"/>
      <c r="CM20" s="867"/>
      <c r="CN20" s="937"/>
      <c r="CO20" s="937"/>
      <c r="CP20" s="937"/>
      <c r="CQ20" s="937"/>
      <c r="CR20" s="937"/>
      <c r="CS20" s="937"/>
      <c r="CT20" s="937"/>
      <c r="CU20" s="937"/>
      <c r="CV20" s="867"/>
      <c r="CW20" s="936"/>
      <c r="CX20" s="936"/>
      <c r="CY20" s="936"/>
      <c r="CZ20" s="936"/>
      <c r="DA20" s="936"/>
      <c r="DB20" s="936"/>
      <c r="DC20" s="936"/>
      <c r="DD20" s="936"/>
      <c r="DE20" s="867"/>
      <c r="DF20" s="937"/>
      <c r="DG20" s="937"/>
      <c r="DH20" s="937"/>
      <c r="DI20" s="937"/>
      <c r="DJ20" s="937"/>
      <c r="DK20" s="937"/>
      <c r="DL20" s="937"/>
      <c r="DM20" s="937"/>
      <c r="DO20" s="39"/>
    </row>
    <row r="21" spans="2:119">
      <c r="B21" s="7"/>
      <c r="C21" s="7" t="s">
        <v>85</v>
      </c>
      <c r="D21" s="7" t="s">
        <v>245</v>
      </c>
      <c r="E21" s="7" t="s">
        <v>44</v>
      </c>
      <c r="F21" s="7" t="s">
        <v>130</v>
      </c>
      <c r="G21" s="7" t="s">
        <v>150</v>
      </c>
      <c r="H21" s="7" t="s">
        <v>5</v>
      </c>
      <c r="I21" s="7" t="s">
        <v>245</v>
      </c>
      <c r="J21" s="7"/>
      <c r="K21" s="7"/>
      <c r="L21" s="7"/>
      <c r="M21" s="939"/>
      <c r="N21" s="939"/>
      <c r="O21" s="939"/>
      <c r="P21" s="939"/>
      <c r="Q21" s="939"/>
      <c r="R21" s="936"/>
      <c r="S21" s="867"/>
      <c r="T21" s="937"/>
      <c r="U21" s="937"/>
      <c r="V21" s="937"/>
      <c r="W21" s="937"/>
      <c r="X21" s="937"/>
      <c r="Y21" s="937"/>
      <c r="Z21" s="937"/>
      <c r="AA21" s="937"/>
      <c r="AB21" s="867"/>
      <c r="AC21" s="936"/>
      <c r="AD21" s="936"/>
      <c r="AE21" s="936"/>
      <c r="AF21" s="936"/>
      <c r="AG21" s="867"/>
      <c r="AH21" s="937"/>
      <c r="AI21" s="937"/>
      <c r="AJ21" s="937"/>
      <c r="AK21" s="937"/>
      <c r="AL21" s="937"/>
      <c r="AM21" s="937"/>
      <c r="AN21" s="937"/>
      <c r="AO21" s="937"/>
      <c r="AP21" s="86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c r="CF21" s="937"/>
      <c r="CG21" s="937"/>
      <c r="CH21" s="937"/>
      <c r="CI21" s="937"/>
      <c r="CJ21" s="937"/>
      <c r="CK21" s="937"/>
      <c r="CL21" s="937"/>
      <c r="CM21" s="867"/>
      <c r="CN21" s="937"/>
      <c r="CO21" s="937"/>
      <c r="CP21" s="937"/>
      <c r="CQ21" s="937"/>
      <c r="CR21" s="937"/>
      <c r="CS21" s="937"/>
      <c r="CT21" s="937"/>
      <c r="CU21" s="937"/>
      <c r="CV21" s="867"/>
      <c r="CW21" s="936"/>
      <c r="CX21" s="936"/>
      <c r="CY21" s="936"/>
      <c r="CZ21" s="936"/>
      <c r="DA21" s="936"/>
      <c r="DB21" s="936"/>
      <c r="DC21" s="936"/>
      <c r="DD21" s="936"/>
      <c r="DE21" s="867"/>
      <c r="DF21" s="937"/>
      <c r="DG21" s="937"/>
      <c r="DH21" s="937"/>
      <c r="DI21" s="937"/>
      <c r="DJ21" s="937"/>
      <c r="DK21" s="937"/>
      <c r="DL21" s="937"/>
      <c r="DM21" s="937"/>
      <c r="DO21" s="39"/>
    </row>
    <row r="22" spans="2:119">
      <c r="B22" s="7"/>
      <c r="C22" s="7" t="s">
        <v>463</v>
      </c>
      <c r="D22" s="7" t="s">
        <v>245</v>
      </c>
      <c r="E22" s="7" t="s">
        <v>44</v>
      </c>
      <c r="F22" s="7" t="s">
        <v>130</v>
      </c>
      <c r="G22" s="7" t="s">
        <v>150</v>
      </c>
      <c r="H22" s="7" t="s">
        <v>5</v>
      </c>
      <c r="I22" s="7" t="s">
        <v>245</v>
      </c>
      <c r="J22" s="7"/>
      <c r="K22" s="7"/>
      <c r="L22" s="7"/>
      <c r="M22" s="939"/>
      <c r="N22" s="939"/>
      <c r="O22" s="939"/>
      <c r="P22" s="939"/>
      <c r="Q22" s="939"/>
      <c r="R22" s="936"/>
      <c r="S22" s="867"/>
      <c r="T22" s="937"/>
      <c r="U22" s="937"/>
      <c r="V22" s="937"/>
      <c r="W22" s="937"/>
      <c r="X22" s="937"/>
      <c r="Y22" s="937"/>
      <c r="Z22" s="937"/>
      <c r="AA22" s="937"/>
      <c r="AB22" s="867"/>
      <c r="AC22" s="936"/>
      <c r="AD22" s="936"/>
      <c r="AE22" s="936"/>
      <c r="AF22" s="936"/>
      <c r="AG22" s="867"/>
      <c r="AH22" s="937"/>
      <c r="AI22" s="937"/>
      <c r="AJ22" s="937"/>
      <c r="AK22" s="937"/>
      <c r="AL22" s="937"/>
      <c r="AM22" s="937"/>
      <c r="AN22" s="937"/>
      <c r="AO22" s="937"/>
      <c r="AP22" s="867"/>
      <c r="AQ22" s="939"/>
      <c r="AR22" s="939"/>
      <c r="AS22" s="939"/>
      <c r="AT22" s="939"/>
      <c r="AU22" s="939"/>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c r="CB22" s="937"/>
      <c r="CC22" s="937"/>
      <c r="CD22" s="937"/>
      <c r="CE22" s="937"/>
      <c r="CF22" s="937"/>
      <c r="CG22" s="937"/>
      <c r="CH22" s="937"/>
      <c r="CI22" s="937"/>
      <c r="CJ22" s="937"/>
      <c r="CK22" s="937"/>
      <c r="CL22" s="937"/>
      <c r="CM22" s="867"/>
      <c r="CN22" s="937"/>
      <c r="CO22" s="937"/>
      <c r="CP22" s="937"/>
      <c r="CQ22" s="937"/>
      <c r="CR22" s="937"/>
      <c r="CS22" s="937"/>
      <c r="CT22" s="937"/>
      <c r="CU22" s="937"/>
      <c r="CV22" s="867"/>
      <c r="CW22" s="936"/>
      <c r="CX22" s="936"/>
      <c r="CY22" s="936"/>
      <c r="CZ22" s="936"/>
      <c r="DA22" s="936"/>
      <c r="DB22" s="936"/>
      <c r="DC22" s="936"/>
      <c r="DD22" s="936"/>
      <c r="DE22" s="867"/>
      <c r="DF22" s="937"/>
      <c r="DG22" s="937"/>
      <c r="DH22" s="937"/>
      <c r="DI22" s="937"/>
      <c r="DJ22" s="937"/>
      <c r="DK22" s="937"/>
      <c r="DL22" s="937"/>
      <c r="DM22" s="937"/>
      <c r="DO22" s="39"/>
    </row>
    <row r="23" spans="2:119">
      <c r="B23" s="7"/>
      <c r="C23" s="7" t="s">
        <v>444</v>
      </c>
      <c r="D23" s="7" t="s">
        <v>203</v>
      </c>
      <c r="E23" s="7" t="s">
        <v>44</v>
      </c>
      <c r="F23" s="7" t="s">
        <v>52</v>
      </c>
      <c r="G23" s="7" t="s">
        <v>150</v>
      </c>
      <c r="H23" s="7" t="s">
        <v>5</v>
      </c>
      <c r="I23" s="7" t="s">
        <v>203</v>
      </c>
      <c r="J23" s="7"/>
      <c r="K23" s="7"/>
      <c r="L23" s="7"/>
      <c r="M23" s="939"/>
      <c r="N23" s="939"/>
      <c r="O23" s="939"/>
      <c r="P23" s="939"/>
      <c r="Q23" s="939"/>
      <c r="R23" s="936"/>
      <c r="S23" s="867"/>
      <c r="T23" s="937"/>
      <c r="U23" s="937"/>
      <c r="V23" s="937"/>
      <c r="W23" s="937"/>
      <c r="X23" s="937"/>
      <c r="Y23" s="937"/>
      <c r="Z23" s="937"/>
      <c r="AA23" s="937"/>
      <c r="AB23" s="867"/>
      <c r="AC23" s="936"/>
      <c r="AD23" s="936"/>
      <c r="AE23" s="936"/>
      <c r="AF23" s="936"/>
      <c r="AG23" s="867"/>
      <c r="AH23" s="937"/>
      <c r="AI23" s="937"/>
      <c r="AJ23" s="937"/>
      <c r="AK23" s="937"/>
      <c r="AL23" s="937"/>
      <c r="AM23" s="937"/>
      <c r="AN23" s="937"/>
      <c r="AO23" s="937"/>
      <c r="AP23" s="867"/>
      <c r="AQ23" s="939"/>
      <c r="AR23" s="939"/>
      <c r="AS23" s="939"/>
      <c r="AT23" s="939"/>
      <c r="AU23" s="939"/>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c r="CB23" s="937"/>
      <c r="CC23" s="937"/>
      <c r="CD23" s="937"/>
      <c r="CE23" s="937"/>
      <c r="CF23" s="937"/>
      <c r="CG23" s="937"/>
      <c r="CH23" s="937"/>
      <c r="CI23" s="937"/>
      <c r="CJ23" s="937"/>
      <c r="CK23" s="937"/>
      <c r="CL23" s="937"/>
      <c r="CM23" s="867"/>
      <c r="CN23" s="937"/>
      <c r="CO23" s="937"/>
      <c r="CP23" s="937"/>
      <c r="CQ23" s="937"/>
      <c r="CR23" s="937"/>
      <c r="CS23" s="937"/>
      <c r="CT23" s="937"/>
      <c r="CU23" s="937"/>
      <c r="CV23" s="867"/>
      <c r="CW23" s="936"/>
      <c r="CX23" s="936"/>
      <c r="CY23" s="936"/>
      <c r="CZ23" s="936"/>
      <c r="DA23" s="936"/>
      <c r="DB23" s="936"/>
      <c r="DC23" s="936"/>
      <c r="DD23" s="936"/>
      <c r="DE23" s="867"/>
      <c r="DF23" s="937"/>
      <c r="DG23" s="937"/>
      <c r="DH23" s="937"/>
      <c r="DI23" s="937"/>
      <c r="DJ23" s="937"/>
      <c r="DK23" s="937"/>
      <c r="DL23" s="937"/>
      <c r="DM23" s="937"/>
      <c r="DO23" s="39"/>
    </row>
    <row r="24" spans="2:119">
      <c r="B24" s="7"/>
      <c r="C24" s="7" t="s">
        <v>445</v>
      </c>
      <c r="D24" s="7" t="s">
        <v>203</v>
      </c>
      <c r="E24" s="7" t="s">
        <v>44</v>
      </c>
      <c r="F24" s="7" t="s">
        <v>52</v>
      </c>
      <c r="G24" s="7" t="s">
        <v>150</v>
      </c>
      <c r="H24" s="7" t="s">
        <v>5</v>
      </c>
      <c r="I24" s="7" t="s">
        <v>203</v>
      </c>
      <c r="J24" s="7"/>
      <c r="K24" s="7"/>
      <c r="L24" s="7"/>
      <c r="M24" s="939"/>
      <c r="N24" s="939"/>
      <c r="O24" s="939"/>
      <c r="P24" s="939"/>
      <c r="Q24" s="939"/>
      <c r="R24" s="936"/>
      <c r="S24" s="867"/>
      <c r="T24" s="937"/>
      <c r="U24" s="937"/>
      <c r="V24" s="937"/>
      <c r="W24" s="937"/>
      <c r="X24" s="937"/>
      <c r="Y24" s="937"/>
      <c r="Z24" s="937"/>
      <c r="AA24" s="937"/>
      <c r="AB24" s="867"/>
      <c r="AC24" s="936"/>
      <c r="AD24" s="936"/>
      <c r="AE24" s="936"/>
      <c r="AF24" s="936"/>
      <c r="AG24" s="867"/>
      <c r="AH24" s="937"/>
      <c r="AI24" s="937"/>
      <c r="AJ24" s="937"/>
      <c r="AK24" s="937"/>
      <c r="AL24" s="937"/>
      <c r="AM24" s="937"/>
      <c r="AN24" s="937"/>
      <c r="AO24" s="937"/>
      <c r="AP24" s="867"/>
      <c r="AQ24" s="939"/>
      <c r="AR24" s="939"/>
      <c r="AS24" s="939"/>
      <c r="AT24" s="939"/>
      <c r="AU24" s="939"/>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c r="CB24" s="937"/>
      <c r="CC24" s="937"/>
      <c r="CD24" s="937"/>
      <c r="CE24" s="937"/>
      <c r="CF24" s="937"/>
      <c r="CG24" s="937"/>
      <c r="CH24" s="937"/>
      <c r="CI24" s="937"/>
      <c r="CJ24" s="937"/>
      <c r="CK24" s="937"/>
      <c r="CL24" s="937"/>
      <c r="CM24" s="867"/>
      <c r="CN24" s="937"/>
      <c r="CO24" s="937"/>
      <c r="CP24" s="937"/>
      <c r="CQ24" s="937"/>
      <c r="CR24" s="937"/>
      <c r="CS24" s="937"/>
      <c r="CT24" s="937"/>
      <c r="CU24" s="937"/>
      <c r="CV24" s="867"/>
      <c r="CW24" s="936"/>
      <c r="CX24" s="936"/>
      <c r="CY24" s="936"/>
      <c r="CZ24" s="936"/>
      <c r="DA24" s="936"/>
      <c r="DB24" s="936"/>
      <c r="DC24" s="936"/>
      <c r="DD24" s="936"/>
      <c r="DE24" s="867"/>
      <c r="DF24" s="937"/>
      <c r="DG24" s="937"/>
      <c r="DH24" s="937"/>
      <c r="DI24" s="937"/>
      <c r="DJ24" s="937"/>
      <c r="DK24" s="937"/>
      <c r="DL24" s="937"/>
      <c r="DM24" s="937"/>
      <c r="DO24" s="39"/>
    </row>
    <row r="25" spans="2:119">
      <c r="B25" s="7"/>
      <c r="C25" s="7" t="s">
        <v>87</v>
      </c>
      <c r="D25" s="7" t="s">
        <v>202</v>
      </c>
      <c r="E25" s="7" t="s">
        <v>44</v>
      </c>
      <c r="F25" s="7" t="s">
        <v>52</v>
      </c>
      <c r="G25" s="7" t="s">
        <v>150</v>
      </c>
      <c r="H25" s="7" t="s">
        <v>5</v>
      </c>
      <c r="I25" s="7" t="s">
        <v>202</v>
      </c>
      <c r="J25" s="7"/>
      <c r="K25" s="7"/>
      <c r="L25" s="7"/>
      <c r="M25" s="939"/>
      <c r="N25" s="939"/>
      <c r="O25" s="939"/>
      <c r="P25" s="939"/>
      <c r="Q25" s="939"/>
      <c r="R25" s="936"/>
      <c r="S25" s="867"/>
      <c r="T25" s="937"/>
      <c r="U25" s="937"/>
      <c r="V25" s="937"/>
      <c r="W25" s="937"/>
      <c r="X25" s="937"/>
      <c r="Y25" s="937"/>
      <c r="Z25" s="937"/>
      <c r="AA25" s="937"/>
      <c r="AB25" s="867"/>
      <c r="AC25" s="936"/>
      <c r="AD25" s="936"/>
      <c r="AE25" s="936"/>
      <c r="AF25" s="936"/>
      <c r="AG25" s="867"/>
      <c r="AH25" s="937"/>
      <c r="AI25" s="937"/>
      <c r="AJ25" s="937"/>
      <c r="AK25" s="937"/>
      <c r="AL25" s="937"/>
      <c r="AM25" s="937"/>
      <c r="AN25" s="937"/>
      <c r="AO25" s="937"/>
      <c r="AP25" s="867"/>
      <c r="AQ25" s="939"/>
      <c r="AR25" s="939"/>
      <c r="AS25" s="939"/>
      <c r="AT25" s="939"/>
      <c r="AU25" s="939"/>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c r="CB25" s="937"/>
      <c r="CC25" s="937"/>
      <c r="CD25" s="937"/>
      <c r="CE25" s="937"/>
      <c r="CF25" s="937"/>
      <c r="CG25" s="937"/>
      <c r="CH25" s="937"/>
      <c r="CI25" s="937"/>
      <c r="CJ25" s="937"/>
      <c r="CK25" s="937"/>
      <c r="CL25" s="937"/>
      <c r="CM25" s="867"/>
      <c r="CN25" s="937"/>
      <c r="CO25" s="937"/>
      <c r="CP25" s="937"/>
      <c r="CQ25" s="937"/>
      <c r="CR25" s="937"/>
      <c r="CS25" s="937"/>
      <c r="CT25" s="937"/>
      <c r="CU25" s="937"/>
      <c r="CV25" s="867"/>
      <c r="CW25" s="936"/>
      <c r="CX25" s="936"/>
      <c r="CY25" s="936"/>
      <c r="CZ25" s="936"/>
      <c r="DA25" s="936"/>
      <c r="DB25" s="936"/>
      <c r="DC25" s="936"/>
      <c r="DD25" s="936"/>
      <c r="DE25" s="867"/>
      <c r="DF25" s="937"/>
      <c r="DG25" s="937"/>
      <c r="DH25" s="937"/>
      <c r="DI25" s="937"/>
      <c r="DJ25" s="937"/>
      <c r="DK25" s="937"/>
      <c r="DL25" s="937"/>
      <c r="DM25" s="937"/>
      <c r="DO25" s="39"/>
    </row>
    <row r="26" spans="2:119">
      <c r="B26" s="7"/>
      <c r="C26" s="7"/>
      <c r="D26" s="7"/>
      <c r="E26" s="7"/>
      <c r="F26" s="7"/>
      <c r="G26" s="7"/>
      <c r="H26" s="7"/>
      <c r="I26" s="7"/>
      <c r="J26" s="7"/>
      <c r="K26" s="7"/>
      <c r="L26" s="7"/>
      <c r="M26" s="7"/>
      <c r="N26" s="7"/>
      <c r="O26" s="7"/>
      <c r="P26" s="7"/>
      <c r="Q26" s="7"/>
      <c r="R26" s="46"/>
      <c r="T26" s="47">
        <f t="shared" ref="T26:T38" si="8">J26*$R26</f>
        <v>0</v>
      </c>
      <c r="U26" s="47">
        <f t="shared" ref="U26:U38" si="9">K26*$R26</f>
        <v>0</v>
      </c>
      <c r="V26" s="47">
        <f t="shared" ref="V26:V38" si="10">L26*$R26</f>
        <v>0</v>
      </c>
      <c r="W26" s="47">
        <f t="shared" ref="W26:W38" si="11">M26*$R26</f>
        <v>0</v>
      </c>
      <c r="X26" s="47">
        <f t="shared" ref="X26:X38" si="12">N26*$R26</f>
        <v>0</v>
      </c>
      <c r="Y26" s="47">
        <f t="shared" ref="Y26:Y38" si="13">O26*$R26</f>
        <v>0</v>
      </c>
      <c r="Z26" s="47">
        <f t="shared" ref="Z26:Z38" si="14">P26*$R26</f>
        <v>0</v>
      </c>
      <c r="AA26" s="47">
        <f t="shared" ref="AA26:AA38" si="15">Q26*$R26</f>
        <v>0</v>
      </c>
      <c r="AC26" s="82">
        <f t="shared" ref="AC26:AF38" si="16">IF($R26="",0,INDEX(Direct_Cost_Splits_Network,MATCH($H26,RIN_Asset_Cat_Network,0),MATCH(AC$4,Direct_Cost_Type,0))*$R26)</f>
        <v>0</v>
      </c>
      <c r="AD26" s="82">
        <f t="shared" si="16"/>
        <v>0</v>
      </c>
      <c r="AE26" s="82">
        <f t="shared" si="16"/>
        <v>0</v>
      </c>
      <c r="AF26" s="82">
        <f t="shared" si="16"/>
        <v>0</v>
      </c>
      <c r="AH26" s="47">
        <f>IF($R26="",0,J26*$AC26*HLOOKUP(AH$6,Escalators!$I$25:$U$30,3,FALSE))</f>
        <v>0</v>
      </c>
      <c r="AI26" s="47">
        <f>IF($R26="",0,K26*$AC26*HLOOKUP(AI$6,Escalators!$I$25:$U$30,3,FALSE))</f>
        <v>0</v>
      </c>
      <c r="AJ26" s="47">
        <f>IF($R26="",0,L26*$AC26*HLOOKUP(AJ$6,Escalators!$I$25:$U$30,3,FALSE))</f>
        <v>0</v>
      </c>
      <c r="AK26" s="47">
        <f>IF($R26="",0,M26*$AC26*HLOOKUP(AK$6,Escalators!$I$25:$U$30,3,FALSE))</f>
        <v>0</v>
      </c>
      <c r="AL26" s="47">
        <f>IF($R26="",0,N26*$AC26*HLOOKUP(AL$6,Escalators!$I$25:$U$30,3,FALSE))</f>
        <v>0</v>
      </c>
      <c r="AM26" s="47">
        <f>IF($R26="",0,O26*$AC26*HLOOKUP(AM$6,Escalators!$I$25:$U$30,3,FALSE))</f>
        <v>0</v>
      </c>
      <c r="AN26" s="47">
        <f>IF($R26="",0,P26*$AC26*HLOOKUP(AN$6,Escalators!$I$25:$U$30,3,FALSE))</f>
        <v>0</v>
      </c>
      <c r="AO26" s="47">
        <f>IF($R26="",0,Q26*$AC26*HLOOKUP(AO$6,Escalators!$I$25:$U$30,3,FALSE))</f>
        <v>0</v>
      </c>
      <c r="AQ26" s="6">
        <f>IF($R26="",0,$J26*$AD26*INDEX(Act_Type_Repex_Splits,MATCH($I26,Act_Type_Repex,0),MATCH(AQ$5,Mat_Type,0))*INDEX(Escalators!$I$44:$U$49,MATCH(AQ$5,Escalators!$C$44:$C$49,0),MATCH(AQ$6,Escalators!$I$43:$U$43,0)))</f>
        <v>0</v>
      </c>
      <c r="AR26" s="6">
        <f>IF($R26="",0,$J26*$AD26*INDEX(Act_Type_Repex_Splits,MATCH($I26,Act_Type_Repex,0),MATCH(AR$5,Mat_Type,0))*INDEX(Escalators!$I$44:$U$49,MATCH(AR$5,Escalators!$C$44:$C$49,0),MATCH(AR$6,Escalators!$I$43:$U$43,0)))</f>
        <v>0</v>
      </c>
      <c r="AS26" s="6">
        <f>IF($R26="",0,$J26*$AD26*INDEX(Act_Type_Repex_Splits,MATCH($I26,Act_Type_Repex,0),MATCH(AS$5,Mat_Type,0))*INDEX(Escalators!$I$44:$U$49,MATCH(AS$5,Escalators!$C$44:$C$49,0),MATCH(AS$6,Escalators!$I$43:$U$43,0)))</f>
        <v>0</v>
      </c>
      <c r="AT26" s="6">
        <f>IF($R26="",0,$J26*$AD26*INDEX(Act_Type_Repex_Splits,MATCH($I26,Act_Type_Repex,0),MATCH(AT$5,Mat_Type,0))*INDEX(Escalators!$I$44:$U$49,MATCH(AT$5,Escalators!$C$44:$C$49,0),MATCH(AT$6,Escalators!$I$43:$U$43,0)))</f>
        <v>0</v>
      </c>
      <c r="AU26" s="6">
        <f>IF($R26="",0,$J26*$AD26*INDEX(Act_Type_Repex_Splits,MATCH($I26,Act_Type_Repex,0),MATCH(AU$5,Mat_Type,0))*INDEX(Escalators!$I$44:$U$49,MATCH(AU$5,Escalators!$C$44:$C$49,0),MATCH(AU$6,Escalators!$I$43:$U$43,0)))</f>
        <v>0</v>
      </c>
      <c r="AV26" s="47">
        <f t="shared" ref="AV26:AV38" si="17">SUM(AQ26:AU26)</f>
        <v>0</v>
      </c>
      <c r="AW26" s="47">
        <f>IF($R26="",0,$K26*$AD26*INDEX(Act_Type_Repex_Splits,MATCH($I26,Act_Type_Repex,0),MATCH(AW$5,Mat_Type,0))*INDEX(Escalators!$I$44:$U$49,MATCH(AW$5,Escalators!$C$44:$C$49,0),MATCH(AW$6,Escalators!$I$43:$U$43,0)))</f>
        <v>0</v>
      </c>
      <c r="AX26" s="47">
        <f>IF($R26="",0,$K26*$AD26*INDEX(Act_Type_Repex_Splits,MATCH($I26,Act_Type_Repex,0),MATCH(AX$5,Mat_Type,0))*INDEX(Escalators!$I$44:$U$49,MATCH(AX$5,Escalators!$C$44:$C$49,0),MATCH(AX$6,Escalators!$I$43:$U$43,0)))</f>
        <v>0</v>
      </c>
      <c r="AY26" s="47">
        <f>IF($R26="",0,$K26*$AD26*INDEX(Act_Type_Repex_Splits,MATCH($I26,Act_Type_Repex,0),MATCH(AY$5,Mat_Type,0))*INDEX(Escalators!$I$44:$U$49,MATCH(AY$5,Escalators!$C$44:$C$49,0),MATCH(AY$6,Escalators!$I$43:$U$43,0)))</f>
        <v>0</v>
      </c>
      <c r="AZ26" s="47">
        <f>IF($R26="",0,$K26*$AD26*INDEX(Act_Type_Repex_Splits,MATCH($I26,Act_Type_Repex,0),MATCH(AZ$5,Mat_Type,0))*INDEX(Escalators!$I$44:$U$49,MATCH(AZ$5,Escalators!$C$44:$C$49,0),MATCH(AZ$6,Escalators!$I$43:$U$43,0)))</f>
        <v>0</v>
      </c>
      <c r="BA26" s="47">
        <f>IF($R26="",0,$K26*$AD26*INDEX(Act_Type_Repex_Splits,MATCH($I26,Act_Type_Repex,0),MATCH(BA$5,Mat_Type,0))*INDEX(Escalators!$I$44:$U$49,MATCH(BA$5,Escalators!$C$44:$C$49,0),MATCH(BA$6,Escalators!$I$43:$U$43,0)))</f>
        <v>0</v>
      </c>
      <c r="BB26" s="47">
        <f t="shared" ref="BB26:BB38" si="18">SUM(AW26:BA26)</f>
        <v>0</v>
      </c>
      <c r="BC26" s="47">
        <f>IF($R26="",0,$L26*$AD26*INDEX(Act_Type_Repex_Splits,MATCH($I26,Act_Type_Repex,0),MATCH(BC$5,Mat_Type,0))*INDEX(Escalators!$I$44:$U$49,MATCH(BC$5,Escalators!$C$44:$C$49,0),MATCH(BC$6,Escalators!$I$43:$U$43,0)))</f>
        <v>0</v>
      </c>
      <c r="BD26" s="47">
        <f>IF($R26="",0,$L26*$AD26*INDEX(Act_Type_Repex_Splits,MATCH($I26,Act_Type_Repex,0),MATCH(BD$5,Mat_Type,0))*INDEX(Escalators!$I$44:$U$49,MATCH(BD$5,Escalators!$C$44:$C$49,0),MATCH(BD$6,Escalators!$I$43:$U$43,0)))</f>
        <v>0</v>
      </c>
      <c r="BE26" s="47">
        <f>IF($R26="",0,$L26*$AD26*INDEX(Act_Type_Repex_Splits,MATCH($I26,Act_Type_Repex,0),MATCH(BE$5,Mat_Type,0))*INDEX(Escalators!$I$44:$U$49,MATCH(BE$5,Escalators!$C$44:$C$49,0),MATCH(BE$6,Escalators!$I$43:$U$43,0)))</f>
        <v>0</v>
      </c>
      <c r="BF26" s="47">
        <f>IF($R26="",0,$L26*$AD26*INDEX(Act_Type_Repex_Splits,MATCH($I26,Act_Type_Repex,0),MATCH(BF$5,Mat_Type,0))*INDEX(Escalators!$I$44:$U$49,MATCH(BF$5,Escalators!$C$44:$C$49,0),MATCH(BF$6,Escalators!$I$43:$U$43,0)))</f>
        <v>0</v>
      </c>
      <c r="BG26" s="47">
        <f>IF($R26="",0,$L26*$AD26*INDEX(Act_Type_Repex_Splits,MATCH($I26,Act_Type_Repex,0),MATCH(BG$5,Mat_Type,0))*INDEX(Escalators!$I$44:$U$49,MATCH(BG$5,Escalators!$C$44:$C$49,0),MATCH(BG$6,Escalators!$I$43:$U$43,0)))</f>
        <v>0</v>
      </c>
      <c r="BH26" s="47">
        <f t="shared" ref="BH26:BH38" si="19">SUM(BC26:BG26)</f>
        <v>0</v>
      </c>
      <c r="BI26" s="47">
        <f>IF($R26="",0,$M26*$AD26*INDEX(Act_Type_Repex_Splits,MATCH($I26,Act_Type_Repex,0),MATCH(BI$5,Mat_Type,0))*INDEX(Escalators!$I$44:$U$49,MATCH(BI$5,Escalators!$C$44:$C$49,0),MATCH(BI$6,Escalators!$I$43:$U$43,0)))</f>
        <v>0</v>
      </c>
      <c r="BJ26" s="47">
        <f>IF($R26="",0,$M26*$AD26*INDEX(Act_Type_Repex_Splits,MATCH($I26,Act_Type_Repex,0),MATCH(BJ$5,Mat_Type,0))*INDEX(Escalators!$I$44:$U$49,MATCH(BJ$5,Escalators!$C$44:$C$49,0),MATCH(BJ$6,Escalators!$I$43:$U$43,0)))</f>
        <v>0</v>
      </c>
      <c r="BK26" s="47">
        <f>IF($R26="",0,$M26*$AD26*INDEX(Act_Type_Repex_Splits,MATCH($I26,Act_Type_Repex,0),MATCH(BK$5,Mat_Type,0))*INDEX(Escalators!$I$44:$U$49,MATCH(BK$5,Escalators!$C$44:$C$49,0),MATCH(BK$6,Escalators!$I$43:$U$43,0)))</f>
        <v>0</v>
      </c>
      <c r="BL26" s="47">
        <f>IF($R26="",0,$M26*$AD26*INDEX(Act_Type_Repex_Splits,MATCH($I26,Act_Type_Repex,0),MATCH(BL$5,Mat_Type,0))*INDEX(Escalators!$I$44:$U$49,MATCH(BL$5,Escalators!$C$44:$C$49,0),MATCH(BL$6,Escalators!$I$43:$U$43,0)))</f>
        <v>0</v>
      </c>
      <c r="BM26" s="47">
        <f>IF($R26="",0,$M26*$AD26*INDEX(Act_Type_Repex_Splits,MATCH($I26,Act_Type_Repex,0),MATCH(BM$5,Mat_Type,0))*INDEX(Escalators!$I$44:$U$49,MATCH(BM$5,Escalators!$C$44:$C$49,0),MATCH(BM$6,Escalators!$I$43:$U$43,0)))</f>
        <v>0</v>
      </c>
      <c r="BN26" s="47">
        <f t="shared" ref="BN26:BN38" si="20">SUM(BI26:BM26)</f>
        <v>0</v>
      </c>
      <c r="BO26" s="47">
        <f>IF($R26="",0,$N26*$AD26*INDEX(Act_Type_Repex_Splits,MATCH($I26,Act_Type_Repex,0),MATCH(BO$5,Mat_Type,0))*INDEX(Escalators!$I$44:$U$49,MATCH(BO$5,Escalators!$C$44:$C$49,0),MATCH(BO$6,Escalators!$I$43:$U$43,0)))</f>
        <v>0</v>
      </c>
      <c r="BP26" s="47">
        <f>IF($R26="",0,$N26*$AD26*INDEX(Act_Type_Repex_Splits,MATCH($I26,Act_Type_Repex,0),MATCH(BP$5,Mat_Type,0))*INDEX(Escalators!$I$44:$U$49,MATCH(BP$5,Escalators!$C$44:$C$49,0),MATCH(BP$6,Escalators!$I$43:$U$43,0)))</f>
        <v>0</v>
      </c>
      <c r="BQ26" s="47">
        <f>IF($R26="",0,$N26*$AD26*INDEX(Act_Type_Repex_Splits,MATCH($I26,Act_Type_Repex,0),MATCH(BQ$5,Mat_Type,0))*INDEX(Escalators!$I$44:$U$49,MATCH(BQ$5,Escalators!$C$44:$C$49,0),MATCH(BQ$6,Escalators!$I$43:$U$43,0)))</f>
        <v>0</v>
      </c>
      <c r="BR26" s="47">
        <f>IF($R26="",0,$N26*$AD26*INDEX(Act_Type_Repex_Splits,MATCH($I26,Act_Type_Repex,0),MATCH(BR$5,Mat_Type,0))*INDEX(Escalators!$I$44:$U$49,MATCH(BR$5,Escalators!$C$44:$C$49,0),MATCH(BR$6,Escalators!$I$43:$U$43,0)))</f>
        <v>0</v>
      </c>
      <c r="BS26" s="47">
        <f>IF($R26="",0,$N26*$AD26*INDEX(Act_Type_Repex_Splits,MATCH($I26,Act_Type_Repex,0),MATCH(BS$5,Mat_Type,0))*INDEX(Escalators!$I$44:$U$49,MATCH(BS$5,Escalators!$C$44:$C$49,0),MATCH(BS$6,Escalators!$I$43:$U$43,0)))</f>
        <v>0</v>
      </c>
      <c r="BT26" s="47">
        <f t="shared" ref="BT26:BT38" si="21">SUM(BO26:BS26)</f>
        <v>0</v>
      </c>
      <c r="BU26" s="47">
        <f>IF($R26="",0,$O26*$AD26*INDEX(Act_Type_Repex_Splits,MATCH($I26,Act_Type_Repex,0),MATCH(BU$5,Mat_Type,0))*INDEX(Escalators!$I$44:$U$49,MATCH(BU$5,Escalators!$C$44:$C$49,0),MATCH(BU$6,Escalators!$I$43:$U$43,0)))</f>
        <v>0</v>
      </c>
      <c r="BV26" s="47">
        <f>IF($R26="",0,$O26*$AD26*INDEX(Act_Type_Repex_Splits,MATCH($I26,Act_Type_Repex,0),MATCH(BV$5,Mat_Type,0))*INDEX(Escalators!$I$44:$U$49,MATCH(BV$5,Escalators!$C$44:$C$49,0),MATCH(BV$6,Escalators!$I$43:$U$43,0)))</f>
        <v>0</v>
      </c>
      <c r="BW26" s="47">
        <f>IF($R26="",0,$O26*$AD26*INDEX(Act_Type_Repex_Splits,MATCH($I26,Act_Type_Repex,0),MATCH(BW$5,Mat_Type,0))*INDEX(Escalators!$I$44:$U$49,MATCH(BW$5,Escalators!$C$44:$C$49,0),MATCH(BW$6,Escalators!$I$43:$U$43,0)))</f>
        <v>0</v>
      </c>
      <c r="BX26" s="47">
        <f>IF($R26="",0,$O26*$AD26*INDEX(Act_Type_Repex_Splits,MATCH($I26,Act_Type_Repex,0),MATCH(BX$5,Mat_Type,0))*INDEX(Escalators!$I$44:$U$49,MATCH(BX$5,Escalators!$C$44:$C$49,0),MATCH(BX$6,Escalators!$I$43:$U$43,0)))</f>
        <v>0</v>
      </c>
      <c r="BY26" s="47">
        <f>IF($R26="",0,$O26*$AD26*INDEX(Act_Type_Repex_Splits,MATCH($I26,Act_Type_Repex,0),MATCH(BY$5,Mat_Type,0))*INDEX(Escalators!$I$44:$U$49,MATCH(BY$5,Escalators!$C$44:$C$49,0),MATCH(BY$6,Escalators!$I$43:$U$43,0)))</f>
        <v>0</v>
      </c>
      <c r="BZ26" s="47">
        <f t="shared" ref="BZ26:BZ38" si="22">SUM(BU26:BY26)</f>
        <v>0</v>
      </c>
      <c r="CA26" s="47">
        <f>IF($R26="",0,$P26*$AD26*INDEX(Act_Type_Repex_Splits,MATCH($I26,Act_Type_Repex,0),MATCH(CA$5,Mat_Type,0))*INDEX(Escalators!$I$44:$U$49,MATCH(CA$5,Escalators!$C$44:$C$49,0),MATCH(CA$6,Escalators!$I$43:$U$43,0)))</f>
        <v>0</v>
      </c>
      <c r="CB26" s="47">
        <f>IF($R26="",0,$P26*$AD26*INDEX(Act_Type_Repex_Splits,MATCH($I26,Act_Type_Repex,0),MATCH(CB$5,Mat_Type,0))*INDEX(Escalators!$I$44:$U$49,MATCH(CB$5,Escalators!$C$44:$C$49,0),MATCH(CB$6,Escalators!$I$43:$U$43,0)))</f>
        <v>0</v>
      </c>
      <c r="CC26" s="47">
        <f>IF($R26="",0,$P26*$AD26*INDEX(Act_Type_Repex_Splits,MATCH($I26,Act_Type_Repex,0),MATCH(CC$5,Mat_Type,0))*INDEX(Escalators!$I$44:$U$49,MATCH(CC$5,Escalators!$C$44:$C$49,0),MATCH(CC$6,Escalators!$I$43:$U$43,0)))</f>
        <v>0</v>
      </c>
      <c r="CD26" s="47">
        <f>IF($R26="",0,$P26*$AD26*INDEX(Act_Type_Repex_Splits,MATCH($I26,Act_Type_Repex,0),MATCH(CD$5,Mat_Type,0))*INDEX(Escalators!$I$44:$U$49,MATCH(CD$5,Escalators!$C$44:$C$49,0),MATCH(CD$6,Escalators!$I$43:$U$43,0)))</f>
        <v>0</v>
      </c>
      <c r="CE26" s="47">
        <f>IF($R26="",0,$P26*$AD26*INDEX(Act_Type_Repex_Splits,MATCH($I26,Act_Type_Repex,0),MATCH(CE$5,Mat_Type,0))*INDEX(Escalators!$I$44:$U$49,MATCH(CE$5,Escalators!$C$44:$C$49,0),MATCH(CE$6,Escalators!$I$43:$U$43,0)))</f>
        <v>0</v>
      </c>
      <c r="CF26" s="47">
        <f t="shared" ref="CF26:CF38" si="23">SUM(CA26:CE26)</f>
        <v>0</v>
      </c>
      <c r="CG26" s="47">
        <f>IF($R26="",0,$Q26*$AD26*INDEX(Act_Type_Repex_Splits,MATCH($I26,Act_Type_Repex,0),MATCH(CG$5,Mat_Type,0))*INDEX(Escalators!$I$44:$U$49,MATCH(CG$5,Escalators!$C$44:$C$49,0),MATCH(CG$6,Escalators!$I$43:$U$43,0)))</f>
        <v>0</v>
      </c>
      <c r="CH26" s="47">
        <f>IF($R26="",0,$Q26*$AD26*INDEX(Act_Type_Repex_Splits,MATCH($I26,Act_Type_Repex,0),MATCH(CH$5,Mat_Type,0))*INDEX(Escalators!$I$44:$U$49,MATCH(CH$5,Escalators!$C$44:$C$49,0),MATCH(CH$6,Escalators!$I$43:$U$43,0)))</f>
        <v>0</v>
      </c>
      <c r="CI26" s="47">
        <f>IF($R26="",0,$Q26*$AD26*INDEX(Act_Type_Repex_Splits,MATCH($I26,Act_Type_Repex,0),MATCH(CI$5,Mat_Type,0))*INDEX(Escalators!$I$44:$U$49,MATCH(CI$5,Escalators!$C$44:$C$49,0),MATCH(CI$6,Escalators!$I$43:$U$43,0)))</f>
        <v>0</v>
      </c>
      <c r="CJ26" s="47">
        <f>IF($R26="",0,$Q26*$AD26*INDEX(Act_Type_Repex_Splits,MATCH($I26,Act_Type_Repex,0),MATCH(CJ$5,Mat_Type,0))*INDEX(Escalators!$I$44:$U$49,MATCH(CJ$5,Escalators!$C$44:$C$49,0),MATCH(CJ$6,Escalators!$I$43:$U$43,0)))</f>
        <v>0</v>
      </c>
      <c r="CK26" s="47">
        <f>IF($R26="",0,$Q26*$AD26*INDEX(Act_Type_Repex_Splits,MATCH($I26,Act_Type_Repex,0),MATCH(CK$5,Mat_Type,0))*INDEX(Escalators!$I$44:$U$49,MATCH(CK$5,Escalators!$C$44:$C$49,0),MATCH(CK$6,Escalators!$I$43:$U$43,0)))</f>
        <v>0</v>
      </c>
      <c r="CL26" s="47">
        <f t="shared" ref="CL26:CL38" si="24">SUM(CG26:CK26)</f>
        <v>0</v>
      </c>
      <c r="CN26" s="47">
        <f>IF($R26="",0,J26*$AE26*HLOOKUP(CN$6,Escalators!$I$25:$U$30,6,FALSE))</f>
        <v>0</v>
      </c>
      <c r="CO26" s="47">
        <f>IF($R26="",0,K26*$AE26*HLOOKUP(CO$6,Escalators!$I$25:$U$30,6,FALSE))</f>
        <v>0</v>
      </c>
      <c r="CP26" s="47">
        <f>IF($R26="",0,L26*$AE26*HLOOKUP(CP$6,Escalators!$I$25:$U$30,6,FALSE))</f>
        <v>0</v>
      </c>
      <c r="CQ26" s="47">
        <f>IF($R26="",0,M26*$AE26*HLOOKUP(CQ$6,Escalators!$I$25:$U$30,6,FALSE))</f>
        <v>0</v>
      </c>
      <c r="CR26" s="47">
        <f>IF($R26="",0,N26*$AE26*HLOOKUP(CR$6,Escalators!$I$25:$U$30,6,FALSE))</f>
        <v>0</v>
      </c>
      <c r="CS26" s="47">
        <f>IF($R26="",0,O26*$AE26*HLOOKUP(CS$6,Escalators!$I$25:$U$30,6,FALSE))</f>
        <v>0</v>
      </c>
      <c r="CT26" s="47">
        <f>IF($R26="",0,P26*$AE26*HLOOKUP(CT$6,Escalators!$I$25:$U$30,6,FALSE))</f>
        <v>0</v>
      </c>
      <c r="CU26" s="47">
        <f>IF($R26="",0,Q26*$AE26*HLOOKUP(CU$6,Escalators!$I$25:$U$30,6,FALSE))</f>
        <v>0</v>
      </c>
      <c r="CW26" s="82">
        <f t="shared" ref="CW26:CW38" si="25">IF($R26="",0,J26*$AF26)</f>
        <v>0</v>
      </c>
      <c r="CX26" s="82">
        <f t="shared" ref="CX26:CX38" si="26">IF($R26="",0,K26*$AF26)</f>
        <v>0</v>
      </c>
      <c r="CY26" s="82">
        <f t="shared" ref="CY26:CY38" si="27">IF($R26="",0,L26*$AF26)</f>
        <v>0</v>
      </c>
      <c r="CZ26" s="82">
        <f t="shared" ref="CZ26:CZ38" si="28">IF($R26="",0,M26*$AF26)</f>
        <v>0</v>
      </c>
      <c r="DA26" s="82">
        <f t="shared" ref="DA26:DA38" si="29">IF($R26="",0,N26*$AF26)</f>
        <v>0</v>
      </c>
      <c r="DB26" s="82">
        <f t="shared" ref="DB26:DB38" si="30">IF($R26="",0,O26*$AF26)</f>
        <v>0</v>
      </c>
      <c r="DC26" s="82">
        <f t="shared" ref="DC26:DC38" si="31">IF($R26="",0,P26*$AF26)</f>
        <v>0</v>
      </c>
      <c r="DD26" s="82">
        <f t="shared" ref="DD26:DD38" si="32">IF($R26="",0,Q26*$AF26)</f>
        <v>0</v>
      </c>
      <c r="DF26" s="47">
        <f t="shared" ref="DF26:DF38" si="33">AH26+AV26+CN26+CW26</f>
        <v>0</v>
      </c>
      <c r="DG26" s="47">
        <f t="shared" ref="DG26:DG38" si="34">AI26+BB26+CO26+CX26</f>
        <v>0</v>
      </c>
      <c r="DH26" s="47">
        <f t="shared" ref="DH26:DH38" si="35">AJ26+BH26+CP26+CY26</f>
        <v>0</v>
      </c>
      <c r="DI26" s="47">
        <f t="shared" ref="DI26:DI38" si="36">AK26+BN26+CQ26+CZ26</f>
        <v>0</v>
      </c>
      <c r="DJ26" s="47">
        <f t="shared" ref="DJ26:DJ38" si="37">AL26+BT26+CR26+DA26</f>
        <v>0</v>
      </c>
      <c r="DK26" s="47">
        <f t="shared" ref="DK26:DK38" si="38">AM26+BZ26+CS26+DB26</f>
        <v>0</v>
      </c>
      <c r="DL26" s="47">
        <f t="shared" ref="DL26:DL38" si="39">AN26+CF26+CT26+DC26</f>
        <v>0</v>
      </c>
      <c r="DM26" s="47">
        <f t="shared" ref="DM26:DM38" si="40">AO26+CL26+CU26+DD26</f>
        <v>0</v>
      </c>
      <c r="DO26" s="39"/>
    </row>
    <row r="27" spans="2:119">
      <c r="B27" s="7"/>
      <c r="C27" s="7"/>
      <c r="D27" s="7"/>
      <c r="E27" s="7"/>
      <c r="F27" s="7"/>
      <c r="G27" s="7"/>
      <c r="H27" s="7"/>
      <c r="I27" s="7"/>
      <c r="J27" s="7"/>
      <c r="K27" s="7"/>
      <c r="L27" s="7"/>
      <c r="M27" s="7"/>
      <c r="N27" s="7"/>
      <c r="O27" s="7"/>
      <c r="P27" s="7"/>
      <c r="Q27" s="7"/>
      <c r="R27" s="46"/>
      <c r="T27" s="47">
        <f t="shared" si="8"/>
        <v>0</v>
      </c>
      <c r="U27" s="47">
        <f t="shared" si="9"/>
        <v>0</v>
      </c>
      <c r="V27" s="47">
        <f t="shared" si="10"/>
        <v>0</v>
      </c>
      <c r="W27" s="47">
        <f t="shared" si="11"/>
        <v>0</v>
      </c>
      <c r="X27" s="47">
        <f t="shared" si="12"/>
        <v>0</v>
      </c>
      <c r="Y27" s="47">
        <f t="shared" si="13"/>
        <v>0</v>
      </c>
      <c r="Z27" s="47">
        <f t="shared" si="14"/>
        <v>0</v>
      </c>
      <c r="AA27" s="47">
        <f t="shared" si="15"/>
        <v>0</v>
      </c>
      <c r="AC27" s="82">
        <f t="shared" si="16"/>
        <v>0</v>
      </c>
      <c r="AD27" s="82">
        <f t="shared" si="16"/>
        <v>0</v>
      </c>
      <c r="AE27" s="82">
        <f t="shared" si="16"/>
        <v>0</v>
      </c>
      <c r="AF27" s="82">
        <f t="shared" si="16"/>
        <v>0</v>
      </c>
      <c r="AH27" s="47">
        <f>IF($R27="",0,J27*$AC27*HLOOKUP(AH$6,Escalators!$I$25:$U$30,3,FALSE))</f>
        <v>0</v>
      </c>
      <c r="AI27" s="47">
        <f>IF($R27="",0,K27*$AC27*HLOOKUP(AI$6,Escalators!$I$25:$U$30,3,FALSE))</f>
        <v>0</v>
      </c>
      <c r="AJ27" s="47">
        <f>IF($R27="",0,L27*$AC27*HLOOKUP(AJ$6,Escalators!$I$25:$U$30,3,FALSE))</f>
        <v>0</v>
      </c>
      <c r="AK27" s="47">
        <f>IF($R27="",0,M27*$AC27*HLOOKUP(AK$6,Escalators!$I$25:$U$30,3,FALSE))</f>
        <v>0</v>
      </c>
      <c r="AL27" s="47">
        <f>IF($R27="",0,N27*$AC27*HLOOKUP(AL$6,Escalators!$I$25:$U$30,3,FALSE))</f>
        <v>0</v>
      </c>
      <c r="AM27" s="47">
        <f>IF($R27="",0,O27*$AC27*HLOOKUP(AM$6,Escalators!$I$25:$U$30,3,FALSE))</f>
        <v>0</v>
      </c>
      <c r="AN27" s="47">
        <f>IF($R27="",0,P27*$AC27*HLOOKUP(AN$6,Escalators!$I$25:$U$30,3,FALSE))</f>
        <v>0</v>
      </c>
      <c r="AO27" s="47">
        <f>IF($R27="",0,Q27*$AC27*HLOOKUP(AO$6,Escalators!$I$25:$U$30,3,FALSE))</f>
        <v>0</v>
      </c>
      <c r="AQ27" s="6">
        <f>IF($R27="",0,$J27*$AD27*INDEX(Act_Type_Repex_Splits,MATCH($I27,Act_Type_Repex,0),MATCH(AQ$5,Mat_Type,0))*INDEX(Escalators!$I$44:$U$49,MATCH(AQ$5,Escalators!$C$44:$C$49,0),MATCH(AQ$6,Escalators!$I$43:$U$43,0)))</f>
        <v>0</v>
      </c>
      <c r="AR27" s="6">
        <f>IF($R27="",0,$J27*$AD27*INDEX(Act_Type_Repex_Splits,MATCH($I27,Act_Type_Repex,0),MATCH(AR$5,Mat_Type,0))*INDEX(Escalators!$I$44:$U$49,MATCH(AR$5,Escalators!$C$44:$C$49,0),MATCH(AR$6,Escalators!$I$43:$U$43,0)))</f>
        <v>0</v>
      </c>
      <c r="AS27" s="6">
        <f>IF($R27="",0,$J27*$AD27*INDEX(Act_Type_Repex_Splits,MATCH($I27,Act_Type_Repex,0),MATCH(AS$5,Mat_Type,0))*INDEX(Escalators!$I$44:$U$49,MATCH(AS$5,Escalators!$C$44:$C$49,0),MATCH(AS$6,Escalators!$I$43:$U$43,0)))</f>
        <v>0</v>
      </c>
      <c r="AT27" s="6">
        <f>IF($R27="",0,$J27*$AD27*INDEX(Act_Type_Repex_Splits,MATCH($I27,Act_Type_Repex,0),MATCH(AT$5,Mat_Type,0))*INDEX(Escalators!$I$44:$U$49,MATCH(AT$5,Escalators!$C$44:$C$49,0),MATCH(AT$6,Escalators!$I$43:$U$43,0)))</f>
        <v>0</v>
      </c>
      <c r="AU27" s="6">
        <f>IF($R27="",0,$J27*$AD27*INDEX(Act_Type_Repex_Splits,MATCH($I27,Act_Type_Repex,0),MATCH(AU$5,Mat_Type,0))*INDEX(Escalators!$I$44:$U$49,MATCH(AU$5,Escalators!$C$44:$C$49,0),MATCH(AU$6,Escalators!$I$43:$U$43,0)))</f>
        <v>0</v>
      </c>
      <c r="AV27" s="47">
        <f t="shared" si="17"/>
        <v>0</v>
      </c>
      <c r="AW27" s="47">
        <f>IF($R27="",0,$K27*$AD27*INDEX(Act_Type_Repex_Splits,MATCH($I27,Act_Type_Repex,0),MATCH(AW$5,Mat_Type,0))*INDEX(Escalators!$I$44:$U$49,MATCH(AW$5,Escalators!$C$44:$C$49,0),MATCH(AW$6,Escalators!$I$43:$U$43,0)))</f>
        <v>0</v>
      </c>
      <c r="AX27" s="47">
        <f>IF($R27="",0,$K27*$AD27*INDEX(Act_Type_Repex_Splits,MATCH($I27,Act_Type_Repex,0),MATCH(AX$5,Mat_Type,0))*INDEX(Escalators!$I$44:$U$49,MATCH(AX$5,Escalators!$C$44:$C$49,0),MATCH(AX$6,Escalators!$I$43:$U$43,0)))</f>
        <v>0</v>
      </c>
      <c r="AY27" s="47">
        <f>IF($R27="",0,$K27*$AD27*INDEX(Act_Type_Repex_Splits,MATCH($I27,Act_Type_Repex,0),MATCH(AY$5,Mat_Type,0))*INDEX(Escalators!$I$44:$U$49,MATCH(AY$5,Escalators!$C$44:$C$49,0),MATCH(AY$6,Escalators!$I$43:$U$43,0)))</f>
        <v>0</v>
      </c>
      <c r="AZ27" s="47">
        <f>IF($R27="",0,$K27*$AD27*INDEX(Act_Type_Repex_Splits,MATCH($I27,Act_Type_Repex,0),MATCH(AZ$5,Mat_Type,0))*INDEX(Escalators!$I$44:$U$49,MATCH(AZ$5,Escalators!$C$44:$C$49,0),MATCH(AZ$6,Escalators!$I$43:$U$43,0)))</f>
        <v>0</v>
      </c>
      <c r="BA27" s="47">
        <f>IF($R27="",0,$K27*$AD27*INDEX(Act_Type_Repex_Splits,MATCH($I27,Act_Type_Repex,0),MATCH(BA$5,Mat_Type,0))*INDEX(Escalators!$I$44:$U$49,MATCH(BA$5,Escalators!$C$44:$C$49,0),MATCH(BA$6,Escalators!$I$43:$U$43,0)))</f>
        <v>0</v>
      </c>
      <c r="BB27" s="47">
        <f t="shared" si="18"/>
        <v>0</v>
      </c>
      <c r="BC27" s="47">
        <f>IF($R27="",0,$L27*$AD27*INDEX(Act_Type_Repex_Splits,MATCH($I27,Act_Type_Repex,0),MATCH(BC$5,Mat_Type,0))*INDEX(Escalators!$I$44:$U$49,MATCH(BC$5,Escalators!$C$44:$C$49,0),MATCH(BC$6,Escalators!$I$43:$U$43,0)))</f>
        <v>0</v>
      </c>
      <c r="BD27" s="47">
        <f>IF($R27="",0,$L27*$AD27*INDEX(Act_Type_Repex_Splits,MATCH($I27,Act_Type_Repex,0),MATCH(BD$5,Mat_Type,0))*INDEX(Escalators!$I$44:$U$49,MATCH(BD$5,Escalators!$C$44:$C$49,0),MATCH(BD$6,Escalators!$I$43:$U$43,0)))</f>
        <v>0</v>
      </c>
      <c r="BE27" s="47">
        <f>IF($R27="",0,$L27*$AD27*INDEX(Act_Type_Repex_Splits,MATCH($I27,Act_Type_Repex,0),MATCH(BE$5,Mat_Type,0))*INDEX(Escalators!$I$44:$U$49,MATCH(BE$5,Escalators!$C$44:$C$49,0),MATCH(BE$6,Escalators!$I$43:$U$43,0)))</f>
        <v>0</v>
      </c>
      <c r="BF27" s="47">
        <f>IF($R27="",0,$L27*$AD27*INDEX(Act_Type_Repex_Splits,MATCH($I27,Act_Type_Repex,0),MATCH(BF$5,Mat_Type,0))*INDEX(Escalators!$I$44:$U$49,MATCH(BF$5,Escalators!$C$44:$C$49,0),MATCH(BF$6,Escalators!$I$43:$U$43,0)))</f>
        <v>0</v>
      </c>
      <c r="BG27" s="47">
        <f>IF($R27="",0,$L27*$AD27*INDEX(Act_Type_Repex_Splits,MATCH($I27,Act_Type_Repex,0),MATCH(BG$5,Mat_Type,0))*INDEX(Escalators!$I$44:$U$49,MATCH(BG$5,Escalators!$C$44:$C$49,0),MATCH(BG$6,Escalators!$I$43:$U$43,0)))</f>
        <v>0</v>
      </c>
      <c r="BH27" s="47">
        <f t="shared" si="19"/>
        <v>0</v>
      </c>
      <c r="BI27" s="47">
        <f>IF($R27="",0,$M27*$AD27*INDEX(Act_Type_Repex_Splits,MATCH($I27,Act_Type_Repex,0),MATCH(BI$5,Mat_Type,0))*INDEX(Escalators!$I$44:$U$49,MATCH(BI$5,Escalators!$C$44:$C$49,0),MATCH(BI$6,Escalators!$I$43:$U$43,0)))</f>
        <v>0</v>
      </c>
      <c r="BJ27" s="47">
        <f>IF($R27="",0,$M27*$AD27*INDEX(Act_Type_Repex_Splits,MATCH($I27,Act_Type_Repex,0),MATCH(BJ$5,Mat_Type,0))*INDEX(Escalators!$I$44:$U$49,MATCH(BJ$5,Escalators!$C$44:$C$49,0),MATCH(BJ$6,Escalators!$I$43:$U$43,0)))</f>
        <v>0</v>
      </c>
      <c r="BK27" s="47">
        <f>IF($R27="",0,$M27*$AD27*INDEX(Act_Type_Repex_Splits,MATCH($I27,Act_Type_Repex,0),MATCH(BK$5,Mat_Type,0))*INDEX(Escalators!$I$44:$U$49,MATCH(BK$5,Escalators!$C$44:$C$49,0),MATCH(BK$6,Escalators!$I$43:$U$43,0)))</f>
        <v>0</v>
      </c>
      <c r="BL27" s="47">
        <f>IF($R27="",0,$M27*$AD27*INDEX(Act_Type_Repex_Splits,MATCH($I27,Act_Type_Repex,0),MATCH(BL$5,Mat_Type,0))*INDEX(Escalators!$I$44:$U$49,MATCH(BL$5,Escalators!$C$44:$C$49,0),MATCH(BL$6,Escalators!$I$43:$U$43,0)))</f>
        <v>0</v>
      </c>
      <c r="BM27" s="47">
        <f>IF($R27="",0,$M27*$AD27*INDEX(Act_Type_Repex_Splits,MATCH($I27,Act_Type_Repex,0),MATCH(BM$5,Mat_Type,0))*INDEX(Escalators!$I$44:$U$49,MATCH(BM$5,Escalators!$C$44:$C$49,0),MATCH(BM$6,Escalators!$I$43:$U$43,0)))</f>
        <v>0</v>
      </c>
      <c r="BN27" s="47">
        <f t="shared" si="20"/>
        <v>0</v>
      </c>
      <c r="BO27" s="47">
        <f>IF($R27="",0,$N27*$AD27*INDEX(Act_Type_Repex_Splits,MATCH($I27,Act_Type_Repex,0),MATCH(BO$5,Mat_Type,0))*INDEX(Escalators!$I$44:$U$49,MATCH(BO$5,Escalators!$C$44:$C$49,0),MATCH(BO$6,Escalators!$I$43:$U$43,0)))</f>
        <v>0</v>
      </c>
      <c r="BP27" s="47">
        <f>IF($R27="",0,$N27*$AD27*INDEX(Act_Type_Repex_Splits,MATCH($I27,Act_Type_Repex,0),MATCH(BP$5,Mat_Type,0))*INDEX(Escalators!$I$44:$U$49,MATCH(BP$5,Escalators!$C$44:$C$49,0),MATCH(BP$6,Escalators!$I$43:$U$43,0)))</f>
        <v>0</v>
      </c>
      <c r="BQ27" s="47">
        <f>IF($R27="",0,$N27*$AD27*INDEX(Act_Type_Repex_Splits,MATCH($I27,Act_Type_Repex,0),MATCH(BQ$5,Mat_Type,0))*INDEX(Escalators!$I$44:$U$49,MATCH(BQ$5,Escalators!$C$44:$C$49,0),MATCH(BQ$6,Escalators!$I$43:$U$43,0)))</f>
        <v>0</v>
      </c>
      <c r="BR27" s="47">
        <f>IF($R27="",0,$N27*$AD27*INDEX(Act_Type_Repex_Splits,MATCH($I27,Act_Type_Repex,0),MATCH(BR$5,Mat_Type,0))*INDEX(Escalators!$I$44:$U$49,MATCH(BR$5,Escalators!$C$44:$C$49,0),MATCH(BR$6,Escalators!$I$43:$U$43,0)))</f>
        <v>0</v>
      </c>
      <c r="BS27" s="47">
        <f>IF($R27="",0,$N27*$AD27*INDEX(Act_Type_Repex_Splits,MATCH($I27,Act_Type_Repex,0),MATCH(BS$5,Mat_Type,0))*INDEX(Escalators!$I$44:$U$49,MATCH(BS$5,Escalators!$C$44:$C$49,0),MATCH(BS$6,Escalators!$I$43:$U$43,0)))</f>
        <v>0</v>
      </c>
      <c r="BT27" s="47">
        <f t="shared" si="21"/>
        <v>0</v>
      </c>
      <c r="BU27" s="47">
        <f>IF($R27="",0,$O27*$AD27*INDEX(Act_Type_Repex_Splits,MATCH($I27,Act_Type_Repex,0),MATCH(BU$5,Mat_Type,0))*INDEX(Escalators!$I$44:$U$49,MATCH(BU$5,Escalators!$C$44:$C$49,0),MATCH(BU$6,Escalators!$I$43:$U$43,0)))</f>
        <v>0</v>
      </c>
      <c r="BV27" s="47">
        <f>IF($R27="",0,$O27*$AD27*INDEX(Act_Type_Repex_Splits,MATCH($I27,Act_Type_Repex,0),MATCH(BV$5,Mat_Type,0))*INDEX(Escalators!$I$44:$U$49,MATCH(BV$5,Escalators!$C$44:$C$49,0),MATCH(BV$6,Escalators!$I$43:$U$43,0)))</f>
        <v>0</v>
      </c>
      <c r="BW27" s="47">
        <f>IF($R27="",0,$O27*$AD27*INDEX(Act_Type_Repex_Splits,MATCH($I27,Act_Type_Repex,0),MATCH(BW$5,Mat_Type,0))*INDEX(Escalators!$I$44:$U$49,MATCH(BW$5,Escalators!$C$44:$C$49,0),MATCH(BW$6,Escalators!$I$43:$U$43,0)))</f>
        <v>0</v>
      </c>
      <c r="BX27" s="47">
        <f>IF($R27="",0,$O27*$AD27*INDEX(Act_Type_Repex_Splits,MATCH($I27,Act_Type_Repex,0),MATCH(BX$5,Mat_Type,0))*INDEX(Escalators!$I$44:$U$49,MATCH(BX$5,Escalators!$C$44:$C$49,0),MATCH(BX$6,Escalators!$I$43:$U$43,0)))</f>
        <v>0</v>
      </c>
      <c r="BY27" s="47">
        <f>IF($R27="",0,$O27*$AD27*INDEX(Act_Type_Repex_Splits,MATCH($I27,Act_Type_Repex,0),MATCH(BY$5,Mat_Type,0))*INDEX(Escalators!$I$44:$U$49,MATCH(BY$5,Escalators!$C$44:$C$49,0),MATCH(BY$6,Escalators!$I$43:$U$43,0)))</f>
        <v>0</v>
      </c>
      <c r="BZ27" s="47">
        <f t="shared" si="22"/>
        <v>0</v>
      </c>
      <c r="CA27" s="47">
        <f>IF($R27="",0,$P27*$AD27*INDEX(Act_Type_Repex_Splits,MATCH($I27,Act_Type_Repex,0),MATCH(CA$5,Mat_Type,0))*INDEX(Escalators!$I$44:$U$49,MATCH(CA$5,Escalators!$C$44:$C$49,0),MATCH(CA$6,Escalators!$I$43:$U$43,0)))</f>
        <v>0</v>
      </c>
      <c r="CB27" s="47">
        <f>IF($R27="",0,$P27*$AD27*INDEX(Act_Type_Repex_Splits,MATCH($I27,Act_Type_Repex,0),MATCH(CB$5,Mat_Type,0))*INDEX(Escalators!$I$44:$U$49,MATCH(CB$5,Escalators!$C$44:$C$49,0),MATCH(CB$6,Escalators!$I$43:$U$43,0)))</f>
        <v>0</v>
      </c>
      <c r="CC27" s="47">
        <f>IF($R27="",0,$P27*$AD27*INDEX(Act_Type_Repex_Splits,MATCH($I27,Act_Type_Repex,0),MATCH(CC$5,Mat_Type,0))*INDEX(Escalators!$I$44:$U$49,MATCH(CC$5,Escalators!$C$44:$C$49,0),MATCH(CC$6,Escalators!$I$43:$U$43,0)))</f>
        <v>0</v>
      </c>
      <c r="CD27" s="47">
        <f>IF($R27="",0,$P27*$AD27*INDEX(Act_Type_Repex_Splits,MATCH($I27,Act_Type_Repex,0),MATCH(CD$5,Mat_Type,0))*INDEX(Escalators!$I$44:$U$49,MATCH(CD$5,Escalators!$C$44:$C$49,0),MATCH(CD$6,Escalators!$I$43:$U$43,0)))</f>
        <v>0</v>
      </c>
      <c r="CE27" s="47">
        <f>IF($R27="",0,$P27*$AD27*INDEX(Act_Type_Repex_Splits,MATCH($I27,Act_Type_Repex,0),MATCH(CE$5,Mat_Type,0))*INDEX(Escalators!$I$44:$U$49,MATCH(CE$5,Escalators!$C$44:$C$49,0),MATCH(CE$6,Escalators!$I$43:$U$43,0)))</f>
        <v>0</v>
      </c>
      <c r="CF27" s="47">
        <f t="shared" si="23"/>
        <v>0</v>
      </c>
      <c r="CG27" s="47">
        <f>IF($R27="",0,$Q27*$AD27*INDEX(Act_Type_Repex_Splits,MATCH($I27,Act_Type_Repex,0),MATCH(CG$5,Mat_Type,0))*INDEX(Escalators!$I$44:$U$49,MATCH(CG$5,Escalators!$C$44:$C$49,0),MATCH(CG$6,Escalators!$I$43:$U$43,0)))</f>
        <v>0</v>
      </c>
      <c r="CH27" s="47">
        <f>IF($R27="",0,$Q27*$AD27*INDEX(Act_Type_Repex_Splits,MATCH($I27,Act_Type_Repex,0),MATCH(CH$5,Mat_Type,0))*INDEX(Escalators!$I$44:$U$49,MATCH(CH$5,Escalators!$C$44:$C$49,0),MATCH(CH$6,Escalators!$I$43:$U$43,0)))</f>
        <v>0</v>
      </c>
      <c r="CI27" s="47">
        <f>IF($R27="",0,$Q27*$AD27*INDEX(Act_Type_Repex_Splits,MATCH($I27,Act_Type_Repex,0),MATCH(CI$5,Mat_Type,0))*INDEX(Escalators!$I$44:$U$49,MATCH(CI$5,Escalators!$C$44:$C$49,0),MATCH(CI$6,Escalators!$I$43:$U$43,0)))</f>
        <v>0</v>
      </c>
      <c r="CJ27" s="47">
        <f>IF($R27="",0,$Q27*$AD27*INDEX(Act_Type_Repex_Splits,MATCH($I27,Act_Type_Repex,0),MATCH(CJ$5,Mat_Type,0))*INDEX(Escalators!$I$44:$U$49,MATCH(CJ$5,Escalators!$C$44:$C$49,0),MATCH(CJ$6,Escalators!$I$43:$U$43,0)))</f>
        <v>0</v>
      </c>
      <c r="CK27" s="47">
        <f>IF($R27="",0,$Q27*$AD27*INDEX(Act_Type_Repex_Splits,MATCH($I27,Act_Type_Repex,0),MATCH(CK$5,Mat_Type,0))*INDEX(Escalators!$I$44:$U$49,MATCH(CK$5,Escalators!$C$44:$C$49,0),MATCH(CK$6,Escalators!$I$43:$U$43,0)))</f>
        <v>0</v>
      </c>
      <c r="CL27" s="47">
        <f t="shared" si="24"/>
        <v>0</v>
      </c>
      <c r="CN27" s="47">
        <f>IF($R27="",0,J27*$AE27*HLOOKUP(CN$6,Escalators!$I$25:$U$30,6,FALSE))</f>
        <v>0</v>
      </c>
      <c r="CO27" s="47">
        <f>IF($R27="",0,K27*$AE27*HLOOKUP(CO$6,Escalators!$I$25:$U$30,6,FALSE))</f>
        <v>0</v>
      </c>
      <c r="CP27" s="47">
        <f>IF($R27="",0,L27*$AE27*HLOOKUP(CP$6,Escalators!$I$25:$U$30,6,FALSE))</f>
        <v>0</v>
      </c>
      <c r="CQ27" s="47">
        <f>IF($R27="",0,M27*$AE27*HLOOKUP(CQ$6,Escalators!$I$25:$U$30,6,FALSE))</f>
        <v>0</v>
      </c>
      <c r="CR27" s="47">
        <f>IF($R27="",0,N27*$AE27*HLOOKUP(CR$6,Escalators!$I$25:$U$30,6,FALSE))</f>
        <v>0</v>
      </c>
      <c r="CS27" s="47">
        <f>IF($R27="",0,O27*$AE27*HLOOKUP(CS$6,Escalators!$I$25:$U$30,6,FALSE))</f>
        <v>0</v>
      </c>
      <c r="CT27" s="47">
        <f>IF($R27="",0,P27*$AE27*HLOOKUP(CT$6,Escalators!$I$25:$U$30,6,FALSE))</f>
        <v>0</v>
      </c>
      <c r="CU27" s="47">
        <f>IF($R27="",0,Q27*$AE27*HLOOKUP(CU$6,Escalators!$I$25:$U$30,6,FALSE))</f>
        <v>0</v>
      </c>
      <c r="CW27" s="82">
        <f t="shared" si="25"/>
        <v>0</v>
      </c>
      <c r="CX27" s="82">
        <f t="shared" si="26"/>
        <v>0</v>
      </c>
      <c r="CY27" s="82">
        <f t="shared" si="27"/>
        <v>0</v>
      </c>
      <c r="CZ27" s="82">
        <f t="shared" si="28"/>
        <v>0</v>
      </c>
      <c r="DA27" s="82">
        <f t="shared" si="29"/>
        <v>0</v>
      </c>
      <c r="DB27" s="82">
        <f t="shared" si="30"/>
        <v>0</v>
      </c>
      <c r="DC27" s="82">
        <f t="shared" si="31"/>
        <v>0</v>
      </c>
      <c r="DD27" s="82">
        <f t="shared" si="32"/>
        <v>0</v>
      </c>
      <c r="DF27" s="47">
        <f t="shared" si="33"/>
        <v>0</v>
      </c>
      <c r="DG27" s="47">
        <f t="shared" si="34"/>
        <v>0</v>
      </c>
      <c r="DH27" s="47">
        <f t="shared" si="35"/>
        <v>0</v>
      </c>
      <c r="DI27" s="47">
        <f t="shared" si="36"/>
        <v>0</v>
      </c>
      <c r="DJ27" s="47">
        <f t="shared" si="37"/>
        <v>0</v>
      </c>
      <c r="DK27" s="47">
        <f t="shared" si="38"/>
        <v>0</v>
      </c>
      <c r="DL27" s="47">
        <f t="shared" si="39"/>
        <v>0</v>
      </c>
      <c r="DM27" s="47">
        <f t="shared" si="40"/>
        <v>0</v>
      </c>
      <c r="DO27" s="39"/>
    </row>
    <row r="28" spans="2:119">
      <c r="B28" s="7"/>
      <c r="C28" s="7"/>
      <c r="D28" s="7"/>
      <c r="E28" s="7"/>
      <c r="F28" s="7"/>
      <c r="G28" s="7"/>
      <c r="H28" s="7"/>
      <c r="I28" s="7"/>
      <c r="J28" s="7"/>
      <c r="K28" s="7"/>
      <c r="L28" s="7"/>
      <c r="M28" s="7"/>
      <c r="N28" s="7"/>
      <c r="O28" s="7"/>
      <c r="P28" s="7"/>
      <c r="Q28" s="7"/>
      <c r="R28" s="46"/>
      <c r="T28" s="47">
        <f t="shared" si="8"/>
        <v>0</v>
      </c>
      <c r="U28" s="47">
        <f t="shared" si="9"/>
        <v>0</v>
      </c>
      <c r="V28" s="47">
        <f t="shared" si="10"/>
        <v>0</v>
      </c>
      <c r="W28" s="47">
        <f t="shared" si="11"/>
        <v>0</v>
      </c>
      <c r="X28" s="47">
        <f t="shared" si="12"/>
        <v>0</v>
      </c>
      <c r="Y28" s="47">
        <f t="shared" si="13"/>
        <v>0</v>
      </c>
      <c r="Z28" s="47">
        <f t="shared" si="14"/>
        <v>0</v>
      </c>
      <c r="AA28" s="47">
        <f t="shared" si="15"/>
        <v>0</v>
      </c>
      <c r="AC28" s="82">
        <f t="shared" si="16"/>
        <v>0</v>
      </c>
      <c r="AD28" s="82">
        <f t="shared" si="16"/>
        <v>0</v>
      </c>
      <c r="AE28" s="82">
        <f t="shared" si="16"/>
        <v>0</v>
      </c>
      <c r="AF28" s="82">
        <f t="shared" si="16"/>
        <v>0</v>
      </c>
      <c r="AH28" s="47">
        <f>IF($R28="",0,J28*$AC28*HLOOKUP(AH$6,Escalators!$I$25:$U$30,3,FALSE))</f>
        <v>0</v>
      </c>
      <c r="AI28" s="47">
        <f>IF($R28="",0,K28*$AC28*HLOOKUP(AI$6,Escalators!$I$25:$U$30,3,FALSE))</f>
        <v>0</v>
      </c>
      <c r="AJ28" s="47">
        <f>IF($R28="",0,L28*$AC28*HLOOKUP(AJ$6,Escalators!$I$25:$U$30,3,FALSE))</f>
        <v>0</v>
      </c>
      <c r="AK28" s="47">
        <f>IF($R28="",0,M28*$AC28*HLOOKUP(AK$6,Escalators!$I$25:$U$30,3,FALSE))</f>
        <v>0</v>
      </c>
      <c r="AL28" s="47">
        <f>IF($R28="",0,N28*$AC28*HLOOKUP(AL$6,Escalators!$I$25:$U$30,3,FALSE))</f>
        <v>0</v>
      </c>
      <c r="AM28" s="47">
        <f>IF($R28="",0,O28*$AC28*HLOOKUP(AM$6,Escalators!$I$25:$U$30,3,FALSE))</f>
        <v>0</v>
      </c>
      <c r="AN28" s="47">
        <f>IF($R28="",0,P28*$AC28*HLOOKUP(AN$6,Escalators!$I$25:$U$30,3,FALSE))</f>
        <v>0</v>
      </c>
      <c r="AO28" s="47">
        <f>IF($R28="",0,Q28*$AC28*HLOOKUP(AO$6,Escalators!$I$25:$U$30,3,FALSE))</f>
        <v>0</v>
      </c>
      <c r="AQ28" s="6">
        <f>IF($R28="",0,$J28*$AD28*INDEX(Act_Type_Repex_Splits,MATCH($I28,Act_Type_Repex,0),MATCH(AQ$5,Mat_Type,0))*INDEX(Escalators!$I$44:$U$49,MATCH(AQ$5,Escalators!$C$44:$C$49,0),MATCH(AQ$6,Escalators!$I$43:$U$43,0)))</f>
        <v>0</v>
      </c>
      <c r="AR28" s="6">
        <f>IF($R28="",0,$J28*$AD28*INDEX(Act_Type_Repex_Splits,MATCH($I28,Act_Type_Repex,0),MATCH(AR$5,Mat_Type,0))*INDEX(Escalators!$I$44:$U$49,MATCH(AR$5,Escalators!$C$44:$C$49,0),MATCH(AR$6,Escalators!$I$43:$U$43,0)))</f>
        <v>0</v>
      </c>
      <c r="AS28" s="6">
        <f>IF($R28="",0,$J28*$AD28*INDEX(Act_Type_Repex_Splits,MATCH($I28,Act_Type_Repex,0),MATCH(AS$5,Mat_Type,0))*INDEX(Escalators!$I$44:$U$49,MATCH(AS$5,Escalators!$C$44:$C$49,0),MATCH(AS$6,Escalators!$I$43:$U$43,0)))</f>
        <v>0</v>
      </c>
      <c r="AT28" s="6">
        <f>IF($R28="",0,$J28*$AD28*INDEX(Act_Type_Repex_Splits,MATCH($I28,Act_Type_Repex,0),MATCH(AT$5,Mat_Type,0))*INDEX(Escalators!$I$44:$U$49,MATCH(AT$5,Escalators!$C$44:$C$49,0),MATCH(AT$6,Escalators!$I$43:$U$43,0)))</f>
        <v>0</v>
      </c>
      <c r="AU28" s="6">
        <f>IF($R28="",0,$J28*$AD28*INDEX(Act_Type_Repex_Splits,MATCH($I28,Act_Type_Repex,0),MATCH(AU$5,Mat_Type,0))*INDEX(Escalators!$I$44:$U$49,MATCH(AU$5,Escalators!$C$44:$C$49,0),MATCH(AU$6,Escalators!$I$43:$U$43,0)))</f>
        <v>0</v>
      </c>
      <c r="AV28" s="47">
        <f t="shared" si="17"/>
        <v>0</v>
      </c>
      <c r="AW28" s="47">
        <f>IF($R28="",0,$K28*$AD28*INDEX(Act_Type_Repex_Splits,MATCH($I28,Act_Type_Repex,0),MATCH(AW$5,Mat_Type,0))*INDEX(Escalators!$I$44:$U$49,MATCH(AW$5,Escalators!$C$44:$C$49,0),MATCH(AW$6,Escalators!$I$43:$U$43,0)))</f>
        <v>0</v>
      </c>
      <c r="AX28" s="47">
        <f>IF($R28="",0,$K28*$AD28*INDEX(Act_Type_Repex_Splits,MATCH($I28,Act_Type_Repex,0),MATCH(AX$5,Mat_Type,0))*INDEX(Escalators!$I$44:$U$49,MATCH(AX$5,Escalators!$C$44:$C$49,0),MATCH(AX$6,Escalators!$I$43:$U$43,0)))</f>
        <v>0</v>
      </c>
      <c r="AY28" s="47">
        <f>IF($R28="",0,$K28*$AD28*INDEX(Act_Type_Repex_Splits,MATCH($I28,Act_Type_Repex,0),MATCH(AY$5,Mat_Type,0))*INDEX(Escalators!$I$44:$U$49,MATCH(AY$5,Escalators!$C$44:$C$49,0),MATCH(AY$6,Escalators!$I$43:$U$43,0)))</f>
        <v>0</v>
      </c>
      <c r="AZ28" s="47">
        <f>IF($R28="",0,$K28*$AD28*INDEX(Act_Type_Repex_Splits,MATCH($I28,Act_Type_Repex,0),MATCH(AZ$5,Mat_Type,0))*INDEX(Escalators!$I$44:$U$49,MATCH(AZ$5,Escalators!$C$44:$C$49,0),MATCH(AZ$6,Escalators!$I$43:$U$43,0)))</f>
        <v>0</v>
      </c>
      <c r="BA28" s="47">
        <f>IF($R28="",0,$K28*$AD28*INDEX(Act_Type_Repex_Splits,MATCH($I28,Act_Type_Repex,0),MATCH(BA$5,Mat_Type,0))*INDEX(Escalators!$I$44:$U$49,MATCH(BA$5,Escalators!$C$44:$C$49,0),MATCH(BA$6,Escalators!$I$43:$U$43,0)))</f>
        <v>0</v>
      </c>
      <c r="BB28" s="47">
        <f t="shared" si="18"/>
        <v>0</v>
      </c>
      <c r="BC28" s="47">
        <f>IF($R28="",0,$L28*$AD28*INDEX(Act_Type_Repex_Splits,MATCH($I28,Act_Type_Repex,0),MATCH(BC$5,Mat_Type,0))*INDEX(Escalators!$I$44:$U$49,MATCH(BC$5,Escalators!$C$44:$C$49,0),MATCH(BC$6,Escalators!$I$43:$U$43,0)))</f>
        <v>0</v>
      </c>
      <c r="BD28" s="47">
        <f>IF($R28="",0,$L28*$AD28*INDEX(Act_Type_Repex_Splits,MATCH($I28,Act_Type_Repex,0),MATCH(BD$5,Mat_Type,0))*INDEX(Escalators!$I$44:$U$49,MATCH(BD$5,Escalators!$C$44:$C$49,0),MATCH(BD$6,Escalators!$I$43:$U$43,0)))</f>
        <v>0</v>
      </c>
      <c r="BE28" s="47">
        <f>IF($R28="",0,$L28*$AD28*INDEX(Act_Type_Repex_Splits,MATCH($I28,Act_Type_Repex,0),MATCH(BE$5,Mat_Type,0))*INDEX(Escalators!$I$44:$U$49,MATCH(BE$5,Escalators!$C$44:$C$49,0),MATCH(BE$6,Escalators!$I$43:$U$43,0)))</f>
        <v>0</v>
      </c>
      <c r="BF28" s="47">
        <f>IF($R28="",0,$L28*$AD28*INDEX(Act_Type_Repex_Splits,MATCH($I28,Act_Type_Repex,0),MATCH(BF$5,Mat_Type,0))*INDEX(Escalators!$I$44:$U$49,MATCH(BF$5,Escalators!$C$44:$C$49,0),MATCH(BF$6,Escalators!$I$43:$U$43,0)))</f>
        <v>0</v>
      </c>
      <c r="BG28" s="47">
        <f>IF($R28="",0,$L28*$AD28*INDEX(Act_Type_Repex_Splits,MATCH($I28,Act_Type_Repex,0),MATCH(BG$5,Mat_Type,0))*INDEX(Escalators!$I$44:$U$49,MATCH(BG$5,Escalators!$C$44:$C$49,0),MATCH(BG$6,Escalators!$I$43:$U$43,0)))</f>
        <v>0</v>
      </c>
      <c r="BH28" s="47">
        <f t="shared" si="19"/>
        <v>0</v>
      </c>
      <c r="BI28" s="47">
        <f>IF($R28="",0,$M28*$AD28*INDEX(Act_Type_Repex_Splits,MATCH($I28,Act_Type_Repex,0),MATCH(BI$5,Mat_Type,0))*INDEX(Escalators!$I$44:$U$49,MATCH(BI$5,Escalators!$C$44:$C$49,0),MATCH(BI$6,Escalators!$I$43:$U$43,0)))</f>
        <v>0</v>
      </c>
      <c r="BJ28" s="47">
        <f>IF($R28="",0,$M28*$AD28*INDEX(Act_Type_Repex_Splits,MATCH($I28,Act_Type_Repex,0),MATCH(BJ$5,Mat_Type,0))*INDEX(Escalators!$I$44:$U$49,MATCH(BJ$5,Escalators!$C$44:$C$49,0),MATCH(BJ$6,Escalators!$I$43:$U$43,0)))</f>
        <v>0</v>
      </c>
      <c r="BK28" s="47">
        <f>IF($R28="",0,$M28*$AD28*INDEX(Act_Type_Repex_Splits,MATCH($I28,Act_Type_Repex,0),MATCH(BK$5,Mat_Type,0))*INDEX(Escalators!$I$44:$U$49,MATCH(BK$5,Escalators!$C$44:$C$49,0),MATCH(BK$6,Escalators!$I$43:$U$43,0)))</f>
        <v>0</v>
      </c>
      <c r="BL28" s="47">
        <f>IF($R28="",0,$M28*$AD28*INDEX(Act_Type_Repex_Splits,MATCH($I28,Act_Type_Repex,0),MATCH(BL$5,Mat_Type,0))*INDEX(Escalators!$I$44:$U$49,MATCH(BL$5,Escalators!$C$44:$C$49,0),MATCH(BL$6,Escalators!$I$43:$U$43,0)))</f>
        <v>0</v>
      </c>
      <c r="BM28" s="47">
        <f>IF($R28="",0,$M28*$AD28*INDEX(Act_Type_Repex_Splits,MATCH($I28,Act_Type_Repex,0),MATCH(BM$5,Mat_Type,0))*INDEX(Escalators!$I$44:$U$49,MATCH(BM$5,Escalators!$C$44:$C$49,0),MATCH(BM$6,Escalators!$I$43:$U$43,0)))</f>
        <v>0</v>
      </c>
      <c r="BN28" s="47">
        <f t="shared" si="20"/>
        <v>0</v>
      </c>
      <c r="BO28" s="47">
        <f>IF($R28="",0,$N28*$AD28*INDEX(Act_Type_Repex_Splits,MATCH($I28,Act_Type_Repex,0),MATCH(BO$5,Mat_Type,0))*INDEX(Escalators!$I$44:$U$49,MATCH(BO$5,Escalators!$C$44:$C$49,0),MATCH(BO$6,Escalators!$I$43:$U$43,0)))</f>
        <v>0</v>
      </c>
      <c r="BP28" s="47">
        <f>IF($R28="",0,$N28*$AD28*INDEX(Act_Type_Repex_Splits,MATCH($I28,Act_Type_Repex,0),MATCH(BP$5,Mat_Type,0))*INDEX(Escalators!$I$44:$U$49,MATCH(BP$5,Escalators!$C$44:$C$49,0),MATCH(BP$6,Escalators!$I$43:$U$43,0)))</f>
        <v>0</v>
      </c>
      <c r="BQ28" s="47">
        <f>IF($R28="",0,$N28*$AD28*INDEX(Act_Type_Repex_Splits,MATCH($I28,Act_Type_Repex,0),MATCH(BQ$5,Mat_Type,0))*INDEX(Escalators!$I$44:$U$49,MATCH(BQ$5,Escalators!$C$44:$C$49,0),MATCH(BQ$6,Escalators!$I$43:$U$43,0)))</f>
        <v>0</v>
      </c>
      <c r="BR28" s="47">
        <f>IF($R28="",0,$N28*$AD28*INDEX(Act_Type_Repex_Splits,MATCH($I28,Act_Type_Repex,0),MATCH(BR$5,Mat_Type,0))*INDEX(Escalators!$I$44:$U$49,MATCH(BR$5,Escalators!$C$44:$C$49,0),MATCH(BR$6,Escalators!$I$43:$U$43,0)))</f>
        <v>0</v>
      </c>
      <c r="BS28" s="47">
        <f>IF($R28="",0,$N28*$AD28*INDEX(Act_Type_Repex_Splits,MATCH($I28,Act_Type_Repex,0),MATCH(BS$5,Mat_Type,0))*INDEX(Escalators!$I$44:$U$49,MATCH(BS$5,Escalators!$C$44:$C$49,0),MATCH(BS$6,Escalators!$I$43:$U$43,0)))</f>
        <v>0</v>
      </c>
      <c r="BT28" s="47">
        <f t="shared" si="21"/>
        <v>0</v>
      </c>
      <c r="BU28" s="47">
        <f>IF($R28="",0,$O28*$AD28*INDEX(Act_Type_Repex_Splits,MATCH($I28,Act_Type_Repex,0),MATCH(BU$5,Mat_Type,0))*INDEX(Escalators!$I$44:$U$49,MATCH(BU$5,Escalators!$C$44:$C$49,0),MATCH(BU$6,Escalators!$I$43:$U$43,0)))</f>
        <v>0</v>
      </c>
      <c r="BV28" s="47">
        <f>IF($R28="",0,$O28*$AD28*INDEX(Act_Type_Repex_Splits,MATCH($I28,Act_Type_Repex,0),MATCH(BV$5,Mat_Type,0))*INDEX(Escalators!$I$44:$U$49,MATCH(BV$5,Escalators!$C$44:$C$49,0),MATCH(BV$6,Escalators!$I$43:$U$43,0)))</f>
        <v>0</v>
      </c>
      <c r="BW28" s="47">
        <f>IF($R28="",0,$O28*$AD28*INDEX(Act_Type_Repex_Splits,MATCH($I28,Act_Type_Repex,0),MATCH(BW$5,Mat_Type,0))*INDEX(Escalators!$I$44:$U$49,MATCH(BW$5,Escalators!$C$44:$C$49,0),MATCH(BW$6,Escalators!$I$43:$U$43,0)))</f>
        <v>0</v>
      </c>
      <c r="BX28" s="47">
        <f>IF($R28="",0,$O28*$AD28*INDEX(Act_Type_Repex_Splits,MATCH($I28,Act_Type_Repex,0),MATCH(BX$5,Mat_Type,0))*INDEX(Escalators!$I$44:$U$49,MATCH(BX$5,Escalators!$C$44:$C$49,0),MATCH(BX$6,Escalators!$I$43:$U$43,0)))</f>
        <v>0</v>
      </c>
      <c r="BY28" s="47">
        <f>IF($R28="",0,$O28*$AD28*INDEX(Act_Type_Repex_Splits,MATCH($I28,Act_Type_Repex,0),MATCH(BY$5,Mat_Type,0))*INDEX(Escalators!$I$44:$U$49,MATCH(BY$5,Escalators!$C$44:$C$49,0),MATCH(BY$6,Escalators!$I$43:$U$43,0)))</f>
        <v>0</v>
      </c>
      <c r="BZ28" s="47">
        <f t="shared" si="22"/>
        <v>0</v>
      </c>
      <c r="CA28" s="47">
        <f>IF($R28="",0,$P28*$AD28*INDEX(Act_Type_Repex_Splits,MATCH($I28,Act_Type_Repex,0),MATCH(CA$5,Mat_Type,0))*INDEX(Escalators!$I$44:$U$49,MATCH(CA$5,Escalators!$C$44:$C$49,0),MATCH(CA$6,Escalators!$I$43:$U$43,0)))</f>
        <v>0</v>
      </c>
      <c r="CB28" s="47">
        <f>IF($R28="",0,$P28*$AD28*INDEX(Act_Type_Repex_Splits,MATCH($I28,Act_Type_Repex,0),MATCH(CB$5,Mat_Type,0))*INDEX(Escalators!$I$44:$U$49,MATCH(CB$5,Escalators!$C$44:$C$49,0),MATCH(CB$6,Escalators!$I$43:$U$43,0)))</f>
        <v>0</v>
      </c>
      <c r="CC28" s="47">
        <f>IF($R28="",0,$P28*$AD28*INDEX(Act_Type_Repex_Splits,MATCH($I28,Act_Type_Repex,0),MATCH(CC$5,Mat_Type,0))*INDEX(Escalators!$I$44:$U$49,MATCH(CC$5,Escalators!$C$44:$C$49,0),MATCH(CC$6,Escalators!$I$43:$U$43,0)))</f>
        <v>0</v>
      </c>
      <c r="CD28" s="47">
        <f>IF($R28="",0,$P28*$AD28*INDEX(Act_Type_Repex_Splits,MATCH($I28,Act_Type_Repex,0),MATCH(CD$5,Mat_Type,0))*INDEX(Escalators!$I$44:$U$49,MATCH(CD$5,Escalators!$C$44:$C$49,0),MATCH(CD$6,Escalators!$I$43:$U$43,0)))</f>
        <v>0</v>
      </c>
      <c r="CE28" s="47">
        <f>IF($R28="",0,$P28*$AD28*INDEX(Act_Type_Repex_Splits,MATCH($I28,Act_Type_Repex,0),MATCH(CE$5,Mat_Type,0))*INDEX(Escalators!$I$44:$U$49,MATCH(CE$5,Escalators!$C$44:$C$49,0),MATCH(CE$6,Escalators!$I$43:$U$43,0)))</f>
        <v>0</v>
      </c>
      <c r="CF28" s="47">
        <f t="shared" si="23"/>
        <v>0</v>
      </c>
      <c r="CG28" s="47">
        <f>IF($R28="",0,$Q28*$AD28*INDEX(Act_Type_Repex_Splits,MATCH($I28,Act_Type_Repex,0),MATCH(CG$5,Mat_Type,0))*INDEX(Escalators!$I$44:$U$49,MATCH(CG$5,Escalators!$C$44:$C$49,0),MATCH(CG$6,Escalators!$I$43:$U$43,0)))</f>
        <v>0</v>
      </c>
      <c r="CH28" s="47">
        <f>IF($R28="",0,$Q28*$AD28*INDEX(Act_Type_Repex_Splits,MATCH($I28,Act_Type_Repex,0),MATCH(CH$5,Mat_Type,0))*INDEX(Escalators!$I$44:$U$49,MATCH(CH$5,Escalators!$C$44:$C$49,0),MATCH(CH$6,Escalators!$I$43:$U$43,0)))</f>
        <v>0</v>
      </c>
      <c r="CI28" s="47">
        <f>IF($R28="",0,$Q28*$AD28*INDEX(Act_Type_Repex_Splits,MATCH($I28,Act_Type_Repex,0),MATCH(CI$5,Mat_Type,0))*INDEX(Escalators!$I$44:$U$49,MATCH(CI$5,Escalators!$C$44:$C$49,0),MATCH(CI$6,Escalators!$I$43:$U$43,0)))</f>
        <v>0</v>
      </c>
      <c r="CJ28" s="47">
        <f>IF($R28="",0,$Q28*$AD28*INDEX(Act_Type_Repex_Splits,MATCH($I28,Act_Type_Repex,0),MATCH(CJ$5,Mat_Type,0))*INDEX(Escalators!$I$44:$U$49,MATCH(CJ$5,Escalators!$C$44:$C$49,0),MATCH(CJ$6,Escalators!$I$43:$U$43,0)))</f>
        <v>0</v>
      </c>
      <c r="CK28" s="47">
        <f>IF($R28="",0,$Q28*$AD28*INDEX(Act_Type_Repex_Splits,MATCH($I28,Act_Type_Repex,0),MATCH(CK$5,Mat_Type,0))*INDEX(Escalators!$I$44:$U$49,MATCH(CK$5,Escalators!$C$44:$C$49,0),MATCH(CK$6,Escalators!$I$43:$U$43,0)))</f>
        <v>0</v>
      </c>
      <c r="CL28" s="47">
        <f t="shared" si="24"/>
        <v>0</v>
      </c>
      <c r="CN28" s="47">
        <f>IF($R28="",0,J28*$AE28*HLOOKUP(CN$6,Escalators!$I$25:$U$30,6,FALSE))</f>
        <v>0</v>
      </c>
      <c r="CO28" s="47">
        <f>IF($R28="",0,K28*$AE28*HLOOKUP(CO$6,Escalators!$I$25:$U$30,6,FALSE))</f>
        <v>0</v>
      </c>
      <c r="CP28" s="47">
        <f>IF($R28="",0,L28*$AE28*HLOOKUP(CP$6,Escalators!$I$25:$U$30,6,FALSE))</f>
        <v>0</v>
      </c>
      <c r="CQ28" s="47">
        <f>IF($R28="",0,M28*$AE28*HLOOKUP(CQ$6,Escalators!$I$25:$U$30,6,FALSE))</f>
        <v>0</v>
      </c>
      <c r="CR28" s="47">
        <f>IF($R28="",0,N28*$AE28*HLOOKUP(CR$6,Escalators!$I$25:$U$30,6,FALSE))</f>
        <v>0</v>
      </c>
      <c r="CS28" s="47">
        <f>IF($R28="",0,O28*$AE28*HLOOKUP(CS$6,Escalators!$I$25:$U$30,6,FALSE))</f>
        <v>0</v>
      </c>
      <c r="CT28" s="47">
        <f>IF($R28="",0,P28*$AE28*HLOOKUP(CT$6,Escalators!$I$25:$U$30,6,FALSE))</f>
        <v>0</v>
      </c>
      <c r="CU28" s="47">
        <f>IF($R28="",0,Q28*$AE28*HLOOKUP(CU$6,Escalators!$I$25:$U$30,6,FALSE))</f>
        <v>0</v>
      </c>
      <c r="CW28" s="82">
        <f t="shared" si="25"/>
        <v>0</v>
      </c>
      <c r="CX28" s="82">
        <f t="shared" si="26"/>
        <v>0</v>
      </c>
      <c r="CY28" s="82">
        <f t="shared" si="27"/>
        <v>0</v>
      </c>
      <c r="CZ28" s="82">
        <f t="shared" si="28"/>
        <v>0</v>
      </c>
      <c r="DA28" s="82">
        <f t="shared" si="29"/>
        <v>0</v>
      </c>
      <c r="DB28" s="82">
        <f t="shared" si="30"/>
        <v>0</v>
      </c>
      <c r="DC28" s="82">
        <f t="shared" si="31"/>
        <v>0</v>
      </c>
      <c r="DD28" s="82">
        <f t="shared" si="32"/>
        <v>0</v>
      </c>
      <c r="DF28" s="47">
        <f t="shared" si="33"/>
        <v>0</v>
      </c>
      <c r="DG28" s="47">
        <f t="shared" si="34"/>
        <v>0</v>
      </c>
      <c r="DH28" s="47">
        <f t="shared" si="35"/>
        <v>0</v>
      </c>
      <c r="DI28" s="47">
        <f t="shared" si="36"/>
        <v>0</v>
      </c>
      <c r="DJ28" s="47">
        <f t="shared" si="37"/>
        <v>0</v>
      </c>
      <c r="DK28" s="47">
        <f t="shared" si="38"/>
        <v>0</v>
      </c>
      <c r="DL28" s="47">
        <f t="shared" si="39"/>
        <v>0</v>
      </c>
      <c r="DM28" s="47">
        <f t="shared" si="40"/>
        <v>0</v>
      </c>
      <c r="DO28" s="39"/>
    </row>
    <row r="29" spans="2:119">
      <c r="B29" s="7"/>
      <c r="C29" s="7"/>
      <c r="D29" s="7"/>
      <c r="E29" s="7"/>
      <c r="F29" s="7"/>
      <c r="G29" s="7"/>
      <c r="H29" s="7"/>
      <c r="I29" s="7"/>
      <c r="J29" s="7"/>
      <c r="K29" s="7"/>
      <c r="L29" s="7"/>
      <c r="M29" s="7"/>
      <c r="N29" s="7"/>
      <c r="O29" s="7"/>
      <c r="P29" s="7"/>
      <c r="Q29" s="7"/>
      <c r="R29" s="46"/>
      <c r="T29" s="47">
        <f t="shared" si="8"/>
        <v>0</v>
      </c>
      <c r="U29" s="47">
        <f t="shared" si="9"/>
        <v>0</v>
      </c>
      <c r="V29" s="47">
        <f t="shared" si="10"/>
        <v>0</v>
      </c>
      <c r="W29" s="47">
        <f t="shared" si="11"/>
        <v>0</v>
      </c>
      <c r="X29" s="47">
        <f t="shared" si="12"/>
        <v>0</v>
      </c>
      <c r="Y29" s="47">
        <f t="shared" si="13"/>
        <v>0</v>
      </c>
      <c r="Z29" s="47">
        <f t="shared" si="14"/>
        <v>0</v>
      </c>
      <c r="AA29" s="47">
        <f t="shared" si="15"/>
        <v>0</v>
      </c>
      <c r="AC29" s="82">
        <f t="shared" si="16"/>
        <v>0</v>
      </c>
      <c r="AD29" s="82">
        <f t="shared" si="16"/>
        <v>0</v>
      </c>
      <c r="AE29" s="82">
        <f t="shared" si="16"/>
        <v>0</v>
      </c>
      <c r="AF29" s="82">
        <f t="shared" si="16"/>
        <v>0</v>
      </c>
      <c r="AH29" s="47">
        <f>IF($R29="",0,J29*$AC29*HLOOKUP(AH$6,Escalators!$I$25:$U$30,3,FALSE))</f>
        <v>0</v>
      </c>
      <c r="AI29" s="47">
        <f>IF($R29="",0,K29*$AC29*HLOOKUP(AI$6,Escalators!$I$25:$U$30,3,FALSE))</f>
        <v>0</v>
      </c>
      <c r="AJ29" s="47">
        <f>IF($R29="",0,L29*$AC29*HLOOKUP(AJ$6,Escalators!$I$25:$U$30,3,FALSE))</f>
        <v>0</v>
      </c>
      <c r="AK29" s="47">
        <f>IF($R29="",0,M29*$AC29*HLOOKUP(AK$6,Escalators!$I$25:$U$30,3,FALSE))</f>
        <v>0</v>
      </c>
      <c r="AL29" s="47">
        <f>IF($R29="",0,N29*$AC29*HLOOKUP(AL$6,Escalators!$I$25:$U$30,3,FALSE))</f>
        <v>0</v>
      </c>
      <c r="AM29" s="47">
        <f>IF($R29="",0,O29*$AC29*HLOOKUP(AM$6,Escalators!$I$25:$U$30,3,FALSE))</f>
        <v>0</v>
      </c>
      <c r="AN29" s="47">
        <f>IF($R29="",0,P29*$AC29*HLOOKUP(AN$6,Escalators!$I$25:$U$30,3,FALSE))</f>
        <v>0</v>
      </c>
      <c r="AO29" s="47">
        <f>IF($R29="",0,Q29*$AC29*HLOOKUP(AO$6,Escalators!$I$25:$U$30,3,FALSE))</f>
        <v>0</v>
      </c>
      <c r="AQ29" s="6">
        <f>IF($R29="",0,$J29*$AD29*INDEX(Act_Type_Repex_Splits,MATCH($I29,Act_Type_Repex,0),MATCH(AQ$5,Mat_Type,0))*INDEX(Escalators!$I$44:$U$49,MATCH(AQ$5,Escalators!$C$44:$C$49,0),MATCH(AQ$6,Escalators!$I$43:$U$43,0)))</f>
        <v>0</v>
      </c>
      <c r="AR29" s="6">
        <f>IF($R29="",0,$J29*$AD29*INDEX(Act_Type_Repex_Splits,MATCH($I29,Act_Type_Repex,0),MATCH(AR$5,Mat_Type,0))*INDEX(Escalators!$I$44:$U$49,MATCH(AR$5,Escalators!$C$44:$C$49,0),MATCH(AR$6,Escalators!$I$43:$U$43,0)))</f>
        <v>0</v>
      </c>
      <c r="AS29" s="6">
        <f>IF($R29="",0,$J29*$AD29*INDEX(Act_Type_Repex_Splits,MATCH($I29,Act_Type_Repex,0),MATCH(AS$5,Mat_Type,0))*INDEX(Escalators!$I$44:$U$49,MATCH(AS$5,Escalators!$C$44:$C$49,0),MATCH(AS$6,Escalators!$I$43:$U$43,0)))</f>
        <v>0</v>
      </c>
      <c r="AT29" s="6">
        <f>IF($R29="",0,$J29*$AD29*INDEX(Act_Type_Repex_Splits,MATCH($I29,Act_Type_Repex,0),MATCH(AT$5,Mat_Type,0))*INDEX(Escalators!$I$44:$U$49,MATCH(AT$5,Escalators!$C$44:$C$49,0),MATCH(AT$6,Escalators!$I$43:$U$43,0)))</f>
        <v>0</v>
      </c>
      <c r="AU29" s="6">
        <f>IF($R29="",0,$J29*$AD29*INDEX(Act_Type_Repex_Splits,MATCH($I29,Act_Type_Repex,0),MATCH(AU$5,Mat_Type,0))*INDEX(Escalators!$I$44:$U$49,MATCH(AU$5,Escalators!$C$44:$C$49,0),MATCH(AU$6,Escalators!$I$43:$U$43,0)))</f>
        <v>0</v>
      </c>
      <c r="AV29" s="47">
        <f t="shared" si="17"/>
        <v>0</v>
      </c>
      <c r="AW29" s="47">
        <f>IF($R29="",0,$K29*$AD29*INDEX(Act_Type_Repex_Splits,MATCH($I29,Act_Type_Repex,0),MATCH(AW$5,Mat_Type,0))*INDEX(Escalators!$I$44:$U$49,MATCH(AW$5,Escalators!$C$44:$C$49,0),MATCH(AW$6,Escalators!$I$43:$U$43,0)))</f>
        <v>0</v>
      </c>
      <c r="AX29" s="47">
        <f>IF($R29="",0,$K29*$AD29*INDEX(Act_Type_Repex_Splits,MATCH($I29,Act_Type_Repex,0),MATCH(AX$5,Mat_Type,0))*INDEX(Escalators!$I$44:$U$49,MATCH(AX$5,Escalators!$C$44:$C$49,0),MATCH(AX$6,Escalators!$I$43:$U$43,0)))</f>
        <v>0</v>
      </c>
      <c r="AY29" s="47">
        <f>IF($R29="",0,$K29*$AD29*INDEX(Act_Type_Repex_Splits,MATCH($I29,Act_Type_Repex,0),MATCH(AY$5,Mat_Type,0))*INDEX(Escalators!$I$44:$U$49,MATCH(AY$5,Escalators!$C$44:$C$49,0),MATCH(AY$6,Escalators!$I$43:$U$43,0)))</f>
        <v>0</v>
      </c>
      <c r="AZ29" s="47">
        <f>IF($R29="",0,$K29*$AD29*INDEX(Act_Type_Repex_Splits,MATCH($I29,Act_Type_Repex,0),MATCH(AZ$5,Mat_Type,0))*INDEX(Escalators!$I$44:$U$49,MATCH(AZ$5,Escalators!$C$44:$C$49,0),MATCH(AZ$6,Escalators!$I$43:$U$43,0)))</f>
        <v>0</v>
      </c>
      <c r="BA29" s="47">
        <f>IF($R29="",0,$K29*$AD29*INDEX(Act_Type_Repex_Splits,MATCH($I29,Act_Type_Repex,0),MATCH(BA$5,Mat_Type,0))*INDEX(Escalators!$I$44:$U$49,MATCH(BA$5,Escalators!$C$44:$C$49,0),MATCH(BA$6,Escalators!$I$43:$U$43,0)))</f>
        <v>0</v>
      </c>
      <c r="BB29" s="47">
        <f t="shared" si="18"/>
        <v>0</v>
      </c>
      <c r="BC29" s="47">
        <f>IF($R29="",0,$L29*$AD29*INDEX(Act_Type_Repex_Splits,MATCH($I29,Act_Type_Repex,0),MATCH(BC$5,Mat_Type,0))*INDEX(Escalators!$I$44:$U$49,MATCH(BC$5,Escalators!$C$44:$C$49,0),MATCH(BC$6,Escalators!$I$43:$U$43,0)))</f>
        <v>0</v>
      </c>
      <c r="BD29" s="47">
        <f>IF($R29="",0,$L29*$AD29*INDEX(Act_Type_Repex_Splits,MATCH($I29,Act_Type_Repex,0),MATCH(BD$5,Mat_Type,0))*INDEX(Escalators!$I$44:$U$49,MATCH(BD$5,Escalators!$C$44:$C$49,0),MATCH(BD$6,Escalators!$I$43:$U$43,0)))</f>
        <v>0</v>
      </c>
      <c r="BE29" s="47">
        <f>IF($R29="",0,$L29*$AD29*INDEX(Act_Type_Repex_Splits,MATCH($I29,Act_Type_Repex,0),MATCH(BE$5,Mat_Type,0))*INDEX(Escalators!$I$44:$U$49,MATCH(BE$5,Escalators!$C$44:$C$49,0),MATCH(BE$6,Escalators!$I$43:$U$43,0)))</f>
        <v>0</v>
      </c>
      <c r="BF29" s="47">
        <f>IF($R29="",0,$L29*$AD29*INDEX(Act_Type_Repex_Splits,MATCH($I29,Act_Type_Repex,0),MATCH(BF$5,Mat_Type,0))*INDEX(Escalators!$I$44:$U$49,MATCH(BF$5,Escalators!$C$44:$C$49,0),MATCH(BF$6,Escalators!$I$43:$U$43,0)))</f>
        <v>0</v>
      </c>
      <c r="BG29" s="47">
        <f>IF($R29="",0,$L29*$AD29*INDEX(Act_Type_Repex_Splits,MATCH($I29,Act_Type_Repex,0),MATCH(BG$5,Mat_Type,0))*INDEX(Escalators!$I$44:$U$49,MATCH(BG$5,Escalators!$C$44:$C$49,0),MATCH(BG$6,Escalators!$I$43:$U$43,0)))</f>
        <v>0</v>
      </c>
      <c r="BH29" s="47">
        <f t="shared" si="19"/>
        <v>0</v>
      </c>
      <c r="BI29" s="47">
        <f>IF($R29="",0,$M29*$AD29*INDEX(Act_Type_Repex_Splits,MATCH($I29,Act_Type_Repex,0),MATCH(BI$5,Mat_Type,0))*INDEX(Escalators!$I$44:$U$49,MATCH(BI$5,Escalators!$C$44:$C$49,0),MATCH(BI$6,Escalators!$I$43:$U$43,0)))</f>
        <v>0</v>
      </c>
      <c r="BJ29" s="47">
        <f>IF($R29="",0,$M29*$AD29*INDEX(Act_Type_Repex_Splits,MATCH($I29,Act_Type_Repex,0),MATCH(BJ$5,Mat_Type,0))*INDEX(Escalators!$I$44:$U$49,MATCH(BJ$5,Escalators!$C$44:$C$49,0),MATCH(BJ$6,Escalators!$I$43:$U$43,0)))</f>
        <v>0</v>
      </c>
      <c r="BK29" s="47">
        <f>IF($R29="",0,$M29*$AD29*INDEX(Act_Type_Repex_Splits,MATCH($I29,Act_Type_Repex,0),MATCH(BK$5,Mat_Type,0))*INDEX(Escalators!$I$44:$U$49,MATCH(BK$5,Escalators!$C$44:$C$49,0),MATCH(BK$6,Escalators!$I$43:$U$43,0)))</f>
        <v>0</v>
      </c>
      <c r="BL29" s="47">
        <f>IF($R29="",0,$M29*$AD29*INDEX(Act_Type_Repex_Splits,MATCH($I29,Act_Type_Repex,0),MATCH(BL$5,Mat_Type,0))*INDEX(Escalators!$I$44:$U$49,MATCH(BL$5,Escalators!$C$44:$C$49,0),MATCH(BL$6,Escalators!$I$43:$U$43,0)))</f>
        <v>0</v>
      </c>
      <c r="BM29" s="47">
        <f>IF($R29="",0,$M29*$AD29*INDEX(Act_Type_Repex_Splits,MATCH($I29,Act_Type_Repex,0),MATCH(BM$5,Mat_Type,0))*INDEX(Escalators!$I$44:$U$49,MATCH(BM$5,Escalators!$C$44:$C$49,0),MATCH(BM$6,Escalators!$I$43:$U$43,0)))</f>
        <v>0</v>
      </c>
      <c r="BN29" s="47">
        <f t="shared" si="20"/>
        <v>0</v>
      </c>
      <c r="BO29" s="47">
        <f>IF($R29="",0,$N29*$AD29*INDEX(Act_Type_Repex_Splits,MATCH($I29,Act_Type_Repex,0),MATCH(BO$5,Mat_Type,0))*INDEX(Escalators!$I$44:$U$49,MATCH(BO$5,Escalators!$C$44:$C$49,0),MATCH(BO$6,Escalators!$I$43:$U$43,0)))</f>
        <v>0</v>
      </c>
      <c r="BP29" s="47">
        <f>IF($R29="",0,$N29*$AD29*INDEX(Act_Type_Repex_Splits,MATCH($I29,Act_Type_Repex,0),MATCH(BP$5,Mat_Type,0))*INDEX(Escalators!$I$44:$U$49,MATCH(BP$5,Escalators!$C$44:$C$49,0),MATCH(BP$6,Escalators!$I$43:$U$43,0)))</f>
        <v>0</v>
      </c>
      <c r="BQ29" s="47">
        <f>IF($R29="",0,$N29*$AD29*INDEX(Act_Type_Repex_Splits,MATCH($I29,Act_Type_Repex,0),MATCH(BQ$5,Mat_Type,0))*INDEX(Escalators!$I$44:$U$49,MATCH(BQ$5,Escalators!$C$44:$C$49,0),MATCH(BQ$6,Escalators!$I$43:$U$43,0)))</f>
        <v>0</v>
      </c>
      <c r="BR29" s="47">
        <f>IF($R29="",0,$N29*$AD29*INDEX(Act_Type_Repex_Splits,MATCH($I29,Act_Type_Repex,0),MATCH(BR$5,Mat_Type,0))*INDEX(Escalators!$I$44:$U$49,MATCH(BR$5,Escalators!$C$44:$C$49,0),MATCH(BR$6,Escalators!$I$43:$U$43,0)))</f>
        <v>0</v>
      </c>
      <c r="BS29" s="47">
        <f>IF($R29="",0,$N29*$AD29*INDEX(Act_Type_Repex_Splits,MATCH($I29,Act_Type_Repex,0),MATCH(BS$5,Mat_Type,0))*INDEX(Escalators!$I$44:$U$49,MATCH(BS$5,Escalators!$C$44:$C$49,0),MATCH(BS$6,Escalators!$I$43:$U$43,0)))</f>
        <v>0</v>
      </c>
      <c r="BT29" s="47">
        <f t="shared" si="21"/>
        <v>0</v>
      </c>
      <c r="BU29" s="47">
        <f>IF($R29="",0,$O29*$AD29*INDEX(Act_Type_Repex_Splits,MATCH($I29,Act_Type_Repex,0),MATCH(BU$5,Mat_Type,0))*INDEX(Escalators!$I$44:$U$49,MATCH(BU$5,Escalators!$C$44:$C$49,0),MATCH(BU$6,Escalators!$I$43:$U$43,0)))</f>
        <v>0</v>
      </c>
      <c r="BV29" s="47">
        <f>IF($R29="",0,$O29*$AD29*INDEX(Act_Type_Repex_Splits,MATCH($I29,Act_Type_Repex,0),MATCH(BV$5,Mat_Type,0))*INDEX(Escalators!$I$44:$U$49,MATCH(BV$5,Escalators!$C$44:$C$49,0),MATCH(BV$6,Escalators!$I$43:$U$43,0)))</f>
        <v>0</v>
      </c>
      <c r="BW29" s="47">
        <f>IF($R29="",0,$O29*$AD29*INDEX(Act_Type_Repex_Splits,MATCH($I29,Act_Type_Repex,0),MATCH(BW$5,Mat_Type,0))*INDEX(Escalators!$I$44:$U$49,MATCH(BW$5,Escalators!$C$44:$C$49,0),MATCH(BW$6,Escalators!$I$43:$U$43,0)))</f>
        <v>0</v>
      </c>
      <c r="BX29" s="47">
        <f>IF($R29="",0,$O29*$AD29*INDEX(Act_Type_Repex_Splits,MATCH($I29,Act_Type_Repex,0),MATCH(BX$5,Mat_Type,0))*INDEX(Escalators!$I$44:$U$49,MATCH(BX$5,Escalators!$C$44:$C$49,0),MATCH(BX$6,Escalators!$I$43:$U$43,0)))</f>
        <v>0</v>
      </c>
      <c r="BY29" s="47">
        <f>IF($R29="",0,$O29*$AD29*INDEX(Act_Type_Repex_Splits,MATCH($I29,Act_Type_Repex,0),MATCH(BY$5,Mat_Type,0))*INDEX(Escalators!$I$44:$U$49,MATCH(BY$5,Escalators!$C$44:$C$49,0),MATCH(BY$6,Escalators!$I$43:$U$43,0)))</f>
        <v>0</v>
      </c>
      <c r="BZ29" s="47">
        <f t="shared" si="22"/>
        <v>0</v>
      </c>
      <c r="CA29" s="47">
        <f>IF($R29="",0,$P29*$AD29*INDEX(Act_Type_Repex_Splits,MATCH($I29,Act_Type_Repex,0),MATCH(CA$5,Mat_Type,0))*INDEX(Escalators!$I$44:$U$49,MATCH(CA$5,Escalators!$C$44:$C$49,0),MATCH(CA$6,Escalators!$I$43:$U$43,0)))</f>
        <v>0</v>
      </c>
      <c r="CB29" s="47">
        <f>IF($R29="",0,$P29*$AD29*INDEX(Act_Type_Repex_Splits,MATCH($I29,Act_Type_Repex,0),MATCH(CB$5,Mat_Type,0))*INDEX(Escalators!$I$44:$U$49,MATCH(CB$5,Escalators!$C$44:$C$49,0),MATCH(CB$6,Escalators!$I$43:$U$43,0)))</f>
        <v>0</v>
      </c>
      <c r="CC29" s="47">
        <f>IF($R29="",0,$P29*$AD29*INDEX(Act_Type_Repex_Splits,MATCH($I29,Act_Type_Repex,0),MATCH(CC$5,Mat_Type,0))*INDEX(Escalators!$I$44:$U$49,MATCH(CC$5,Escalators!$C$44:$C$49,0),MATCH(CC$6,Escalators!$I$43:$U$43,0)))</f>
        <v>0</v>
      </c>
      <c r="CD29" s="47">
        <f>IF($R29="",0,$P29*$AD29*INDEX(Act_Type_Repex_Splits,MATCH($I29,Act_Type_Repex,0),MATCH(CD$5,Mat_Type,0))*INDEX(Escalators!$I$44:$U$49,MATCH(CD$5,Escalators!$C$44:$C$49,0),MATCH(CD$6,Escalators!$I$43:$U$43,0)))</f>
        <v>0</v>
      </c>
      <c r="CE29" s="47">
        <f>IF($R29="",0,$P29*$AD29*INDEX(Act_Type_Repex_Splits,MATCH($I29,Act_Type_Repex,0),MATCH(CE$5,Mat_Type,0))*INDEX(Escalators!$I$44:$U$49,MATCH(CE$5,Escalators!$C$44:$C$49,0),MATCH(CE$6,Escalators!$I$43:$U$43,0)))</f>
        <v>0</v>
      </c>
      <c r="CF29" s="47">
        <f t="shared" si="23"/>
        <v>0</v>
      </c>
      <c r="CG29" s="47">
        <f>IF($R29="",0,$Q29*$AD29*INDEX(Act_Type_Repex_Splits,MATCH($I29,Act_Type_Repex,0),MATCH(CG$5,Mat_Type,0))*INDEX(Escalators!$I$44:$U$49,MATCH(CG$5,Escalators!$C$44:$C$49,0),MATCH(CG$6,Escalators!$I$43:$U$43,0)))</f>
        <v>0</v>
      </c>
      <c r="CH29" s="47">
        <f>IF($R29="",0,$Q29*$AD29*INDEX(Act_Type_Repex_Splits,MATCH($I29,Act_Type_Repex,0),MATCH(CH$5,Mat_Type,0))*INDEX(Escalators!$I$44:$U$49,MATCH(CH$5,Escalators!$C$44:$C$49,0),MATCH(CH$6,Escalators!$I$43:$U$43,0)))</f>
        <v>0</v>
      </c>
      <c r="CI29" s="47">
        <f>IF($R29="",0,$Q29*$AD29*INDEX(Act_Type_Repex_Splits,MATCH($I29,Act_Type_Repex,0),MATCH(CI$5,Mat_Type,0))*INDEX(Escalators!$I$44:$U$49,MATCH(CI$5,Escalators!$C$44:$C$49,0),MATCH(CI$6,Escalators!$I$43:$U$43,0)))</f>
        <v>0</v>
      </c>
      <c r="CJ29" s="47">
        <f>IF($R29="",0,$Q29*$AD29*INDEX(Act_Type_Repex_Splits,MATCH($I29,Act_Type_Repex,0),MATCH(CJ$5,Mat_Type,0))*INDEX(Escalators!$I$44:$U$49,MATCH(CJ$5,Escalators!$C$44:$C$49,0),MATCH(CJ$6,Escalators!$I$43:$U$43,0)))</f>
        <v>0</v>
      </c>
      <c r="CK29" s="47">
        <f>IF($R29="",0,$Q29*$AD29*INDEX(Act_Type_Repex_Splits,MATCH($I29,Act_Type_Repex,0),MATCH(CK$5,Mat_Type,0))*INDEX(Escalators!$I$44:$U$49,MATCH(CK$5,Escalators!$C$44:$C$49,0),MATCH(CK$6,Escalators!$I$43:$U$43,0)))</f>
        <v>0</v>
      </c>
      <c r="CL29" s="47">
        <f t="shared" si="24"/>
        <v>0</v>
      </c>
      <c r="CN29" s="47">
        <f>IF($R29="",0,J29*$AE29*HLOOKUP(CN$6,Escalators!$I$25:$U$30,6,FALSE))</f>
        <v>0</v>
      </c>
      <c r="CO29" s="47">
        <f>IF($R29="",0,K29*$AE29*HLOOKUP(CO$6,Escalators!$I$25:$U$30,6,FALSE))</f>
        <v>0</v>
      </c>
      <c r="CP29" s="47">
        <f>IF($R29="",0,L29*$AE29*HLOOKUP(CP$6,Escalators!$I$25:$U$30,6,FALSE))</f>
        <v>0</v>
      </c>
      <c r="CQ29" s="47">
        <f>IF($R29="",0,M29*$AE29*HLOOKUP(CQ$6,Escalators!$I$25:$U$30,6,FALSE))</f>
        <v>0</v>
      </c>
      <c r="CR29" s="47">
        <f>IF($R29="",0,N29*$AE29*HLOOKUP(CR$6,Escalators!$I$25:$U$30,6,FALSE))</f>
        <v>0</v>
      </c>
      <c r="CS29" s="47">
        <f>IF($R29="",0,O29*$AE29*HLOOKUP(CS$6,Escalators!$I$25:$U$30,6,FALSE))</f>
        <v>0</v>
      </c>
      <c r="CT29" s="47">
        <f>IF($R29="",0,P29*$AE29*HLOOKUP(CT$6,Escalators!$I$25:$U$30,6,FALSE))</f>
        <v>0</v>
      </c>
      <c r="CU29" s="47">
        <f>IF($R29="",0,Q29*$AE29*HLOOKUP(CU$6,Escalators!$I$25:$U$30,6,FALSE))</f>
        <v>0</v>
      </c>
      <c r="CW29" s="82">
        <f t="shared" si="25"/>
        <v>0</v>
      </c>
      <c r="CX29" s="82">
        <f t="shared" si="26"/>
        <v>0</v>
      </c>
      <c r="CY29" s="82">
        <f t="shared" si="27"/>
        <v>0</v>
      </c>
      <c r="CZ29" s="82">
        <f t="shared" si="28"/>
        <v>0</v>
      </c>
      <c r="DA29" s="82">
        <f t="shared" si="29"/>
        <v>0</v>
      </c>
      <c r="DB29" s="82">
        <f t="shared" si="30"/>
        <v>0</v>
      </c>
      <c r="DC29" s="82">
        <f t="shared" si="31"/>
        <v>0</v>
      </c>
      <c r="DD29" s="82">
        <f t="shared" si="32"/>
        <v>0</v>
      </c>
      <c r="DF29" s="47">
        <f t="shared" si="33"/>
        <v>0</v>
      </c>
      <c r="DG29" s="47">
        <f t="shared" si="34"/>
        <v>0</v>
      </c>
      <c r="DH29" s="47">
        <f t="shared" si="35"/>
        <v>0</v>
      </c>
      <c r="DI29" s="47">
        <f t="shared" si="36"/>
        <v>0</v>
      </c>
      <c r="DJ29" s="47">
        <f t="shared" si="37"/>
        <v>0</v>
      </c>
      <c r="DK29" s="47">
        <f t="shared" si="38"/>
        <v>0</v>
      </c>
      <c r="DL29" s="47">
        <f t="shared" si="39"/>
        <v>0</v>
      </c>
      <c r="DM29" s="47">
        <f t="shared" si="40"/>
        <v>0</v>
      </c>
      <c r="DO29" s="39"/>
    </row>
    <row r="30" spans="2:119">
      <c r="B30" s="7"/>
      <c r="C30" s="7"/>
      <c r="D30" s="7"/>
      <c r="E30" s="7"/>
      <c r="F30" s="7"/>
      <c r="G30" s="7"/>
      <c r="H30" s="7"/>
      <c r="I30" s="7"/>
      <c r="J30" s="7"/>
      <c r="K30" s="7"/>
      <c r="L30" s="7"/>
      <c r="M30" s="7"/>
      <c r="N30" s="7"/>
      <c r="O30" s="7"/>
      <c r="P30" s="7"/>
      <c r="Q30" s="7"/>
      <c r="R30" s="46"/>
      <c r="T30" s="47">
        <f t="shared" si="8"/>
        <v>0</v>
      </c>
      <c r="U30" s="47">
        <f t="shared" si="9"/>
        <v>0</v>
      </c>
      <c r="V30" s="47">
        <f t="shared" si="10"/>
        <v>0</v>
      </c>
      <c r="W30" s="47">
        <f t="shared" si="11"/>
        <v>0</v>
      </c>
      <c r="X30" s="47">
        <f t="shared" si="12"/>
        <v>0</v>
      </c>
      <c r="Y30" s="47">
        <f t="shared" si="13"/>
        <v>0</v>
      </c>
      <c r="Z30" s="47">
        <f t="shared" si="14"/>
        <v>0</v>
      </c>
      <c r="AA30" s="47">
        <f t="shared" si="15"/>
        <v>0</v>
      </c>
      <c r="AC30" s="82">
        <f t="shared" si="16"/>
        <v>0</v>
      </c>
      <c r="AD30" s="82">
        <f t="shared" si="16"/>
        <v>0</v>
      </c>
      <c r="AE30" s="82">
        <f t="shared" si="16"/>
        <v>0</v>
      </c>
      <c r="AF30" s="82">
        <f t="shared" si="16"/>
        <v>0</v>
      </c>
      <c r="AH30" s="47">
        <f>IF($R30="",0,J30*$AC30*HLOOKUP(AH$6,Escalators!$I$25:$U$30,3,FALSE))</f>
        <v>0</v>
      </c>
      <c r="AI30" s="47">
        <f>IF($R30="",0,K30*$AC30*HLOOKUP(AI$6,Escalators!$I$25:$U$30,3,FALSE))</f>
        <v>0</v>
      </c>
      <c r="AJ30" s="47">
        <f>IF($R30="",0,L30*$AC30*HLOOKUP(AJ$6,Escalators!$I$25:$U$30,3,FALSE))</f>
        <v>0</v>
      </c>
      <c r="AK30" s="47">
        <f>IF($R30="",0,M30*$AC30*HLOOKUP(AK$6,Escalators!$I$25:$U$30,3,FALSE))</f>
        <v>0</v>
      </c>
      <c r="AL30" s="47">
        <f>IF($R30="",0,N30*$AC30*HLOOKUP(AL$6,Escalators!$I$25:$U$30,3,FALSE))</f>
        <v>0</v>
      </c>
      <c r="AM30" s="47">
        <f>IF($R30="",0,O30*$AC30*HLOOKUP(AM$6,Escalators!$I$25:$U$30,3,FALSE))</f>
        <v>0</v>
      </c>
      <c r="AN30" s="47">
        <f>IF($R30="",0,P30*$AC30*HLOOKUP(AN$6,Escalators!$I$25:$U$30,3,FALSE))</f>
        <v>0</v>
      </c>
      <c r="AO30" s="47">
        <f>IF($R30="",0,Q30*$AC30*HLOOKUP(AO$6,Escalators!$I$25:$U$30,3,FALSE))</f>
        <v>0</v>
      </c>
      <c r="AQ30" s="6">
        <f>IF($R30="",0,$J30*$AD30*INDEX(Act_Type_Repex_Splits,MATCH($I30,Act_Type_Repex,0),MATCH(AQ$5,Mat_Type,0))*INDEX(Escalators!$I$44:$U$49,MATCH(AQ$5,Escalators!$C$44:$C$49,0),MATCH(AQ$6,Escalators!$I$43:$U$43,0)))</f>
        <v>0</v>
      </c>
      <c r="AR30" s="6">
        <f>IF($R30="",0,$J30*$AD30*INDEX(Act_Type_Repex_Splits,MATCH($I30,Act_Type_Repex,0),MATCH(AR$5,Mat_Type,0))*INDEX(Escalators!$I$44:$U$49,MATCH(AR$5,Escalators!$C$44:$C$49,0),MATCH(AR$6,Escalators!$I$43:$U$43,0)))</f>
        <v>0</v>
      </c>
      <c r="AS30" s="6">
        <f>IF($R30="",0,$J30*$AD30*INDEX(Act_Type_Repex_Splits,MATCH($I30,Act_Type_Repex,0),MATCH(AS$5,Mat_Type,0))*INDEX(Escalators!$I$44:$U$49,MATCH(AS$5,Escalators!$C$44:$C$49,0),MATCH(AS$6,Escalators!$I$43:$U$43,0)))</f>
        <v>0</v>
      </c>
      <c r="AT30" s="6">
        <f>IF($R30="",0,$J30*$AD30*INDEX(Act_Type_Repex_Splits,MATCH($I30,Act_Type_Repex,0),MATCH(AT$5,Mat_Type,0))*INDEX(Escalators!$I$44:$U$49,MATCH(AT$5,Escalators!$C$44:$C$49,0),MATCH(AT$6,Escalators!$I$43:$U$43,0)))</f>
        <v>0</v>
      </c>
      <c r="AU30" s="6">
        <f>IF($R30="",0,$J30*$AD30*INDEX(Act_Type_Repex_Splits,MATCH($I30,Act_Type_Repex,0),MATCH(AU$5,Mat_Type,0))*INDEX(Escalators!$I$44:$U$49,MATCH(AU$5,Escalators!$C$44:$C$49,0),MATCH(AU$6,Escalators!$I$43:$U$43,0)))</f>
        <v>0</v>
      </c>
      <c r="AV30" s="47">
        <f t="shared" si="17"/>
        <v>0</v>
      </c>
      <c r="AW30" s="47">
        <f>IF($R30="",0,$K30*$AD30*INDEX(Act_Type_Repex_Splits,MATCH($I30,Act_Type_Repex,0),MATCH(AW$5,Mat_Type,0))*INDEX(Escalators!$I$44:$U$49,MATCH(AW$5,Escalators!$C$44:$C$49,0),MATCH(AW$6,Escalators!$I$43:$U$43,0)))</f>
        <v>0</v>
      </c>
      <c r="AX30" s="47">
        <f>IF($R30="",0,$K30*$AD30*INDEX(Act_Type_Repex_Splits,MATCH($I30,Act_Type_Repex,0),MATCH(AX$5,Mat_Type,0))*INDEX(Escalators!$I$44:$U$49,MATCH(AX$5,Escalators!$C$44:$C$49,0),MATCH(AX$6,Escalators!$I$43:$U$43,0)))</f>
        <v>0</v>
      </c>
      <c r="AY30" s="47">
        <f>IF($R30="",0,$K30*$AD30*INDEX(Act_Type_Repex_Splits,MATCH($I30,Act_Type_Repex,0),MATCH(AY$5,Mat_Type,0))*INDEX(Escalators!$I$44:$U$49,MATCH(AY$5,Escalators!$C$44:$C$49,0),MATCH(AY$6,Escalators!$I$43:$U$43,0)))</f>
        <v>0</v>
      </c>
      <c r="AZ30" s="47">
        <f>IF($R30="",0,$K30*$AD30*INDEX(Act_Type_Repex_Splits,MATCH($I30,Act_Type_Repex,0),MATCH(AZ$5,Mat_Type,0))*INDEX(Escalators!$I$44:$U$49,MATCH(AZ$5,Escalators!$C$44:$C$49,0),MATCH(AZ$6,Escalators!$I$43:$U$43,0)))</f>
        <v>0</v>
      </c>
      <c r="BA30" s="47">
        <f>IF($R30="",0,$K30*$AD30*INDEX(Act_Type_Repex_Splits,MATCH($I30,Act_Type_Repex,0),MATCH(BA$5,Mat_Type,0))*INDEX(Escalators!$I$44:$U$49,MATCH(BA$5,Escalators!$C$44:$C$49,0),MATCH(BA$6,Escalators!$I$43:$U$43,0)))</f>
        <v>0</v>
      </c>
      <c r="BB30" s="47">
        <f t="shared" si="18"/>
        <v>0</v>
      </c>
      <c r="BC30" s="47">
        <f>IF($R30="",0,$L30*$AD30*INDEX(Act_Type_Repex_Splits,MATCH($I30,Act_Type_Repex,0),MATCH(BC$5,Mat_Type,0))*INDEX(Escalators!$I$44:$U$49,MATCH(BC$5,Escalators!$C$44:$C$49,0),MATCH(BC$6,Escalators!$I$43:$U$43,0)))</f>
        <v>0</v>
      </c>
      <c r="BD30" s="47">
        <f>IF($R30="",0,$L30*$AD30*INDEX(Act_Type_Repex_Splits,MATCH($I30,Act_Type_Repex,0),MATCH(BD$5,Mat_Type,0))*INDEX(Escalators!$I$44:$U$49,MATCH(BD$5,Escalators!$C$44:$C$49,0),MATCH(BD$6,Escalators!$I$43:$U$43,0)))</f>
        <v>0</v>
      </c>
      <c r="BE30" s="47">
        <f>IF($R30="",0,$L30*$AD30*INDEX(Act_Type_Repex_Splits,MATCH($I30,Act_Type_Repex,0),MATCH(BE$5,Mat_Type,0))*INDEX(Escalators!$I$44:$U$49,MATCH(BE$5,Escalators!$C$44:$C$49,0),MATCH(BE$6,Escalators!$I$43:$U$43,0)))</f>
        <v>0</v>
      </c>
      <c r="BF30" s="47">
        <f>IF($R30="",0,$L30*$AD30*INDEX(Act_Type_Repex_Splits,MATCH($I30,Act_Type_Repex,0),MATCH(BF$5,Mat_Type,0))*INDEX(Escalators!$I$44:$U$49,MATCH(BF$5,Escalators!$C$44:$C$49,0),MATCH(BF$6,Escalators!$I$43:$U$43,0)))</f>
        <v>0</v>
      </c>
      <c r="BG30" s="47">
        <f>IF($R30="",0,$L30*$AD30*INDEX(Act_Type_Repex_Splits,MATCH($I30,Act_Type_Repex,0),MATCH(BG$5,Mat_Type,0))*INDEX(Escalators!$I$44:$U$49,MATCH(BG$5,Escalators!$C$44:$C$49,0),MATCH(BG$6,Escalators!$I$43:$U$43,0)))</f>
        <v>0</v>
      </c>
      <c r="BH30" s="47">
        <f t="shared" si="19"/>
        <v>0</v>
      </c>
      <c r="BI30" s="47">
        <f>IF($R30="",0,$M30*$AD30*INDEX(Act_Type_Repex_Splits,MATCH($I30,Act_Type_Repex,0),MATCH(BI$5,Mat_Type,0))*INDEX(Escalators!$I$44:$U$49,MATCH(BI$5,Escalators!$C$44:$C$49,0),MATCH(BI$6,Escalators!$I$43:$U$43,0)))</f>
        <v>0</v>
      </c>
      <c r="BJ30" s="47">
        <f>IF($R30="",0,$M30*$AD30*INDEX(Act_Type_Repex_Splits,MATCH($I30,Act_Type_Repex,0),MATCH(BJ$5,Mat_Type,0))*INDEX(Escalators!$I$44:$U$49,MATCH(BJ$5,Escalators!$C$44:$C$49,0),MATCH(BJ$6,Escalators!$I$43:$U$43,0)))</f>
        <v>0</v>
      </c>
      <c r="BK30" s="47">
        <f>IF($R30="",0,$M30*$AD30*INDEX(Act_Type_Repex_Splits,MATCH($I30,Act_Type_Repex,0),MATCH(BK$5,Mat_Type,0))*INDEX(Escalators!$I$44:$U$49,MATCH(BK$5,Escalators!$C$44:$C$49,0),MATCH(BK$6,Escalators!$I$43:$U$43,0)))</f>
        <v>0</v>
      </c>
      <c r="BL30" s="47">
        <f>IF($R30="",0,$M30*$AD30*INDEX(Act_Type_Repex_Splits,MATCH($I30,Act_Type_Repex,0),MATCH(BL$5,Mat_Type,0))*INDEX(Escalators!$I$44:$U$49,MATCH(BL$5,Escalators!$C$44:$C$49,0),MATCH(BL$6,Escalators!$I$43:$U$43,0)))</f>
        <v>0</v>
      </c>
      <c r="BM30" s="47">
        <f>IF($R30="",0,$M30*$AD30*INDEX(Act_Type_Repex_Splits,MATCH($I30,Act_Type_Repex,0),MATCH(BM$5,Mat_Type,0))*INDEX(Escalators!$I$44:$U$49,MATCH(BM$5,Escalators!$C$44:$C$49,0),MATCH(BM$6,Escalators!$I$43:$U$43,0)))</f>
        <v>0</v>
      </c>
      <c r="BN30" s="47">
        <f t="shared" si="20"/>
        <v>0</v>
      </c>
      <c r="BO30" s="47">
        <f>IF($R30="",0,$N30*$AD30*INDEX(Act_Type_Repex_Splits,MATCH($I30,Act_Type_Repex,0),MATCH(BO$5,Mat_Type,0))*INDEX(Escalators!$I$44:$U$49,MATCH(BO$5,Escalators!$C$44:$C$49,0),MATCH(BO$6,Escalators!$I$43:$U$43,0)))</f>
        <v>0</v>
      </c>
      <c r="BP30" s="47">
        <f>IF($R30="",0,$N30*$AD30*INDEX(Act_Type_Repex_Splits,MATCH($I30,Act_Type_Repex,0),MATCH(BP$5,Mat_Type,0))*INDEX(Escalators!$I$44:$U$49,MATCH(BP$5,Escalators!$C$44:$C$49,0),MATCH(BP$6,Escalators!$I$43:$U$43,0)))</f>
        <v>0</v>
      </c>
      <c r="BQ30" s="47">
        <f>IF($R30="",0,$N30*$AD30*INDEX(Act_Type_Repex_Splits,MATCH($I30,Act_Type_Repex,0),MATCH(BQ$5,Mat_Type,0))*INDEX(Escalators!$I$44:$U$49,MATCH(BQ$5,Escalators!$C$44:$C$49,0),MATCH(BQ$6,Escalators!$I$43:$U$43,0)))</f>
        <v>0</v>
      </c>
      <c r="BR30" s="47">
        <f>IF($R30="",0,$N30*$AD30*INDEX(Act_Type_Repex_Splits,MATCH($I30,Act_Type_Repex,0),MATCH(BR$5,Mat_Type,0))*INDEX(Escalators!$I$44:$U$49,MATCH(BR$5,Escalators!$C$44:$C$49,0),MATCH(BR$6,Escalators!$I$43:$U$43,0)))</f>
        <v>0</v>
      </c>
      <c r="BS30" s="47">
        <f>IF($R30="",0,$N30*$AD30*INDEX(Act_Type_Repex_Splits,MATCH($I30,Act_Type_Repex,0),MATCH(BS$5,Mat_Type,0))*INDEX(Escalators!$I$44:$U$49,MATCH(BS$5,Escalators!$C$44:$C$49,0),MATCH(BS$6,Escalators!$I$43:$U$43,0)))</f>
        <v>0</v>
      </c>
      <c r="BT30" s="47">
        <f t="shared" si="21"/>
        <v>0</v>
      </c>
      <c r="BU30" s="47">
        <f>IF($R30="",0,$O30*$AD30*INDEX(Act_Type_Repex_Splits,MATCH($I30,Act_Type_Repex,0),MATCH(BU$5,Mat_Type,0))*INDEX(Escalators!$I$44:$U$49,MATCH(BU$5,Escalators!$C$44:$C$49,0),MATCH(BU$6,Escalators!$I$43:$U$43,0)))</f>
        <v>0</v>
      </c>
      <c r="BV30" s="47">
        <f>IF($R30="",0,$O30*$AD30*INDEX(Act_Type_Repex_Splits,MATCH($I30,Act_Type_Repex,0),MATCH(BV$5,Mat_Type,0))*INDEX(Escalators!$I$44:$U$49,MATCH(BV$5,Escalators!$C$44:$C$49,0),MATCH(BV$6,Escalators!$I$43:$U$43,0)))</f>
        <v>0</v>
      </c>
      <c r="BW30" s="47">
        <f>IF($R30="",0,$O30*$AD30*INDEX(Act_Type_Repex_Splits,MATCH($I30,Act_Type_Repex,0),MATCH(BW$5,Mat_Type,0))*INDEX(Escalators!$I$44:$U$49,MATCH(BW$5,Escalators!$C$44:$C$49,0),MATCH(BW$6,Escalators!$I$43:$U$43,0)))</f>
        <v>0</v>
      </c>
      <c r="BX30" s="47">
        <f>IF($R30="",0,$O30*$AD30*INDEX(Act_Type_Repex_Splits,MATCH($I30,Act_Type_Repex,0),MATCH(BX$5,Mat_Type,0))*INDEX(Escalators!$I$44:$U$49,MATCH(BX$5,Escalators!$C$44:$C$49,0),MATCH(BX$6,Escalators!$I$43:$U$43,0)))</f>
        <v>0</v>
      </c>
      <c r="BY30" s="47">
        <f>IF($R30="",0,$O30*$AD30*INDEX(Act_Type_Repex_Splits,MATCH($I30,Act_Type_Repex,0),MATCH(BY$5,Mat_Type,0))*INDEX(Escalators!$I$44:$U$49,MATCH(BY$5,Escalators!$C$44:$C$49,0),MATCH(BY$6,Escalators!$I$43:$U$43,0)))</f>
        <v>0</v>
      </c>
      <c r="BZ30" s="47">
        <f t="shared" si="22"/>
        <v>0</v>
      </c>
      <c r="CA30" s="47">
        <f>IF($R30="",0,$P30*$AD30*INDEX(Act_Type_Repex_Splits,MATCH($I30,Act_Type_Repex,0),MATCH(CA$5,Mat_Type,0))*INDEX(Escalators!$I$44:$U$49,MATCH(CA$5,Escalators!$C$44:$C$49,0),MATCH(CA$6,Escalators!$I$43:$U$43,0)))</f>
        <v>0</v>
      </c>
      <c r="CB30" s="47">
        <f>IF($R30="",0,$P30*$AD30*INDEX(Act_Type_Repex_Splits,MATCH($I30,Act_Type_Repex,0),MATCH(CB$5,Mat_Type,0))*INDEX(Escalators!$I$44:$U$49,MATCH(CB$5,Escalators!$C$44:$C$49,0),MATCH(CB$6,Escalators!$I$43:$U$43,0)))</f>
        <v>0</v>
      </c>
      <c r="CC30" s="47">
        <f>IF($R30="",0,$P30*$AD30*INDEX(Act_Type_Repex_Splits,MATCH($I30,Act_Type_Repex,0),MATCH(CC$5,Mat_Type,0))*INDEX(Escalators!$I$44:$U$49,MATCH(CC$5,Escalators!$C$44:$C$49,0),MATCH(CC$6,Escalators!$I$43:$U$43,0)))</f>
        <v>0</v>
      </c>
      <c r="CD30" s="47">
        <f>IF($R30="",0,$P30*$AD30*INDEX(Act_Type_Repex_Splits,MATCH($I30,Act_Type_Repex,0),MATCH(CD$5,Mat_Type,0))*INDEX(Escalators!$I$44:$U$49,MATCH(CD$5,Escalators!$C$44:$C$49,0),MATCH(CD$6,Escalators!$I$43:$U$43,0)))</f>
        <v>0</v>
      </c>
      <c r="CE30" s="47">
        <f>IF($R30="",0,$P30*$AD30*INDEX(Act_Type_Repex_Splits,MATCH($I30,Act_Type_Repex,0),MATCH(CE$5,Mat_Type,0))*INDEX(Escalators!$I$44:$U$49,MATCH(CE$5,Escalators!$C$44:$C$49,0),MATCH(CE$6,Escalators!$I$43:$U$43,0)))</f>
        <v>0</v>
      </c>
      <c r="CF30" s="47">
        <f t="shared" si="23"/>
        <v>0</v>
      </c>
      <c r="CG30" s="47">
        <f>IF($R30="",0,$Q30*$AD30*INDEX(Act_Type_Repex_Splits,MATCH($I30,Act_Type_Repex,0),MATCH(CG$5,Mat_Type,0))*INDEX(Escalators!$I$44:$U$49,MATCH(CG$5,Escalators!$C$44:$C$49,0),MATCH(CG$6,Escalators!$I$43:$U$43,0)))</f>
        <v>0</v>
      </c>
      <c r="CH30" s="47">
        <f>IF($R30="",0,$Q30*$AD30*INDEX(Act_Type_Repex_Splits,MATCH($I30,Act_Type_Repex,0),MATCH(CH$5,Mat_Type,0))*INDEX(Escalators!$I$44:$U$49,MATCH(CH$5,Escalators!$C$44:$C$49,0),MATCH(CH$6,Escalators!$I$43:$U$43,0)))</f>
        <v>0</v>
      </c>
      <c r="CI30" s="47">
        <f>IF($R30="",0,$Q30*$AD30*INDEX(Act_Type_Repex_Splits,MATCH($I30,Act_Type_Repex,0),MATCH(CI$5,Mat_Type,0))*INDEX(Escalators!$I$44:$U$49,MATCH(CI$5,Escalators!$C$44:$C$49,0),MATCH(CI$6,Escalators!$I$43:$U$43,0)))</f>
        <v>0</v>
      </c>
      <c r="CJ30" s="47">
        <f>IF($R30="",0,$Q30*$AD30*INDEX(Act_Type_Repex_Splits,MATCH($I30,Act_Type_Repex,0),MATCH(CJ$5,Mat_Type,0))*INDEX(Escalators!$I$44:$U$49,MATCH(CJ$5,Escalators!$C$44:$C$49,0),MATCH(CJ$6,Escalators!$I$43:$U$43,0)))</f>
        <v>0</v>
      </c>
      <c r="CK30" s="47">
        <f>IF($R30="",0,$Q30*$AD30*INDEX(Act_Type_Repex_Splits,MATCH($I30,Act_Type_Repex,0),MATCH(CK$5,Mat_Type,0))*INDEX(Escalators!$I$44:$U$49,MATCH(CK$5,Escalators!$C$44:$C$49,0),MATCH(CK$6,Escalators!$I$43:$U$43,0)))</f>
        <v>0</v>
      </c>
      <c r="CL30" s="47">
        <f t="shared" si="24"/>
        <v>0</v>
      </c>
      <c r="CN30" s="47">
        <f>IF($R30="",0,J30*$AE30*HLOOKUP(CN$6,Escalators!$I$25:$U$30,6,FALSE))</f>
        <v>0</v>
      </c>
      <c r="CO30" s="47">
        <f>IF($R30="",0,K30*$AE30*HLOOKUP(CO$6,Escalators!$I$25:$U$30,6,FALSE))</f>
        <v>0</v>
      </c>
      <c r="CP30" s="47">
        <f>IF($R30="",0,L30*$AE30*HLOOKUP(CP$6,Escalators!$I$25:$U$30,6,FALSE))</f>
        <v>0</v>
      </c>
      <c r="CQ30" s="47">
        <f>IF($R30="",0,M30*$AE30*HLOOKUP(CQ$6,Escalators!$I$25:$U$30,6,FALSE))</f>
        <v>0</v>
      </c>
      <c r="CR30" s="47">
        <f>IF($R30="",0,N30*$AE30*HLOOKUP(CR$6,Escalators!$I$25:$U$30,6,FALSE))</f>
        <v>0</v>
      </c>
      <c r="CS30" s="47">
        <f>IF($R30="",0,O30*$AE30*HLOOKUP(CS$6,Escalators!$I$25:$U$30,6,FALSE))</f>
        <v>0</v>
      </c>
      <c r="CT30" s="47">
        <f>IF($R30="",0,P30*$AE30*HLOOKUP(CT$6,Escalators!$I$25:$U$30,6,FALSE))</f>
        <v>0</v>
      </c>
      <c r="CU30" s="47">
        <f>IF($R30="",0,Q30*$AE30*HLOOKUP(CU$6,Escalators!$I$25:$U$30,6,FALSE))</f>
        <v>0</v>
      </c>
      <c r="CW30" s="82">
        <f t="shared" si="25"/>
        <v>0</v>
      </c>
      <c r="CX30" s="82">
        <f t="shared" si="26"/>
        <v>0</v>
      </c>
      <c r="CY30" s="82">
        <f t="shared" si="27"/>
        <v>0</v>
      </c>
      <c r="CZ30" s="82">
        <f t="shared" si="28"/>
        <v>0</v>
      </c>
      <c r="DA30" s="82">
        <f t="shared" si="29"/>
        <v>0</v>
      </c>
      <c r="DB30" s="82">
        <f t="shared" si="30"/>
        <v>0</v>
      </c>
      <c r="DC30" s="82">
        <f t="shared" si="31"/>
        <v>0</v>
      </c>
      <c r="DD30" s="82">
        <f t="shared" si="32"/>
        <v>0</v>
      </c>
      <c r="DF30" s="47">
        <f t="shared" si="33"/>
        <v>0</v>
      </c>
      <c r="DG30" s="47">
        <f t="shared" si="34"/>
        <v>0</v>
      </c>
      <c r="DH30" s="47">
        <f t="shared" si="35"/>
        <v>0</v>
      </c>
      <c r="DI30" s="47">
        <f t="shared" si="36"/>
        <v>0</v>
      </c>
      <c r="DJ30" s="47">
        <f t="shared" si="37"/>
        <v>0</v>
      </c>
      <c r="DK30" s="47">
        <f t="shared" si="38"/>
        <v>0</v>
      </c>
      <c r="DL30" s="47">
        <f t="shared" si="39"/>
        <v>0</v>
      </c>
      <c r="DM30" s="47">
        <f t="shared" si="40"/>
        <v>0</v>
      </c>
      <c r="DO30" s="39"/>
    </row>
    <row r="31" spans="2:119">
      <c r="B31" s="7"/>
      <c r="C31" s="7"/>
      <c r="D31" s="7"/>
      <c r="E31" s="7"/>
      <c r="F31" s="7"/>
      <c r="G31" s="7"/>
      <c r="H31" s="7"/>
      <c r="I31" s="7"/>
      <c r="J31" s="7"/>
      <c r="K31" s="7"/>
      <c r="L31" s="7"/>
      <c r="M31" s="7"/>
      <c r="N31" s="7"/>
      <c r="O31" s="7"/>
      <c r="P31" s="7"/>
      <c r="Q31" s="7"/>
      <c r="R31" s="46"/>
      <c r="T31" s="47">
        <f t="shared" si="8"/>
        <v>0</v>
      </c>
      <c r="U31" s="47">
        <f t="shared" si="9"/>
        <v>0</v>
      </c>
      <c r="V31" s="47">
        <f t="shared" si="10"/>
        <v>0</v>
      </c>
      <c r="W31" s="47">
        <f t="shared" si="11"/>
        <v>0</v>
      </c>
      <c r="X31" s="47">
        <f t="shared" si="12"/>
        <v>0</v>
      </c>
      <c r="Y31" s="47">
        <f t="shared" si="13"/>
        <v>0</v>
      </c>
      <c r="Z31" s="47">
        <f t="shared" si="14"/>
        <v>0</v>
      </c>
      <c r="AA31" s="47">
        <f t="shared" si="15"/>
        <v>0</v>
      </c>
      <c r="AC31" s="82">
        <f t="shared" si="16"/>
        <v>0</v>
      </c>
      <c r="AD31" s="82">
        <f t="shared" si="16"/>
        <v>0</v>
      </c>
      <c r="AE31" s="82">
        <f t="shared" si="16"/>
        <v>0</v>
      </c>
      <c r="AF31" s="82">
        <f t="shared" si="16"/>
        <v>0</v>
      </c>
      <c r="AH31" s="47">
        <f>IF($R31="",0,J31*$AC31*HLOOKUP(AH$6,Escalators!$I$25:$U$30,3,FALSE))</f>
        <v>0</v>
      </c>
      <c r="AI31" s="47">
        <f>IF($R31="",0,K31*$AC31*HLOOKUP(AI$6,Escalators!$I$25:$U$30,3,FALSE))</f>
        <v>0</v>
      </c>
      <c r="AJ31" s="47">
        <f>IF($R31="",0,L31*$AC31*HLOOKUP(AJ$6,Escalators!$I$25:$U$30,3,FALSE))</f>
        <v>0</v>
      </c>
      <c r="AK31" s="47">
        <f>IF($R31="",0,M31*$AC31*HLOOKUP(AK$6,Escalators!$I$25:$U$30,3,FALSE))</f>
        <v>0</v>
      </c>
      <c r="AL31" s="47">
        <f>IF($R31="",0,N31*$AC31*HLOOKUP(AL$6,Escalators!$I$25:$U$30,3,FALSE))</f>
        <v>0</v>
      </c>
      <c r="AM31" s="47">
        <f>IF($R31="",0,O31*$AC31*HLOOKUP(AM$6,Escalators!$I$25:$U$30,3,FALSE))</f>
        <v>0</v>
      </c>
      <c r="AN31" s="47">
        <f>IF($R31="",0,P31*$AC31*HLOOKUP(AN$6,Escalators!$I$25:$U$30,3,FALSE))</f>
        <v>0</v>
      </c>
      <c r="AO31" s="47">
        <f>IF($R31="",0,Q31*$AC31*HLOOKUP(AO$6,Escalators!$I$25:$U$30,3,FALSE))</f>
        <v>0</v>
      </c>
      <c r="AQ31" s="6">
        <f>IF($R31="",0,$J31*$AD31*INDEX(Act_Type_Repex_Splits,MATCH($I31,Act_Type_Repex,0),MATCH(AQ$5,Mat_Type,0))*INDEX(Escalators!$I$44:$U$49,MATCH(AQ$5,Escalators!$C$44:$C$49,0),MATCH(AQ$6,Escalators!$I$43:$U$43,0)))</f>
        <v>0</v>
      </c>
      <c r="AR31" s="6">
        <f>IF($R31="",0,$J31*$AD31*INDEX(Act_Type_Repex_Splits,MATCH($I31,Act_Type_Repex,0),MATCH(AR$5,Mat_Type,0))*INDEX(Escalators!$I$44:$U$49,MATCH(AR$5,Escalators!$C$44:$C$49,0),MATCH(AR$6,Escalators!$I$43:$U$43,0)))</f>
        <v>0</v>
      </c>
      <c r="AS31" s="6">
        <f>IF($R31="",0,$J31*$AD31*INDEX(Act_Type_Repex_Splits,MATCH($I31,Act_Type_Repex,0),MATCH(AS$5,Mat_Type,0))*INDEX(Escalators!$I$44:$U$49,MATCH(AS$5,Escalators!$C$44:$C$49,0),MATCH(AS$6,Escalators!$I$43:$U$43,0)))</f>
        <v>0</v>
      </c>
      <c r="AT31" s="6">
        <f>IF($R31="",0,$J31*$AD31*INDEX(Act_Type_Repex_Splits,MATCH($I31,Act_Type_Repex,0),MATCH(AT$5,Mat_Type,0))*INDEX(Escalators!$I$44:$U$49,MATCH(AT$5,Escalators!$C$44:$C$49,0),MATCH(AT$6,Escalators!$I$43:$U$43,0)))</f>
        <v>0</v>
      </c>
      <c r="AU31" s="6">
        <f>IF($R31="",0,$J31*$AD31*INDEX(Act_Type_Repex_Splits,MATCH($I31,Act_Type_Repex,0),MATCH(AU$5,Mat_Type,0))*INDEX(Escalators!$I$44:$U$49,MATCH(AU$5,Escalators!$C$44:$C$49,0),MATCH(AU$6,Escalators!$I$43:$U$43,0)))</f>
        <v>0</v>
      </c>
      <c r="AV31" s="47">
        <f t="shared" si="17"/>
        <v>0</v>
      </c>
      <c r="AW31" s="47">
        <f>IF($R31="",0,$K31*$AD31*INDEX(Act_Type_Repex_Splits,MATCH($I31,Act_Type_Repex,0),MATCH(AW$5,Mat_Type,0))*INDEX(Escalators!$I$44:$U$49,MATCH(AW$5,Escalators!$C$44:$C$49,0),MATCH(AW$6,Escalators!$I$43:$U$43,0)))</f>
        <v>0</v>
      </c>
      <c r="AX31" s="47">
        <f>IF($R31="",0,$K31*$AD31*INDEX(Act_Type_Repex_Splits,MATCH($I31,Act_Type_Repex,0),MATCH(AX$5,Mat_Type,0))*INDEX(Escalators!$I$44:$U$49,MATCH(AX$5,Escalators!$C$44:$C$49,0),MATCH(AX$6,Escalators!$I$43:$U$43,0)))</f>
        <v>0</v>
      </c>
      <c r="AY31" s="47">
        <f>IF($R31="",0,$K31*$AD31*INDEX(Act_Type_Repex_Splits,MATCH($I31,Act_Type_Repex,0),MATCH(AY$5,Mat_Type,0))*INDEX(Escalators!$I$44:$U$49,MATCH(AY$5,Escalators!$C$44:$C$49,0),MATCH(AY$6,Escalators!$I$43:$U$43,0)))</f>
        <v>0</v>
      </c>
      <c r="AZ31" s="47">
        <f>IF($R31="",0,$K31*$AD31*INDEX(Act_Type_Repex_Splits,MATCH($I31,Act_Type_Repex,0),MATCH(AZ$5,Mat_Type,0))*INDEX(Escalators!$I$44:$U$49,MATCH(AZ$5,Escalators!$C$44:$C$49,0),MATCH(AZ$6,Escalators!$I$43:$U$43,0)))</f>
        <v>0</v>
      </c>
      <c r="BA31" s="47">
        <f>IF($R31="",0,$K31*$AD31*INDEX(Act_Type_Repex_Splits,MATCH($I31,Act_Type_Repex,0),MATCH(BA$5,Mat_Type,0))*INDEX(Escalators!$I$44:$U$49,MATCH(BA$5,Escalators!$C$44:$C$49,0),MATCH(BA$6,Escalators!$I$43:$U$43,0)))</f>
        <v>0</v>
      </c>
      <c r="BB31" s="47">
        <f t="shared" si="18"/>
        <v>0</v>
      </c>
      <c r="BC31" s="47">
        <f>IF($R31="",0,$L31*$AD31*INDEX(Act_Type_Repex_Splits,MATCH($I31,Act_Type_Repex,0),MATCH(BC$5,Mat_Type,0))*INDEX(Escalators!$I$44:$U$49,MATCH(BC$5,Escalators!$C$44:$C$49,0),MATCH(BC$6,Escalators!$I$43:$U$43,0)))</f>
        <v>0</v>
      </c>
      <c r="BD31" s="47">
        <f>IF($R31="",0,$L31*$AD31*INDEX(Act_Type_Repex_Splits,MATCH($I31,Act_Type_Repex,0),MATCH(BD$5,Mat_Type,0))*INDEX(Escalators!$I$44:$U$49,MATCH(BD$5,Escalators!$C$44:$C$49,0),MATCH(BD$6,Escalators!$I$43:$U$43,0)))</f>
        <v>0</v>
      </c>
      <c r="BE31" s="47">
        <f>IF($R31="",0,$L31*$AD31*INDEX(Act_Type_Repex_Splits,MATCH($I31,Act_Type_Repex,0),MATCH(BE$5,Mat_Type,0))*INDEX(Escalators!$I$44:$U$49,MATCH(BE$5,Escalators!$C$44:$C$49,0),MATCH(BE$6,Escalators!$I$43:$U$43,0)))</f>
        <v>0</v>
      </c>
      <c r="BF31" s="47">
        <f>IF($R31="",0,$L31*$AD31*INDEX(Act_Type_Repex_Splits,MATCH($I31,Act_Type_Repex,0),MATCH(BF$5,Mat_Type,0))*INDEX(Escalators!$I$44:$U$49,MATCH(BF$5,Escalators!$C$44:$C$49,0),MATCH(BF$6,Escalators!$I$43:$U$43,0)))</f>
        <v>0</v>
      </c>
      <c r="BG31" s="47">
        <f>IF($R31="",0,$L31*$AD31*INDEX(Act_Type_Repex_Splits,MATCH($I31,Act_Type_Repex,0),MATCH(BG$5,Mat_Type,0))*INDEX(Escalators!$I$44:$U$49,MATCH(BG$5,Escalators!$C$44:$C$49,0),MATCH(BG$6,Escalators!$I$43:$U$43,0)))</f>
        <v>0</v>
      </c>
      <c r="BH31" s="47">
        <f t="shared" si="19"/>
        <v>0</v>
      </c>
      <c r="BI31" s="47">
        <f>IF($R31="",0,$M31*$AD31*INDEX(Act_Type_Repex_Splits,MATCH($I31,Act_Type_Repex,0),MATCH(BI$5,Mat_Type,0))*INDEX(Escalators!$I$44:$U$49,MATCH(BI$5,Escalators!$C$44:$C$49,0),MATCH(BI$6,Escalators!$I$43:$U$43,0)))</f>
        <v>0</v>
      </c>
      <c r="BJ31" s="47">
        <f>IF($R31="",0,$M31*$AD31*INDEX(Act_Type_Repex_Splits,MATCH($I31,Act_Type_Repex,0),MATCH(BJ$5,Mat_Type,0))*INDEX(Escalators!$I$44:$U$49,MATCH(BJ$5,Escalators!$C$44:$C$49,0),MATCH(BJ$6,Escalators!$I$43:$U$43,0)))</f>
        <v>0</v>
      </c>
      <c r="BK31" s="47">
        <f>IF($R31="",0,$M31*$AD31*INDEX(Act_Type_Repex_Splits,MATCH($I31,Act_Type_Repex,0),MATCH(BK$5,Mat_Type,0))*INDEX(Escalators!$I$44:$U$49,MATCH(BK$5,Escalators!$C$44:$C$49,0),MATCH(BK$6,Escalators!$I$43:$U$43,0)))</f>
        <v>0</v>
      </c>
      <c r="BL31" s="47">
        <f>IF($R31="",0,$M31*$AD31*INDEX(Act_Type_Repex_Splits,MATCH($I31,Act_Type_Repex,0),MATCH(BL$5,Mat_Type,0))*INDEX(Escalators!$I$44:$U$49,MATCH(BL$5,Escalators!$C$44:$C$49,0),MATCH(BL$6,Escalators!$I$43:$U$43,0)))</f>
        <v>0</v>
      </c>
      <c r="BM31" s="47">
        <f>IF($R31="",0,$M31*$AD31*INDEX(Act_Type_Repex_Splits,MATCH($I31,Act_Type_Repex,0),MATCH(BM$5,Mat_Type,0))*INDEX(Escalators!$I$44:$U$49,MATCH(BM$5,Escalators!$C$44:$C$49,0),MATCH(BM$6,Escalators!$I$43:$U$43,0)))</f>
        <v>0</v>
      </c>
      <c r="BN31" s="47">
        <f t="shared" si="20"/>
        <v>0</v>
      </c>
      <c r="BO31" s="47">
        <f>IF($R31="",0,$N31*$AD31*INDEX(Act_Type_Repex_Splits,MATCH($I31,Act_Type_Repex,0),MATCH(BO$5,Mat_Type,0))*INDEX(Escalators!$I$44:$U$49,MATCH(BO$5,Escalators!$C$44:$C$49,0),MATCH(BO$6,Escalators!$I$43:$U$43,0)))</f>
        <v>0</v>
      </c>
      <c r="BP31" s="47">
        <f>IF($R31="",0,$N31*$AD31*INDEX(Act_Type_Repex_Splits,MATCH($I31,Act_Type_Repex,0),MATCH(BP$5,Mat_Type,0))*INDEX(Escalators!$I$44:$U$49,MATCH(BP$5,Escalators!$C$44:$C$49,0),MATCH(BP$6,Escalators!$I$43:$U$43,0)))</f>
        <v>0</v>
      </c>
      <c r="BQ31" s="47">
        <f>IF($R31="",0,$N31*$AD31*INDEX(Act_Type_Repex_Splits,MATCH($I31,Act_Type_Repex,0),MATCH(BQ$5,Mat_Type,0))*INDEX(Escalators!$I$44:$U$49,MATCH(BQ$5,Escalators!$C$44:$C$49,0),MATCH(BQ$6,Escalators!$I$43:$U$43,0)))</f>
        <v>0</v>
      </c>
      <c r="BR31" s="47">
        <f>IF($R31="",0,$N31*$AD31*INDEX(Act_Type_Repex_Splits,MATCH($I31,Act_Type_Repex,0),MATCH(BR$5,Mat_Type,0))*INDEX(Escalators!$I$44:$U$49,MATCH(BR$5,Escalators!$C$44:$C$49,0),MATCH(BR$6,Escalators!$I$43:$U$43,0)))</f>
        <v>0</v>
      </c>
      <c r="BS31" s="47">
        <f>IF($R31="",0,$N31*$AD31*INDEX(Act_Type_Repex_Splits,MATCH($I31,Act_Type_Repex,0),MATCH(BS$5,Mat_Type,0))*INDEX(Escalators!$I$44:$U$49,MATCH(BS$5,Escalators!$C$44:$C$49,0),MATCH(BS$6,Escalators!$I$43:$U$43,0)))</f>
        <v>0</v>
      </c>
      <c r="BT31" s="47">
        <f t="shared" si="21"/>
        <v>0</v>
      </c>
      <c r="BU31" s="47">
        <f>IF($R31="",0,$O31*$AD31*INDEX(Act_Type_Repex_Splits,MATCH($I31,Act_Type_Repex,0),MATCH(BU$5,Mat_Type,0))*INDEX(Escalators!$I$44:$U$49,MATCH(BU$5,Escalators!$C$44:$C$49,0),MATCH(BU$6,Escalators!$I$43:$U$43,0)))</f>
        <v>0</v>
      </c>
      <c r="BV31" s="47">
        <f>IF($R31="",0,$O31*$AD31*INDEX(Act_Type_Repex_Splits,MATCH($I31,Act_Type_Repex,0),MATCH(BV$5,Mat_Type,0))*INDEX(Escalators!$I$44:$U$49,MATCH(BV$5,Escalators!$C$44:$C$49,0),MATCH(BV$6,Escalators!$I$43:$U$43,0)))</f>
        <v>0</v>
      </c>
      <c r="BW31" s="47">
        <f>IF($R31="",0,$O31*$AD31*INDEX(Act_Type_Repex_Splits,MATCH($I31,Act_Type_Repex,0),MATCH(BW$5,Mat_Type,0))*INDEX(Escalators!$I$44:$U$49,MATCH(BW$5,Escalators!$C$44:$C$49,0),MATCH(BW$6,Escalators!$I$43:$U$43,0)))</f>
        <v>0</v>
      </c>
      <c r="BX31" s="47">
        <f>IF($R31="",0,$O31*$AD31*INDEX(Act_Type_Repex_Splits,MATCH($I31,Act_Type_Repex,0),MATCH(BX$5,Mat_Type,0))*INDEX(Escalators!$I$44:$U$49,MATCH(BX$5,Escalators!$C$44:$C$49,0),MATCH(BX$6,Escalators!$I$43:$U$43,0)))</f>
        <v>0</v>
      </c>
      <c r="BY31" s="47">
        <f>IF($R31="",0,$O31*$AD31*INDEX(Act_Type_Repex_Splits,MATCH($I31,Act_Type_Repex,0),MATCH(BY$5,Mat_Type,0))*INDEX(Escalators!$I$44:$U$49,MATCH(BY$5,Escalators!$C$44:$C$49,0),MATCH(BY$6,Escalators!$I$43:$U$43,0)))</f>
        <v>0</v>
      </c>
      <c r="BZ31" s="47">
        <f t="shared" si="22"/>
        <v>0</v>
      </c>
      <c r="CA31" s="47">
        <f>IF($R31="",0,$P31*$AD31*INDEX(Act_Type_Repex_Splits,MATCH($I31,Act_Type_Repex,0),MATCH(CA$5,Mat_Type,0))*INDEX(Escalators!$I$44:$U$49,MATCH(CA$5,Escalators!$C$44:$C$49,0),MATCH(CA$6,Escalators!$I$43:$U$43,0)))</f>
        <v>0</v>
      </c>
      <c r="CB31" s="47">
        <f>IF($R31="",0,$P31*$AD31*INDEX(Act_Type_Repex_Splits,MATCH($I31,Act_Type_Repex,0),MATCH(CB$5,Mat_Type,0))*INDEX(Escalators!$I$44:$U$49,MATCH(CB$5,Escalators!$C$44:$C$49,0),MATCH(CB$6,Escalators!$I$43:$U$43,0)))</f>
        <v>0</v>
      </c>
      <c r="CC31" s="47">
        <f>IF($R31="",0,$P31*$AD31*INDEX(Act_Type_Repex_Splits,MATCH($I31,Act_Type_Repex,0),MATCH(CC$5,Mat_Type,0))*INDEX(Escalators!$I$44:$U$49,MATCH(CC$5,Escalators!$C$44:$C$49,0),MATCH(CC$6,Escalators!$I$43:$U$43,0)))</f>
        <v>0</v>
      </c>
      <c r="CD31" s="47">
        <f>IF($R31="",0,$P31*$AD31*INDEX(Act_Type_Repex_Splits,MATCH($I31,Act_Type_Repex,0),MATCH(CD$5,Mat_Type,0))*INDEX(Escalators!$I$44:$U$49,MATCH(CD$5,Escalators!$C$44:$C$49,0),MATCH(CD$6,Escalators!$I$43:$U$43,0)))</f>
        <v>0</v>
      </c>
      <c r="CE31" s="47">
        <f>IF($R31="",0,$P31*$AD31*INDEX(Act_Type_Repex_Splits,MATCH($I31,Act_Type_Repex,0),MATCH(CE$5,Mat_Type,0))*INDEX(Escalators!$I$44:$U$49,MATCH(CE$5,Escalators!$C$44:$C$49,0),MATCH(CE$6,Escalators!$I$43:$U$43,0)))</f>
        <v>0</v>
      </c>
      <c r="CF31" s="47">
        <f t="shared" si="23"/>
        <v>0</v>
      </c>
      <c r="CG31" s="47">
        <f>IF($R31="",0,$Q31*$AD31*INDEX(Act_Type_Repex_Splits,MATCH($I31,Act_Type_Repex,0),MATCH(CG$5,Mat_Type,0))*INDEX(Escalators!$I$44:$U$49,MATCH(CG$5,Escalators!$C$44:$C$49,0),MATCH(CG$6,Escalators!$I$43:$U$43,0)))</f>
        <v>0</v>
      </c>
      <c r="CH31" s="47">
        <f>IF($R31="",0,$Q31*$AD31*INDEX(Act_Type_Repex_Splits,MATCH($I31,Act_Type_Repex,0),MATCH(CH$5,Mat_Type,0))*INDEX(Escalators!$I$44:$U$49,MATCH(CH$5,Escalators!$C$44:$C$49,0),MATCH(CH$6,Escalators!$I$43:$U$43,0)))</f>
        <v>0</v>
      </c>
      <c r="CI31" s="47">
        <f>IF($R31="",0,$Q31*$AD31*INDEX(Act_Type_Repex_Splits,MATCH($I31,Act_Type_Repex,0),MATCH(CI$5,Mat_Type,0))*INDEX(Escalators!$I$44:$U$49,MATCH(CI$5,Escalators!$C$44:$C$49,0),MATCH(CI$6,Escalators!$I$43:$U$43,0)))</f>
        <v>0</v>
      </c>
      <c r="CJ31" s="47">
        <f>IF($R31="",0,$Q31*$AD31*INDEX(Act_Type_Repex_Splits,MATCH($I31,Act_Type_Repex,0),MATCH(CJ$5,Mat_Type,0))*INDEX(Escalators!$I$44:$U$49,MATCH(CJ$5,Escalators!$C$44:$C$49,0),MATCH(CJ$6,Escalators!$I$43:$U$43,0)))</f>
        <v>0</v>
      </c>
      <c r="CK31" s="47">
        <f>IF($R31="",0,$Q31*$AD31*INDEX(Act_Type_Repex_Splits,MATCH($I31,Act_Type_Repex,0),MATCH(CK$5,Mat_Type,0))*INDEX(Escalators!$I$44:$U$49,MATCH(CK$5,Escalators!$C$44:$C$49,0),MATCH(CK$6,Escalators!$I$43:$U$43,0)))</f>
        <v>0</v>
      </c>
      <c r="CL31" s="47">
        <f t="shared" si="24"/>
        <v>0</v>
      </c>
      <c r="CN31" s="47">
        <f>IF($R31="",0,J31*$AE31*HLOOKUP(CN$6,Escalators!$I$25:$U$30,6,FALSE))</f>
        <v>0</v>
      </c>
      <c r="CO31" s="47">
        <f>IF($R31="",0,K31*$AE31*HLOOKUP(CO$6,Escalators!$I$25:$U$30,6,FALSE))</f>
        <v>0</v>
      </c>
      <c r="CP31" s="47">
        <f>IF($R31="",0,L31*$AE31*HLOOKUP(CP$6,Escalators!$I$25:$U$30,6,FALSE))</f>
        <v>0</v>
      </c>
      <c r="CQ31" s="47">
        <f>IF($R31="",0,M31*$AE31*HLOOKUP(CQ$6,Escalators!$I$25:$U$30,6,FALSE))</f>
        <v>0</v>
      </c>
      <c r="CR31" s="47">
        <f>IF($R31="",0,N31*$AE31*HLOOKUP(CR$6,Escalators!$I$25:$U$30,6,FALSE))</f>
        <v>0</v>
      </c>
      <c r="CS31" s="47">
        <f>IF($R31="",0,O31*$AE31*HLOOKUP(CS$6,Escalators!$I$25:$U$30,6,FALSE))</f>
        <v>0</v>
      </c>
      <c r="CT31" s="47">
        <f>IF($R31="",0,P31*$AE31*HLOOKUP(CT$6,Escalators!$I$25:$U$30,6,FALSE))</f>
        <v>0</v>
      </c>
      <c r="CU31" s="47">
        <f>IF($R31="",0,Q31*$AE31*HLOOKUP(CU$6,Escalators!$I$25:$U$30,6,FALSE))</f>
        <v>0</v>
      </c>
      <c r="CW31" s="82">
        <f t="shared" si="25"/>
        <v>0</v>
      </c>
      <c r="CX31" s="82">
        <f t="shared" si="26"/>
        <v>0</v>
      </c>
      <c r="CY31" s="82">
        <f t="shared" si="27"/>
        <v>0</v>
      </c>
      <c r="CZ31" s="82">
        <f t="shared" si="28"/>
        <v>0</v>
      </c>
      <c r="DA31" s="82">
        <f t="shared" si="29"/>
        <v>0</v>
      </c>
      <c r="DB31" s="82">
        <f t="shared" si="30"/>
        <v>0</v>
      </c>
      <c r="DC31" s="82">
        <f t="shared" si="31"/>
        <v>0</v>
      </c>
      <c r="DD31" s="82">
        <f t="shared" si="32"/>
        <v>0</v>
      </c>
      <c r="DF31" s="47">
        <f t="shared" si="33"/>
        <v>0</v>
      </c>
      <c r="DG31" s="47">
        <f t="shared" si="34"/>
        <v>0</v>
      </c>
      <c r="DH31" s="47">
        <f t="shared" si="35"/>
        <v>0</v>
      </c>
      <c r="DI31" s="47">
        <f t="shared" si="36"/>
        <v>0</v>
      </c>
      <c r="DJ31" s="47">
        <f t="shared" si="37"/>
        <v>0</v>
      </c>
      <c r="DK31" s="47">
        <f t="shared" si="38"/>
        <v>0</v>
      </c>
      <c r="DL31" s="47">
        <f t="shared" si="39"/>
        <v>0</v>
      </c>
      <c r="DM31" s="47">
        <f t="shared" si="40"/>
        <v>0</v>
      </c>
      <c r="DO31" s="39"/>
    </row>
    <row r="32" spans="2:119">
      <c r="B32" s="7"/>
      <c r="C32" s="7"/>
      <c r="D32" s="7"/>
      <c r="E32" s="7"/>
      <c r="F32" s="7"/>
      <c r="G32" s="7"/>
      <c r="H32" s="7"/>
      <c r="I32" s="7"/>
      <c r="J32" s="7"/>
      <c r="K32" s="7"/>
      <c r="L32" s="7"/>
      <c r="M32" s="7"/>
      <c r="N32" s="7"/>
      <c r="O32" s="7"/>
      <c r="P32" s="7"/>
      <c r="Q32" s="7"/>
      <c r="R32" s="46"/>
      <c r="T32" s="47">
        <f t="shared" si="8"/>
        <v>0</v>
      </c>
      <c r="U32" s="47">
        <f t="shared" si="9"/>
        <v>0</v>
      </c>
      <c r="V32" s="47">
        <f t="shared" si="10"/>
        <v>0</v>
      </c>
      <c r="W32" s="47">
        <f t="shared" si="11"/>
        <v>0</v>
      </c>
      <c r="X32" s="47">
        <f t="shared" si="12"/>
        <v>0</v>
      </c>
      <c r="Y32" s="47">
        <f t="shared" si="13"/>
        <v>0</v>
      </c>
      <c r="Z32" s="47">
        <f t="shared" si="14"/>
        <v>0</v>
      </c>
      <c r="AA32" s="47">
        <f t="shared" si="15"/>
        <v>0</v>
      </c>
      <c r="AC32" s="82">
        <f t="shared" si="16"/>
        <v>0</v>
      </c>
      <c r="AD32" s="82">
        <f t="shared" si="16"/>
        <v>0</v>
      </c>
      <c r="AE32" s="82">
        <f t="shared" si="16"/>
        <v>0</v>
      </c>
      <c r="AF32" s="82">
        <f t="shared" si="16"/>
        <v>0</v>
      </c>
      <c r="AH32" s="47">
        <f>IF($R32="",0,J32*$AC32*HLOOKUP(AH$6,Escalators!$I$25:$U$30,3,FALSE))</f>
        <v>0</v>
      </c>
      <c r="AI32" s="47">
        <f>IF($R32="",0,K32*$AC32*HLOOKUP(AI$6,Escalators!$I$25:$U$30,3,FALSE))</f>
        <v>0</v>
      </c>
      <c r="AJ32" s="47">
        <f>IF($R32="",0,L32*$AC32*HLOOKUP(AJ$6,Escalators!$I$25:$U$30,3,FALSE))</f>
        <v>0</v>
      </c>
      <c r="AK32" s="47">
        <f>IF($R32="",0,M32*$AC32*HLOOKUP(AK$6,Escalators!$I$25:$U$30,3,FALSE))</f>
        <v>0</v>
      </c>
      <c r="AL32" s="47">
        <f>IF($R32="",0,N32*$AC32*HLOOKUP(AL$6,Escalators!$I$25:$U$30,3,FALSE))</f>
        <v>0</v>
      </c>
      <c r="AM32" s="47">
        <f>IF($R32="",0,O32*$AC32*HLOOKUP(AM$6,Escalators!$I$25:$U$30,3,FALSE))</f>
        <v>0</v>
      </c>
      <c r="AN32" s="47">
        <f>IF($R32="",0,P32*$AC32*HLOOKUP(AN$6,Escalators!$I$25:$U$30,3,FALSE))</f>
        <v>0</v>
      </c>
      <c r="AO32" s="47">
        <f>IF($R32="",0,Q32*$AC32*HLOOKUP(AO$6,Escalators!$I$25:$U$30,3,FALSE))</f>
        <v>0</v>
      </c>
      <c r="AQ32" s="6">
        <f>IF($R32="",0,$J32*$AD32*INDEX(Act_Type_Repex_Splits,MATCH($I32,Act_Type_Repex,0),MATCH(AQ$5,Mat_Type,0))*INDEX(Escalators!$I$44:$U$49,MATCH(AQ$5,Escalators!$C$44:$C$49,0),MATCH(AQ$6,Escalators!$I$43:$U$43,0)))</f>
        <v>0</v>
      </c>
      <c r="AR32" s="6">
        <f>IF($R32="",0,$J32*$AD32*INDEX(Act_Type_Repex_Splits,MATCH($I32,Act_Type_Repex,0),MATCH(AR$5,Mat_Type,0))*INDEX(Escalators!$I$44:$U$49,MATCH(AR$5,Escalators!$C$44:$C$49,0),MATCH(AR$6,Escalators!$I$43:$U$43,0)))</f>
        <v>0</v>
      </c>
      <c r="AS32" s="6">
        <f>IF($R32="",0,$J32*$AD32*INDEX(Act_Type_Repex_Splits,MATCH($I32,Act_Type_Repex,0),MATCH(AS$5,Mat_Type,0))*INDEX(Escalators!$I$44:$U$49,MATCH(AS$5,Escalators!$C$44:$C$49,0),MATCH(AS$6,Escalators!$I$43:$U$43,0)))</f>
        <v>0</v>
      </c>
      <c r="AT32" s="6">
        <f>IF($R32="",0,$J32*$AD32*INDEX(Act_Type_Repex_Splits,MATCH($I32,Act_Type_Repex,0),MATCH(AT$5,Mat_Type,0))*INDEX(Escalators!$I$44:$U$49,MATCH(AT$5,Escalators!$C$44:$C$49,0),MATCH(AT$6,Escalators!$I$43:$U$43,0)))</f>
        <v>0</v>
      </c>
      <c r="AU32" s="6">
        <f>IF($R32="",0,$J32*$AD32*INDEX(Act_Type_Repex_Splits,MATCH($I32,Act_Type_Repex,0),MATCH(AU$5,Mat_Type,0))*INDEX(Escalators!$I$44:$U$49,MATCH(AU$5,Escalators!$C$44:$C$49,0),MATCH(AU$6,Escalators!$I$43:$U$43,0)))</f>
        <v>0</v>
      </c>
      <c r="AV32" s="47">
        <f t="shared" si="17"/>
        <v>0</v>
      </c>
      <c r="AW32" s="47">
        <f>IF($R32="",0,$K32*$AD32*INDEX(Act_Type_Repex_Splits,MATCH($I32,Act_Type_Repex,0),MATCH(AW$5,Mat_Type,0))*INDEX(Escalators!$I$44:$U$49,MATCH(AW$5,Escalators!$C$44:$C$49,0),MATCH(AW$6,Escalators!$I$43:$U$43,0)))</f>
        <v>0</v>
      </c>
      <c r="AX32" s="47">
        <f>IF($R32="",0,$K32*$AD32*INDEX(Act_Type_Repex_Splits,MATCH($I32,Act_Type_Repex,0),MATCH(AX$5,Mat_Type,0))*INDEX(Escalators!$I$44:$U$49,MATCH(AX$5,Escalators!$C$44:$C$49,0),MATCH(AX$6,Escalators!$I$43:$U$43,0)))</f>
        <v>0</v>
      </c>
      <c r="AY32" s="47">
        <f>IF($R32="",0,$K32*$AD32*INDEX(Act_Type_Repex_Splits,MATCH($I32,Act_Type_Repex,0),MATCH(AY$5,Mat_Type,0))*INDEX(Escalators!$I$44:$U$49,MATCH(AY$5,Escalators!$C$44:$C$49,0),MATCH(AY$6,Escalators!$I$43:$U$43,0)))</f>
        <v>0</v>
      </c>
      <c r="AZ32" s="47">
        <f>IF($R32="",0,$K32*$AD32*INDEX(Act_Type_Repex_Splits,MATCH($I32,Act_Type_Repex,0),MATCH(AZ$5,Mat_Type,0))*INDEX(Escalators!$I$44:$U$49,MATCH(AZ$5,Escalators!$C$44:$C$49,0),MATCH(AZ$6,Escalators!$I$43:$U$43,0)))</f>
        <v>0</v>
      </c>
      <c r="BA32" s="47">
        <f>IF($R32="",0,$K32*$AD32*INDEX(Act_Type_Repex_Splits,MATCH($I32,Act_Type_Repex,0),MATCH(BA$5,Mat_Type,0))*INDEX(Escalators!$I$44:$U$49,MATCH(BA$5,Escalators!$C$44:$C$49,0),MATCH(BA$6,Escalators!$I$43:$U$43,0)))</f>
        <v>0</v>
      </c>
      <c r="BB32" s="47">
        <f t="shared" si="18"/>
        <v>0</v>
      </c>
      <c r="BC32" s="47">
        <f>IF($R32="",0,$L32*$AD32*INDEX(Act_Type_Repex_Splits,MATCH($I32,Act_Type_Repex,0),MATCH(BC$5,Mat_Type,0))*INDEX(Escalators!$I$44:$U$49,MATCH(BC$5,Escalators!$C$44:$C$49,0),MATCH(BC$6,Escalators!$I$43:$U$43,0)))</f>
        <v>0</v>
      </c>
      <c r="BD32" s="47">
        <f>IF($R32="",0,$L32*$AD32*INDEX(Act_Type_Repex_Splits,MATCH($I32,Act_Type_Repex,0),MATCH(BD$5,Mat_Type,0))*INDEX(Escalators!$I$44:$U$49,MATCH(BD$5,Escalators!$C$44:$C$49,0),MATCH(BD$6,Escalators!$I$43:$U$43,0)))</f>
        <v>0</v>
      </c>
      <c r="BE32" s="47">
        <f>IF($R32="",0,$L32*$AD32*INDEX(Act_Type_Repex_Splits,MATCH($I32,Act_Type_Repex,0),MATCH(BE$5,Mat_Type,0))*INDEX(Escalators!$I$44:$U$49,MATCH(BE$5,Escalators!$C$44:$C$49,0),MATCH(BE$6,Escalators!$I$43:$U$43,0)))</f>
        <v>0</v>
      </c>
      <c r="BF32" s="47">
        <f>IF($R32="",0,$L32*$AD32*INDEX(Act_Type_Repex_Splits,MATCH($I32,Act_Type_Repex,0),MATCH(BF$5,Mat_Type,0))*INDEX(Escalators!$I$44:$U$49,MATCH(BF$5,Escalators!$C$44:$C$49,0),MATCH(BF$6,Escalators!$I$43:$U$43,0)))</f>
        <v>0</v>
      </c>
      <c r="BG32" s="47">
        <f>IF($R32="",0,$L32*$AD32*INDEX(Act_Type_Repex_Splits,MATCH($I32,Act_Type_Repex,0),MATCH(BG$5,Mat_Type,0))*INDEX(Escalators!$I$44:$U$49,MATCH(BG$5,Escalators!$C$44:$C$49,0),MATCH(BG$6,Escalators!$I$43:$U$43,0)))</f>
        <v>0</v>
      </c>
      <c r="BH32" s="47">
        <f t="shared" si="19"/>
        <v>0</v>
      </c>
      <c r="BI32" s="47">
        <f>IF($R32="",0,$M32*$AD32*INDEX(Act_Type_Repex_Splits,MATCH($I32,Act_Type_Repex,0),MATCH(BI$5,Mat_Type,0))*INDEX(Escalators!$I$44:$U$49,MATCH(BI$5,Escalators!$C$44:$C$49,0),MATCH(BI$6,Escalators!$I$43:$U$43,0)))</f>
        <v>0</v>
      </c>
      <c r="BJ32" s="47">
        <f>IF($R32="",0,$M32*$AD32*INDEX(Act_Type_Repex_Splits,MATCH($I32,Act_Type_Repex,0),MATCH(BJ$5,Mat_Type,0))*INDEX(Escalators!$I$44:$U$49,MATCH(BJ$5,Escalators!$C$44:$C$49,0),MATCH(BJ$6,Escalators!$I$43:$U$43,0)))</f>
        <v>0</v>
      </c>
      <c r="BK32" s="47">
        <f>IF($R32="",0,$M32*$AD32*INDEX(Act_Type_Repex_Splits,MATCH($I32,Act_Type_Repex,0),MATCH(BK$5,Mat_Type,0))*INDEX(Escalators!$I$44:$U$49,MATCH(BK$5,Escalators!$C$44:$C$49,0),MATCH(BK$6,Escalators!$I$43:$U$43,0)))</f>
        <v>0</v>
      </c>
      <c r="BL32" s="47">
        <f>IF($R32="",0,$M32*$AD32*INDEX(Act_Type_Repex_Splits,MATCH($I32,Act_Type_Repex,0),MATCH(BL$5,Mat_Type,0))*INDEX(Escalators!$I$44:$U$49,MATCH(BL$5,Escalators!$C$44:$C$49,0),MATCH(BL$6,Escalators!$I$43:$U$43,0)))</f>
        <v>0</v>
      </c>
      <c r="BM32" s="47">
        <f>IF($R32="",0,$M32*$AD32*INDEX(Act_Type_Repex_Splits,MATCH($I32,Act_Type_Repex,0),MATCH(BM$5,Mat_Type,0))*INDEX(Escalators!$I$44:$U$49,MATCH(BM$5,Escalators!$C$44:$C$49,0),MATCH(BM$6,Escalators!$I$43:$U$43,0)))</f>
        <v>0</v>
      </c>
      <c r="BN32" s="47">
        <f t="shared" si="20"/>
        <v>0</v>
      </c>
      <c r="BO32" s="47">
        <f>IF($R32="",0,$N32*$AD32*INDEX(Act_Type_Repex_Splits,MATCH($I32,Act_Type_Repex,0),MATCH(BO$5,Mat_Type,0))*INDEX(Escalators!$I$44:$U$49,MATCH(BO$5,Escalators!$C$44:$C$49,0),MATCH(BO$6,Escalators!$I$43:$U$43,0)))</f>
        <v>0</v>
      </c>
      <c r="BP32" s="47">
        <f>IF($R32="",0,$N32*$AD32*INDEX(Act_Type_Repex_Splits,MATCH($I32,Act_Type_Repex,0),MATCH(BP$5,Mat_Type,0))*INDEX(Escalators!$I$44:$U$49,MATCH(BP$5,Escalators!$C$44:$C$49,0),MATCH(BP$6,Escalators!$I$43:$U$43,0)))</f>
        <v>0</v>
      </c>
      <c r="BQ32" s="47">
        <f>IF($R32="",0,$N32*$AD32*INDEX(Act_Type_Repex_Splits,MATCH($I32,Act_Type_Repex,0),MATCH(BQ$5,Mat_Type,0))*INDEX(Escalators!$I$44:$U$49,MATCH(BQ$5,Escalators!$C$44:$C$49,0),MATCH(BQ$6,Escalators!$I$43:$U$43,0)))</f>
        <v>0</v>
      </c>
      <c r="BR32" s="47">
        <f>IF($R32="",0,$N32*$AD32*INDEX(Act_Type_Repex_Splits,MATCH($I32,Act_Type_Repex,0),MATCH(BR$5,Mat_Type,0))*INDEX(Escalators!$I$44:$U$49,MATCH(BR$5,Escalators!$C$44:$C$49,0),MATCH(BR$6,Escalators!$I$43:$U$43,0)))</f>
        <v>0</v>
      </c>
      <c r="BS32" s="47">
        <f>IF($R32="",0,$N32*$AD32*INDEX(Act_Type_Repex_Splits,MATCH($I32,Act_Type_Repex,0),MATCH(BS$5,Mat_Type,0))*INDEX(Escalators!$I$44:$U$49,MATCH(BS$5,Escalators!$C$44:$C$49,0),MATCH(BS$6,Escalators!$I$43:$U$43,0)))</f>
        <v>0</v>
      </c>
      <c r="BT32" s="47">
        <f t="shared" si="21"/>
        <v>0</v>
      </c>
      <c r="BU32" s="47">
        <f>IF($R32="",0,$O32*$AD32*INDEX(Act_Type_Repex_Splits,MATCH($I32,Act_Type_Repex,0),MATCH(BU$5,Mat_Type,0))*INDEX(Escalators!$I$44:$U$49,MATCH(BU$5,Escalators!$C$44:$C$49,0),MATCH(BU$6,Escalators!$I$43:$U$43,0)))</f>
        <v>0</v>
      </c>
      <c r="BV32" s="47">
        <f>IF($R32="",0,$O32*$AD32*INDEX(Act_Type_Repex_Splits,MATCH($I32,Act_Type_Repex,0),MATCH(BV$5,Mat_Type,0))*INDEX(Escalators!$I$44:$U$49,MATCH(BV$5,Escalators!$C$44:$C$49,0),MATCH(BV$6,Escalators!$I$43:$U$43,0)))</f>
        <v>0</v>
      </c>
      <c r="BW32" s="47">
        <f>IF($R32="",0,$O32*$AD32*INDEX(Act_Type_Repex_Splits,MATCH($I32,Act_Type_Repex,0),MATCH(BW$5,Mat_Type,0))*INDEX(Escalators!$I$44:$U$49,MATCH(BW$5,Escalators!$C$44:$C$49,0),MATCH(BW$6,Escalators!$I$43:$U$43,0)))</f>
        <v>0</v>
      </c>
      <c r="BX32" s="47">
        <f>IF($R32="",0,$O32*$AD32*INDEX(Act_Type_Repex_Splits,MATCH($I32,Act_Type_Repex,0),MATCH(BX$5,Mat_Type,0))*INDEX(Escalators!$I$44:$U$49,MATCH(BX$5,Escalators!$C$44:$C$49,0),MATCH(BX$6,Escalators!$I$43:$U$43,0)))</f>
        <v>0</v>
      </c>
      <c r="BY32" s="47">
        <f>IF($R32="",0,$O32*$AD32*INDEX(Act_Type_Repex_Splits,MATCH($I32,Act_Type_Repex,0),MATCH(BY$5,Mat_Type,0))*INDEX(Escalators!$I$44:$U$49,MATCH(BY$5,Escalators!$C$44:$C$49,0),MATCH(BY$6,Escalators!$I$43:$U$43,0)))</f>
        <v>0</v>
      </c>
      <c r="BZ32" s="47">
        <f t="shared" si="22"/>
        <v>0</v>
      </c>
      <c r="CA32" s="47">
        <f>IF($R32="",0,$P32*$AD32*INDEX(Act_Type_Repex_Splits,MATCH($I32,Act_Type_Repex,0),MATCH(CA$5,Mat_Type,0))*INDEX(Escalators!$I$44:$U$49,MATCH(CA$5,Escalators!$C$44:$C$49,0),MATCH(CA$6,Escalators!$I$43:$U$43,0)))</f>
        <v>0</v>
      </c>
      <c r="CB32" s="47">
        <f>IF($R32="",0,$P32*$AD32*INDEX(Act_Type_Repex_Splits,MATCH($I32,Act_Type_Repex,0),MATCH(CB$5,Mat_Type,0))*INDEX(Escalators!$I$44:$U$49,MATCH(CB$5,Escalators!$C$44:$C$49,0),MATCH(CB$6,Escalators!$I$43:$U$43,0)))</f>
        <v>0</v>
      </c>
      <c r="CC32" s="47">
        <f>IF($R32="",0,$P32*$AD32*INDEX(Act_Type_Repex_Splits,MATCH($I32,Act_Type_Repex,0),MATCH(CC$5,Mat_Type,0))*INDEX(Escalators!$I$44:$U$49,MATCH(CC$5,Escalators!$C$44:$C$49,0),MATCH(CC$6,Escalators!$I$43:$U$43,0)))</f>
        <v>0</v>
      </c>
      <c r="CD32" s="47">
        <f>IF($R32="",0,$P32*$AD32*INDEX(Act_Type_Repex_Splits,MATCH($I32,Act_Type_Repex,0),MATCH(CD$5,Mat_Type,0))*INDEX(Escalators!$I$44:$U$49,MATCH(CD$5,Escalators!$C$44:$C$49,0),MATCH(CD$6,Escalators!$I$43:$U$43,0)))</f>
        <v>0</v>
      </c>
      <c r="CE32" s="47">
        <f>IF($R32="",0,$P32*$AD32*INDEX(Act_Type_Repex_Splits,MATCH($I32,Act_Type_Repex,0),MATCH(CE$5,Mat_Type,0))*INDEX(Escalators!$I$44:$U$49,MATCH(CE$5,Escalators!$C$44:$C$49,0),MATCH(CE$6,Escalators!$I$43:$U$43,0)))</f>
        <v>0</v>
      </c>
      <c r="CF32" s="47">
        <f t="shared" si="23"/>
        <v>0</v>
      </c>
      <c r="CG32" s="47">
        <f>IF($R32="",0,$Q32*$AD32*INDEX(Act_Type_Repex_Splits,MATCH($I32,Act_Type_Repex,0),MATCH(CG$5,Mat_Type,0))*INDEX(Escalators!$I$44:$U$49,MATCH(CG$5,Escalators!$C$44:$C$49,0),MATCH(CG$6,Escalators!$I$43:$U$43,0)))</f>
        <v>0</v>
      </c>
      <c r="CH32" s="47">
        <f>IF($R32="",0,$Q32*$AD32*INDEX(Act_Type_Repex_Splits,MATCH($I32,Act_Type_Repex,0),MATCH(CH$5,Mat_Type,0))*INDEX(Escalators!$I$44:$U$49,MATCH(CH$5,Escalators!$C$44:$C$49,0),MATCH(CH$6,Escalators!$I$43:$U$43,0)))</f>
        <v>0</v>
      </c>
      <c r="CI32" s="47">
        <f>IF($R32="",0,$Q32*$AD32*INDEX(Act_Type_Repex_Splits,MATCH($I32,Act_Type_Repex,0),MATCH(CI$5,Mat_Type,0))*INDEX(Escalators!$I$44:$U$49,MATCH(CI$5,Escalators!$C$44:$C$49,0),MATCH(CI$6,Escalators!$I$43:$U$43,0)))</f>
        <v>0</v>
      </c>
      <c r="CJ32" s="47">
        <f>IF($R32="",0,$Q32*$AD32*INDEX(Act_Type_Repex_Splits,MATCH($I32,Act_Type_Repex,0),MATCH(CJ$5,Mat_Type,0))*INDEX(Escalators!$I$44:$U$49,MATCH(CJ$5,Escalators!$C$44:$C$49,0),MATCH(CJ$6,Escalators!$I$43:$U$43,0)))</f>
        <v>0</v>
      </c>
      <c r="CK32" s="47">
        <f>IF($R32="",0,$Q32*$AD32*INDEX(Act_Type_Repex_Splits,MATCH($I32,Act_Type_Repex,0),MATCH(CK$5,Mat_Type,0))*INDEX(Escalators!$I$44:$U$49,MATCH(CK$5,Escalators!$C$44:$C$49,0),MATCH(CK$6,Escalators!$I$43:$U$43,0)))</f>
        <v>0</v>
      </c>
      <c r="CL32" s="47">
        <f t="shared" si="24"/>
        <v>0</v>
      </c>
      <c r="CN32" s="47">
        <f>IF($R32="",0,J32*$AE32*HLOOKUP(CN$6,Escalators!$I$25:$U$30,6,FALSE))</f>
        <v>0</v>
      </c>
      <c r="CO32" s="47">
        <f>IF($R32="",0,K32*$AE32*HLOOKUP(CO$6,Escalators!$I$25:$U$30,6,FALSE))</f>
        <v>0</v>
      </c>
      <c r="CP32" s="47">
        <f>IF($R32="",0,L32*$AE32*HLOOKUP(CP$6,Escalators!$I$25:$U$30,6,FALSE))</f>
        <v>0</v>
      </c>
      <c r="CQ32" s="47">
        <f>IF($R32="",0,M32*$AE32*HLOOKUP(CQ$6,Escalators!$I$25:$U$30,6,FALSE))</f>
        <v>0</v>
      </c>
      <c r="CR32" s="47">
        <f>IF($R32="",0,N32*$AE32*HLOOKUP(CR$6,Escalators!$I$25:$U$30,6,FALSE))</f>
        <v>0</v>
      </c>
      <c r="CS32" s="47">
        <f>IF($R32="",0,O32*$AE32*HLOOKUP(CS$6,Escalators!$I$25:$U$30,6,FALSE))</f>
        <v>0</v>
      </c>
      <c r="CT32" s="47">
        <f>IF($R32="",0,P32*$AE32*HLOOKUP(CT$6,Escalators!$I$25:$U$30,6,FALSE))</f>
        <v>0</v>
      </c>
      <c r="CU32" s="47">
        <f>IF($R32="",0,Q32*$AE32*HLOOKUP(CU$6,Escalators!$I$25:$U$30,6,FALSE))</f>
        <v>0</v>
      </c>
      <c r="CW32" s="82">
        <f t="shared" si="25"/>
        <v>0</v>
      </c>
      <c r="CX32" s="82">
        <f t="shared" si="26"/>
        <v>0</v>
      </c>
      <c r="CY32" s="82">
        <f t="shared" si="27"/>
        <v>0</v>
      </c>
      <c r="CZ32" s="82">
        <f t="shared" si="28"/>
        <v>0</v>
      </c>
      <c r="DA32" s="82">
        <f t="shared" si="29"/>
        <v>0</v>
      </c>
      <c r="DB32" s="82">
        <f t="shared" si="30"/>
        <v>0</v>
      </c>
      <c r="DC32" s="82">
        <f t="shared" si="31"/>
        <v>0</v>
      </c>
      <c r="DD32" s="82">
        <f t="shared" si="32"/>
        <v>0</v>
      </c>
      <c r="DF32" s="47">
        <f t="shared" si="33"/>
        <v>0</v>
      </c>
      <c r="DG32" s="47">
        <f t="shared" si="34"/>
        <v>0</v>
      </c>
      <c r="DH32" s="47">
        <f t="shared" si="35"/>
        <v>0</v>
      </c>
      <c r="DI32" s="47">
        <f t="shared" si="36"/>
        <v>0</v>
      </c>
      <c r="DJ32" s="47">
        <f t="shared" si="37"/>
        <v>0</v>
      </c>
      <c r="DK32" s="47">
        <f t="shared" si="38"/>
        <v>0</v>
      </c>
      <c r="DL32" s="47">
        <f t="shared" si="39"/>
        <v>0</v>
      </c>
      <c r="DM32" s="47">
        <f t="shared" si="40"/>
        <v>0</v>
      </c>
      <c r="DO32" s="39"/>
    </row>
    <row r="33" spans="2:119">
      <c r="B33" s="7"/>
      <c r="C33" s="7"/>
      <c r="D33" s="7"/>
      <c r="E33" s="7"/>
      <c r="F33" s="7"/>
      <c r="G33" s="7"/>
      <c r="H33" s="7"/>
      <c r="I33" s="7"/>
      <c r="J33" s="7"/>
      <c r="K33" s="7"/>
      <c r="L33" s="7"/>
      <c r="M33" s="7"/>
      <c r="N33" s="7"/>
      <c r="O33" s="7"/>
      <c r="P33" s="7"/>
      <c r="Q33" s="7"/>
      <c r="R33" s="46"/>
      <c r="T33" s="47">
        <f t="shared" si="8"/>
        <v>0</v>
      </c>
      <c r="U33" s="47">
        <f t="shared" si="9"/>
        <v>0</v>
      </c>
      <c r="V33" s="47">
        <f t="shared" si="10"/>
        <v>0</v>
      </c>
      <c r="W33" s="47">
        <f t="shared" si="11"/>
        <v>0</v>
      </c>
      <c r="X33" s="47">
        <f t="shared" si="12"/>
        <v>0</v>
      </c>
      <c r="Y33" s="47">
        <f t="shared" si="13"/>
        <v>0</v>
      </c>
      <c r="Z33" s="47">
        <f t="shared" si="14"/>
        <v>0</v>
      </c>
      <c r="AA33" s="47">
        <f t="shared" si="15"/>
        <v>0</v>
      </c>
      <c r="AC33" s="82">
        <f t="shared" si="16"/>
        <v>0</v>
      </c>
      <c r="AD33" s="82">
        <f t="shared" si="16"/>
        <v>0</v>
      </c>
      <c r="AE33" s="82">
        <f t="shared" si="16"/>
        <v>0</v>
      </c>
      <c r="AF33" s="82">
        <f t="shared" si="16"/>
        <v>0</v>
      </c>
      <c r="AH33" s="47">
        <f>IF($R33="",0,J33*$AC33*HLOOKUP(AH$6,Escalators!$I$25:$U$30,3,FALSE))</f>
        <v>0</v>
      </c>
      <c r="AI33" s="47">
        <f>IF($R33="",0,K33*$AC33*HLOOKUP(AI$6,Escalators!$I$25:$U$30,3,FALSE))</f>
        <v>0</v>
      </c>
      <c r="AJ33" s="47">
        <f>IF($R33="",0,L33*$AC33*HLOOKUP(AJ$6,Escalators!$I$25:$U$30,3,FALSE))</f>
        <v>0</v>
      </c>
      <c r="AK33" s="47">
        <f>IF($R33="",0,M33*$AC33*HLOOKUP(AK$6,Escalators!$I$25:$U$30,3,FALSE))</f>
        <v>0</v>
      </c>
      <c r="AL33" s="47">
        <f>IF($R33="",0,N33*$AC33*HLOOKUP(AL$6,Escalators!$I$25:$U$30,3,FALSE))</f>
        <v>0</v>
      </c>
      <c r="AM33" s="47">
        <f>IF($R33="",0,O33*$AC33*HLOOKUP(AM$6,Escalators!$I$25:$U$30,3,FALSE))</f>
        <v>0</v>
      </c>
      <c r="AN33" s="47">
        <f>IF($R33="",0,P33*$AC33*HLOOKUP(AN$6,Escalators!$I$25:$U$30,3,FALSE))</f>
        <v>0</v>
      </c>
      <c r="AO33" s="47">
        <f>IF($R33="",0,Q33*$AC33*HLOOKUP(AO$6,Escalators!$I$25:$U$30,3,FALSE))</f>
        <v>0</v>
      </c>
      <c r="AQ33" s="6">
        <f>IF($R33="",0,$J33*$AD33*INDEX(Act_Type_Repex_Splits,MATCH($I33,Act_Type_Repex,0),MATCH(AQ$5,Mat_Type,0))*INDEX(Escalators!$I$44:$U$49,MATCH(AQ$5,Escalators!$C$44:$C$49,0),MATCH(AQ$6,Escalators!$I$43:$U$43,0)))</f>
        <v>0</v>
      </c>
      <c r="AR33" s="6">
        <f>IF($R33="",0,$J33*$AD33*INDEX(Act_Type_Repex_Splits,MATCH($I33,Act_Type_Repex,0),MATCH(AR$5,Mat_Type,0))*INDEX(Escalators!$I$44:$U$49,MATCH(AR$5,Escalators!$C$44:$C$49,0),MATCH(AR$6,Escalators!$I$43:$U$43,0)))</f>
        <v>0</v>
      </c>
      <c r="AS33" s="6">
        <f>IF($R33="",0,$J33*$AD33*INDEX(Act_Type_Repex_Splits,MATCH($I33,Act_Type_Repex,0),MATCH(AS$5,Mat_Type,0))*INDEX(Escalators!$I$44:$U$49,MATCH(AS$5,Escalators!$C$44:$C$49,0),MATCH(AS$6,Escalators!$I$43:$U$43,0)))</f>
        <v>0</v>
      </c>
      <c r="AT33" s="6">
        <f>IF($R33="",0,$J33*$AD33*INDEX(Act_Type_Repex_Splits,MATCH($I33,Act_Type_Repex,0),MATCH(AT$5,Mat_Type,0))*INDEX(Escalators!$I$44:$U$49,MATCH(AT$5,Escalators!$C$44:$C$49,0),MATCH(AT$6,Escalators!$I$43:$U$43,0)))</f>
        <v>0</v>
      </c>
      <c r="AU33" s="6">
        <f>IF($R33="",0,$J33*$AD33*INDEX(Act_Type_Repex_Splits,MATCH($I33,Act_Type_Repex,0),MATCH(AU$5,Mat_Type,0))*INDEX(Escalators!$I$44:$U$49,MATCH(AU$5,Escalators!$C$44:$C$49,0),MATCH(AU$6,Escalators!$I$43:$U$43,0)))</f>
        <v>0</v>
      </c>
      <c r="AV33" s="47">
        <f t="shared" si="17"/>
        <v>0</v>
      </c>
      <c r="AW33" s="47">
        <f>IF($R33="",0,$K33*$AD33*INDEX(Act_Type_Repex_Splits,MATCH($I33,Act_Type_Repex,0),MATCH(AW$5,Mat_Type,0))*INDEX(Escalators!$I$44:$U$49,MATCH(AW$5,Escalators!$C$44:$C$49,0),MATCH(AW$6,Escalators!$I$43:$U$43,0)))</f>
        <v>0</v>
      </c>
      <c r="AX33" s="47">
        <f>IF($R33="",0,$K33*$AD33*INDEX(Act_Type_Repex_Splits,MATCH($I33,Act_Type_Repex,0),MATCH(AX$5,Mat_Type,0))*INDEX(Escalators!$I$44:$U$49,MATCH(AX$5,Escalators!$C$44:$C$49,0),MATCH(AX$6,Escalators!$I$43:$U$43,0)))</f>
        <v>0</v>
      </c>
      <c r="AY33" s="47">
        <f>IF($R33="",0,$K33*$AD33*INDEX(Act_Type_Repex_Splits,MATCH($I33,Act_Type_Repex,0),MATCH(AY$5,Mat_Type,0))*INDEX(Escalators!$I$44:$U$49,MATCH(AY$5,Escalators!$C$44:$C$49,0),MATCH(AY$6,Escalators!$I$43:$U$43,0)))</f>
        <v>0</v>
      </c>
      <c r="AZ33" s="47">
        <f>IF($R33="",0,$K33*$AD33*INDEX(Act_Type_Repex_Splits,MATCH($I33,Act_Type_Repex,0),MATCH(AZ$5,Mat_Type,0))*INDEX(Escalators!$I$44:$U$49,MATCH(AZ$5,Escalators!$C$44:$C$49,0),MATCH(AZ$6,Escalators!$I$43:$U$43,0)))</f>
        <v>0</v>
      </c>
      <c r="BA33" s="47">
        <f>IF($R33="",0,$K33*$AD33*INDEX(Act_Type_Repex_Splits,MATCH($I33,Act_Type_Repex,0),MATCH(BA$5,Mat_Type,0))*INDEX(Escalators!$I$44:$U$49,MATCH(BA$5,Escalators!$C$44:$C$49,0),MATCH(BA$6,Escalators!$I$43:$U$43,0)))</f>
        <v>0</v>
      </c>
      <c r="BB33" s="47">
        <f t="shared" si="18"/>
        <v>0</v>
      </c>
      <c r="BC33" s="47">
        <f>IF($R33="",0,$L33*$AD33*INDEX(Act_Type_Repex_Splits,MATCH($I33,Act_Type_Repex,0),MATCH(BC$5,Mat_Type,0))*INDEX(Escalators!$I$44:$U$49,MATCH(BC$5,Escalators!$C$44:$C$49,0),MATCH(BC$6,Escalators!$I$43:$U$43,0)))</f>
        <v>0</v>
      </c>
      <c r="BD33" s="47">
        <f>IF($R33="",0,$L33*$AD33*INDEX(Act_Type_Repex_Splits,MATCH($I33,Act_Type_Repex,0),MATCH(BD$5,Mat_Type,0))*INDEX(Escalators!$I$44:$U$49,MATCH(BD$5,Escalators!$C$44:$C$49,0),MATCH(BD$6,Escalators!$I$43:$U$43,0)))</f>
        <v>0</v>
      </c>
      <c r="BE33" s="47">
        <f>IF($R33="",0,$L33*$AD33*INDEX(Act_Type_Repex_Splits,MATCH($I33,Act_Type_Repex,0),MATCH(BE$5,Mat_Type,0))*INDEX(Escalators!$I$44:$U$49,MATCH(BE$5,Escalators!$C$44:$C$49,0),MATCH(BE$6,Escalators!$I$43:$U$43,0)))</f>
        <v>0</v>
      </c>
      <c r="BF33" s="47">
        <f>IF($R33="",0,$L33*$AD33*INDEX(Act_Type_Repex_Splits,MATCH($I33,Act_Type_Repex,0),MATCH(BF$5,Mat_Type,0))*INDEX(Escalators!$I$44:$U$49,MATCH(BF$5,Escalators!$C$44:$C$49,0),MATCH(BF$6,Escalators!$I$43:$U$43,0)))</f>
        <v>0</v>
      </c>
      <c r="BG33" s="47">
        <f>IF($R33="",0,$L33*$AD33*INDEX(Act_Type_Repex_Splits,MATCH($I33,Act_Type_Repex,0),MATCH(BG$5,Mat_Type,0))*INDEX(Escalators!$I$44:$U$49,MATCH(BG$5,Escalators!$C$44:$C$49,0),MATCH(BG$6,Escalators!$I$43:$U$43,0)))</f>
        <v>0</v>
      </c>
      <c r="BH33" s="47">
        <f t="shared" si="19"/>
        <v>0</v>
      </c>
      <c r="BI33" s="47">
        <f>IF($R33="",0,$M33*$AD33*INDEX(Act_Type_Repex_Splits,MATCH($I33,Act_Type_Repex,0),MATCH(BI$5,Mat_Type,0))*INDEX(Escalators!$I$44:$U$49,MATCH(BI$5,Escalators!$C$44:$C$49,0),MATCH(BI$6,Escalators!$I$43:$U$43,0)))</f>
        <v>0</v>
      </c>
      <c r="BJ33" s="47">
        <f>IF($R33="",0,$M33*$AD33*INDEX(Act_Type_Repex_Splits,MATCH($I33,Act_Type_Repex,0),MATCH(BJ$5,Mat_Type,0))*INDEX(Escalators!$I$44:$U$49,MATCH(BJ$5,Escalators!$C$44:$C$49,0),MATCH(BJ$6,Escalators!$I$43:$U$43,0)))</f>
        <v>0</v>
      </c>
      <c r="BK33" s="47">
        <f>IF($R33="",0,$M33*$AD33*INDEX(Act_Type_Repex_Splits,MATCH($I33,Act_Type_Repex,0),MATCH(BK$5,Mat_Type,0))*INDEX(Escalators!$I$44:$U$49,MATCH(BK$5,Escalators!$C$44:$C$49,0),MATCH(BK$6,Escalators!$I$43:$U$43,0)))</f>
        <v>0</v>
      </c>
      <c r="BL33" s="47">
        <f>IF($R33="",0,$M33*$AD33*INDEX(Act_Type_Repex_Splits,MATCH($I33,Act_Type_Repex,0),MATCH(BL$5,Mat_Type,0))*INDEX(Escalators!$I$44:$U$49,MATCH(BL$5,Escalators!$C$44:$C$49,0),MATCH(BL$6,Escalators!$I$43:$U$43,0)))</f>
        <v>0</v>
      </c>
      <c r="BM33" s="47">
        <f>IF($R33="",0,$M33*$AD33*INDEX(Act_Type_Repex_Splits,MATCH($I33,Act_Type_Repex,0),MATCH(BM$5,Mat_Type,0))*INDEX(Escalators!$I$44:$U$49,MATCH(BM$5,Escalators!$C$44:$C$49,0),MATCH(BM$6,Escalators!$I$43:$U$43,0)))</f>
        <v>0</v>
      </c>
      <c r="BN33" s="47">
        <f t="shared" si="20"/>
        <v>0</v>
      </c>
      <c r="BO33" s="47">
        <f>IF($R33="",0,$N33*$AD33*INDEX(Act_Type_Repex_Splits,MATCH($I33,Act_Type_Repex,0),MATCH(BO$5,Mat_Type,0))*INDEX(Escalators!$I$44:$U$49,MATCH(BO$5,Escalators!$C$44:$C$49,0),MATCH(BO$6,Escalators!$I$43:$U$43,0)))</f>
        <v>0</v>
      </c>
      <c r="BP33" s="47">
        <f>IF($R33="",0,$N33*$AD33*INDEX(Act_Type_Repex_Splits,MATCH($I33,Act_Type_Repex,0),MATCH(BP$5,Mat_Type,0))*INDEX(Escalators!$I$44:$U$49,MATCH(BP$5,Escalators!$C$44:$C$49,0),MATCH(BP$6,Escalators!$I$43:$U$43,0)))</f>
        <v>0</v>
      </c>
      <c r="BQ33" s="47">
        <f>IF($R33="",0,$N33*$AD33*INDEX(Act_Type_Repex_Splits,MATCH($I33,Act_Type_Repex,0),MATCH(BQ$5,Mat_Type,0))*INDEX(Escalators!$I$44:$U$49,MATCH(BQ$5,Escalators!$C$44:$C$49,0),MATCH(BQ$6,Escalators!$I$43:$U$43,0)))</f>
        <v>0</v>
      </c>
      <c r="BR33" s="47">
        <f>IF($R33="",0,$N33*$AD33*INDEX(Act_Type_Repex_Splits,MATCH($I33,Act_Type_Repex,0),MATCH(BR$5,Mat_Type,0))*INDEX(Escalators!$I$44:$U$49,MATCH(BR$5,Escalators!$C$44:$C$49,0),MATCH(BR$6,Escalators!$I$43:$U$43,0)))</f>
        <v>0</v>
      </c>
      <c r="BS33" s="47">
        <f>IF($R33="",0,$N33*$AD33*INDEX(Act_Type_Repex_Splits,MATCH($I33,Act_Type_Repex,0),MATCH(BS$5,Mat_Type,0))*INDEX(Escalators!$I$44:$U$49,MATCH(BS$5,Escalators!$C$44:$C$49,0),MATCH(BS$6,Escalators!$I$43:$U$43,0)))</f>
        <v>0</v>
      </c>
      <c r="BT33" s="47">
        <f t="shared" si="21"/>
        <v>0</v>
      </c>
      <c r="BU33" s="47">
        <f>IF($R33="",0,$O33*$AD33*INDEX(Act_Type_Repex_Splits,MATCH($I33,Act_Type_Repex,0),MATCH(BU$5,Mat_Type,0))*INDEX(Escalators!$I$44:$U$49,MATCH(BU$5,Escalators!$C$44:$C$49,0),MATCH(BU$6,Escalators!$I$43:$U$43,0)))</f>
        <v>0</v>
      </c>
      <c r="BV33" s="47">
        <f>IF($R33="",0,$O33*$AD33*INDEX(Act_Type_Repex_Splits,MATCH($I33,Act_Type_Repex,0),MATCH(BV$5,Mat_Type,0))*INDEX(Escalators!$I$44:$U$49,MATCH(BV$5,Escalators!$C$44:$C$49,0),MATCH(BV$6,Escalators!$I$43:$U$43,0)))</f>
        <v>0</v>
      </c>
      <c r="BW33" s="47">
        <f>IF($R33="",0,$O33*$AD33*INDEX(Act_Type_Repex_Splits,MATCH($I33,Act_Type_Repex,0),MATCH(BW$5,Mat_Type,0))*INDEX(Escalators!$I$44:$U$49,MATCH(BW$5,Escalators!$C$44:$C$49,0),MATCH(BW$6,Escalators!$I$43:$U$43,0)))</f>
        <v>0</v>
      </c>
      <c r="BX33" s="47">
        <f>IF($R33="",0,$O33*$AD33*INDEX(Act_Type_Repex_Splits,MATCH($I33,Act_Type_Repex,0),MATCH(BX$5,Mat_Type,0))*INDEX(Escalators!$I$44:$U$49,MATCH(BX$5,Escalators!$C$44:$C$49,0),MATCH(BX$6,Escalators!$I$43:$U$43,0)))</f>
        <v>0</v>
      </c>
      <c r="BY33" s="47">
        <f>IF($R33="",0,$O33*$AD33*INDEX(Act_Type_Repex_Splits,MATCH($I33,Act_Type_Repex,0),MATCH(BY$5,Mat_Type,0))*INDEX(Escalators!$I$44:$U$49,MATCH(BY$5,Escalators!$C$44:$C$49,0),MATCH(BY$6,Escalators!$I$43:$U$43,0)))</f>
        <v>0</v>
      </c>
      <c r="BZ33" s="47">
        <f t="shared" si="22"/>
        <v>0</v>
      </c>
      <c r="CA33" s="47">
        <f>IF($R33="",0,$P33*$AD33*INDEX(Act_Type_Repex_Splits,MATCH($I33,Act_Type_Repex,0),MATCH(CA$5,Mat_Type,0))*INDEX(Escalators!$I$44:$U$49,MATCH(CA$5,Escalators!$C$44:$C$49,0),MATCH(CA$6,Escalators!$I$43:$U$43,0)))</f>
        <v>0</v>
      </c>
      <c r="CB33" s="47">
        <f>IF($R33="",0,$P33*$AD33*INDEX(Act_Type_Repex_Splits,MATCH($I33,Act_Type_Repex,0),MATCH(CB$5,Mat_Type,0))*INDEX(Escalators!$I$44:$U$49,MATCH(CB$5,Escalators!$C$44:$C$49,0),MATCH(CB$6,Escalators!$I$43:$U$43,0)))</f>
        <v>0</v>
      </c>
      <c r="CC33" s="47">
        <f>IF($R33="",0,$P33*$AD33*INDEX(Act_Type_Repex_Splits,MATCH($I33,Act_Type_Repex,0),MATCH(CC$5,Mat_Type,0))*INDEX(Escalators!$I$44:$U$49,MATCH(CC$5,Escalators!$C$44:$C$49,0),MATCH(CC$6,Escalators!$I$43:$U$43,0)))</f>
        <v>0</v>
      </c>
      <c r="CD33" s="47">
        <f>IF($R33="",0,$P33*$AD33*INDEX(Act_Type_Repex_Splits,MATCH($I33,Act_Type_Repex,0),MATCH(CD$5,Mat_Type,0))*INDEX(Escalators!$I$44:$U$49,MATCH(CD$5,Escalators!$C$44:$C$49,0),MATCH(CD$6,Escalators!$I$43:$U$43,0)))</f>
        <v>0</v>
      </c>
      <c r="CE33" s="47">
        <f>IF($R33="",0,$P33*$AD33*INDEX(Act_Type_Repex_Splits,MATCH($I33,Act_Type_Repex,0),MATCH(CE$5,Mat_Type,0))*INDEX(Escalators!$I$44:$U$49,MATCH(CE$5,Escalators!$C$44:$C$49,0),MATCH(CE$6,Escalators!$I$43:$U$43,0)))</f>
        <v>0</v>
      </c>
      <c r="CF33" s="47">
        <f t="shared" si="23"/>
        <v>0</v>
      </c>
      <c r="CG33" s="47">
        <f>IF($R33="",0,$Q33*$AD33*INDEX(Act_Type_Repex_Splits,MATCH($I33,Act_Type_Repex,0),MATCH(CG$5,Mat_Type,0))*INDEX(Escalators!$I$44:$U$49,MATCH(CG$5,Escalators!$C$44:$C$49,0),MATCH(CG$6,Escalators!$I$43:$U$43,0)))</f>
        <v>0</v>
      </c>
      <c r="CH33" s="47">
        <f>IF($R33="",0,$Q33*$AD33*INDEX(Act_Type_Repex_Splits,MATCH($I33,Act_Type_Repex,0),MATCH(CH$5,Mat_Type,0))*INDEX(Escalators!$I$44:$U$49,MATCH(CH$5,Escalators!$C$44:$C$49,0),MATCH(CH$6,Escalators!$I$43:$U$43,0)))</f>
        <v>0</v>
      </c>
      <c r="CI33" s="47">
        <f>IF($R33="",0,$Q33*$AD33*INDEX(Act_Type_Repex_Splits,MATCH($I33,Act_Type_Repex,0),MATCH(CI$5,Mat_Type,0))*INDEX(Escalators!$I$44:$U$49,MATCH(CI$5,Escalators!$C$44:$C$49,0),MATCH(CI$6,Escalators!$I$43:$U$43,0)))</f>
        <v>0</v>
      </c>
      <c r="CJ33" s="47">
        <f>IF($R33="",0,$Q33*$AD33*INDEX(Act_Type_Repex_Splits,MATCH($I33,Act_Type_Repex,0),MATCH(CJ$5,Mat_Type,0))*INDEX(Escalators!$I$44:$U$49,MATCH(CJ$5,Escalators!$C$44:$C$49,0),MATCH(CJ$6,Escalators!$I$43:$U$43,0)))</f>
        <v>0</v>
      </c>
      <c r="CK33" s="47">
        <f>IF($R33="",0,$Q33*$AD33*INDEX(Act_Type_Repex_Splits,MATCH($I33,Act_Type_Repex,0),MATCH(CK$5,Mat_Type,0))*INDEX(Escalators!$I$44:$U$49,MATCH(CK$5,Escalators!$C$44:$C$49,0),MATCH(CK$6,Escalators!$I$43:$U$43,0)))</f>
        <v>0</v>
      </c>
      <c r="CL33" s="47">
        <f t="shared" si="24"/>
        <v>0</v>
      </c>
      <c r="CN33" s="47">
        <f>IF($R33="",0,J33*$AE33*HLOOKUP(CN$6,Escalators!$I$25:$U$30,6,FALSE))</f>
        <v>0</v>
      </c>
      <c r="CO33" s="47">
        <f>IF($R33="",0,K33*$AE33*HLOOKUP(CO$6,Escalators!$I$25:$U$30,6,FALSE))</f>
        <v>0</v>
      </c>
      <c r="CP33" s="47">
        <f>IF($R33="",0,L33*$AE33*HLOOKUP(CP$6,Escalators!$I$25:$U$30,6,FALSE))</f>
        <v>0</v>
      </c>
      <c r="CQ33" s="47">
        <f>IF($R33="",0,M33*$AE33*HLOOKUP(CQ$6,Escalators!$I$25:$U$30,6,FALSE))</f>
        <v>0</v>
      </c>
      <c r="CR33" s="47">
        <f>IF($R33="",0,N33*$AE33*HLOOKUP(CR$6,Escalators!$I$25:$U$30,6,FALSE))</f>
        <v>0</v>
      </c>
      <c r="CS33" s="47">
        <f>IF($R33="",0,O33*$AE33*HLOOKUP(CS$6,Escalators!$I$25:$U$30,6,FALSE))</f>
        <v>0</v>
      </c>
      <c r="CT33" s="47">
        <f>IF($R33="",0,P33*$AE33*HLOOKUP(CT$6,Escalators!$I$25:$U$30,6,FALSE))</f>
        <v>0</v>
      </c>
      <c r="CU33" s="47">
        <f>IF($R33="",0,Q33*$AE33*HLOOKUP(CU$6,Escalators!$I$25:$U$30,6,FALSE))</f>
        <v>0</v>
      </c>
      <c r="CW33" s="82">
        <f t="shared" si="25"/>
        <v>0</v>
      </c>
      <c r="CX33" s="82">
        <f t="shared" si="26"/>
        <v>0</v>
      </c>
      <c r="CY33" s="82">
        <f t="shared" si="27"/>
        <v>0</v>
      </c>
      <c r="CZ33" s="82">
        <f t="shared" si="28"/>
        <v>0</v>
      </c>
      <c r="DA33" s="82">
        <f t="shared" si="29"/>
        <v>0</v>
      </c>
      <c r="DB33" s="82">
        <f t="shared" si="30"/>
        <v>0</v>
      </c>
      <c r="DC33" s="82">
        <f t="shared" si="31"/>
        <v>0</v>
      </c>
      <c r="DD33" s="82">
        <f t="shared" si="32"/>
        <v>0</v>
      </c>
      <c r="DF33" s="47">
        <f t="shared" si="33"/>
        <v>0</v>
      </c>
      <c r="DG33" s="47">
        <f t="shared" si="34"/>
        <v>0</v>
      </c>
      <c r="DH33" s="47">
        <f t="shared" si="35"/>
        <v>0</v>
      </c>
      <c r="DI33" s="47">
        <f t="shared" si="36"/>
        <v>0</v>
      </c>
      <c r="DJ33" s="47">
        <f t="shared" si="37"/>
        <v>0</v>
      </c>
      <c r="DK33" s="47">
        <f t="shared" si="38"/>
        <v>0</v>
      </c>
      <c r="DL33" s="47">
        <f t="shared" si="39"/>
        <v>0</v>
      </c>
      <c r="DM33" s="47">
        <f t="shared" si="40"/>
        <v>0</v>
      </c>
      <c r="DO33" s="39"/>
    </row>
    <row r="34" spans="2:119">
      <c r="B34" s="7"/>
      <c r="C34" s="7"/>
      <c r="D34" s="7"/>
      <c r="E34" s="7"/>
      <c r="F34" s="7"/>
      <c r="G34" s="7"/>
      <c r="H34" s="7"/>
      <c r="I34" s="7"/>
      <c r="J34" s="7"/>
      <c r="K34" s="7"/>
      <c r="L34" s="7"/>
      <c r="M34" s="7"/>
      <c r="N34" s="7"/>
      <c r="O34" s="7"/>
      <c r="P34" s="7"/>
      <c r="Q34" s="7"/>
      <c r="R34" s="46"/>
      <c r="T34" s="47">
        <f t="shared" si="8"/>
        <v>0</v>
      </c>
      <c r="U34" s="47">
        <f t="shared" si="9"/>
        <v>0</v>
      </c>
      <c r="V34" s="47">
        <f t="shared" si="10"/>
        <v>0</v>
      </c>
      <c r="W34" s="47">
        <f t="shared" si="11"/>
        <v>0</v>
      </c>
      <c r="X34" s="47">
        <f t="shared" si="12"/>
        <v>0</v>
      </c>
      <c r="Y34" s="47">
        <f t="shared" si="13"/>
        <v>0</v>
      </c>
      <c r="Z34" s="47">
        <f t="shared" si="14"/>
        <v>0</v>
      </c>
      <c r="AA34" s="47">
        <f t="shared" si="15"/>
        <v>0</v>
      </c>
      <c r="AC34" s="82">
        <f t="shared" si="16"/>
        <v>0</v>
      </c>
      <c r="AD34" s="82">
        <f t="shared" si="16"/>
        <v>0</v>
      </c>
      <c r="AE34" s="82">
        <f t="shared" si="16"/>
        <v>0</v>
      </c>
      <c r="AF34" s="82">
        <f t="shared" si="16"/>
        <v>0</v>
      </c>
      <c r="AH34" s="47">
        <f>IF($R34="",0,J34*$AC34*HLOOKUP(AH$6,Escalators!$I$25:$U$30,3,FALSE))</f>
        <v>0</v>
      </c>
      <c r="AI34" s="47">
        <f>IF($R34="",0,K34*$AC34*HLOOKUP(AI$6,Escalators!$I$25:$U$30,3,FALSE))</f>
        <v>0</v>
      </c>
      <c r="AJ34" s="47">
        <f>IF($R34="",0,L34*$AC34*HLOOKUP(AJ$6,Escalators!$I$25:$U$30,3,FALSE))</f>
        <v>0</v>
      </c>
      <c r="AK34" s="47">
        <f>IF($R34="",0,M34*$AC34*HLOOKUP(AK$6,Escalators!$I$25:$U$30,3,FALSE))</f>
        <v>0</v>
      </c>
      <c r="AL34" s="47">
        <f>IF($R34="",0,N34*$AC34*HLOOKUP(AL$6,Escalators!$I$25:$U$30,3,FALSE))</f>
        <v>0</v>
      </c>
      <c r="AM34" s="47">
        <f>IF($R34="",0,O34*$AC34*HLOOKUP(AM$6,Escalators!$I$25:$U$30,3,FALSE))</f>
        <v>0</v>
      </c>
      <c r="AN34" s="47">
        <f>IF($R34="",0,P34*$AC34*HLOOKUP(AN$6,Escalators!$I$25:$U$30,3,FALSE))</f>
        <v>0</v>
      </c>
      <c r="AO34" s="47">
        <f>IF($R34="",0,Q34*$AC34*HLOOKUP(AO$6,Escalators!$I$25:$U$30,3,FALSE))</f>
        <v>0</v>
      </c>
      <c r="AQ34" s="6">
        <f>IF($R34="",0,$J34*$AD34*INDEX(Act_Type_Repex_Splits,MATCH($I34,Act_Type_Repex,0),MATCH(AQ$5,Mat_Type,0))*INDEX(Escalators!$I$44:$U$49,MATCH(AQ$5,Escalators!$C$44:$C$49,0),MATCH(AQ$6,Escalators!$I$43:$U$43,0)))</f>
        <v>0</v>
      </c>
      <c r="AR34" s="6">
        <f>IF($R34="",0,$J34*$AD34*INDEX(Act_Type_Repex_Splits,MATCH($I34,Act_Type_Repex,0),MATCH(AR$5,Mat_Type,0))*INDEX(Escalators!$I$44:$U$49,MATCH(AR$5,Escalators!$C$44:$C$49,0),MATCH(AR$6,Escalators!$I$43:$U$43,0)))</f>
        <v>0</v>
      </c>
      <c r="AS34" s="6">
        <f>IF($R34="",0,$J34*$AD34*INDEX(Act_Type_Repex_Splits,MATCH($I34,Act_Type_Repex,0),MATCH(AS$5,Mat_Type,0))*INDEX(Escalators!$I$44:$U$49,MATCH(AS$5,Escalators!$C$44:$C$49,0),MATCH(AS$6,Escalators!$I$43:$U$43,0)))</f>
        <v>0</v>
      </c>
      <c r="AT34" s="6">
        <f>IF($R34="",0,$J34*$AD34*INDEX(Act_Type_Repex_Splits,MATCH($I34,Act_Type_Repex,0),MATCH(AT$5,Mat_Type,0))*INDEX(Escalators!$I$44:$U$49,MATCH(AT$5,Escalators!$C$44:$C$49,0),MATCH(AT$6,Escalators!$I$43:$U$43,0)))</f>
        <v>0</v>
      </c>
      <c r="AU34" s="6">
        <f>IF($R34="",0,$J34*$AD34*INDEX(Act_Type_Repex_Splits,MATCH($I34,Act_Type_Repex,0),MATCH(AU$5,Mat_Type,0))*INDEX(Escalators!$I$44:$U$49,MATCH(AU$5,Escalators!$C$44:$C$49,0),MATCH(AU$6,Escalators!$I$43:$U$43,0)))</f>
        <v>0</v>
      </c>
      <c r="AV34" s="47">
        <f t="shared" si="17"/>
        <v>0</v>
      </c>
      <c r="AW34" s="47">
        <f>IF($R34="",0,$K34*$AD34*INDEX(Act_Type_Repex_Splits,MATCH($I34,Act_Type_Repex,0),MATCH(AW$5,Mat_Type,0))*INDEX(Escalators!$I$44:$U$49,MATCH(AW$5,Escalators!$C$44:$C$49,0),MATCH(AW$6,Escalators!$I$43:$U$43,0)))</f>
        <v>0</v>
      </c>
      <c r="AX34" s="47">
        <f>IF($R34="",0,$K34*$AD34*INDEX(Act_Type_Repex_Splits,MATCH($I34,Act_Type_Repex,0),MATCH(AX$5,Mat_Type,0))*INDEX(Escalators!$I$44:$U$49,MATCH(AX$5,Escalators!$C$44:$C$49,0),MATCH(AX$6,Escalators!$I$43:$U$43,0)))</f>
        <v>0</v>
      </c>
      <c r="AY34" s="47">
        <f>IF($R34="",0,$K34*$AD34*INDEX(Act_Type_Repex_Splits,MATCH($I34,Act_Type_Repex,0),MATCH(AY$5,Mat_Type,0))*INDEX(Escalators!$I$44:$U$49,MATCH(AY$5,Escalators!$C$44:$C$49,0),MATCH(AY$6,Escalators!$I$43:$U$43,0)))</f>
        <v>0</v>
      </c>
      <c r="AZ34" s="47">
        <f>IF($R34="",0,$K34*$AD34*INDEX(Act_Type_Repex_Splits,MATCH($I34,Act_Type_Repex,0),MATCH(AZ$5,Mat_Type,0))*INDEX(Escalators!$I$44:$U$49,MATCH(AZ$5,Escalators!$C$44:$C$49,0),MATCH(AZ$6,Escalators!$I$43:$U$43,0)))</f>
        <v>0</v>
      </c>
      <c r="BA34" s="47">
        <f>IF($R34="",0,$K34*$AD34*INDEX(Act_Type_Repex_Splits,MATCH($I34,Act_Type_Repex,0),MATCH(BA$5,Mat_Type,0))*INDEX(Escalators!$I$44:$U$49,MATCH(BA$5,Escalators!$C$44:$C$49,0),MATCH(BA$6,Escalators!$I$43:$U$43,0)))</f>
        <v>0</v>
      </c>
      <c r="BB34" s="47">
        <f t="shared" si="18"/>
        <v>0</v>
      </c>
      <c r="BC34" s="47">
        <f>IF($R34="",0,$L34*$AD34*INDEX(Act_Type_Repex_Splits,MATCH($I34,Act_Type_Repex,0),MATCH(BC$5,Mat_Type,0))*INDEX(Escalators!$I$44:$U$49,MATCH(BC$5,Escalators!$C$44:$C$49,0),MATCH(BC$6,Escalators!$I$43:$U$43,0)))</f>
        <v>0</v>
      </c>
      <c r="BD34" s="47">
        <f>IF($R34="",0,$L34*$AD34*INDEX(Act_Type_Repex_Splits,MATCH($I34,Act_Type_Repex,0),MATCH(BD$5,Mat_Type,0))*INDEX(Escalators!$I$44:$U$49,MATCH(BD$5,Escalators!$C$44:$C$49,0),MATCH(BD$6,Escalators!$I$43:$U$43,0)))</f>
        <v>0</v>
      </c>
      <c r="BE34" s="47">
        <f>IF($R34="",0,$L34*$AD34*INDEX(Act_Type_Repex_Splits,MATCH($I34,Act_Type_Repex,0),MATCH(BE$5,Mat_Type,0))*INDEX(Escalators!$I$44:$U$49,MATCH(BE$5,Escalators!$C$44:$C$49,0),MATCH(BE$6,Escalators!$I$43:$U$43,0)))</f>
        <v>0</v>
      </c>
      <c r="BF34" s="47">
        <f>IF($R34="",0,$L34*$AD34*INDEX(Act_Type_Repex_Splits,MATCH($I34,Act_Type_Repex,0),MATCH(BF$5,Mat_Type,0))*INDEX(Escalators!$I$44:$U$49,MATCH(BF$5,Escalators!$C$44:$C$49,0),MATCH(BF$6,Escalators!$I$43:$U$43,0)))</f>
        <v>0</v>
      </c>
      <c r="BG34" s="47">
        <f>IF($R34="",0,$L34*$AD34*INDEX(Act_Type_Repex_Splits,MATCH($I34,Act_Type_Repex,0),MATCH(BG$5,Mat_Type,0))*INDEX(Escalators!$I$44:$U$49,MATCH(BG$5,Escalators!$C$44:$C$49,0),MATCH(BG$6,Escalators!$I$43:$U$43,0)))</f>
        <v>0</v>
      </c>
      <c r="BH34" s="47">
        <f t="shared" si="19"/>
        <v>0</v>
      </c>
      <c r="BI34" s="47">
        <f>IF($R34="",0,$M34*$AD34*INDEX(Act_Type_Repex_Splits,MATCH($I34,Act_Type_Repex,0),MATCH(BI$5,Mat_Type,0))*INDEX(Escalators!$I$44:$U$49,MATCH(BI$5,Escalators!$C$44:$C$49,0),MATCH(BI$6,Escalators!$I$43:$U$43,0)))</f>
        <v>0</v>
      </c>
      <c r="BJ34" s="47">
        <f>IF($R34="",0,$M34*$AD34*INDEX(Act_Type_Repex_Splits,MATCH($I34,Act_Type_Repex,0),MATCH(BJ$5,Mat_Type,0))*INDEX(Escalators!$I$44:$U$49,MATCH(BJ$5,Escalators!$C$44:$C$49,0),MATCH(BJ$6,Escalators!$I$43:$U$43,0)))</f>
        <v>0</v>
      </c>
      <c r="BK34" s="47">
        <f>IF($R34="",0,$M34*$AD34*INDEX(Act_Type_Repex_Splits,MATCH($I34,Act_Type_Repex,0),MATCH(BK$5,Mat_Type,0))*INDEX(Escalators!$I$44:$U$49,MATCH(BK$5,Escalators!$C$44:$C$49,0),MATCH(BK$6,Escalators!$I$43:$U$43,0)))</f>
        <v>0</v>
      </c>
      <c r="BL34" s="47">
        <f>IF($R34="",0,$M34*$AD34*INDEX(Act_Type_Repex_Splits,MATCH($I34,Act_Type_Repex,0),MATCH(BL$5,Mat_Type,0))*INDEX(Escalators!$I$44:$U$49,MATCH(BL$5,Escalators!$C$44:$C$49,0),MATCH(BL$6,Escalators!$I$43:$U$43,0)))</f>
        <v>0</v>
      </c>
      <c r="BM34" s="47">
        <f>IF($R34="",0,$M34*$AD34*INDEX(Act_Type_Repex_Splits,MATCH($I34,Act_Type_Repex,0),MATCH(BM$5,Mat_Type,0))*INDEX(Escalators!$I$44:$U$49,MATCH(BM$5,Escalators!$C$44:$C$49,0),MATCH(BM$6,Escalators!$I$43:$U$43,0)))</f>
        <v>0</v>
      </c>
      <c r="BN34" s="47">
        <f t="shared" si="20"/>
        <v>0</v>
      </c>
      <c r="BO34" s="47">
        <f>IF($R34="",0,$N34*$AD34*INDEX(Act_Type_Repex_Splits,MATCH($I34,Act_Type_Repex,0),MATCH(BO$5,Mat_Type,0))*INDEX(Escalators!$I$44:$U$49,MATCH(BO$5,Escalators!$C$44:$C$49,0),MATCH(BO$6,Escalators!$I$43:$U$43,0)))</f>
        <v>0</v>
      </c>
      <c r="BP34" s="47">
        <f>IF($R34="",0,$N34*$AD34*INDEX(Act_Type_Repex_Splits,MATCH($I34,Act_Type_Repex,0),MATCH(BP$5,Mat_Type,0))*INDEX(Escalators!$I$44:$U$49,MATCH(BP$5,Escalators!$C$44:$C$49,0),MATCH(BP$6,Escalators!$I$43:$U$43,0)))</f>
        <v>0</v>
      </c>
      <c r="BQ34" s="47">
        <f>IF($R34="",0,$N34*$AD34*INDEX(Act_Type_Repex_Splits,MATCH($I34,Act_Type_Repex,0),MATCH(BQ$5,Mat_Type,0))*INDEX(Escalators!$I$44:$U$49,MATCH(BQ$5,Escalators!$C$44:$C$49,0),MATCH(BQ$6,Escalators!$I$43:$U$43,0)))</f>
        <v>0</v>
      </c>
      <c r="BR34" s="47">
        <f>IF($R34="",0,$N34*$AD34*INDEX(Act_Type_Repex_Splits,MATCH($I34,Act_Type_Repex,0),MATCH(BR$5,Mat_Type,0))*INDEX(Escalators!$I$44:$U$49,MATCH(BR$5,Escalators!$C$44:$C$49,0),MATCH(BR$6,Escalators!$I$43:$U$43,0)))</f>
        <v>0</v>
      </c>
      <c r="BS34" s="47">
        <f>IF($R34="",0,$N34*$AD34*INDEX(Act_Type_Repex_Splits,MATCH($I34,Act_Type_Repex,0),MATCH(BS$5,Mat_Type,0))*INDEX(Escalators!$I$44:$U$49,MATCH(BS$5,Escalators!$C$44:$C$49,0),MATCH(BS$6,Escalators!$I$43:$U$43,0)))</f>
        <v>0</v>
      </c>
      <c r="BT34" s="47">
        <f t="shared" si="21"/>
        <v>0</v>
      </c>
      <c r="BU34" s="47">
        <f>IF($R34="",0,$O34*$AD34*INDEX(Act_Type_Repex_Splits,MATCH($I34,Act_Type_Repex,0),MATCH(BU$5,Mat_Type,0))*INDEX(Escalators!$I$44:$U$49,MATCH(BU$5,Escalators!$C$44:$C$49,0),MATCH(BU$6,Escalators!$I$43:$U$43,0)))</f>
        <v>0</v>
      </c>
      <c r="BV34" s="47">
        <f>IF($R34="",0,$O34*$AD34*INDEX(Act_Type_Repex_Splits,MATCH($I34,Act_Type_Repex,0),MATCH(BV$5,Mat_Type,0))*INDEX(Escalators!$I$44:$U$49,MATCH(BV$5,Escalators!$C$44:$C$49,0),MATCH(BV$6,Escalators!$I$43:$U$43,0)))</f>
        <v>0</v>
      </c>
      <c r="BW34" s="47">
        <f>IF($R34="",0,$O34*$AD34*INDEX(Act_Type_Repex_Splits,MATCH($I34,Act_Type_Repex,0),MATCH(BW$5,Mat_Type,0))*INDEX(Escalators!$I$44:$U$49,MATCH(BW$5,Escalators!$C$44:$C$49,0),MATCH(BW$6,Escalators!$I$43:$U$43,0)))</f>
        <v>0</v>
      </c>
      <c r="BX34" s="47">
        <f>IF($R34="",0,$O34*$AD34*INDEX(Act_Type_Repex_Splits,MATCH($I34,Act_Type_Repex,0),MATCH(BX$5,Mat_Type,0))*INDEX(Escalators!$I$44:$U$49,MATCH(BX$5,Escalators!$C$44:$C$49,0),MATCH(BX$6,Escalators!$I$43:$U$43,0)))</f>
        <v>0</v>
      </c>
      <c r="BY34" s="47">
        <f>IF($R34="",0,$O34*$AD34*INDEX(Act_Type_Repex_Splits,MATCH($I34,Act_Type_Repex,0),MATCH(BY$5,Mat_Type,0))*INDEX(Escalators!$I$44:$U$49,MATCH(BY$5,Escalators!$C$44:$C$49,0),MATCH(BY$6,Escalators!$I$43:$U$43,0)))</f>
        <v>0</v>
      </c>
      <c r="BZ34" s="47">
        <f t="shared" si="22"/>
        <v>0</v>
      </c>
      <c r="CA34" s="47">
        <f>IF($R34="",0,$P34*$AD34*INDEX(Act_Type_Repex_Splits,MATCH($I34,Act_Type_Repex,0),MATCH(CA$5,Mat_Type,0))*INDEX(Escalators!$I$44:$U$49,MATCH(CA$5,Escalators!$C$44:$C$49,0),MATCH(CA$6,Escalators!$I$43:$U$43,0)))</f>
        <v>0</v>
      </c>
      <c r="CB34" s="47">
        <f>IF($R34="",0,$P34*$AD34*INDEX(Act_Type_Repex_Splits,MATCH($I34,Act_Type_Repex,0),MATCH(CB$5,Mat_Type,0))*INDEX(Escalators!$I$44:$U$49,MATCH(CB$5,Escalators!$C$44:$C$49,0),MATCH(CB$6,Escalators!$I$43:$U$43,0)))</f>
        <v>0</v>
      </c>
      <c r="CC34" s="47">
        <f>IF($R34="",0,$P34*$AD34*INDEX(Act_Type_Repex_Splits,MATCH($I34,Act_Type_Repex,0),MATCH(CC$5,Mat_Type,0))*INDEX(Escalators!$I$44:$U$49,MATCH(CC$5,Escalators!$C$44:$C$49,0),MATCH(CC$6,Escalators!$I$43:$U$43,0)))</f>
        <v>0</v>
      </c>
      <c r="CD34" s="47">
        <f>IF($R34="",0,$P34*$AD34*INDEX(Act_Type_Repex_Splits,MATCH($I34,Act_Type_Repex,0),MATCH(CD$5,Mat_Type,0))*INDEX(Escalators!$I$44:$U$49,MATCH(CD$5,Escalators!$C$44:$C$49,0),MATCH(CD$6,Escalators!$I$43:$U$43,0)))</f>
        <v>0</v>
      </c>
      <c r="CE34" s="47">
        <f>IF($R34="",0,$P34*$AD34*INDEX(Act_Type_Repex_Splits,MATCH($I34,Act_Type_Repex,0),MATCH(CE$5,Mat_Type,0))*INDEX(Escalators!$I$44:$U$49,MATCH(CE$5,Escalators!$C$44:$C$49,0),MATCH(CE$6,Escalators!$I$43:$U$43,0)))</f>
        <v>0</v>
      </c>
      <c r="CF34" s="47">
        <f t="shared" si="23"/>
        <v>0</v>
      </c>
      <c r="CG34" s="47">
        <f>IF($R34="",0,$Q34*$AD34*INDEX(Act_Type_Repex_Splits,MATCH($I34,Act_Type_Repex,0),MATCH(CG$5,Mat_Type,0))*INDEX(Escalators!$I$44:$U$49,MATCH(CG$5,Escalators!$C$44:$C$49,0),MATCH(CG$6,Escalators!$I$43:$U$43,0)))</f>
        <v>0</v>
      </c>
      <c r="CH34" s="47">
        <f>IF($R34="",0,$Q34*$AD34*INDEX(Act_Type_Repex_Splits,MATCH($I34,Act_Type_Repex,0),MATCH(CH$5,Mat_Type,0))*INDEX(Escalators!$I$44:$U$49,MATCH(CH$5,Escalators!$C$44:$C$49,0),MATCH(CH$6,Escalators!$I$43:$U$43,0)))</f>
        <v>0</v>
      </c>
      <c r="CI34" s="47">
        <f>IF($R34="",0,$Q34*$AD34*INDEX(Act_Type_Repex_Splits,MATCH($I34,Act_Type_Repex,0),MATCH(CI$5,Mat_Type,0))*INDEX(Escalators!$I$44:$U$49,MATCH(CI$5,Escalators!$C$44:$C$49,0),MATCH(CI$6,Escalators!$I$43:$U$43,0)))</f>
        <v>0</v>
      </c>
      <c r="CJ34" s="47">
        <f>IF($R34="",0,$Q34*$AD34*INDEX(Act_Type_Repex_Splits,MATCH($I34,Act_Type_Repex,0),MATCH(CJ$5,Mat_Type,0))*INDEX(Escalators!$I$44:$U$49,MATCH(CJ$5,Escalators!$C$44:$C$49,0),MATCH(CJ$6,Escalators!$I$43:$U$43,0)))</f>
        <v>0</v>
      </c>
      <c r="CK34" s="47">
        <f>IF($R34="",0,$Q34*$AD34*INDEX(Act_Type_Repex_Splits,MATCH($I34,Act_Type_Repex,0),MATCH(CK$5,Mat_Type,0))*INDEX(Escalators!$I$44:$U$49,MATCH(CK$5,Escalators!$C$44:$C$49,0),MATCH(CK$6,Escalators!$I$43:$U$43,0)))</f>
        <v>0</v>
      </c>
      <c r="CL34" s="47">
        <f t="shared" si="24"/>
        <v>0</v>
      </c>
      <c r="CN34" s="47">
        <f>IF($R34="",0,J34*$AE34*HLOOKUP(CN$6,Escalators!$I$25:$U$30,6,FALSE))</f>
        <v>0</v>
      </c>
      <c r="CO34" s="47">
        <f>IF($R34="",0,K34*$AE34*HLOOKUP(CO$6,Escalators!$I$25:$U$30,6,FALSE))</f>
        <v>0</v>
      </c>
      <c r="CP34" s="47">
        <f>IF($R34="",0,L34*$AE34*HLOOKUP(CP$6,Escalators!$I$25:$U$30,6,FALSE))</f>
        <v>0</v>
      </c>
      <c r="CQ34" s="47">
        <f>IF($R34="",0,M34*$AE34*HLOOKUP(CQ$6,Escalators!$I$25:$U$30,6,FALSE))</f>
        <v>0</v>
      </c>
      <c r="CR34" s="47">
        <f>IF($R34="",0,N34*$AE34*HLOOKUP(CR$6,Escalators!$I$25:$U$30,6,FALSE))</f>
        <v>0</v>
      </c>
      <c r="CS34" s="47">
        <f>IF($R34="",0,O34*$AE34*HLOOKUP(CS$6,Escalators!$I$25:$U$30,6,FALSE))</f>
        <v>0</v>
      </c>
      <c r="CT34" s="47">
        <f>IF($R34="",0,P34*$AE34*HLOOKUP(CT$6,Escalators!$I$25:$U$30,6,FALSE))</f>
        <v>0</v>
      </c>
      <c r="CU34" s="47">
        <f>IF($R34="",0,Q34*$AE34*HLOOKUP(CU$6,Escalators!$I$25:$U$30,6,FALSE))</f>
        <v>0</v>
      </c>
      <c r="CW34" s="82">
        <f t="shared" si="25"/>
        <v>0</v>
      </c>
      <c r="CX34" s="82">
        <f t="shared" si="26"/>
        <v>0</v>
      </c>
      <c r="CY34" s="82">
        <f t="shared" si="27"/>
        <v>0</v>
      </c>
      <c r="CZ34" s="82">
        <f t="shared" si="28"/>
        <v>0</v>
      </c>
      <c r="DA34" s="82">
        <f t="shared" si="29"/>
        <v>0</v>
      </c>
      <c r="DB34" s="82">
        <f t="shared" si="30"/>
        <v>0</v>
      </c>
      <c r="DC34" s="82">
        <f t="shared" si="31"/>
        <v>0</v>
      </c>
      <c r="DD34" s="82">
        <f t="shared" si="32"/>
        <v>0</v>
      </c>
      <c r="DF34" s="47">
        <f t="shared" si="33"/>
        <v>0</v>
      </c>
      <c r="DG34" s="47">
        <f t="shared" si="34"/>
        <v>0</v>
      </c>
      <c r="DH34" s="47">
        <f t="shared" si="35"/>
        <v>0</v>
      </c>
      <c r="DI34" s="47">
        <f t="shared" si="36"/>
        <v>0</v>
      </c>
      <c r="DJ34" s="47">
        <f t="shared" si="37"/>
        <v>0</v>
      </c>
      <c r="DK34" s="47">
        <f t="shared" si="38"/>
        <v>0</v>
      </c>
      <c r="DL34" s="47">
        <f t="shared" si="39"/>
        <v>0</v>
      </c>
      <c r="DM34" s="47">
        <f t="shared" si="40"/>
        <v>0</v>
      </c>
      <c r="DO34" s="39"/>
    </row>
    <row r="35" spans="2:119">
      <c r="B35" s="7"/>
      <c r="C35" s="7"/>
      <c r="D35" s="7"/>
      <c r="E35" s="7"/>
      <c r="F35" s="7"/>
      <c r="G35" s="7"/>
      <c r="H35" s="7"/>
      <c r="I35" s="7"/>
      <c r="J35" s="7"/>
      <c r="K35" s="7"/>
      <c r="L35" s="7"/>
      <c r="M35" s="7"/>
      <c r="N35" s="7"/>
      <c r="O35" s="7"/>
      <c r="P35" s="7"/>
      <c r="Q35" s="7"/>
      <c r="R35" s="46"/>
      <c r="T35" s="47">
        <f t="shared" si="8"/>
        <v>0</v>
      </c>
      <c r="U35" s="47">
        <f t="shared" si="9"/>
        <v>0</v>
      </c>
      <c r="V35" s="47">
        <f t="shared" si="10"/>
        <v>0</v>
      </c>
      <c r="W35" s="47">
        <f t="shared" si="11"/>
        <v>0</v>
      </c>
      <c r="X35" s="47">
        <f t="shared" si="12"/>
        <v>0</v>
      </c>
      <c r="Y35" s="47">
        <f t="shared" si="13"/>
        <v>0</v>
      </c>
      <c r="Z35" s="47">
        <f t="shared" si="14"/>
        <v>0</v>
      </c>
      <c r="AA35" s="47">
        <f t="shared" si="15"/>
        <v>0</v>
      </c>
      <c r="AC35" s="82">
        <f t="shared" si="16"/>
        <v>0</v>
      </c>
      <c r="AD35" s="82">
        <f t="shared" si="16"/>
        <v>0</v>
      </c>
      <c r="AE35" s="82">
        <f t="shared" si="16"/>
        <v>0</v>
      </c>
      <c r="AF35" s="82">
        <f t="shared" si="16"/>
        <v>0</v>
      </c>
      <c r="AH35" s="47">
        <f>IF($R35="",0,J35*$AC35*HLOOKUP(AH$6,Escalators!$I$25:$U$30,3,FALSE))</f>
        <v>0</v>
      </c>
      <c r="AI35" s="47">
        <f>IF($R35="",0,K35*$AC35*HLOOKUP(AI$6,Escalators!$I$25:$U$30,3,FALSE))</f>
        <v>0</v>
      </c>
      <c r="AJ35" s="47">
        <f>IF($R35="",0,L35*$AC35*HLOOKUP(AJ$6,Escalators!$I$25:$U$30,3,FALSE))</f>
        <v>0</v>
      </c>
      <c r="AK35" s="47">
        <f>IF($R35="",0,M35*$AC35*HLOOKUP(AK$6,Escalators!$I$25:$U$30,3,FALSE))</f>
        <v>0</v>
      </c>
      <c r="AL35" s="47">
        <f>IF($R35="",0,N35*$AC35*HLOOKUP(AL$6,Escalators!$I$25:$U$30,3,FALSE))</f>
        <v>0</v>
      </c>
      <c r="AM35" s="47">
        <f>IF($R35="",0,O35*$AC35*HLOOKUP(AM$6,Escalators!$I$25:$U$30,3,FALSE))</f>
        <v>0</v>
      </c>
      <c r="AN35" s="47">
        <f>IF($R35="",0,P35*$AC35*HLOOKUP(AN$6,Escalators!$I$25:$U$30,3,FALSE))</f>
        <v>0</v>
      </c>
      <c r="AO35" s="47">
        <f>IF($R35="",0,Q35*$AC35*HLOOKUP(AO$6,Escalators!$I$25:$U$30,3,FALSE))</f>
        <v>0</v>
      </c>
      <c r="AQ35" s="6">
        <f>IF($R35="",0,$J35*$AD35*INDEX(Act_Type_Repex_Splits,MATCH($I35,Act_Type_Repex,0),MATCH(AQ$5,Mat_Type,0))*INDEX(Escalators!$I$44:$U$49,MATCH(AQ$5,Escalators!$C$44:$C$49,0),MATCH(AQ$6,Escalators!$I$43:$U$43,0)))</f>
        <v>0</v>
      </c>
      <c r="AR35" s="6">
        <f>IF($R35="",0,$J35*$AD35*INDEX(Act_Type_Repex_Splits,MATCH($I35,Act_Type_Repex,0),MATCH(AR$5,Mat_Type,0))*INDEX(Escalators!$I$44:$U$49,MATCH(AR$5,Escalators!$C$44:$C$49,0),MATCH(AR$6,Escalators!$I$43:$U$43,0)))</f>
        <v>0</v>
      </c>
      <c r="AS35" s="6">
        <f>IF($R35="",0,$J35*$AD35*INDEX(Act_Type_Repex_Splits,MATCH($I35,Act_Type_Repex,0),MATCH(AS$5,Mat_Type,0))*INDEX(Escalators!$I$44:$U$49,MATCH(AS$5,Escalators!$C$44:$C$49,0),MATCH(AS$6,Escalators!$I$43:$U$43,0)))</f>
        <v>0</v>
      </c>
      <c r="AT35" s="6">
        <f>IF($R35="",0,$J35*$AD35*INDEX(Act_Type_Repex_Splits,MATCH($I35,Act_Type_Repex,0),MATCH(AT$5,Mat_Type,0))*INDEX(Escalators!$I$44:$U$49,MATCH(AT$5,Escalators!$C$44:$C$49,0),MATCH(AT$6,Escalators!$I$43:$U$43,0)))</f>
        <v>0</v>
      </c>
      <c r="AU35" s="6">
        <f>IF($R35="",0,$J35*$AD35*INDEX(Act_Type_Repex_Splits,MATCH($I35,Act_Type_Repex,0),MATCH(AU$5,Mat_Type,0))*INDEX(Escalators!$I$44:$U$49,MATCH(AU$5,Escalators!$C$44:$C$49,0),MATCH(AU$6,Escalators!$I$43:$U$43,0)))</f>
        <v>0</v>
      </c>
      <c r="AV35" s="47">
        <f t="shared" si="17"/>
        <v>0</v>
      </c>
      <c r="AW35" s="47">
        <f>IF($R35="",0,$K35*$AD35*INDEX(Act_Type_Repex_Splits,MATCH($I35,Act_Type_Repex,0),MATCH(AW$5,Mat_Type,0))*INDEX(Escalators!$I$44:$U$49,MATCH(AW$5,Escalators!$C$44:$C$49,0),MATCH(AW$6,Escalators!$I$43:$U$43,0)))</f>
        <v>0</v>
      </c>
      <c r="AX35" s="47">
        <f>IF($R35="",0,$K35*$AD35*INDEX(Act_Type_Repex_Splits,MATCH($I35,Act_Type_Repex,0),MATCH(AX$5,Mat_Type,0))*INDEX(Escalators!$I$44:$U$49,MATCH(AX$5,Escalators!$C$44:$C$49,0),MATCH(AX$6,Escalators!$I$43:$U$43,0)))</f>
        <v>0</v>
      </c>
      <c r="AY35" s="47">
        <f>IF($R35="",0,$K35*$AD35*INDEX(Act_Type_Repex_Splits,MATCH($I35,Act_Type_Repex,0),MATCH(AY$5,Mat_Type,0))*INDEX(Escalators!$I$44:$U$49,MATCH(AY$5,Escalators!$C$44:$C$49,0),MATCH(AY$6,Escalators!$I$43:$U$43,0)))</f>
        <v>0</v>
      </c>
      <c r="AZ35" s="47">
        <f>IF($R35="",0,$K35*$AD35*INDEX(Act_Type_Repex_Splits,MATCH($I35,Act_Type_Repex,0),MATCH(AZ$5,Mat_Type,0))*INDEX(Escalators!$I$44:$U$49,MATCH(AZ$5,Escalators!$C$44:$C$49,0),MATCH(AZ$6,Escalators!$I$43:$U$43,0)))</f>
        <v>0</v>
      </c>
      <c r="BA35" s="47">
        <f>IF($R35="",0,$K35*$AD35*INDEX(Act_Type_Repex_Splits,MATCH($I35,Act_Type_Repex,0),MATCH(BA$5,Mat_Type,0))*INDEX(Escalators!$I$44:$U$49,MATCH(BA$5,Escalators!$C$44:$C$49,0),MATCH(BA$6,Escalators!$I$43:$U$43,0)))</f>
        <v>0</v>
      </c>
      <c r="BB35" s="47">
        <f t="shared" si="18"/>
        <v>0</v>
      </c>
      <c r="BC35" s="47">
        <f>IF($R35="",0,$L35*$AD35*INDEX(Act_Type_Repex_Splits,MATCH($I35,Act_Type_Repex,0),MATCH(BC$5,Mat_Type,0))*INDEX(Escalators!$I$44:$U$49,MATCH(BC$5,Escalators!$C$44:$C$49,0),MATCH(BC$6,Escalators!$I$43:$U$43,0)))</f>
        <v>0</v>
      </c>
      <c r="BD35" s="47">
        <f>IF($R35="",0,$L35*$AD35*INDEX(Act_Type_Repex_Splits,MATCH($I35,Act_Type_Repex,0),MATCH(BD$5,Mat_Type,0))*INDEX(Escalators!$I$44:$U$49,MATCH(BD$5,Escalators!$C$44:$C$49,0),MATCH(BD$6,Escalators!$I$43:$U$43,0)))</f>
        <v>0</v>
      </c>
      <c r="BE35" s="47">
        <f>IF($R35="",0,$L35*$AD35*INDEX(Act_Type_Repex_Splits,MATCH($I35,Act_Type_Repex,0),MATCH(BE$5,Mat_Type,0))*INDEX(Escalators!$I$44:$U$49,MATCH(BE$5,Escalators!$C$44:$C$49,0),MATCH(BE$6,Escalators!$I$43:$U$43,0)))</f>
        <v>0</v>
      </c>
      <c r="BF35" s="47">
        <f>IF($R35="",0,$L35*$AD35*INDEX(Act_Type_Repex_Splits,MATCH($I35,Act_Type_Repex,0),MATCH(BF$5,Mat_Type,0))*INDEX(Escalators!$I$44:$U$49,MATCH(BF$5,Escalators!$C$44:$C$49,0),MATCH(BF$6,Escalators!$I$43:$U$43,0)))</f>
        <v>0</v>
      </c>
      <c r="BG35" s="47">
        <f>IF($R35="",0,$L35*$AD35*INDEX(Act_Type_Repex_Splits,MATCH($I35,Act_Type_Repex,0),MATCH(BG$5,Mat_Type,0))*INDEX(Escalators!$I$44:$U$49,MATCH(BG$5,Escalators!$C$44:$C$49,0),MATCH(BG$6,Escalators!$I$43:$U$43,0)))</f>
        <v>0</v>
      </c>
      <c r="BH35" s="47">
        <f t="shared" si="19"/>
        <v>0</v>
      </c>
      <c r="BI35" s="47">
        <f>IF($R35="",0,$M35*$AD35*INDEX(Act_Type_Repex_Splits,MATCH($I35,Act_Type_Repex,0),MATCH(BI$5,Mat_Type,0))*INDEX(Escalators!$I$44:$U$49,MATCH(BI$5,Escalators!$C$44:$C$49,0),MATCH(BI$6,Escalators!$I$43:$U$43,0)))</f>
        <v>0</v>
      </c>
      <c r="BJ35" s="47">
        <f>IF($R35="",0,$M35*$AD35*INDEX(Act_Type_Repex_Splits,MATCH($I35,Act_Type_Repex,0),MATCH(BJ$5,Mat_Type,0))*INDEX(Escalators!$I$44:$U$49,MATCH(BJ$5,Escalators!$C$44:$C$49,0),MATCH(BJ$6,Escalators!$I$43:$U$43,0)))</f>
        <v>0</v>
      </c>
      <c r="BK35" s="47">
        <f>IF($R35="",0,$M35*$AD35*INDEX(Act_Type_Repex_Splits,MATCH($I35,Act_Type_Repex,0),MATCH(BK$5,Mat_Type,0))*INDEX(Escalators!$I$44:$U$49,MATCH(BK$5,Escalators!$C$44:$C$49,0),MATCH(BK$6,Escalators!$I$43:$U$43,0)))</f>
        <v>0</v>
      </c>
      <c r="BL35" s="47">
        <f>IF($R35="",0,$M35*$AD35*INDEX(Act_Type_Repex_Splits,MATCH($I35,Act_Type_Repex,0),MATCH(BL$5,Mat_Type,0))*INDEX(Escalators!$I$44:$U$49,MATCH(BL$5,Escalators!$C$44:$C$49,0),MATCH(BL$6,Escalators!$I$43:$U$43,0)))</f>
        <v>0</v>
      </c>
      <c r="BM35" s="47">
        <f>IF($R35="",0,$M35*$AD35*INDEX(Act_Type_Repex_Splits,MATCH($I35,Act_Type_Repex,0),MATCH(BM$5,Mat_Type,0))*INDEX(Escalators!$I$44:$U$49,MATCH(BM$5,Escalators!$C$44:$C$49,0),MATCH(BM$6,Escalators!$I$43:$U$43,0)))</f>
        <v>0</v>
      </c>
      <c r="BN35" s="47">
        <f t="shared" si="20"/>
        <v>0</v>
      </c>
      <c r="BO35" s="47">
        <f>IF($R35="",0,$N35*$AD35*INDEX(Act_Type_Repex_Splits,MATCH($I35,Act_Type_Repex,0),MATCH(BO$5,Mat_Type,0))*INDEX(Escalators!$I$44:$U$49,MATCH(BO$5,Escalators!$C$44:$C$49,0),MATCH(BO$6,Escalators!$I$43:$U$43,0)))</f>
        <v>0</v>
      </c>
      <c r="BP35" s="47">
        <f>IF($R35="",0,$N35*$AD35*INDEX(Act_Type_Repex_Splits,MATCH($I35,Act_Type_Repex,0),MATCH(BP$5,Mat_Type,0))*INDEX(Escalators!$I$44:$U$49,MATCH(BP$5,Escalators!$C$44:$C$49,0),MATCH(BP$6,Escalators!$I$43:$U$43,0)))</f>
        <v>0</v>
      </c>
      <c r="BQ35" s="47">
        <f>IF($R35="",0,$N35*$AD35*INDEX(Act_Type_Repex_Splits,MATCH($I35,Act_Type_Repex,0),MATCH(BQ$5,Mat_Type,0))*INDEX(Escalators!$I$44:$U$49,MATCH(BQ$5,Escalators!$C$44:$C$49,0),MATCH(BQ$6,Escalators!$I$43:$U$43,0)))</f>
        <v>0</v>
      </c>
      <c r="BR35" s="47">
        <f>IF($R35="",0,$N35*$AD35*INDEX(Act_Type_Repex_Splits,MATCH($I35,Act_Type_Repex,0),MATCH(BR$5,Mat_Type,0))*INDEX(Escalators!$I$44:$U$49,MATCH(BR$5,Escalators!$C$44:$C$49,0),MATCH(BR$6,Escalators!$I$43:$U$43,0)))</f>
        <v>0</v>
      </c>
      <c r="BS35" s="47">
        <f>IF($R35="",0,$N35*$AD35*INDEX(Act_Type_Repex_Splits,MATCH($I35,Act_Type_Repex,0),MATCH(BS$5,Mat_Type,0))*INDEX(Escalators!$I$44:$U$49,MATCH(BS$5,Escalators!$C$44:$C$49,0),MATCH(BS$6,Escalators!$I$43:$U$43,0)))</f>
        <v>0</v>
      </c>
      <c r="BT35" s="47">
        <f t="shared" si="21"/>
        <v>0</v>
      </c>
      <c r="BU35" s="47">
        <f>IF($R35="",0,$O35*$AD35*INDEX(Act_Type_Repex_Splits,MATCH($I35,Act_Type_Repex,0),MATCH(BU$5,Mat_Type,0))*INDEX(Escalators!$I$44:$U$49,MATCH(BU$5,Escalators!$C$44:$C$49,0),MATCH(BU$6,Escalators!$I$43:$U$43,0)))</f>
        <v>0</v>
      </c>
      <c r="BV35" s="47">
        <f>IF($R35="",0,$O35*$AD35*INDEX(Act_Type_Repex_Splits,MATCH($I35,Act_Type_Repex,0),MATCH(BV$5,Mat_Type,0))*INDEX(Escalators!$I$44:$U$49,MATCH(BV$5,Escalators!$C$44:$C$49,0),MATCH(BV$6,Escalators!$I$43:$U$43,0)))</f>
        <v>0</v>
      </c>
      <c r="BW35" s="47">
        <f>IF($R35="",0,$O35*$AD35*INDEX(Act_Type_Repex_Splits,MATCH($I35,Act_Type_Repex,0),MATCH(BW$5,Mat_Type,0))*INDEX(Escalators!$I$44:$U$49,MATCH(BW$5,Escalators!$C$44:$C$49,0),MATCH(BW$6,Escalators!$I$43:$U$43,0)))</f>
        <v>0</v>
      </c>
      <c r="BX35" s="47">
        <f>IF($R35="",0,$O35*$AD35*INDEX(Act_Type_Repex_Splits,MATCH($I35,Act_Type_Repex,0),MATCH(BX$5,Mat_Type,0))*INDEX(Escalators!$I$44:$U$49,MATCH(BX$5,Escalators!$C$44:$C$49,0),MATCH(BX$6,Escalators!$I$43:$U$43,0)))</f>
        <v>0</v>
      </c>
      <c r="BY35" s="47">
        <f>IF($R35="",0,$O35*$AD35*INDEX(Act_Type_Repex_Splits,MATCH($I35,Act_Type_Repex,0),MATCH(BY$5,Mat_Type,0))*INDEX(Escalators!$I$44:$U$49,MATCH(BY$5,Escalators!$C$44:$C$49,0),MATCH(BY$6,Escalators!$I$43:$U$43,0)))</f>
        <v>0</v>
      </c>
      <c r="BZ35" s="47">
        <f t="shared" si="22"/>
        <v>0</v>
      </c>
      <c r="CA35" s="47">
        <f>IF($R35="",0,$P35*$AD35*INDEX(Act_Type_Repex_Splits,MATCH($I35,Act_Type_Repex,0),MATCH(CA$5,Mat_Type,0))*INDEX(Escalators!$I$44:$U$49,MATCH(CA$5,Escalators!$C$44:$C$49,0),MATCH(CA$6,Escalators!$I$43:$U$43,0)))</f>
        <v>0</v>
      </c>
      <c r="CB35" s="47">
        <f>IF($R35="",0,$P35*$AD35*INDEX(Act_Type_Repex_Splits,MATCH($I35,Act_Type_Repex,0),MATCH(CB$5,Mat_Type,0))*INDEX(Escalators!$I$44:$U$49,MATCH(CB$5,Escalators!$C$44:$C$49,0),MATCH(CB$6,Escalators!$I$43:$U$43,0)))</f>
        <v>0</v>
      </c>
      <c r="CC35" s="47">
        <f>IF($R35="",0,$P35*$AD35*INDEX(Act_Type_Repex_Splits,MATCH($I35,Act_Type_Repex,0),MATCH(CC$5,Mat_Type,0))*INDEX(Escalators!$I$44:$U$49,MATCH(CC$5,Escalators!$C$44:$C$49,0),MATCH(CC$6,Escalators!$I$43:$U$43,0)))</f>
        <v>0</v>
      </c>
      <c r="CD35" s="47">
        <f>IF($R35="",0,$P35*$AD35*INDEX(Act_Type_Repex_Splits,MATCH($I35,Act_Type_Repex,0),MATCH(CD$5,Mat_Type,0))*INDEX(Escalators!$I$44:$U$49,MATCH(CD$5,Escalators!$C$44:$C$49,0),MATCH(CD$6,Escalators!$I$43:$U$43,0)))</f>
        <v>0</v>
      </c>
      <c r="CE35" s="47">
        <f>IF($R35="",0,$P35*$AD35*INDEX(Act_Type_Repex_Splits,MATCH($I35,Act_Type_Repex,0),MATCH(CE$5,Mat_Type,0))*INDEX(Escalators!$I$44:$U$49,MATCH(CE$5,Escalators!$C$44:$C$49,0),MATCH(CE$6,Escalators!$I$43:$U$43,0)))</f>
        <v>0</v>
      </c>
      <c r="CF35" s="47">
        <f t="shared" si="23"/>
        <v>0</v>
      </c>
      <c r="CG35" s="47">
        <f>IF($R35="",0,$Q35*$AD35*INDEX(Act_Type_Repex_Splits,MATCH($I35,Act_Type_Repex,0),MATCH(CG$5,Mat_Type,0))*INDEX(Escalators!$I$44:$U$49,MATCH(CG$5,Escalators!$C$44:$C$49,0),MATCH(CG$6,Escalators!$I$43:$U$43,0)))</f>
        <v>0</v>
      </c>
      <c r="CH35" s="47">
        <f>IF($R35="",0,$Q35*$AD35*INDEX(Act_Type_Repex_Splits,MATCH($I35,Act_Type_Repex,0),MATCH(CH$5,Mat_Type,0))*INDEX(Escalators!$I$44:$U$49,MATCH(CH$5,Escalators!$C$44:$C$49,0),MATCH(CH$6,Escalators!$I$43:$U$43,0)))</f>
        <v>0</v>
      </c>
      <c r="CI35" s="47">
        <f>IF($R35="",0,$Q35*$AD35*INDEX(Act_Type_Repex_Splits,MATCH($I35,Act_Type_Repex,0),MATCH(CI$5,Mat_Type,0))*INDEX(Escalators!$I$44:$U$49,MATCH(CI$5,Escalators!$C$44:$C$49,0),MATCH(CI$6,Escalators!$I$43:$U$43,0)))</f>
        <v>0</v>
      </c>
      <c r="CJ35" s="47">
        <f>IF($R35="",0,$Q35*$AD35*INDEX(Act_Type_Repex_Splits,MATCH($I35,Act_Type_Repex,0),MATCH(CJ$5,Mat_Type,0))*INDEX(Escalators!$I$44:$U$49,MATCH(CJ$5,Escalators!$C$44:$C$49,0),MATCH(CJ$6,Escalators!$I$43:$U$43,0)))</f>
        <v>0</v>
      </c>
      <c r="CK35" s="47">
        <f>IF($R35="",0,$Q35*$AD35*INDEX(Act_Type_Repex_Splits,MATCH($I35,Act_Type_Repex,0),MATCH(CK$5,Mat_Type,0))*INDEX(Escalators!$I$44:$U$49,MATCH(CK$5,Escalators!$C$44:$C$49,0),MATCH(CK$6,Escalators!$I$43:$U$43,0)))</f>
        <v>0</v>
      </c>
      <c r="CL35" s="47">
        <f t="shared" si="24"/>
        <v>0</v>
      </c>
      <c r="CN35" s="47">
        <f>IF($R35="",0,J35*$AE35*HLOOKUP(CN$6,Escalators!$I$25:$U$30,6,FALSE))</f>
        <v>0</v>
      </c>
      <c r="CO35" s="47">
        <f>IF($R35="",0,K35*$AE35*HLOOKUP(CO$6,Escalators!$I$25:$U$30,6,FALSE))</f>
        <v>0</v>
      </c>
      <c r="CP35" s="47">
        <f>IF($R35="",0,L35*$AE35*HLOOKUP(CP$6,Escalators!$I$25:$U$30,6,FALSE))</f>
        <v>0</v>
      </c>
      <c r="CQ35" s="47">
        <f>IF($R35="",0,M35*$AE35*HLOOKUP(CQ$6,Escalators!$I$25:$U$30,6,FALSE))</f>
        <v>0</v>
      </c>
      <c r="CR35" s="47">
        <f>IF($R35="",0,N35*$AE35*HLOOKUP(CR$6,Escalators!$I$25:$U$30,6,FALSE))</f>
        <v>0</v>
      </c>
      <c r="CS35" s="47">
        <f>IF($R35="",0,O35*$AE35*HLOOKUP(CS$6,Escalators!$I$25:$U$30,6,FALSE))</f>
        <v>0</v>
      </c>
      <c r="CT35" s="47">
        <f>IF($R35="",0,P35*$AE35*HLOOKUP(CT$6,Escalators!$I$25:$U$30,6,FALSE))</f>
        <v>0</v>
      </c>
      <c r="CU35" s="47">
        <f>IF($R35="",0,Q35*$AE35*HLOOKUP(CU$6,Escalators!$I$25:$U$30,6,FALSE))</f>
        <v>0</v>
      </c>
      <c r="CW35" s="82">
        <f t="shared" si="25"/>
        <v>0</v>
      </c>
      <c r="CX35" s="82">
        <f t="shared" si="26"/>
        <v>0</v>
      </c>
      <c r="CY35" s="82">
        <f t="shared" si="27"/>
        <v>0</v>
      </c>
      <c r="CZ35" s="82">
        <f t="shared" si="28"/>
        <v>0</v>
      </c>
      <c r="DA35" s="82">
        <f t="shared" si="29"/>
        <v>0</v>
      </c>
      <c r="DB35" s="82">
        <f t="shared" si="30"/>
        <v>0</v>
      </c>
      <c r="DC35" s="82">
        <f t="shared" si="31"/>
        <v>0</v>
      </c>
      <c r="DD35" s="82">
        <f t="shared" si="32"/>
        <v>0</v>
      </c>
      <c r="DF35" s="47">
        <f t="shared" si="33"/>
        <v>0</v>
      </c>
      <c r="DG35" s="47">
        <f t="shared" si="34"/>
        <v>0</v>
      </c>
      <c r="DH35" s="47">
        <f t="shared" si="35"/>
        <v>0</v>
      </c>
      <c r="DI35" s="47">
        <f t="shared" si="36"/>
        <v>0</v>
      </c>
      <c r="DJ35" s="47">
        <f t="shared" si="37"/>
        <v>0</v>
      </c>
      <c r="DK35" s="47">
        <f t="shared" si="38"/>
        <v>0</v>
      </c>
      <c r="DL35" s="47">
        <f t="shared" si="39"/>
        <v>0</v>
      </c>
      <c r="DM35" s="47">
        <f t="shared" si="40"/>
        <v>0</v>
      </c>
      <c r="DO35" s="39"/>
    </row>
    <row r="36" spans="2:119">
      <c r="B36" s="7"/>
      <c r="C36" s="7"/>
      <c r="D36" s="7"/>
      <c r="E36" s="7"/>
      <c r="F36" s="7"/>
      <c r="G36" s="7"/>
      <c r="H36" s="7"/>
      <c r="I36" s="7"/>
      <c r="J36" s="7"/>
      <c r="K36" s="7"/>
      <c r="L36" s="7"/>
      <c r="M36" s="7"/>
      <c r="N36" s="7"/>
      <c r="O36" s="7"/>
      <c r="P36" s="7"/>
      <c r="Q36" s="7"/>
      <c r="R36" s="46"/>
      <c r="T36" s="47">
        <f t="shared" si="8"/>
        <v>0</v>
      </c>
      <c r="U36" s="47">
        <f t="shared" si="9"/>
        <v>0</v>
      </c>
      <c r="V36" s="47">
        <f t="shared" si="10"/>
        <v>0</v>
      </c>
      <c r="W36" s="47">
        <f t="shared" si="11"/>
        <v>0</v>
      </c>
      <c r="X36" s="47">
        <f t="shared" si="12"/>
        <v>0</v>
      </c>
      <c r="Y36" s="47">
        <f t="shared" si="13"/>
        <v>0</v>
      </c>
      <c r="Z36" s="47">
        <f t="shared" si="14"/>
        <v>0</v>
      </c>
      <c r="AA36" s="47">
        <f t="shared" si="15"/>
        <v>0</v>
      </c>
      <c r="AC36" s="82">
        <f t="shared" si="16"/>
        <v>0</v>
      </c>
      <c r="AD36" s="82">
        <f t="shared" si="16"/>
        <v>0</v>
      </c>
      <c r="AE36" s="82">
        <f t="shared" si="16"/>
        <v>0</v>
      </c>
      <c r="AF36" s="82">
        <f t="shared" si="16"/>
        <v>0</v>
      </c>
      <c r="AH36" s="47">
        <f>IF($R36="",0,J36*$AC36*HLOOKUP(AH$6,Escalators!$I$25:$U$30,3,FALSE))</f>
        <v>0</v>
      </c>
      <c r="AI36" s="47">
        <f>IF($R36="",0,K36*$AC36*HLOOKUP(AI$6,Escalators!$I$25:$U$30,3,FALSE))</f>
        <v>0</v>
      </c>
      <c r="AJ36" s="47">
        <f>IF($R36="",0,L36*$AC36*HLOOKUP(AJ$6,Escalators!$I$25:$U$30,3,FALSE))</f>
        <v>0</v>
      </c>
      <c r="AK36" s="47">
        <f>IF($R36="",0,M36*$AC36*HLOOKUP(AK$6,Escalators!$I$25:$U$30,3,FALSE))</f>
        <v>0</v>
      </c>
      <c r="AL36" s="47">
        <f>IF($R36="",0,N36*$AC36*HLOOKUP(AL$6,Escalators!$I$25:$U$30,3,FALSE))</f>
        <v>0</v>
      </c>
      <c r="AM36" s="47">
        <f>IF($R36="",0,O36*$AC36*HLOOKUP(AM$6,Escalators!$I$25:$U$30,3,FALSE))</f>
        <v>0</v>
      </c>
      <c r="AN36" s="47">
        <f>IF($R36="",0,P36*$AC36*HLOOKUP(AN$6,Escalators!$I$25:$U$30,3,FALSE))</f>
        <v>0</v>
      </c>
      <c r="AO36" s="47">
        <f>IF($R36="",0,Q36*$AC36*HLOOKUP(AO$6,Escalators!$I$25:$U$30,3,FALSE))</f>
        <v>0</v>
      </c>
      <c r="AQ36" s="6">
        <f>IF($R36="",0,$J36*$AD36*INDEX(Act_Type_Repex_Splits,MATCH($I36,Act_Type_Repex,0),MATCH(AQ$5,Mat_Type,0))*INDEX(Escalators!$I$44:$U$49,MATCH(AQ$5,Escalators!$C$44:$C$49,0),MATCH(AQ$6,Escalators!$I$43:$U$43,0)))</f>
        <v>0</v>
      </c>
      <c r="AR36" s="6">
        <f>IF($R36="",0,$J36*$AD36*INDEX(Act_Type_Repex_Splits,MATCH($I36,Act_Type_Repex,0),MATCH(AR$5,Mat_Type,0))*INDEX(Escalators!$I$44:$U$49,MATCH(AR$5,Escalators!$C$44:$C$49,0),MATCH(AR$6,Escalators!$I$43:$U$43,0)))</f>
        <v>0</v>
      </c>
      <c r="AS36" s="6">
        <f>IF($R36="",0,$J36*$AD36*INDEX(Act_Type_Repex_Splits,MATCH($I36,Act_Type_Repex,0),MATCH(AS$5,Mat_Type,0))*INDEX(Escalators!$I$44:$U$49,MATCH(AS$5,Escalators!$C$44:$C$49,0),MATCH(AS$6,Escalators!$I$43:$U$43,0)))</f>
        <v>0</v>
      </c>
      <c r="AT36" s="6">
        <f>IF($R36="",0,$J36*$AD36*INDEX(Act_Type_Repex_Splits,MATCH($I36,Act_Type_Repex,0),MATCH(AT$5,Mat_Type,0))*INDEX(Escalators!$I$44:$U$49,MATCH(AT$5,Escalators!$C$44:$C$49,0),MATCH(AT$6,Escalators!$I$43:$U$43,0)))</f>
        <v>0</v>
      </c>
      <c r="AU36" s="6">
        <f>IF($R36="",0,$J36*$AD36*INDEX(Act_Type_Repex_Splits,MATCH($I36,Act_Type_Repex,0),MATCH(AU$5,Mat_Type,0))*INDEX(Escalators!$I$44:$U$49,MATCH(AU$5,Escalators!$C$44:$C$49,0),MATCH(AU$6,Escalators!$I$43:$U$43,0)))</f>
        <v>0</v>
      </c>
      <c r="AV36" s="47">
        <f t="shared" si="17"/>
        <v>0</v>
      </c>
      <c r="AW36" s="47">
        <f>IF($R36="",0,$K36*$AD36*INDEX(Act_Type_Repex_Splits,MATCH($I36,Act_Type_Repex,0),MATCH(AW$5,Mat_Type,0))*INDEX(Escalators!$I$44:$U$49,MATCH(AW$5,Escalators!$C$44:$C$49,0),MATCH(AW$6,Escalators!$I$43:$U$43,0)))</f>
        <v>0</v>
      </c>
      <c r="AX36" s="47">
        <f>IF($R36="",0,$K36*$AD36*INDEX(Act_Type_Repex_Splits,MATCH($I36,Act_Type_Repex,0),MATCH(AX$5,Mat_Type,0))*INDEX(Escalators!$I$44:$U$49,MATCH(AX$5,Escalators!$C$44:$C$49,0),MATCH(AX$6,Escalators!$I$43:$U$43,0)))</f>
        <v>0</v>
      </c>
      <c r="AY36" s="47">
        <f>IF($R36="",0,$K36*$AD36*INDEX(Act_Type_Repex_Splits,MATCH($I36,Act_Type_Repex,0),MATCH(AY$5,Mat_Type,0))*INDEX(Escalators!$I$44:$U$49,MATCH(AY$5,Escalators!$C$44:$C$49,0),MATCH(AY$6,Escalators!$I$43:$U$43,0)))</f>
        <v>0</v>
      </c>
      <c r="AZ36" s="47">
        <f>IF($R36="",0,$K36*$AD36*INDEX(Act_Type_Repex_Splits,MATCH($I36,Act_Type_Repex,0),MATCH(AZ$5,Mat_Type,0))*INDEX(Escalators!$I$44:$U$49,MATCH(AZ$5,Escalators!$C$44:$C$49,0),MATCH(AZ$6,Escalators!$I$43:$U$43,0)))</f>
        <v>0</v>
      </c>
      <c r="BA36" s="47">
        <f>IF($R36="",0,$K36*$AD36*INDEX(Act_Type_Repex_Splits,MATCH($I36,Act_Type_Repex,0),MATCH(BA$5,Mat_Type,0))*INDEX(Escalators!$I$44:$U$49,MATCH(BA$5,Escalators!$C$44:$C$49,0),MATCH(BA$6,Escalators!$I$43:$U$43,0)))</f>
        <v>0</v>
      </c>
      <c r="BB36" s="47">
        <f t="shared" si="18"/>
        <v>0</v>
      </c>
      <c r="BC36" s="47">
        <f>IF($R36="",0,$L36*$AD36*INDEX(Act_Type_Repex_Splits,MATCH($I36,Act_Type_Repex,0),MATCH(BC$5,Mat_Type,0))*INDEX(Escalators!$I$44:$U$49,MATCH(BC$5,Escalators!$C$44:$C$49,0),MATCH(BC$6,Escalators!$I$43:$U$43,0)))</f>
        <v>0</v>
      </c>
      <c r="BD36" s="47">
        <f>IF($R36="",0,$L36*$AD36*INDEX(Act_Type_Repex_Splits,MATCH($I36,Act_Type_Repex,0),MATCH(BD$5,Mat_Type,0))*INDEX(Escalators!$I$44:$U$49,MATCH(BD$5,Escalators!$C$44:$C$49,0),MATCH(BD$6,Escalators!$I$43:$U$43,0)))</f>
        <v>0</v>
      </c>
      <c r="BE36" s="47">
        <f>IF($R36="",0,$L36*$AD36*INDEX(Act_Type_Repex_Splits,MATCH($I36,Act_Type_Repex,0),MATCH(BE$5,Mat_Type,0))*INDEX(Escalators!$I$44:$U$49,MATCH(BE$5,Escalators!$C$44:$C$49,0),MATCH(BE$6,Escalators!$I$43:$U$43,0)))</f>
        <v>0</v>
      </c>
      <c r="BF36" s="47">
        <f>IF($R36="",0,$L36*$AD36*INDEX(Act_Type_Repex_Splits,MATCH($I36,Act_Type_Repex,0),MATCH(BF$5,Mat_Type,0))*INDEX(Escalators!$I$44:$U$49,MATCH(BF$5,Escalators!$C$44:$C$49,0),MATCH(BF$6,Escalators!$I$43:$U$43,0)))</f>
        <v>0</v>
      </c>
      <c r="BG36" s="47">
        <f>IF($R36="",0,$L36*$AD36*INDEX(Act_Type_Repex_Splits,MATCH($I36,Act_Type_Repex,0),MATCH(BG$5,Mat_Type,0))*INDEX(Escalators!$I$44:$U$49,MATCH(BG$5,Escalators!$C$44:$C$49,0),MATCH(BG$6,Escalators!$I$43:$U$43,0)))</f>
        <v>0</v>
      </c>
      <c r="BH36" s="47">
        <f t="shared" si="19"/>
        <v>0</v>
      </c>
      <c r="BI36" s="47">
        <f>IF($R36="",0,$M36*$AD36*INDEX(Act_Type_Repex_Splits,MATCH($I36,Act_Type_Repex,0),MATCH(BI$5,Mat_Type,0))*INDEX(Escalators!$I$44:$U$49,MATCH(BI$5,Escalators!$C$44:$C$49,0),MATCH(BI$6,Escalators!$I$43:$U$43,0)))</f>
        <v>0</v>
      </c>
      <c r="BJ36" s="47">
        <f>IF($R36="",0,$M36*$AD36*INDEX(Act_Type_Repex_Splits,MATCH($I36,Act_Type_Repex,0),MATCH(BJ$5,Mat_Type,0))*INDEX(Escalators!$I$44:$U$49,MATCH(BJ$5,Escalators!$C$44:$C$49,0),MATCH(BJ$6,Escalators!$I$43:$U$43,0)))</f>
        <v>0</v>
      </c>
      <c r="BK36" s="47">
        <f>IF($R36="",0,$M36*$AD36*INDEX(Act_Type_Repex_Splits,MATCH($I36,Act_Type_Repex,0),MATCH(BK$5,Mat_Type,0))*INDEX(Escalators!$I$44:$U$49,MATCH(BK$5,Escalators!$C$44:$C$49,0),MATCH(BK$6,Escalators!$I$43:$U$43,0)))</f>
        <v>0</v>
      </c>
      <c r="BL36" s="47">
        <f>IF($R36="",0,$M36*$AD36*INDEX(Act_Type_Repex_Splits,MATCH($I36,Act_Type_Repex,0),MATCH(BL$5,Mat_Type,0))*INDEX(Escalators!$I$44:$U$49,MATCH(BL$5,Escalators!$C$44:$C$49,0),MATCH(BL$6,Escalators!$I$43:$U$43,0)))</f>
        <v>0</v>
      </c>
      <c r="BM36" s="47">
        <f>IF($R36="",0,$M36*$AD36*INDEX(Act_Type_Repex_Splits,MATCH($I36,Act_Type_Repex,0),MATCH(BM$5,Mat_Type,0))*INDEX(Escalators!$I$44:$U$49,MATCH(BM$5,Escalators!$C$44:$C$49,0),MATCH(BM$6,Escalators!$I$43:$U$43,0)))</f>
        <v>0</v>
      </c>
      <c r="BN36" s="47">
        <f t="shared" si="20"/>
        <v>0</v>
      </c>
      <c r="BO36" s="47">
        <f>IF($R36="",0,$N36*$AD36*INDEX(Act_Type_Repex_Splits,MATCH($I36,Act_Type_Repex,0),MATCH(BO$5,Mat_Type,0))*INDEX(Escalators!$I$44:$U$49,MATCH(BO$5,Escalators!$C$44:$C$49,0),MATCH(BO$6,Escalators!$I$43:$U$43,0)))</f>
        <v>0</v>
      </c>
      <c r="BP36" s="47">
        <f>IF($R36="",0,$N36*$AD36*INDEX(Act_Type_Repex_Splits,MATCH($I36,Act_Type_Repex,0),MATCH(BP$5,Mat_Type,0))*INDEX(Escalators!$I$44:$U$49,MATCH(BP$5,Escalators!$C$44:$C$49,0),MATCH(BP$6,Escalators!$I$43:$U$43,0)))</f>
        <v>0</v>
      </c>
      <c r="BQ36" s="47">
        <f>IF($R36="",0,$N36*$AD36*INDEX(Act_Type_Repex_Splits,MATCH($I36,Act_Type_Repex,0),MATCH(BQ$5,Mat_Type,0))*INDEX(Escalators!$I$44:$U$49,MATCH(BQ$5,Escalators!$C$44:$C$49,0),MATCH(BQ$6,Escalators!$I$43:$U$43,0)))</f>
        <v>0</v>
      </c>
      <c r="BR36" s="47">
        <f>IF($R36="",0,$N36*$AD36*INDEX(Act_Type_Repex_Splits,MATCH($I36,Act_Type_Repex,0),MATCH(BR$5,Mat_Type,0))*INDEX(Escalators!$I$44:$U$49,MATCH(BR$5,Escalators!$C$44:$C$49,0),MATCH(BR$6,Escalators!$I$43:$U$43,0)))</f>
        <v>0</v>
      </c>
      <c r="BS36" s="47">
        <f>IF($R36="",0,$N36*$AD36*INDEX(Act_Type_Repex_Splits,MATCH($I36,Act_Type_Repex,0),MATCH(BS$5,Mat_Type,0))*INDEX(Escalators!$I$44:$U$49,MATCH(BS$5,Escalators!$C$44:$C$49,0),MATCH(BS$6,Escalators!$I$43:$U$43,0)))</f>
        <v>0</v>
      </c>
      <c r="BT36" s="47">
        <f t="shared" si="21"/>
        <v>0</v>
      </c>
      <c r="BU36" s="47">
        <f>IF($R36="",0,$O36*$AD36*INDEX(Act_Type_Repex_Splits,MATCH($I36,Act_Type_Repex,0),MATCH(BU$5,Mat_Type,0))*INDEX(Escalators!$I$44:$U$49,MATCH(BU$5,Escalators!$C$44:$C$49,0),MATCH(BU$6,Escalators!$I$43:$U$43,0)))</f>
        <v>0</v>
      </c>
      <c r="BV36" s="47">
        <f>IF($R36="",0,$O36*$AD36*INDEX(Act_Type_Repex_Splits,MATCH($I36,Act_Type_Repex,0),MATCH(BV$5,Mat_Type,0))*INDEX(Escalators!$I$44:$U$49,MATCH(BV$5,Escalators!$C$44:$C$49,0),MATCH(BV$6,Escalators!$I$43:$U$43,0)))</f>
        <v>0</v>
      </c>
      <c r="BW36" s="47">
        <f>IF($R36="",0,$O36*$AD36*INDEX(Act_Type_Repex_Splits,MATCH($I36,Act_Type_Repex,0),MATCH(BW$5,Mat_Type,0))*INDEX(Escalators!$I$44:$U$49,MATCH(BW$5,Escalators!$C$44:$C$49,0),MATCH(BW$6,Escalators!$I$43:$U$43,0)))</f>
        <v>0</v>
      </c>
      <c r="BX36" s="47">
        <f>IF($R36="",0,$O36*$AD36*INDEX(Act_Type_Repex_Splits,MATCH($I36,Act_Type_Repex,0),MATCH(BX$5,Mat_Type,0))*INDEX(Escalators!$I$44:$U$49,MATCH(BX$5,Escalators!$C$44:$C$49,0),MATCH(BX$6,Escalators!$I$43:$U$43,0)))</f>
        <v>0</v>
      </c>
      <c r="BY36" s="47">
        <f>IF($R36="",0,$O36*$AD36*INDEX(Act_Type_Repex_Splits,MATCH($I36,Act_Type_Repex,0),MATCH(BY$5,Mat_Type,0))*INDEX(Escalators!$I$44:$U$49,MATCH(BY$5,Escalators!$C$44:$C$49,0),MATCH(BY$6,Escalators!$I$43:$U$43,0)))</f>
        <v>0</v>
      </c>
      <c r="BZ36" s="47">
        <f t="shared" si="22"/>
        <v>0</v>
      </c>
      <c r="CA36" s="47">
        <f>IF($R36="",0,$P36*$AD36*INDEX(Act_Type_Repex_Splits,MATCH($I36,Act_Type_Repex,0),MATCH(CA$5,Mat_Type,0))*INDEX(Escalators!$I$44:$U$49,MATCH(CA$5,Escalators!$C$44:$C$49,0),MATCH(CA$6,Escalators!$I$43:$U$43,0)))</f>
        <v>0</v>
      </c>
      <c r="CB36" s="47">
        <f>IF($R36="",0,$P36*$AD36*INDEX(Act_Type_Repex_Splits,MATCH($I36,Act_Type_Repex,0),MATCH(CB$5,Mat_Type,0))*INDEX(Escalators!$I$44:$U$49,MATCH(CB$5,Escalators!$C$44:$C$49,0),MATCH(CB$6,Escalators!$I$43:$U$43,0)))</f>
        <v>0</v>
      </c>
      <c r="CC36" s="47">
        <f>IF($R36="",0,$P36*$AD36*INDEX(Act_Type_Repex_Splits,MATCH($I36,Act_Type_Repex,0),MATCH(CC$5,Mat_Type,0))*INDEX(Escalators!$I$44:$U$49,MATCH(CC$5,Escalators!$C$44:$C$49,0),MATCH(CC$6,Escalators!$I$43:$U$43,0)))</f>
        <v>0</v>
      </c>
      <c r="CD36" s="47">
        <f>IF($R36="",0,$P36*$AD36*INDEX(Act_Type_Repex_Splits,MATCH($I36,Act_Type_Repex,0),MATCH(CD$5,Mat_Type,0))*INDEX(Escalators!$I$44:$U$49,MATCH(CD$5,Escalators!$C$44:$C$49,0),MATCH(CD$6,Escalators!$I$43:$U$43,0)))</f>
        <v>0</v>
      </c>
      <c r="CE36" s="47">
        <f>IF($R36="",0,$P36*$AD36*INDEX(Act_Type_Repex_Splits,MATCH($I36,Act_Type_Repex,0),MATCH(CE$5,Mat_Type,0))*INDEX(Escalators!$I$44:$U$49,MATCH(CE$5,Escalators!$C$44:$C$49,0),MATCH(CE$6,Escalators!$I$43:$U$43,0)))</f>
        <v>0</v>
      </c>
      <c r="CF36" s="47">
        <f t="shared" si="23"/>
        <v>0</v>
      </c>
      <c r="CG36" s="47">
        <f>IF($R36="",0,$Q36*$AD36*INDEX(Act_Type_Repex_Splits,MATCH($I36,Act_Type_Repex,0),MATCH(CG$5,Mat_Type,0))*INDEX(Escalators!$I$44:$U$49,MATCH(CG$5,Escalators!$C$44:$C$49,0),MATCH(CG$6,Escalators!$I$43:$U$43,0)))</f>
        <v>0</v>
      </c>
      <c r="CH36" s="47">
        <f>IF($R36="",0,$Q36*$AD36*INDEX(Act_Type_Repex_Splits,MATCH($I36,Act_Type_Repex,0),MATCH(CH$5,Mat_Type,0))*INDEX(Escalators!$I$44:$U$49,MATCH(CH$5,Escalators!$C$44:$C$49,0),MATCH(CH$6,Escalators!$I$43:$U$43,0)))</f>
        <v>0</v>
      </c>
      <c r="CI36" s="47">
        <f>IF($R36="",0,$Q36*$AD36*INDEX(Act_Type_Repex_Splits,MATCH($I36,Act_Type_Repex,0),MATCH(CI$5,Mat_Type,0))*INDEX(Escalators!$I$44:$U$49,MATCH(CI$5,Escalators!$C$44:$C$49,0),MATCH(CI$6,Escalators!$I$43:$U$43,0)))</f>
        <v>0</v>
      </c>
      <c r="CJ36" s="47">
        <f>IF($R36="",0,$Q36*$AD36*INDEX(Act_Type_Repex_Splits,MATCH($I36,Act_Type_Repex,0),MATCH(CJ$5,Mat_Type,0))*INDEX(Escalators!$I$44:$U$49,MATCH(CJ$5,Escalators!$C$44:$C$49,0),MATCH(CJ$6,Escalators!$I$43:$U$43,0)))</f>
        <v>0</v>
      </c>
      <c r="CK36" s="47">
        <f>IF($R36="",0,$Q36*$AD36*INDEX(Act_Type_Repex_Splits,MATCH($I36,Act_Type_Repex,0),MATCH(CK$5,Mat_Type,0))*INDEX(Escalators!$I$44:$U$49,MATCH(CK$5,Escalators!$C$44:$C$49,0),MATCH(CK$6,Escalators!$I$43:$U$43,0)))</f>
        <v>0</v>
      </c>
      <c r="CL36" s="47">
        <f t="shared" si="24"/>
        <v>0</v>
      </c>
      <c r="CN36" s="47">
        <f>IF($R36="",0,J36*$AE36*HLOOKUP(CN$6,Escalators!$I$25:$U$30,6,FALSE))</f>
        <v>0</v>
      </c>
      <c r="CO36" s="47">
        <f>IF($R36="",0,K36*$AE36*HLOOKUP(CO$6,Escalators!$I$25:$U$30,6,FALSE))</f>
        <v>0</v>
      </c>
      <c r="CP36" s="47">
        <f>IF($R36="",0,L36*$AE36*HLOOKUP(CP$6,Escalators!$I$25:$U$30,6,FALSE))</f>
        <v>0</v>
      </c>
      <c r="CQ36" s="47">
        <f>IF($R36="",0,M36*$AE36*HLOOKUP(CQ$6,Escalators!$I$25:$U$30,6,FALSE))</f>
        <v>0</v>
      </c>
      <c r="CR36" s="47">
        <f>IF($R36="",0,N36*$AE36*HLOOKUP(CR$6,Escalators!$I$25:$U$30,6,FALSE))</f>
        <v>0</v>
      </c>
      <c r="CS36" s="47">
        <f>IF($R36="",0,O36*$AE36*HLOOKUP(CS$6,Escalators!$I$25:$U$30,6,FALSE))</f>
        <v>0</v>
      </c>
      <c r="CT36" s="47">
        <f>IF($R36="",0,P36*$AE36*HLOOKUP(CT$6,Escalators!$I$25:$U$30,6,FALSE))</f>
        <v>0</v>
      </c>
      <c r="CU36" s="47">
        <f>IF($R36="",0,Q36*$AE36*HLOOKUP(CU$6,Escalators!$I$25:$U$30,6,FALSE))</f>
        <v>0</v>
      </c>
      <c r="CW36" s="82">
        <f t="shared" si="25"/>
        <v>0</v>
      </c>
      <c r="CX36" s="82">
        <f t="shared" si="26"/>
        <v>0</v>
      </c>
      <c r="CY36" s="82">
        <f t="shared" si="27"/>
        <v>0</v>
      </c>
      <c r="CZ36" s="82">
        <f t="shared" si="28"/>
        <v>0</v>
      </c>
      <c r="DA36" s="82">
        <f t="shared" si="29"/>
        <v>0</v>
      </c>
      <c r="DB36" s="82">
        <f t="shared" si="30"/>
        <v>0</v>
      </c>
      <c r="DC36" s="82">
        <f t="shared" si="31"/>
        <v>0</v>
      </c>
      <c r="DD36" s="82">
        <f t="shared" si="32"/>
        <v>0</v>
      </c>
      <c r="DF36" s="47">
        <f t="shared" si="33"/>
        <v>0</v>
      </c>
      <c r="DG36" s="47">
        <f t="shared" si="34"/>
        <v>0</v>
      </c>
      <c r="DH36" s="47">
        <f t="shared" si="35"/>
        <v>0</v>
      </c>
      <c r="DI36" s="47">
        <f t="shared" si="36"/>
        <v>0</v>
      </c>
      <c r="DJ36" s="47">
        <f t="shared" si="37"/>
        <v>0</v>
      </c>
      <c r="DK36" s="47">
        <f t="shared" si="38"/>
        <v>0</v>
      </c>
      <c r="DL36" s="47">
        <f t="shared" si="39"/>
        <v>0</v>
      </c>
      <c r="DM36" s="47">
        <f t="shared" si="40"/>
        <v>0</v>
      </c>
      <c r="DO36" s="39"/>
    </row>
    <row r="37" spans="2:119">
      <c r="B37" s="7"/>
      <c r="C37" s="7"/>
      <c r="D37" s="7"/>
      <c r="E37" s="7"/>
      <c r="F37" s="7"/>
      <c r="G37" s="7"/>
      <c r="H37" s="7"/>
      <c r="I37" s="7"/>
      <c r="J37" s="7"/>
      <c r="K37" s="7"/>
      <c r="L37" s="7"/>
      <c r="M37" s="7"/>
      <c r="N37" s="7"/>
      <c r="O37" s="7"/>
      <c r="P37" s="7"/>
      <c r="Q37" s="7"/>
      <c r="R37" s="46"/>
      <c r="T37" s="47">
        <f t="shared" si="8"/>
        <v>0</v>
      </c>
      <c r="U37" s="47">
        <f t="shared" si="9"/>
        <v>0</v>
      </c>
      <c r="V37" s="47">
        <f t="shared" si="10"/>
        <v>0</v>
      </c>
      <c r="W37" s="47">
        <f t="shared" si="11"/>
        <v>0</v>
      </c>
      <c r="X37" s="47">
        <f t="shared" si="12"/>
        <v>0</v>
      </c>
      <c r="Y37" s="47">
        <f t="shared" si="13"/>
        <v>0</v>
      </c>
      <c r="Z37" s="47">
        <f t="shared" si="14"/>
        <v>0</v>
      </c>
      <c r="AA37" s="47">
        <f t="shared" si="15"/>
        <v>0</v>
      </c>
      <c r="AC37" s="82">
        <f t="shared" si="16"/>
        <v>0</v>
      </c>
      <c r="AD37" s="82">
        <f t="shared" si="16"/>
        <v>0</v>
      </c>
      <c r="AE37" s="82">
        <f t="shared" si="16"/>
        <v>0</v>
      </c>
      <c r="AF37" s="82">
        <f t="shared" si="16"/>
        <v>0</v>
      </c>
      <c r="AH37" s="47">
        <f>IF($R37="",0,J37*$AC37*HLOOKUP(AH$6,Escalators!$I$25:$U$30,3,FALSE))</f>
        <v>0</v>
      </c>
      <c r="AI37" s="47">
        <f>IF($R37="",0,K37*$AC37*HLOOKUP(AI$6,Escalators!$I$25:$U$30,3,FALSE))</f>
        <v>0</v>
      </c>
      <c r="AJ37" s="47">
        <f>IF($R37="",0,L37*$AC37*HLOOKUP(AJ$6,Escalators!$I$25:$U$30,3,FALSE))</f>
        <v>0</v>
      </c>
      <c r="AK37" s="47">
        <f>IF($R37="",0,M37*$AC37*HLOOKUP(AK$6,Escalators!$I$25:$U$30,3,FALSE))</f>
        <v>0</v>
      </c>
      <c r="AL37" s="47">
        <f>IF($R37="",0,N37*$AC37*HLOOKUP(AL$6,Escalators!$I$25:$U$30,3,FALSE))</f>
        <v>0</v>
      </c>
      <c r="AM37" s="47">
        <f>IF($R37="",0,O37*$AC37*HLOOKUP(AM$6,Escalators!$I$25:$U$30,3,FALSE))</f>
        <v>0</v>
      </c>
      <c r="AN37" s="47">
        <f>IF($R37="",0,P37*$AC37*HLOOKUP(AN$6,Escalators!$I$25:$U$30,3,FALSE))</f>
        <v>0</v>
      </c>
      <c r="AO37" s="47">
        <f>IF($R37="",0,Q37*$AC37*HLOOKUP(AO$6,Escalators!$I$25:$U$30,3,FALSE))</f>
        <v>0</v>
      </c>
      <c r="AQ37" s="6">
        <f>IF($R37="",0,$J37*$AD37*INDEX(Act_Type_Repex_Splits,MATCH($I37,Act_Type_Repex,0),MATCH(AQ$5,Mat_Type,0))*INDEX(Escalators!$I$44:$U$49,MATCH(AQ$5,Escalators!$C$44:$C$49,0),MATCH(AQ$6,Escalators!$I$43:$U$43,0)))</f>
        <v>0</v>
      </c>
      <c r="AR37" s="6">
        <f>IF($R37="",0,$J37*$AD37*INDEX(Act_Type_Repex_Splits,MATCH($I37,Act_Type_Repex,0),MATCH(AR$5,Mat_Type,0))*INDEX(Escalators!$I$44:$U$49,MATCH(AR$5,Escalators!$C$44:$C$49,0),MATCH(AR$6,Escalators!$I$43:$U$43,0)))</f>
        <v>0</v>
      </c>
      <c r="AS37" s="6">
        <f>IF($R37="",0,$J37*$AD37*INDEX(Act_Type_Repex_Splits,MATCH($I37,Act_Type_Repex,0),MATCH(AS$5,Mat_Type,0))*INDEX(Escalators!$I$44:$U$49,MATCH(AS$5,Escalators!$C$44:$C$49,0),MATCH(AS$6,Escalators!$I$43:$U$43,0)))</f>
        <v>0</v>
      </c>
      <c r="AT37" s="6">
        <f>IF($R37="",0,$J37*$AD37*INDEX(Act_Type_Repex_Splits,MATCH($I37,Act_Type_Repex,0),MATCH(AT$5,Mat_Type,0))*INDEX(Escalators!$I$44:$U$49,MATCH(AT$5,Escalators!$C$44:$C$49,0),MATCH(AT$6,Escalators!$I$43:$U$43,0)))</f>
        <v>0</v>
      </c>
      <c r="AU37" s="6">
        <f>IF($R37="",0,$J37*$AD37*INDEX(Act_Type_Repex_Splits,MATCH($I37,Act_Type_Repex,0),MATCH(AU$5,Mat_Type,0))*INDEX(Escalators!$I$44:$U$49,MATCH(AU$5,Escalators!$C$44:$C$49,0),MATCH(AU$6,Escalators!$I$43:$U$43,0)))</f>
        <v>0</v>
      </c>
      <c r="AV37" s="47">
        <f t="shared" si="17"/>
        <v>0</v>
      </c>
      <c r="AW37" s="47">
        <f>IF($R37="",0,$K37*$AD37*INDEX(Act_Type_Repex_Splits,MATCH($I37,Act_Type_Repex,0),MATCH(AW$5,Mat_Type,0))*INDEX(Escalators!$I$44:$U$49,MATCH(AW$5,Escalators!$C$44:$C$49,0),MATCH(AW$6,Escalators!$I$43:$U$43,0)))</f>
        <v>0</v>
      </c>
      <c r="AX37" s="47">
        <f>IF($R37="",0,$K37*$AD37*INDEX(Act_Type_Repex_Splits,MATCH($I37,Act_Type_Repex,0),MATCH(AX$5,Mat_Type,0))*INDEX(Escalators!$I$44:$U$49,MATCH(AX$5,Escalators!$C$44:$C$49,0),MATCH(AX$6,Escalators!$I$43:$U$43,0)))</f>
        <v>0</v>
      </c>
      <c r="AY37" s="47">
        <f>IF($R37="",0,$K37*$AD37*INDEX(Act_Type_Repex_Splits,MATCH($I37,Act_Type_Repex,0),MATCH(AY$5,Mat_Type,0))*INDEX(Escalators!$I$44:$U$49,MATCH(AY$5,Escalators!$C$44:$C$49,0),MATCH(AY$6,Escalators!$I$43:$U$43,0)))</f>
        <v>0</v>
      </c>
      <c r="AZ37" s="47">
        <f>IF($R37="",0,$K37*$AD37*INDEX(Act_Type_Repex_Splits,MATCH($I37,Act_Type_Repex,0),MATCH(AZ$5,Mat_Type,0))*INDEX(Escalators!$I$44:$U$49,MATCH(AZ$5,Escalators!$C$44:$C$49,0),MATCH(AZ$6,Escalators!$I$43:$U$43,0)))</f>
        <v>0</v>
      </c>
      <c r="BA37" s="47">
        <f>IF($R37="",0,$K37*$AD37*INDEX(Act_Type_Repex_Splits,MATCH($I37,Act_Type_Repex,0),MATCH(BA$5,Mat_Type,0))*INDEX(Escalators!$I$44:$U$49,MATCH(BA$5,Escalators!$C$44:$C$49,0),MATCH(BA$6,Escalators!$I$43:$U$43,0)))</f>
        <v>0</v>
      </c>
      <c r="BB37" s="47">
        <f t="shared" si="18"/>
        <v>0</v>
      </c>
      <c r="BC37" s="47">
        <f>IF($R37="",0,$L37*$AD37*INDEX(Act_Type_Repex_Splits,MATCH($I37,Act_Type_Repex,0),MATCH(BC$5,Mat_Type,0))*INDEX(Escalators!$I$44:$U$49,MATCH(BC$5,Escalators!$C$44:$C$49,0),MATCH(BC$6,Escalators!$I$43:$U$43,0)))</f>
        <v>0</v>
      </c>
      <c r="BD37" s="47">
        <f>IF($R37="",0,$L37*$AD37*INDEX(Act_Type_Repex_Splits,MATCH($I37,Act_Type_Repex,0),MATCH(BD$5,Mat_Type,0))*INDEX(Escalators!$I$44:$U$49,MATCH(BD$5,Escalators!$C$44:$C$49,0),MATCH(BD$6,Escalators!$I$43:$U$43,0)))</f>
        <v>0</v>
      </c>
      <c r="BE37" s="47">
        <f>IF($R37="",0,$L37*$AD37*INDEX(Act_Type_Repex_Splits,MATCH($I37,Act_Type_Repex,0),MATCH(BE$5,Mat_Type,0))*INDEX(Escalators!$I$44:$U$49,MATCH(BE$5,Escalators!$C$44:$C$49,0),MATCH(BE$6,Escalators!$I$43:$U$43,0)))</f>
        <v>0</v>
      </c>
      <c r="BF37" s="47">
        <f>IF($R37="",0,$L37*$AD37*INDEX(Act_Type_Repex_Splits,MATCH($I37,Act_Type_Repex,0),MATCH(BF$5,Mat_Type,0))*INDEX(Escalators!$I$44:$U$49,MATCH(BF$5,Escalators!$C$44:$C$49,0),MATCH(BF$6,Escalators!$I$43:$U$43,0)))</f>
        <v>0</v>
      </c>
      <c r="BG37" s="47">
        <f>IF($R37="",0,$L37*$AD37*INDEX(Act_Type_Repex_Splits,MATCH($I37,Act_Type_Repex,0),MATCH(BG$5,Mat_Type,0))*INDEX(Escalators!$I$44:$U$49,MATCH(BG$5,Escalators!$C$44:$C$49,0),MATCH(BG$6,Escalators!$I$43:$U$43,0)))</f>
        <v>0</v>
      </c>
      <c r="BH37" s="47">
        <f t="shared" si="19"/>
        <v>0</v>
      </c>
      <c r="BI37" s="47">
        <f>IF($R37="",0,$M37*$AD37*INDEX(Act_Type_Repex_Splits,MATCH($I37,Act_Type_Repex,0),MATCH(BI$5,Mat_Type,0))*INDEX(Escalators!$I$44:$U$49,MATCH(BI$5,Escalators!$C$44:$C$49,0),MATCH(BI$6,Escalators!$I$43:$U$43,0)))</f>
        <v>0</v>
      </c>
      <c r="BJ37" s="47">
        <f>IF($R37="",0,$M37*$AD37*INDEX(Act_Type_Repex_Splits,MATCH($I37,Act_Type_Repex,0),MATCH(BJ$5,Mat_Type,0))*INDEX(Escalators!$I$44:$U$49,MATCH(BJ$5,Escalators!$C$44:$C$49,0),MATCH(BJ$6,Escalators!$I$43:$U$43,0)))</f>
        <v>0</v>
      </c>
      <c r="BK37" s="47">
        <f>IF($R37="",0,$M37*$AD37*INDEX(Act_Type_Repex_Splits,MATCH($I37,Act_Type_Repex,0),MATCH(BK$5,Mat_Type,0))*INDEX(Escalators!$I$44:$U$49,MATCH(BK$5,Escalators!$C$44:$C$49,0),MATCH(BK$6,Escalators!$I$43:$U$43,0)))</f>
        <v>0</v>
      </c>
      <c r="BL37" s="47">
        <f>IF($R37="",0,$M37*$AD37*INDEX(Act_Type_Repex_Splits,MATCH($I37,Act_Type_Repex,0),MATCH(BL$5,Mat_Type,0))*INDEX(Escalators!$I$44:$U$49,MATCH(BL$5,Escalators!$C$44:$C$49,0),MATCH(BL$6,Escalators!$I$43:$U$43,0)))</f>
        <v>0</v>
      </c>
      <c r="BM37" s="47">
        <f>IF($R37="",0,$M37*$AD37*INDEX(Act_Type_Repex_Splits,MATCH($I37,Act_Type_Repex,0),MATCH(BM$5,Mat_Type,0))*INDEX(Escalators!$I$44:$U$49,MATCH(BM$5,Escalators!$C$44:$C$49,0),MATCH(BM$6,Escalators!$I$43:$U$43,0)))</f>
        <v>0</v>
      </c>
      <c r="BN37" s="47">
        <f t="shared" si="20"/>
        <v>0</v>
      </c>
      <c r="BO37" s="47">
        <f>IF($R37="",0,$N37*$AD37*INDEX(Act_Type_Repex_Splits,MATCH($I37,Act_Type_Repex,0),MATCH(BO$5,Mat_Type,0))*INDEX(Escalators!$I$44:$U$49,MATCH(BO$5,Escalators!$C$44:$C$49,0),MATCH(BO$6,Escalators!$I$43:$U$43,0)))</f>
        <v>0</v>
      </c>
      <c r="BP37" s="47">
        <f>IF($R37="",0,$N37*$AD37*INDEX(Act_Type_Repex_Splits,MATCH($I37,Act_Type_Repex,0),MATCH(BP$5,Mat_Type,0))*INDEX(Escalators!$I$44:$U$49,MATCH(BP$5,Escalators!$C$44:$C$49,0),MATCH(BP$6,Escalators!$I$43:$U$43,0)))</f>
        <v>0</v>
      </c>
      <c r="BQ37" s="47">
        <f>IF($R37="",0,$N37*$AD37*INDEX(Act_Type_Repex_Splits,MATCH($I37,Act_Type_Repex,0),MATCH(BQ$5,Mat_Type,0))*INDEX(Escalators!$I$44:$U$49,MATCH(BQ$5,Escalators!$C$44:$C$49,0),MATCH(BQ$6,Escalators!$I$43:$U$43,0)))</f>
        <v>0</v>
      </c>
      <c r="BR37" s="47">
        <f>IF($R37="",0,$N37*$AD37*INDEX(Act_Type_Repex_Splits,MATCH($I37,Act_Type_Repex,0),MATCH(BR$5,Mat_Type,0))*INDEX(Escalators!$I$44:$U$49,MATCH(BR$5,Escalators!$C$44:$C$49,0),MATCH(BR$6,Escalators!$I$43:$U$43,0)))</f>
        <v>0</v>
      </c>
      <c r="BS37" s="47">
        <f>IF($R37="",0,$N37*$AD37*INDEX(Act_Type_Repex_Splits,MATCH($I37,Act_Type_Repex,0),MATCH(BS$5,Mat_Type,0))*INDEX(Escalators!$I$44:$U$49,MATCH(BS$5,Escalators!$C$44:$C$49,0),MATCH(BS$6,Escalators!$I$43:$U$43,0)))</f>
        <v>0</v>
      </c>
      <c r="BT37" s="47">
        <f t="shared" si="21"/>
        <v>0</v>
      </c>
      <c r="BU37" s="47">
        <f>IF($R37="",0,$O37*$AD37*INDEX(Act_Type_Repex_Splits,MATCH($I37,Act_Type_Repex,0),MATCH(BU$5,Mat_Type,0))*INDEX(Escalators!$I$44:$U$49,MATCH(BU$5,Escalators!$C$44:$C$49,0),MATCH(BU$6,Escalators!$I$43:$U$43,0)))</f>
        <v>0</v>
      </c>
      <c r="BV37" s="47">
        <f>IF($R37="",0,$O37*$AD37*INDEX(Act_Type_Repex_Splits,MATCH($I37,Act_Type_Repex,0),MATCH(BV$5,Mat_Type,0))*INDEX(Escalators!$I$44:$U$49,MATCH(BV$5,Escalators!$C$44:$C$49,0),MATCH(BV$6,Escalators!$I$43:$U$43,0)))</f>
        <v>0</v>
      </c>
      <c r="BW37" s="47">
        <f>IF($R37="",0,$O37*$AD37*INDEX(Act_Type_Repex_Splits,MATCH($I37,Act_Type_Repex,0),MATCH(BW$5,Mat_Type,0))*INDEX(Escalators!$I$44:$U$49,MATCH(BW$5,Escalators!$C$44:$C$49,0),MATCH(BW$6,Escalators!$I$43:$U$43,0)))</f>
        <v>0</v>
      </c>
      <c r="BX37" s="47">
        <f>IF($R37="",0,$O37*$AD37*INDEX(Act_Type_Repex_Splits,MATCH($I37,Act_Type_Repex,0),MATCH(BX$5,Mat_Type,0))*INDEX(Escalators!$I$44:$U$49,MATCH(BX$5,Escalators!$C$44:$C$49,0),MATCH(BX$6,Escalators!$I$43:$U$43,0)))</f>
        <v>0</v>
      </c>
      <c r="BY37" s="47">
        <f>IF($R37="",0,$O37*$AD37*INDEX(Act_Type_Repex_Splits,MATCH($I37,Act_Type_Repex,0),MATCH(BY$5,Mat_Type,0))*INDEX(Escalators!$I$44:$U$49,MATCH(BY$5,Escalators!$C$44:$C$49,0),MATCH(BY$6,Escalators!$I$43:$U$43,0)))</f>
        <v>0</v>
      </c>
      <c r="BZ37" s="47">
        <f t="shared" si="22"/>
        <v>0</v>
      </c>
      <c r="CA37" s="47">
        <f>IF($R37="",0,$P37*$AD37*INDEX(Act_Type_Repex_Splits,MATCH($I37,Act_Type_Repex,0),MATCH(CA$5,Mat_Type,0))*INDEX(Escalators!$I$44:$U$49,MATCH(CA$5,Escalators!$C$44:$C$49,0),MATCH(CA$6,Escalators!$I$43:$U$43,0)))</f>
        <v>0</v>
      </c>
      <c r="CB37" s="47">
        <f>IF($R37="",0,$P37*$AD37*INDEX(Act_Type_Repex_Splits,MATCH($I37,Act_Type_Repex,0),MATCH(CB$5,Mat_Type,0))*INDEX(Escalators!$I$44:$U$49,MATCH(CB$5,Escalators!$C$44:$C$49,0),MATCH(CB$6,Escalators!$I$43:$U$43,0)))</f>
        <v>0</v>
      </c>
      <c r="CC37" s="47">
        <f>IF($R37="",0,$P37*$AD37*INDEX(Act_Type_Repex_Splits,MATCH($I37,Act_Type_Repex,0),MATCH(CC$5,Mat_Type,0))*INDEX(Escalators!$I$44:$U$49,MATCH(CC$5,Escalators!$C$44:$C$49,0),MATCH(CC$6,Escalators!$I$43:$U$43,0)))</f>
        <v>0</v>
      </c>
      <c r="CD37" s="47">
        <f>IF($R37="",0,$P37*$AD37*INDEX(Act_Type_Repex_Splits,MATCH($I37,Act_Type_Repex,0),MATCH(CD$5,Mat_Type,0))*INDEX(Escalators!$I$44:$U$49,MATCH(CD$5,Escalators!$C$44:$C$49,0),MATCH(CD$6,Escalators!$I$43:$U$43,0)))</f>
        <v>0</v>
      </c>
      <c r="CE37" s="47">
        <f>IF($R37="",0,$P37*$AD37*INDEX(Act_Type_Repex_Splits,MATCH($I37,Act_Type_Repex,0),MATCH(CE$5,Mat_Type,0))*INDEX(Escalators!$I$44:$U$49,MATCH(CE$5,Escalators!$C$44:$C$49,0),MATCH(CE$6,Escalators!$I$43:$U$43,0)))</f>
        <v>0</v>
      </c>
      <c r="CF37" s="47">
        <f t="shared" si="23"/>
        <v>0</v>
      </c>
      <c r="CG37" s="47">
        <f>IF($R37="",0,$Q37*$AD37*INDEX(Act_Type_Repex_Splits,MATCH($I37,Act_Type_Repex,0),MATCH(CG$5,Mat_Type,0))*INDEX(Escalators!$I$44:$U$49,MATCH(CG$5,Escalators!$C$44:$C$49,0),MATCH(CG$6,Escalators!$I$43:$U$43,0)))</f>
        <v>0</v>
      </c>
      <c r="CH37" s="47">
        <f>IF($R37="",0,$Q37*$AD37*INDEX(Act_Type_Repex_Splits,MATCH($I37,Act_Type_Repex,0),MATCH(CH$5,Mat_Type,0))*INDEX(Escalators!$I$44:$U$49,MATCH(CH$5,Escalators!$C$44:$C$49,0),MATCH(CH$6,Escalators!$I$43:$U$43,0)))</f>
        <v>0</v>
      </c>
      <c r="CI37" s="47">
        <f>IF($R37="",0,$Q37*$AD37*INDEX(Act_Type_Repex_Splits,MATCH($I37,Act_Type_Repex,0),MATCH(CI$5,Mat_Type,0))*INDEX(Escalators!$I$44:$U$49,MATCH(CI$5,Escalators!$C$44:$C$49,0),MATCH(CI$6,Escalators!$I$43:$U$43,0)))</f>
        <v>0</v>
      </c>
      <c r="CJ37" s="47">
        <f>IF($R37="",0,$Q37*$AD37*INDEX(Act_Type_Repex_Splits,MATCH($I37,Act_Type_Repex,0),MATCH(CJ$5,Mat_Type,0))*INDEX(Escalators!$I$44:$U$49,MATCH(CJ$5,Escalators!$C$44:$C$49,0),MATCH(CJ$6,Escalators!$I$43:$U$43,0)))</f>
        <v>0</v>
      </c>
      <c r="CK37" s="47">
        <f>IF($R37="",0,$Q37*$AD37*INDEX(Act_Type_Repex_Splits,MATCH($I37,Act_Type_Repex,0),MATCH(CK$5,Mat_Type,0))*INDEX(Escalators!$I$44:$U$49,MATCH(CK$5,Escalators!$C$44:$C$49,0),MATCH(CK$6,Escalators!$I$43:$U$43,0)))</f>
        <v>0</v>
      </c>
      <c r="CL37" s="47">
        <f t="shared" si="24"/>
        <v>0</v>
      </c>
      <c r="CN37" s="47">
        <f>IF($R37="",0,J37*$AE37*HLOOKUP(CN$6,Escalators!$I$25:$U$30,6,FALSE))</f>
        <v>0</v>
      </c>
      <c r="CO37" s="47">
        <f>IF($R37="",0,K37*$AE37*HLOOKUP(CO$6,Escalators!$I$25:$U$30,6,FALSE))</f>
        <v>0</v>
      </c>
      <c r="CP37" s="47">
        <f>IF($R37="",0,L37*$AE37*HLOOKUP(CP$6,Escalators!$I$25:$U$30,6,FALSE))</f>
        <v>0</v>
      </c>
      <c r="CQ37" s="47">
        <f>IF($R37="",0,M37*$AE37*HLOOKUP(CQ$6,Escalators!$I$25:$U$30,6,FALSE))</f>
        <v>0</v>
      </c>
      <c r="CR37" s="47">
        <f>IF($R37="",0,N37*$AE37*HLOOKUP(CR$6,Escalators!$I$25:$U$30,6,FALSE))</f>
        <v>0</v>
      </c>
      <c r="CS37" s="47">
        <f>IF($R37="",0,O37*$AE37*HLOOKUP(CS$6,Escalators!$I$25:$U$30,6,FALSE))</f>
        <v>0</v>
      </c>
      <c r="CT37" s="47">
        <f>IF($R37="",0,P37*$AE37*HLOOKUP(CT$6,Escalators!$I$25:$U$30,6,FALSE))</f>
        <v>0</v>
      </c>
      <c r="CU37" s="47">
        <f>IF($R37="",0,Q37*$AE37*HLOOKUP(CU$6,Escalators!$I$25:$U$30,6,FALSE))</f>
        <v>0</v>
      </c>
      <c r="CW37" s="82">
        <f t="shared" si="25"/>
        <v>0</v>
      </c>
      <c r="CX37" s="82">
        <f t="shared" si="26"/>
        <v>0</v>
      </c>
      <c r="CY37" s="82">
        <f t="shared" si="27"/>
        <v>0</v>
      </c>
      <c r="CZ37" s="82">
        <f t="shared" si="28"/>
        <v>0</v>
      </c>
      <c r="DA37" s="82">
        <f t="shared" si="29"/>
        <v>0</v>
      </c>
      <c r="DB37" s="82">
        <f t="shared" si="30"/>
        <v>0</v>
      </c>
      <c r="DC37" s="82">
        <f t="shared" si="31"/>
        <v>0</v>
      </c>
      <c r="DD37" s="82">
        <f t="shared" si="32"/>
        <v>0</v>
      </c>
      <c r="DF37" s="47">
        <f t="shared" si="33"/>
        <v>0</v>
      </c>
      <c r="DG37" s="47">
        <f t="shared" si="34"/>
        <v>0</v>
      </c>
      <c r="DH37" s="47">
        <f t="shared" si="35"/>
        <v>0</v>
      </c>
      <c r="DI37" s="47">
        <f t="shared" si="36"/>
        <v>0</v>
      </c>
      <c r="DJ37" s="47">
        <f t="shared" si="37"/>
        <v>0</v>
      </c>
      <c r="DK37" s="47">
        <f t="shared" si="38"/>
        <v>0</v>
      </c>
      <c r="DL37" s="47">
        <f t="shared" si="39"/>
        <v>0</v>
      </c>
      <c r="DM37" s="47">
        <f t="shared" si="40"/>
        <v>0</v>
      </c>
      <c r="DO37" s="39"/>
    </row>
    <row r="38" spans="2:119">
      <c r="B38" s="7"/>
      <c r="C38" s="7"/>
      <c r="D38" s="7"/>
      <c r="E38" s="7"/>
      <c r="F38" s="7"/>
      <c r="G38" s="7"/>
      <c r="H38" s="7"/>
      <c r="I38" s="7"/>
      <c r="J38" s="7"/>
      <c r="K38" s="7"/>
      <c r="L38" s="7"/>
      <c r="M38" s="7"/>
      <c r="N38" s="7"/>
      <c r="O38" s="7"/>
      <c r="P38" s="7"/>
      <c r="Q38" s="7"/>
      <c r="R38" s="46"/>
      <c r="T38" s="47">
        <f t="shared" si="8"/>
        <v>0</v>
      </c>
      <c r="U38" s="47">
        <f t="shared" si="9"/>
        <v>0</v>
      </c>
      <c r="V38" s="47">
        <f t="shared" si="10"/>
        <v>0</v>
      </c>
      <c r="W38" s="47">
        <f t="shared" si="11"/>
        <v>0</v>
      </c>
      <c r="X38" s="47">
        <f t="shared" si="12"/>
        <v>0</v>
      </c>
      <c r="Y38" s="47">
        <f t="shared" si="13"/>
        <v>0</v>
      </c>
      <c r="Z38" s="47">
        <f t="shared" si="14"/>
        <v>0</v>
      </c>
      <c r="AA38" s="47">
        <f t="shared" si="15"/>
        <v>0</v>
      </c>
      <c r="AC38" s="82">
        <f t="shared" si="16"/>
        <v>0</v>
      </c>
      <c r="AD38" s="82">
        <f t="shared" si="16"/>
        <v>0</v>
      </c>
      <c r="AE38" s="82">
        <f t="shared" si="16"/>
        <v>0</v>
      </c>
      <c r="AF38" s="82">
        <f t="shared" si="16"/>
        <v>0</v>
      </c>
      <c r="AH38" s="47">
        <f>IF($R38="",0,J38*$AC38*HLOOKUP(AH$6,Escalators!$I$25:$U$30,3,FALSE))</f>
        <v>0</v>
      </c>
      <c r="AI38" s="47">
        <f>IF($R38="",0,K38*$AC38*HLOOKUP(AI$6,Escalators!$I$25:$U$30,3,FALSE))</f>
        <v>0</v>
      </c>
      <c r="AJ38" s="47">
        <f>IF($R38="",0,L38*$AC38*HLOOKUP(AJ$6,Escalators!$I$25:$U$30,3,FALSE))</f>
        <v>0</v>
      </c>
      <c r="AK38" s="47">
        <f>IF($R38="",0,M38*$AC38*HLOOKUP(AK$6,Escalators!$I$25:$U$30,3,FALSE))</f>
        <v>0</v>
      </c>
      <c r="AL38" s="47">
        <f>IF($R38="",0,N38*$AC38*HLOOKUP(AL$6,Escalators!$I$25:$U$30,3,FALSE))</f>
        <v>0</v>
      </c>
      <c r="AM38" s="47">
        <f>IF($R38="",0,O38*$AC38*HLOOKUP(AM$6,Escalators!$I$25:$U$30,3,FALSE))</f>
        <v>0</v>
      </c>
      <c r="AN38" s="47">
        <f>IF($R38="",0,P38*$AC38*HLOOKUP(AN$6,Escalators!$I$25:$U$30,3,FALSE))</f>
        <v>0</v>
      </c>
      <c r="AO38" s="47">
        <f>IF($R38="",0,Q38*$AC38*HLOOKUP(AO$6,Escalators!$I$25:$U$30,3,FALSE))</f>
        <v>0</v>
      </c>
      <c r="AQ38" s="6">
        <f>IF($R38="",0,$J38*$AD38*INDEX(Act_Type_Repex_Splits,MATCH($I38,Act_Type_Repex,0),MATCH(AQ$5,Mat_Type,0))*INDEX(Escalators!$I$44:$U$49,MATCH(AQ$5,Escalators!$C$44:$C$49,0),MATCH(AQ$6,Escalators!$I$43:$U$43,0)))</f>
        <v>0</v>
      </c>
      <c r="AR38" s="6">
        <f>IF($R38="",0,$J38*$AD38*INDEX(Act_Type_Repex_Splits,MATCH($I38,Act_Type_Repex,0),MATCH(AR$5,Mat_Type,0))*INDEX(Escalators!$I$44:$U$49,MATCH(AR$5,Escalators!$C$44:$C$49,0),MATCH(AR$6,Escalators!$I$43:$U$43,0)))</f>
        <v>0</v>
      </c>
      <c r="AS38" s="6">
        <f>IF($R38="",0,$J38*$AD38*INDEX(Act_Type_Repex_Splits,MATCH($I38,Act_Type_Repex,0),MATCH(AS$5,Mat_Type,0))*INDEX(Escalators!$I$44:$U$49,MATCH(AS$5,Escalators!$C$44:$C$49,0),MATCH(AS$6,Escalators!$I$43:$U$43,0)))</f>
        <v>0</v>
      </c>
      <c r="AT38" s="6">
        <f>IF($R38="",0,$J38*$AD38*INDEX(Act_Type_Repex_Splits,MATCH($I38,Act_Type_Repex,0),MATCH(AT$5,Mat_Type,0))*INDEX(Escalators!$I$44:$U$49,MATCH(AT$5,Escalators!$C$44:$C$49,0),MATCH(AT$6,Escalators!$I$43:$U$43,0)))</f>
        <v>0</v>
      </c>
      <c r="AU38" s="6">
        <f>IF($R38="",0,$J38*$AD38*INDEX(Act_Type_Repex_Splits,MATCH($I38,Act_Type_Repex,0),MATCH(AU$5,Mat_Type,0))*INDEX(Escalators!$I$44:$U$49,MATCH(AU$5,Escalators!$C$44:$C$49,0),MATCH(AU$6,Escalators!$I$43:$U$43,0)))</f>
        <v>0</v>
      </c>
      <c r="AV38" s="47">
        <f t="shared" si="17"/>
        <v>0</v>
      </c>
      <c r="AW38" s="47">
        <f>IF($R38="",0,$K38*$AD38*INDEX(Act_Type_Repex_Splits,MATCH($I38,Act_Type_Repex,0),MATCH(AW$5,Mat_Type,0))*INDEX(Escalators!$I$44:$U$49,MATCH(AW$5,Escalators!$C$44:$C$49,0),MATCH(AW$6,Escalators!$I$43:$U$43,0)))</f>
        <v>0</v>
      </c>
      <c r="AX38" s="47">
        <f>IF($R38="",0,$K38*$AD38*INDEX(Act_Type_Repex_Splits,MATCH($I38,Act_Type_Repex,0),MATCH(AX$5,Mat_Type,0))*INDEX(Escalators!$I$44:$U$49,MATCH(AX$5,Escalators!$C$44:$C$49,0),MATCH(AX$6,Escalators!$I$43:$U$43,0)))</f>
        <v>0</v>
      </c>
      <c r="AY38" s="47">
        <f>IF($R38="",0,$K38*$AD38*INDEX(Act_Type_Repex_Splits,MATCH($I38,Act_Type_Repex,0),MATCH(AY$5,Mat_Type,0))*INDEX(Escalators!$I$44:$U$49,MATCH(AY$5,Escalators!$C$44:$C$49,0),MATCH(AY$6,Escalators!$I$43:$U$43,0)))</f>
        <v>0</v>
      </c>
      <c r="AZ38" s="47">
        <f>IF($R38="",0,$K38*$AD38*INDEX(Act_Type_Repex_Splits,MATCH($I38,Act_Type_Repex,0),MATCH(AZ$5,Mat_Type,0))*INDEX(Escalators!$I$44:$U$49,MATCH(AZ$5,Escalators!$C$44:$C$49,0),MATCH(AZ$6,Escalators!$I$43:$U$43,0)))</f>
        <v>0</v>
      </c>
      <c r="BA38" s="47">
        <f>IF($R38="",0,$K38*$AD38*INDEX(Act_Type_Repex_Splits,MATCH($I38,Act_Type_Repex,0),MATCH(BA$5,Mat_Type,0))*INDEX(Escalators!$I$44:$U$49,MATCH(BA$5,Escalators!$C$44:$C$49,0),MATCH(BA$6,Escalators!$I$43:$U$43,0)))</f>
        <v>0</v>
      </c>
      <c r="BB38" s="47">
        <f t="shared" si="18"/>
        <v>0</v>
      </c>
      <c r="BC38" s="47">
        <f>IF($R38="",0,$L38*$AD38*INDEX(Act_Type_Repex_Splits,MATCH($I38,Act_Type_Repex,0),MATCH(BC$5,Mat_Type,0))*INDEX(Escalators!$I$44:$U$49,MATCH(BC$5,Escalators!$C$44:$C$49,0),MATCH(BC$6,Escalators!$I$43:$U$43,0)))</f>
        <v>0</v>
      </c>
      <c r="BD38" s="47">
        <f>IF($R38="",0,$L38*$AD38*INDEX(Act_Type_Repex_Splits,MATCH($I38,Act_Type_Repex,0),MATCH(BD$5,Mat_Type,0))*INDEX(Escalators!$I$44:$U$49,MATCH(BD$5,Escalators!$C$44:$C$49,0),MATCH(BD$6,Escalators!$I$43:$U$43,0)))</f>
        <v>0</v>
      </c>
      <c r="BE38" s="47">
        <f>IF($R38="",0,$L38*$AD38*INDEX(Act_Type_Repex_Splits,MATCH($I38,Act_Type_Repex,0),MATCH(BE$5,Mat_Type,0))*INDEX(Escalators!$I$44:$U$49,MATCH(BE$5,Escalators!$C$44:$C$49,0),MATCH(BE$6,Escalators!$I$43:$U$43,0)))</f>
        <v>0</v>
      </c>
      <c r="BF38" s="47">
        <f>IF($R38="",0,$L38*$AD38*INDEX(Act_Type_Repex_Splits,MATCH($I38,Act_Type_Repex,0),MATCH(BF$5,Mat_Type,0))*INDEX(Escalators!$I$44:$U$49,MATCH(BF$5,Escalators!$C$44:$C$49,0),MATCH(BF$6,Escalators!$I$43:$U$43,0)))</f>
        <v>0</v>
      </c>
      <c r="BG38" s="47">
        <f>IF($R38="",0,$L38*$AD38*INDEX(Act_Type_Repex_Splits,MATCH($I38,Act_Type_Repex,0),MATCH(BG$5,Mat_Type,0))*INDEX(Escalators!$I$44:$U$49,MATCH(BG$5,Escalators!$C$44:$C$49,0),MATCH(BG$6,Escalators!$I$43:$U$43,0)))</f>
        <v>0</v>
      </c>
      <c r="BH38" s="47">
        <f t="shared" si="19"/>
        <v>0</v>
      </c>
      <c r="BI38" s="47">
        <f>IF($R38="",0,$M38*$AD38*INDEX(Act_Type_Repex_Splits,MATCH($I38,Act_Type_Repex,0),MATCH(BI$5,Mat_Type,0))*INDEX(Escalators!$I$44:$U$49,MATCH(BI$5,Escalators!$C$44:$C$49,0),MATCH(BI$6,Escalators!$I$43:$U$43,0)))</f>
        <v>0</v>
      </c>
      <c r="BJ38" s="47">
        <f>IF($R38="",0,$M38*$AD38*INDEX(Act_Type_Repex_Splits,MATCH($I38,Act_Type_Repex,0),MATCH(BJ$5,Mat_Type,0))*INDEX(Escalators!$I$44:$U$49,MATCH(BJ$5,Escalators!$C$44:$C$49,0),MATCH(BJ$6,Escalators!$I$43:$U$43,0)))</f>
        <v>0</v>
      </c>
      <c r="BK38" s="47">
        <f>IF($R38="",0,$M38*$AD38*INDEX(Act_Type_Repex_Splits,MATCH($I38,Act_Type_Repex,0),MATCH(BK$5,Mat_Type,0))*INDEX(Escalators!$I$44:$U$49,MATCH(BK$5,Escalators!$C$44:$C$49,0),MATCH(BK$6,Escalators!$I$43:$U$43,0)))</f>
        <v>0</v>
      </c>
      <c r="BL38" s="47">
        <f>IF($R38="",0,$M38*$AD38*INDEX(Act_Type_Repex_Splits,MATCH($I38,Act_Type_Repex,0),MATCH(BL$5,Mat_Type,0))*INDEX(Escalators!$I$44:$U$49,MATCH(BL$5,Escalators!$C$44:$C$49,0),MATCH(BL$6,Escalators!$I$43:$U$43,0)))</f>
        <v>0</v>
      </c>
      <c r="BM38" s="47">
        <f>IF($R38="",0,$M38*$AD38*INDEX(Act_Type_Repex_Splits,MATCH($I38,Act_Type_Repex,0),MATCH(BM$5,Mat_Type,0))*INDEX(Escalators!$I$44:$U$49,MATCH(BM$5,Escalators!$C$44:$C$49,0),MATCH(BM$6,Escalators!$I$43:$U$43,0)))</f>
        <v>0</v>
      </c>
      <c r="BN38" s="47">
        <f t="shared" si="20"/>
        <v>0</v>
      </c>
      <c r="BO38" s="47">
        <f>IF($R38="",0,$N38*$AD38*INDEX(Act_Type_Repex_Splits,MATCH($I38,Act_Type_Repex,0),MATCH(BO$5,Mat_Type,0))*INDEX(Escalators!$I$44:$U$49,MATCH(BO$5,Escalators!$C$44:$C$49,0),MATCH(BO$6,Escalators!$I$43:$U$43,0)))</f>
        <v>0</v>
      </c>
      <c r="BP38" s="47">
        <f>IF($R38="",0,$N38*$AD38*INDEX(Act_Type_Repex_Splits,MATCH($I38,Act_Type_Repex,0),MATCH(BP$5,Mat_Type,0))*INDEX(Escalators!$I$44:$U$49,MATCH(BP$5,Escalators!$C$44:$C$49,0),MATCH(BP$6,Escalators!$I$43:$U$43,0)))</f>
        <v>0</v>
      </c>
      <c r="BQ38" s="47">
        <f>IF($R38="",0,$N38*$AD38*INDEX(Act_Type_Repex_Splits,MATCH($I38,Act_Type_Repex,0),MATCH(BQ$5,Mat_Type,0))*INDEX(Escalators!$I$44:$U$49,MATCH(BQ$5,Escalators!$C$44:$C$49,0),MATCH(BQ$6,Escalators!$I$43:$U$43,0)))</f>
        <v>0</v>
      </c>
      <c r="BR38" s="47">
        <f>IF($R38="",0,$N38*$AD38*INDEX(Act_Type_Repex_Splits,MATCH($I38,Act_Type_Repex,0),MATCH(BR$5,Mat_Type,0))*INDEX(Escalators!$I$44:$U$49,MATCH(BR$5,Escalators!$C$44:$C$49,0),MATCH(BR$6,Escalators!$I$43:$U$43,0)))</f>
        <v>0</v>
      </c>
      <c r="BS38" s="47">
        <f>IF($R38="",0,$N38*$AD38*INDEX(Act_Type_Repex_Splits,MATCH($I38,Act_Type_Repex,0),MATCH(BS$5,Mat_Type,0))*INDEX(Escalators!$I$44:$U$49,MATCH(BS$5,Escalators!$C$44:$C$49,0),MATCH(BS$6,Escalators!$I$43:$U$43,0)))</f>
        <v>0</v>
      </c>
      <c r="BT38" s="47">
        <f t="shared" si="21"/>
        <v>0</v>
      </c>
      <c r="BU38" s="47">
        <f>IF($R38="",0,$O38*$AD38*INDEX(Act_Type_Repex_Splits,MATCH($I38,Act_Type_Repex,0),MATCH(BU$5,Mat_Type,0))*INDEX(Escalators!$I$44:$U$49,MATCH(BU$5,Escalators!$C$44:$C$49,0),MATCH(BU$6,Escalators!$I$43:$U$43,0)))</f>
        <v>0</v>
      </c>
      <c r="BV38" s="47">
        <f>IF($R38="",0,$O38*$AD38*INDEX(Act_Type_Repex_Splits,MATCH($I38,Act_Type_Repex,0),MATCH(BV$5,Mat_Type,0))*INDEX(Escalators!$I$44:$U$49,MATCH(BV$5,Escalators!$C$44:$C$49,0),MATCH(BV$6,Escalators!$I$43:$U$43,0)))</f>
        <v>0</v>
      </c>
      <c r="BW38" s="47">
        <f>IF($R38="",0,$O38*$AD38*INDEX(Act_Type_Repex_Splits,MATCH($I38,Act_Type_Repex,0),MATCH(BW$5,Mat_Type,0))*INDEX(Escalators!$I$44:$U$49,MATCH(BW$5,Escalators!$C$44:$C$49,0),MATCH(BW$6,Escalators!$I$43:$U$43,0)))</f>
        <v>0</v>
      </c>
      <c r="BX38" s="47">
        <f>IF($R38="",0,$O38*$AD38*INDEX(Act_Type_Repex_Splits,MATCH($I38,Act_Type_Repex,0),MATCH(BX$5,Mat_Type,0))*INDEX(Escalators!$I$44:$U$49,MATCH(BX$5,Escalators!$C$44:$C$49,0),MATCH(BX$6,Escalators!$I$43:$U$43,0)))</f>
        <v>0</v>
      </c>
      <c r="BY38" s="47">
        <f>IF($R38="",0,$O38*$AD38*INDEX(Act_Type_Repex_Splits,MATCH($I38,Act_Type_Repex,0),MATCH(BY$5,Mat_Type,0))*INDEX(Escalators!$I$44:$U$49,MATCH(BY$5,Escalators!$C$44:$C$49,0),MATCH(BY$6,Escalators!$I$43:$U$43,0)))</f>
        <v>0</v>
      </c>
      <c r="BZ38" s="47">
        <f t="shared" si="22"/>
        <v>0</v>
      </c>
      <c r="CA38" s="47">
        <f>IF($R38="",0,$P38*$AD38*INDEX(Act_Type_Repex_Splits,MATCH($I38,Act_Type_Repex,0),MATCH(CA$5,Mat_Type,0))*INDEX(Escalators!$I$44:$U$49,MATCH(CA$5,Escalators!$C$44:$C$49,0),MATCH(CA$6,Escalators!$I$43:$U$43,0)))</f>
        <v>0</v>
      </c>
      <c r="CB38" s="47">
        <f>IF($R38="",0,$P38*$AD38*INDEX(Act_Type_Repex_Splits,MATCH($I38,Act_Type_Repex,0),MATCH(CB$5,Mat_Type,0))*INDEX(Escalators!$I$44:$U$49,MATCH(CB$5,Escalators!$C$44:$C$49,0),MATCH(CB$6,Escalators!$I$43:$U$43,0)))</f>
        <v>0</v>
      </c>
      <c r="CC38" s="47">
        <f>IF($R38="",0,$P38*$AD38*INDEX(Act_Type_Repex_Splits,MATCH($I38,Act_Type_Repex,0),MATCH(CC$5,Mat_Type,0))*INDEX(Escalators!$I$44:$U$49,MATCH(CC$5,Escalators!$C$44:$C$49,0),MATCH(CC$6,Escalators!$I$43:$U$43,0)))</f>
        <v>0</v>
      </c>
      <c r="CD38" s="47">
        <f>IF($R38="",0,$P38*$AD38*INDEX(Act_Type_Repex_Splits,MATCH($I38,Act_Type_Repex,0),MATCH(CD$5,Mat_Type,0))*INDEX(Escalators!$I$44:$U$49,MATCH(CD$5,Escalators!$C$44:$C$49,0),MATCH(CD$6,Escalators!$I$43:$U$43,0)))</f>
        <v>0</v>
      </c>
      <c r="CE38" s="47">
        <f>IF($R38="",0,$P38*$AD38*INDEX(Act_Type_Repex_Splits,MATCH($I38,Act_Type_Repex,0),MATCH(CE$5,Mat_Type,0))*INDEX(Escalators!$I$44:$U$49,MATCH(CE$5,Escalators!$C$44:$C$49,0),MATCH(CE$6,Escalators!$I$43:$U$43,0)))</f>
        <v>0</v>
      </c>
      <c r="CF38" s="47">
        <f t="shared" si="23"/>
        <v>0</v>
      </c>
      <c r="CG38" s="47">
        <f>IF($R38="",0,$Q38*$AD38*INDEX(Act_Type_Repex_Splits,MATCH($I38,Act_Type_Repex,0),MATCH(CG$5,Mat_Type,0))*INDEX(Escalators!$I$44:$U$49,MATCH(CG$5,Escalators!$C$44:$C$49,0),MATCH(CG$6,Escalators!$I$43:$U$43,0)))</f>
        <v>0</v>
      </c>
      <c r="CH38" s="47">
        <f>IF($R38="",0,$Q38*$AD38*INDEX(Act_Type_Repex_Splits,MATCH($I38,Act_Type_Repex,0),MATCH(CH$5,Mat_Type,0))*INDEX(Escalators!$I$44:$U$49,MATCH(CH$5,Escalators!$C$44:$C$49,0),MATCH(CH$6,Escalators!$I$43:$U$43,0)))</f>
        <v>0</v>
      </c>
      <c r="CI38" s="47">
        <f>IF($R38="",0,$Q38*$AD38*INDEX(Act_Type_Repex_Splits,MATCH($I38,Act_Type_Repex,0),MATCH(CI$5,Mat_Type,0))*INDEX(Escalators!$I$44:$U$49,MATCH(CI$5,Escalators!$C$44:$C$49,0),MATCH(CI$6,Escalators!$I$43:$U$43,0)))</f>
        <v>0</v>
      </c>
      <c r="CJ38" s="47">
        <f>IF($R38="",0,$Q38*$AD38*INDEX(Act_Type_Repex_Splits,MATCH($I38,Act_Type_Repex,0),MATCH(CJ$5,Mat_Type,0))*INDEX(Escalators!$I$44:$U$49,MATCH(CJ$5,Escalators!$C$44:$C$49,0),MATCH(CJ$6,Escalators!$I$43:$U$43,0)))</f>
        <v>0</v>
      </c>
      <c r="CK38" s="47">
        <f>IF($R38="",0,$Q38*$AD38*INDEX(Act_Type_Repex_Splits,MATCH($I38,Act_Type_Repex,0),MATCH(CK$5,Mat_Type,0))*INDEX(Escalators!$I$44:$U$49,MATCH(CK$5,Escalators!$C$44:$C$49,0),MATCH(CK$6,Escalators!$I$43:$U$43,0)))</f>
        <v>0</v>
      </c>
      <c r="CL38" s="47">
        <f t="shared" si="24"/>
        <v>0</v>
      </c>
      <c r="CN38" s="47">
        <f>IF($R38="",0,J38*$AE38*HLOOKUP(CN$6,Escalators!$I$25:$U$30,6,FALSE))</f>
        <v>0</v>
      </c>
      <c r="CO38" s="47">
        <f>IF($R38="",0,K38*$AE38*HLOOKUP(CO$6,Escalators!$I$25:$U$30,6,FALSE))</f>
        <v>0</v>
      </c>
      <c r="CP38" s="47">
        <f>IF($R38="",0,L38*$AE38*HLOOKUP(CP$6,Escalators!$I$25:$U$30,6,FALSE))</f>
        <v>0</v>
      </c>
      <c r="CQ38" s="47">
        <f>IF($R38="",0,M38*$AE38*HLOOKUP(CQ$6,Escalators!$I$25:$U$30,6,FALSE))</f>
        <v>0</v>
      </c>
      <c r="CR38" s="47">
        <f>IF($R38="",0,N38*$AE38*HLOOKUP(CR$6,Escalators!$I$25:$U$30,6,FALSE))</f>
        <v>0</v>
      </c>
      <c r="CS38" s="47">
        <f>IF($R38="",0,O38*$AE38*HLOOKUP(CS$6,Escalators!$I$25:$U$30,6,FALSE))</f>
        <v>0</v>
      </c>
      <c r="CT38" s="47">
        <f>IF($R38="",0,P38*$AE38*HLOOKUP(CT$6,Escalators!$I$25:$U$30,6,FALSE))</f>
        <v>0</v>
      </c>
      <c r="CU38" s="47">
        <f>IF($R38="",0,Q38*$AE38*HLOOKUP(CU$6,Escalators!$I$25:$U$30,6,FALSE))</f>
        <v>0</v>
      </c>
      <c r="CW38" s="82">
        <f t="shared" si="25"/>
        <v>0</v>
      </c>
      <c r="CX38" s="82">
        <f t="shared" si="26"/>
        <v>0</v>
      </c>
      <c r="CY38" s="82">
        <f t="shared" si="27"/>
        <v>0</v>
      </c>
      <c r="CZ38" s="82">
        <f t="shared" si="28"/>
        <v>0</v>
      </c>
      <c r="DA38" s="82">
        <f t="shared" si="29"/>
        <v>0</v>
      </c>
      <c r="DB38" s="82">
        <f t="shared" si="30"/>
        <v>0</v>
      </c>
      <c r="DC38" s="82">
        <f t="shared" si="31"/>
        <v>0</v>
      </c>
      <c r="DD38" s="82">
        <f t="shared" si="32"/>
        <v>0</v>
      </c>
      <c r="DF38" s="47">
        <f t="shared" si="33"/>
        <v>0</v>
      </c>
      <c r="DG38" s="47">
        <f t="shared" si="34"/>
        <v>0</v>
      </c>
      <c r="DH38" s="47">
        <f t="shared" si="35"/>
        <v>0</v>
      </c>
      <c r="DI38" s="47">
        <f t="shared" si="36"/>
        <v>0</v>
      </c>
      <c r="DJ38" s="47">
        <f t="shared" si="37"/>
        <v>0</v>
      </c>
      <c r="DK38" s="47">
        <f t="shared" si="38"/>
        <v>0</v>
      </c>
      <c r="DL38" s="47">
        <f t="shared" si="39"/>
        <v>0</v>
      </c>
      <c r="DM38" s="47">
        <f t="shared" si="40"/>
        <v>0</v>
      </c>
      <c r="DO38" s="39"/>
    </row>
    <row r="39" spans="2:119">
      <c r="T39" s="935"/>
      <c r="U39" s="935"/>
      <c r="V39" s="935"/>
      <c r="W39" s="935"/>
      <c r="X39" s="935"/>
      <c r="Y39" s="935"/>
      <c r="Z39" s="935"/>
      <c r="AA39" s="935"/>
      <c r="AB39" s="867"/>
      <c r="AC39" s="867"/>
      <c r="AD39" s="867"/>
      <c r="AE39" s="867"/>
      <c r="AF39" s="867"/>
      <c r="AG39" s="867"/>
      <c r="AH39" s="935"/>
      <c r="AI39" s="935"/>
      <c r="AJ39" s="935"/>
      <c r="AK39" s="935"/>
      <c r="AL39" s="935"/>
      <c r="AM39" s="935"/>
      <c r="AN39" s="935"/>
      <c r="AO39" s="935"/>
      <c r="AP39" s="867"/>
      <c r="AQ39" s="935"/>
      <c r="AR39" s="935"/>
      <c r="AS39" s="935"/>
      <c r="AT39" s="935"/>
      <c r="AU39" s="935"/>
      <c r="AV39" s="935"/>
      <c r="AW39" s="935"/>
      <c r="AX39" s="935"/>
      <c r="AY39" s="935"/>
      <c r="AZ39" s="935"/>
      <c r="BA39" s="935"/>
      <c r="BB39" s="935"/>
      <c r="BC39" s="935"/>
      <c r="BD39" s="935"/>
      <c r="BE39" s="935"/>
      <c r="BF39" s="935"/>
      <c r="BG39" s="935"/>
      <c r="BH39" s="935"/>
      <c r="BI39" s="935"/>
      <c r="BJ39" s="935"/>
      <c r="BK39" s="935"/>
      <c r="BL39" s="935"/>
      <c r="BM39" s="935"/>
      <c r="BN39" s="935"/>
      <c r="BO39" s="935"/>
      <c r="BP39" s="935"/>
      <c r="BQ39" s="935"/>
      <c r="BR39" s="935"/>
      <c r="BS39" s="935"/>
      <c r="BT39" s="935"/>
      <c r="BU39" s="935"/>
      <c r="BV39" s="935"/>
      <c r="BW39" s="935"/>
      <c r="BX39" s="935"/>
      <c r="BY39" s="935"/>
      <c r="BZ39" s="935"/>
      <c r="CA39" s="935"/>
      <c r="CB39" s="935"/>
      <c r="CC39" s="935"/>
      <c r="CD39" s="935"/>
      <c r="CE39" s="935"/>
      <c r="CF39" s="935"/>
      <c r="CG39" s="935"/>
      <c r="CH39" s="935"/>
      <c r="CI39" s="935"/>
      <c r="CJ39" s="935"/>
      <c r="CK39" s="935"/>
      <c r="CL39" s="935"/>
      <c r="CM39" s="867"/>
      <c r="CN39" s="935"/>
      <c r="CO39" s="935"/>
      <c r="CP39" s="935"/>
      <c r="CQ39" s="935"/>
      <c r="CR39" s="935"/>
      <c r="CS39" s="935"/>
      <c r="CT39" s="935"/>
      <c r="CU39" s="935"/>
      <c r="CV39" s="867"/>
      <c r="CW39" s="935"/>
      <c r="CX39" s="935"/>
      <c r="CY39" s="935"/>
      <c r="CZ39" s="935"/>
      <c r="DA39" s="935"/>
      <c r="DB39" s="935"/>
      <c r="DC39" s="935"/>
      <c r="DD39" s="935"/>
      <c r="DE39" s="867"/>
      <c r="DF39" s="935"/>
      <c r="DG39" s="935"/>
      <c r="DH39" s="935"/>
      <c r="DI39" s="935"/>
      <c r="DJ39" s="935"/>
      <c r="DK39" s="935"/>
      <c r="DL39" s="935"/>
      <c r="DM39" s="935"/>
    </row>
    <row r="40" spans="2:119">
      <c r="DF40" s="84">
        <f t="shared" ref="DF40:DM40" si="41">IF(ISERROR((DF39-T39)/T39),0,(DF39-T39)/T39)</f>
        <v>0</v>
      </c>
      <c r="DG40" s="84">
        <f t="shared" si="41"/>
        <v>0</v>
      </c>
      <c r="DH40" s="84">
        <f t="shared" si="41"/>
        <v>0</v>
      </c>
      <c r="DI40" s="84">
        <f t="shared" si="41"/>
        <v>0</v>
      </c>
      <c r="DJ40" s="84">
        <f t="shared" si="41"/>
        <v>0</v>
      </c>
      <c r="DK40" s="84">
        <f t="shared" si="41"/>
        <v>0</v>
      </c>
      <c r="DL40" s="84">
        <f t="shared" si="41"/>
        <v>0</v>
      </c>
      <c r="DM40" s="84">
        <f t="shared" si="41"/>
        <v>0</v>
      </c>
    </row>
    <row r="41" spans="2:119">
      <c r="AA41" s="39">
        <f>SUM(W39:AA39)</f>
        <v>0</v>
      </c>
    </row>
    <row r="42" spans="2:119">
      <c r="W42" s="39"/>
      <c r="X42" s="39"/>
      <c r="Y42" s="39"/>
      <c r="Z42" s="39"/>
      <c r="AA42" s="39"/>
    </row>
  </sheetData>
  <mergeCells count="12">
    <mergeCell ref="M1:N1"/>
    <mergeCell ref="T3:AA3"/>
    <mergeCell ref="AH3:AO3"/>
    <mergeCell ref="CN3:CU3"/>
    <mergeCell ref="DF3:DM3"/>
    <mergeCell ref="CW3:DD3"/>
    <mergeCell ref="DF5:DM5"/>
    <mergeCell ref="J5:Q5"/>
    <mergeCell ref="T5:AA5"/>
    <mergeCell ref="AH5:AO5"/>
    <mergeCell ref="CN5:CU5"/>
    <mergeCell ref="CW5:DD5"/>
  </mergeCells>
  <hyperlinks>
    <hyperlink ref="B2" location="Contents!A1" display="Table of Contents" xr:uid="{00000000-0004-0000-0D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r:uid="{00000000-0002-0000-0D00-000000000000}">
          <x14:formula1>
            <xm:f>Lookups!$C$16:$C$27</xm:f>
          </x14:formula1>
          <xm:sqref>F7:F38</xm:sqref>
        </x14:dataValidation>
        <x14:dataValidation type="list" errorStyle="warning" showInputMessage="1" showErrorMessage="1" error="Invalid data entered" prompt="Select from drop down list" xr:uid="{00000000-0002-0000-0D00-000001000000}">
          <x14:formula1>
            <xm:f>Lookups!$C$5:$C$13</xm:f>
          </x14:formula1>
          <xm:sqref>E7:E38</xm:sqref>
        </x14:dataValidation>
        <x14:dataValidation type="list" errorStyle="warning" allowBlank="1" showInputMessage="1" showErrorMessage="1" prompt="Select from drop down list" xr:uid="{00000000-0002-0000-0D00-000002000000}">
          <x14:formula1>
            <xm:f>Lab_Mat!$C$62:$C$98</xm:f>
          </x14:formula1>
          <xm:sqref>I7:I38</xm:sqref>
        </x14:dataValidation>
        <x14:dataValidation type="list" errorStyle="warning" showInputMessage="1" showErrorMessage="1" error="Invalid data entered" prompt="Select from drop down list" xr:uid="{00000000-0002-0000-0D00-000003000000}">
          <x14:formula1>
            <xm:f>Lookups!$I$5:$I$10</xm:f>
          </x14:formula1>
          <xm:sqref>G7:G38</xm:sqref>
        </x14:dataValidation>
        <x14:dataValidation type="list" errorStyle="warning" allowBlank="1" showInputMessage="1" showErrorMessage="1" prompt="Select from drop down list" xr:uid="{00000000-0002-0000-0D00-000004000000}">
          <x14:formula1>
            <xm:f>Lab_Mat!$C$13:$C$22</xm:f>
          </x14:formula1>
          <xm:sqref>H7:H38</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1:DT44"/>
  <sheetViews>
    <sheetView zoomScale="85" zoomScaleNormal="85" zoomScalePageLayoutView="125" workbookViewId="0">
      <pane xSplit="4" topLeftCell="E1" activePane="topRight" state="frozen"/>
      <selection activeCell="V33" sqref="V33"/>
      <selection pane="topRight" activeCell="C16" sqref="C16"/>
    </sheetView>
  </sheetViews>
  <sheetFormatPr defaultColWidth="8.85546875" defaultRowHeight="15" outlineLevelRow="1" outlineLevelCol="1"/>
  <cols>
    <col min="1" max="1" width="4" style="1" customWidth="1"/>
    <col min="2" max="2" width="12" style="1" customWidth="1"/>
    <col min="3" max="3" width="41.140625" style="1" customWidth="1"/>
    <col min="4" max="4" width="13.42578125" style="1" customWidth="1"/>
    <col min="5" max="5" width="27.28515625" style="1" hidden="1" customWidth="1" outlineLevel="1"/>
    <col min="6" max="6" width="33.42578125" style="1" hidden="1" customWidth="1" outlineLevel="1"/>
    <col min="7" max="7" width="28" style="1" hidden="1" customWidth="1" outlineLevel="1"/>
    <col min="8" max="8" width="20.42578125" style="1" hidden="1" customWidth="1" outlineLevel="1"/>
    <col min="9" max="9" width="28.28515625" style="1" hidden="1" customWidth="1" outlineLevel="1"/>
    <col min="10" max="10" width="8.85546875" style="1" collapsed="1"/>
    <col min="11" max="12" width="8.85546875" style="1" hidden="1" customWidth="1" outlineLevel="1"/>
    <col min="13" max="13" width="8.85546875" style="1" collapsed="1"/>
    <col min="14" max="18" width="8.85546875" style="1"/>
    <col min="19" max="19" width="3.7109375" style="1" customWidth="1"/>
    <col min="20" max="21" width="9.7109375" style="1" hidden="1" customWidth="1" outlineLevel="1"/>
    <col min="22" max="22" width="9.7109375" style="1" customWidth="1" collapsed="1"/>
    <col min="23" max="27" width="9.7109375" style="1" customWidth="1"/>
    <col min="28" max="28" width="3.4257812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0"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6384" width="8.85546875" style="1"/>
  </cols>
  <sheetData>
    <row r="1" spans="2:124" ht="18.75">
      <c r="B1" s="10" t="s">
        <v>2</v>
      </c>
      <c r="M1" s="969" t="s">
        <v>737</v>
      </c>
      <c r="N1" s="969"/>
    </row>
    <row r="2" spans="2:124">
      <c r="B2" s="25" t="s">
        <v>6</v>
      </c>
    </row>
    <row r="3" spans="2:124">
      <c r="R3" s="66"/>
      <c r="T3" s="964"/>
      <c r="U3" s="964"/>
      <c r="V3" s="964"/>
      <c r="W3" s="964"/>
      <c r="X3" s="964"/>
      <c r="Y3" s="964"/>
      <c r="Z3" s="964"/>
      <c r="AA3" s="964"/>
      <c r="AH3" s="964"/>
      <c r="AI3" s="964"/>
      <c r="AJ3" s="964"/>
      <c r="AK3" s="964"/>
      <c r="AL3" s="964"/>
      <c r="AM3" s="964"/>
      <c r="AN3" s="964"/>
      <c r="AO3" s="964"/>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964"/>
      <c r="CO3" s="964"/>
      <c r="CP3" s="964"/>
      <c r="CQ3" s="964"/>
      <c r="CR3" s="964"/>
      <c r="CS3" s="964"/>
      <c r="CT3" s="964"/>
      <c r="CU3" s="964"/>
      <c r="CW3" s="964"/>
      <c r="CX3" s="964"/>
      <c r="CY3" s="964"/>
      <c r="CZ3" s="964"/>
      <c r="DA3" s="964"/>
      <c r="DB3" s="964"/>
      <c r="DC3" s="964"/>
      <c r="DD3" s="964"/>
      <c r="DF3" s="964"/>
      <c r="DG3" s="964"/>
      <c r="DH3" s="964"/>
      <c r="DI3" s="964"/>
      <c r="DJ3" s="964"/>
      <c r="DK3" s="964"/>
      <c r="DL3" s="964"/>
      <c r="DM3" s="964"/>
    </row>
    <row r="4" spans="2:124" hidden="1" outlineLevel="1">
      <c r="R4" s="66"/>
      <c r="T4" s="80"/>
      <c r="U4" s="221"/>
      <c r="V4" s="329"/>
      <c r="W4" s="80"/>
      <c r="X4" s="80"/>
      <c r="Y4" s="80"/>
      <c r="Z4" s="80"/>
      <c r="AA4" s="80"/>
      <c r="AC4" s="1" t="s">
        <v>174</v>
      </c>
      <c r="AD4" s="1" t="s">
        <v>173</v>
      </c>
      <c r="AE4" s="1" t="s">
        <v>297</v>
      </c>
      <c r="AF4" s="1" t="s">
        <v>175</v>
      </c>
      <c r="AH4" s="80"/>
      <c r="AI4" s="221"/>
      <c r="AJ4" s="329"/>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29"/>
      <c r="CQ4" s="80"/>
      <c r="CR4" s="80"/>
      <c r="CS4" s="80"/>
      <c r="CT4" s="80"/>
      <c r="CU4" s="80"/>
      <c r="CW4" s="93"/>
      <c r="CX4" s="221"/>
      <c r="CY4" s="329"/>
      <c r="CZ4" s="93"/>
      <c r="DA4" s="93"/>
      <c r="DB4" s="93"/>
      <c r="DC4" s="93"/>
      <c r="DD4" s="93"/>
      <c r="DF4" s="80"/>
      <c r="DG4" s="221"/>
      <c r="DH4" s="329"/>
      <c r="DI4" s="80"/>
      <c r="DJ4" s="80"/>
      <c r="DK4" s="80"/>
      <c r="DL4" s="80"/>
      <c r="DM4" s="80"/>
    </row>
    <row r="5" spans="2:124" ht="75" collapsed="1">
      <c r="J5" s="961" t="s">
        <v>385</v>
      </c>
      <c r="K5" s="962"/>
      <c r="L5" s="962"/>
      <c r="M5" s="962"/>
      <c r="N5" s="962"/>
      <c r="O5" s="962"/>
      <c r="P5" s="962"/>
      <c r="Q5" s="963"/>
      <c r="R5" s="9" t="s">
        <v>377</v>
      </c>
      <c r="T5" s="961" t="s">
        <v>386</v>
      </c>
      <c r="U5" s="962"/>
      <c r="V5" s="962"/>
      <c r="W5" s="962"/>
      <c r="X5" s="962"/>
      <c r="Y5" s="962"/>
      <c r="Z5" s="962"/>
      <c r="AA5" s="963"/>
      <c r="AC5" s="9" t="s">
        <v>381</v>
      </c>
      <c r="AD5" s="9" t="s">
        <v>382</v>
      </c>
      <c r="AE5" s="9" t="s">
        <v>383</v>
      </c>
      <c r="AF5" s="9" t="s">
        <v>384</v>
      </c>
      <c r="AG5" s="57"/>
      <c r="AH5" s="961" t="s">
        <v>174</v>
      </c>
      <c r="AI5" s="962"/>
      <c r="AJ5" s="962"/>
      <c r="AK5" s="962"/>
      <c r="AL5" s="962"/>
      <c r="AM5" s="962"/>
      <c r="AN5" s="962"/>
      <c r="AO5" s="963"/>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961" t="s">
        <v>297</v>
      </c>
      <c r="CO5" s="962"/>
      <c r="CP5" s="962"/>
      <c r="CQ5" s="962"/>
      <c r="CR5" s="962"/>
      <c r="CS5" s="962"/>
      <c r="CT5" s="962"/>
      <c r="CU5" s="963"/>
      <c r="CV5" s="57"/>
      <c r="CW5" s="961" t="s">
        <v>175</v>
      </c>
      <c r="CX5" s="962"/>
      <c r="CY5" s="962"/>
      <c r="CZ5" s="962"/>
      <c r="DA5" s="962"/>
      <c r="DB5" s="962"/>
      <c r="DC5" s="962"/>
      <c r="DD5" s="963"/>
      <c r="DE5" s="57"/>
      <c r="DF5" s="961" t="s">
        <v>379</v>
      </c>
      <c r="DG5" s="962"/>
      <c r="DH5" s="962"/>
      <c r="DI5" s="962"/>
      <c r="DJ5" s="962"/>
      <c r="DK5" s="962"/>
      <c r="DL5" s="962"/>
      <c r="DM5" s="963"/>
    </row>
    <row r="6" spans="2:124">
      <c r="B6" s="8" t="s">
        <v>23</v>
      </c>
      <c r="C6" s="8" t="s">
        <v>24</v>
      </c>
      <c r="D6" s="17" t="s">
        <v>98</v>
      </c>
      <c r="E6" s="17" t="s">
        <v>76</v>
      </c>
      <c r="F6" s="17" t="s">
        <v>77</v>
      </c>
      <c r="G6" s="17" t="s">
        <v>322</v>
      </c>
      <c r="H6" s="17" t="s">
        <v>212</v>
      </c>
      <c r="I6" s="17" t="s">
        <v>177</v>
      </c>
      <c r="J6" s="331">
        <f>CP_Yr_4</f>
        <v>43800</v>
      </c>
      <c r="K6" s="331">
        <f>CP_Yr_5</f>
        <v>44166</v>
      </c>
      <c r="L6" s="331">
        <f>Stub</f>
        <v>44377</v>
      </c>
      <c r="M6" s="331">
        <f>Yr_1</f>
        <v>44742</v>
      </c>
      <c r="N6" s="331">
        <f>Yr_2</f>
        <v>45107</v>
      </c>
      <c r="O6" s="331">
        <f>Yr_3</f>
        <v>45473</v>
      </c>
      <c r="P6" s="331">
        <f>Yr_4</f>
        <v>45838</v>
      </c>
      <c r="Q6" s="331">
        <f>Yr_5</f>
        <v>46203</v>
      </c>
      <c r="R6" s="17"/>
      <c r="T6" s="331">
        <f>CP_Yr_4</f>
        <v>43800</v>
      </c>
      <c r="U6" s="331">
        <f>CP_Yr_5</f>
        <v>44166</v>
      </c>
      <c r="V6" s="331">
        <f>Stub</f>
        <v>44377</v>
      </c>
      <c r="W6" s="331">
        <f>Yr_1</f>
        <v>44742</v>
      </c>
      <c r="X6" s="331">
        <f>Yr_2</f>
        <v>45107</v>
      </c>
      <c r="Y6" s="331">
        <f>Yr_3</f>
        <v>45473</v>
      </c>
      <c r="Z6" s="331">
        <f>Yr_4</f>
        <v>45838</v>
      </c>
      <c r="AA6" s="331">
        <f>Yr_5</f>
        <v>46203</v>
      </c>
      <c r="AB6" s="332"/>
      <c r="AC6" s="331"/>
      <c r="AD6" s="331"/>
      <c r="AE6" s="331"/>
      <c r="AF6" s="331"/>
      <c r="AG6" s="223"/>
      <c r="AH6" s="331">
        <f>CP_Yr_4</f>
        <v>43800</v>
      </c>
      <c r="AI6" s="331">
        <f>CP_Yr_5</f>
        <v>44166</v>
      </c>
      <c r="AJ6" s="331">
        <f>Stub</f>
        <v>44377</v>
      </c>
      <c r="AK6" s="331">
        <f>Yr_1</f>
        <v>44742</v>
      </c>
      <c r="AL6" s="331">
        <f>Yr_2</f>
        <v>45107</v>
      </c>
      <c r="AM6" s="331">
        <f>Yr_3</f>
        <v>45473</v>
      </c>
      <c r="AN6" s="331">
        <f>Yr_4</f>
        <v>45838</v>
      </c>
      <c r="AO6" s="331">
        <f>Yr_5</f>
        <v>46203</v>
      </c>
      <c r="AP6" s="332"/>
      <c r="AQ6" s="331">
        <f t="shared" ref="AQ6:AV6" si="0">CP_Yr_4</f>
        <v>43800</v>
      </c>
      <c r="AR6" s="331">
        <f t="shared" si="0"/>
        <v>43800</v>
      </c>
      <c r="AS6" s="331">
        <f t="shared" si="0"/>
        <v>43800</v>
      </c>
      <c r="AT6" s="331">
        <f t="shared" si="0"/>
        <v>43800</v>
      </c>
      <c r="AU6" s="331">
        <f t="shared" si="0"/>
        <v>43800</v>
      </c>
      <c r="AV6" s="331">
        <f t="shared" si="0"/>
        <v>43800</v>
      </c>
      <c r="AW6" s="331">
        <f t="shared" ref="AW6:BB6" si="1">CP_Yr_5</f>
        <v>44166</v>
      </c>
      <c r="AX6" s="331">
        <f t="shared" si="1"/>
        <v>44166</v>
      </c>
      <c r="AY6" s="331">
        <f t="shared" si="1"/>
        <v>44166</v>
      </c>
      <c r="AZ6" s="331">
        <f t="shared" si="1"/>
        <v>44166</v>
      </c>
      <c r="BA6" s="331">
        <f t="shared" si="1"/>
        <v>44166</v>
      </c>
      <c r="BB6" s="331">
        <f t="shared" si="1"/>
        <v>44166</v>
      </c>
      <c r="BC6" s="331">
        <f t="shared" ref="BC6:BH6" si="2">Stub</f>
        <v>44377</v>
      </c>
      <c r="BD6" s="331">
        <f t="shared" si="2"/>
        <v>44377</v>
      </c>
      <c r="BE6" s="331">
        <f t="shared" si="2"/>
        <v>44377</v>
      </c>
      <c r="BF6" s="331">
        <f t="shared" si="2"/>
        <v>44377</v>
      </c>
      <c r="BG6" s="331">
        <f t="shared" si="2"/>
        <v>44377</v>
      </c>
      <c r="BH6" s="331">
        <f t="shared" si="2"/>
        <v>44377</v>
      </c>
      <c r="BI6" s="331">
        <f t="shared" ref="BI6:BN6" si="3">Yr_1</f>
        <v>44742</v>
      </c>
      <c r="BJ6" s="331">
        <f t="shared" si="3"/>
        <v>44742</v>
      </c>
      <c r="BK6" s="331">
        <f t="shared" si="3"/>
        <v>44742</v>
      </c>
      <c r="BL6" s="331">
        <f t="shared" si="3"/>
        <v>44742</v>
      </c>
      <c r="BM6" s="331">
        <f t="shared" si="3"/>
        <v>44742</v>
      </c>
      <c r="BN6" s="331">
        <f t="shared" si="3"/>
        <v>44742</v>
      </c>
      <c r="BO6" s="331">
        <f t="shared" ref="BO6:BT6" si="4">Yr_2</f>
        <v>45107</v>
      </c>
      <c r="BP6" s="331">
        <f t="shared" si="4"/>
        <v>45107</v>
      </c>
      <c r="BQ6" s="331">
        <f t="shared" si="4"/>
        <v>45107</v>
      </c>
      <c r="BR6" s="331">
        <f t="shared" si="4"/>
        <v>45107</v>
      </c>
      <c r="BS6" s="331">
        <f t="shared" si="4"/>
        <v>45107</v>
      </c>
      <c r="BT6" s="331">
        <f t="shared" si="4"/>
        <v>45107</v>
      </c>
      <c r="BU6" s="331">
        <f t="shared" ref="BU6:BZ6" si="5">Yr_3</f>
        <v>45473</v>
      </c>
      <c r="BV6" s="331">
        <f t="shared" si="5"/>
        <v>45473</v>
      </c>
      <c r="BW6" s="331">
        <f t="shared" si="5"/>
        <v>45473</v>
      </c>
      <c r="BX6" s="331">
        <f t="shared" si="5"/>
        <v>45473</v>
      </c>
      <c r="BY6" s="331">
        <f t="shared" si="5"/>
        <v>45473</v>
      </c>
      <c r="BZ6" s="331">
        <f t="shared" si="5"/>
        <v>45473</v>
      </c>
      <c r="CA6" s="331">
        <f t="shared" ref="CA6:CF6" si="6">Yr_4</f>
        <v>45838</v>
      </c>
      <c r="CB6" s="331">
        <f t="shared" si="6"/>
        <v>45838</v>
      </c>
      <c r="CC6" s="331">
        <f t="shared" si="6"/>
        <v>45838</v>
      </c>
      <c r="CD6" s="331">
        <f t="shared" si="6"/>
        <v>45838</v>
      </c>
      <c r="CE6" s="331">
        <f t="shared" si="6"/>
        <v>45838</v>
      </c>
      <c r="CF6" s="331">
        <f t="shared" si="6"/>
        <v>45838</v>
      </c>
      <c r="CG6" s="331">
        <f t="shared" ref="CG6:CL6" si="7">Yr_5</f>
        <v>46203</v>
      </c>
      <c r="CH6" s="331">
        <f t="shared" si="7"/>
        <v>46203</v>
      </c>
      <c r="CI6" s="331">
        <f t="shared" si="7"/>
        <v>46203</v>
      </c>
      <c r="CJ6" s="331">
        <f t="shared" si="7"/>
        <v>46203</v>
      </c>
      <c r="CK6" s="331">
        <f t="shared" si="7"/>
        <v>46203</v>
      </c>
      <c r="CL6" s="331">
        <f t="shared" si="7"/>
        <v>46203</v>
      </c>
      <c r="CM6" s="332"/>
      <c r="CN6" s="331">
        <f>CP_Yr_4</f>
        <v>43800</v>
      </c>
      <c r="CO6" s="331">
        <f>CP_Yr_5</f>
        <v>44166</v>
      </c>
      <c r="CP6" s="331">
        <f>Stub</f>
        <v>44377</v>
      </c>
      <c r="CQ6" s="331">
        <f>Yr_1</f>
        <v>44742</v>
      </c>
      <c r="CR6" s="331">
        <f>Yr_2</f>
        <v>45107</v>
      </c>
      <c r="CS6" s="331">
        <f>Yr_3</f>
        <v>45473</v>
      </c>
      <c r="CT6" s="331">
        <f>Yr_4</f>
        <v>45838</v>
      </c>
      <c r="CU6" s="331">
        <f>Yr_5</f>
        <v>46203</v>
      </c>
      <c r="CV6" s="332"/>
      <c r="CW6" s="331">
        <f>CP_Yr_4</f>
        <v>43800</v>
      </c>
      <c r="CX6" s="331">
        <f>CP_Yr_5</f>
        <v>44166</v>
      </c>
      <c r="CY6" s="331">
        <f>Stub</f>
        <v>44377</v>
      </c>
      <c r="CZ6" s="331">
        <f>Yr_1</f>
        <v>44742</v>
      </c>
      <c r="DA6" s="331">
        <f>Yr_2</f>
        <v>45107</v>
      </c>
      <c r="DB6" s="331">
        <f>Yr_3</f>
        <v>45473</v>
      </c>
      <c r="DC6" s="331">
        <f>Yr_4</f>
        <v>45838</v>
      </c>
      <c r="DD6" s="331">
        <f>Yr_5</f>
        <v>46203</v>
      </c>
      <c r="DE6" s="332"/>
      <c r="DF6" s="331">
        <f>CP_Yr_4</f>
        <v>43800</v>
      </c>
      <c r="DG6" s="331">
        <f>CP_Yr_5</f>
        <v>44166</v>
      </c>
      <c r="DH6" s="331">
        <f>Stub</f>
        <v>44377</v>
      </c>
      <c r="DI6" s="331">
        <f>Yr_1</f>
        <v>44742</v>
      </c>
      <c r="DJ6" s="331">
        <f>Yr_2</f>
        <v>45107</v>
      </c>
      <c r="DK6" s="331">
        <f>Yr_3</f>
        <v>45473</v>
      </c>
      <c r="DL6" s="331">
        <f>Yr_4</f>
        <v>45838</v>
      </c>
      <c r="DM6" s="331">
        <f>Yr_5</f>
        <v>46203</v>
      </c>
    </row>
    <row r="7" spans="2:124">
      <c r="B7" s="7"/>
      <c r="C7" s="7" t="s">
        <v>258</v>
      </c>
      <c r="D7" s="7" t="s">
        <v>102</v>
      </c>
      <c r="E7" s="7" t="s">
        <v>44</v>
      </c>
      <c r="F7" s="7" t="s">
        <v>52</v>
      </c>
      <c r="G7" s="7" t="s">
        <v>150</v>
      </c>
      <c r="H7" s="7" t="s">
        <v>102</v>
      </c>
      <c r="I7" s="7" t="s">
        <v>190</v>
      </c>
      <c r="J7" s="45"/>
      <c r="K7" s="45"/>
      <c r="L7" s="45"/>
      <c r="M7" s="937"/>
      <c r="N7" s="937"/>
      <c r="O7" s="937"/>
      <c r="P7" s="937"/>
      <c r="Q7" s="937"/>
      <c r="R7" s="936"/>
      <c r="S7" s="867"/>
      <c r="T7" s="510">
        <f>J7*$R7</f>
        <v>0</v>
      </c>
      <c r="U7" s="510">
        <f>K7*$R7</f>
        <v>0</v>
      </c>
      <c r="V7" s="937"/>
      <c r="W7" s="937"/>
      <c r="X7" s="937"/>
      <c r="Y7" s="937"/>
      <c r="Z7" s="937"/>
      <c r="AA7" s="937"/>
      <c r="AB7" s="867"/>
      <c r="AC7" s="936"/>
      <c r="AD7" s="936"/>
      <c r="AE7" s="936"/>
      <c r="AF7" s="936"/>
      <c r="AG7" s="867"/>
      <c r="AH7" s="937"/>
      <c r="AI7" s="937"/>
      <c r="AJ7" s="937"/>
      <c r="AK7" s="937"/>
      <c r="AL7" s="937"/>
      <c r="AM7" s="937"/>
      <c r="AN7" s="937"/>
      <c r="AO7" s="937"/>
      <c r="AP7" s="86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867"/>
      <c r="CN7" s="937"/>
      <c r="CO7" s="937"/>
      <c r="CP7" s="937"/>
      <c r="CQ7" s="937"/>
      <c r="CR7" s="937"/>
      <c r="CS7" s="937"/>
      <c r="CT7" s="937"/>
      <c r="CU7" s="937"/>
      <c r="CV7" s="867"/>
      <c r="CW7" s="937"/>
      <c r="CX7" s="937"/>
      <c r="CY7" s="937"/>
      <c r="CZ7" s="937"/>
      <c r="DA7" s="937"/>
      <c r="DB7" s="937"/>
      <c r="DC7" s="937"/>
      <c r="DD7" s="937"/>
      <c r="DE7" s="867"/>
      <c r="DF7" s="937"/>
      <c r="DG7" s="937"/>
      <c r="DH7" s="937"/>
      <c r="DI7" s="937"/>
      <c r="DJ7" s="937"/>
      <c r="DK7" s="937"/>
      <c r="DL7" s="937"/>
      <c r="DM7" s="937"/>
      <c r="DO7" s="39"/>
      <c r="DP7" s="39"/>
      <c r="DQ7" s="39"/>
      <c r="DR7" s="39"/>
      <c r="DS7" s="39"/>
      <c r="DT7" s="39"/>
    </row>
    <row r="8" spans="2:124">
      <c r="B8" s="7"/>
      <c r="C8" s="7" t="s">
        <v>259</v>
      </c>
      <c r="D8" s="7" t="s">
        <v>102</v>
      </c>
      <c r="E8" s="7" t="s">
        <v>44</v>
      </c>
      <c r="F8" s="7" t="s">
        <v>52</v>
      </c>
      <c r="G8" s="7" t="s">
        <v>150</v>
      </c>
      <c r="H8" s="7" t="s">
        <v>102</v>
      </c>
      <c r="I8" s="7" t="s">
        <v>190</v>
      </c>
      <c r="J8" s="45"/>
      <c r="K8" s="45"/>
      <c r="L8" s="45"/>
      <c r="M8" s="937"/>
      <c r="N8" s="937"/>
      <c r="O8" s="937"/>
      <c r="P8" s="937"/>
      <c r="Q8" s="937"/>
      <c r="R8" s="936"/>
      <c r="S8" s="867"/>
      <c r="T8" s="510">
        <f t="shared" ref="T8:T37" si="8">J8*$R8</f>
        <v>0</v>
      </c>
      <c r="U8" s="510">
        <f t="shared" ref="U8:U28" si="9">K8*$R8</f>
        <v>0</v>
      </c>
      <c r="V8" s="937"/>
      <c r="W8" s="937"/>
      <c r="X8" s="937"/>
      <c r="Y8" s="937"/>
      <c r="Z8" s="937"/>
      <c r="AA8" s="937"/>
      <c r="AB8" s="867"/>
      <c r="AC8" s="936"/>
      <c r="AD8" s="936"/>
      <c r="AE8" s="936"/>
      <c r="AF8" s="936"/>
      <c r="AG8" s="867"/>
      <c r="AH8" s="937"/>
      <c r="AI8" s="937"/>
      <c r="AJ8" s="937"/>
      <c r="AK8" s="937"/>
      <c r="AL8" s="937"/>
      <c r="AM8" s="937"/>
      <c r="AN8" s="937"/>
      <c r="AO8" s="937"/>
      <c r="AP8" s="867"/>
      <c r="AQ8" s="937"/>
      <c r="AR8" s="937"/>
      <c r="AS8" s="937"/>
      <c r="AT8" s="937"/>
      <c r="AU8" s="937"/>
      <c r="AV8" s="937"/>
      <c r="AW8" s="937"/>
      <c r="AX8" s="937"/>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867"/>
      <c r="CN8" s="937"/>
      <c r="CO8" s="937"/>
      <c r="CP8" s="937"/>
      <c r="CQ8" s="937"/>
      <c r="CR8" s="937"/>
      <c r="CS8" s="937"/>
      <c r="CT8" s="937"/>
      <c r="CU8" s="937"/>
      <c r="CV8" s="867"/>
      <c r="CW8" s="937"/>
      <c r="CX8" s="937"/>
      <c r="CY8" s="937"/>
      <c r="CZ8" s="937"/>
      <c r="DA8" s="937"/>
      <c r="DB8" s="937"/>
      <c r="DC8" s="937"/>
      <c r="DD8" s="937"/>
      <c r="DE8" s="867"/>
      <c r="DF8" s="937"/>
      <c r="DG8" s="937"/>
      <c r="DH8" s="937"/>
      <c r="DI8" s="937"/>
      <c r="DJ8" s="937"/>
      <c r="DK8" s="937"/>
      <c r="DL8" s="937"/>
      <c r="DM8" s="937"/>
      <c r="DO8" s="39"/>
      <c r="DP8" s="39"/>
      <c r="DQ8" s="39"/>
      <c r="DR8" s="39"/>
      <c r="DS8" s="39"/>
      <c r="DT8" s="39"/>
    </row>
    <row r="9" spans="2:124">
      <c r="B9" s="7"/>
      <c r="C9" s="7" t="s">
        <v>260</v>
      </c>
      <c r="D9" s="7" t="s">
        <v>102</v>
      </c>
      <c r="E9" s="7" t="s">
        <v>45</v>
      </c>
      <c r="F9" s="7" t="s">
        <v>52</v>
      </c>
      <c r="G9" s="7" t="s">
        <v>150</v>
      </c>
      <c r="H9" s="7" t="s">
        <v>102</v>
      </c>
      <c r="I9" s="7" t="s">
        <v>190</v>
      </c>
      <c r="J9" s="45"/>
      <c r="K9" s="45"/>
      <c r="L9" s="45"/>
      <c r="M9" s="937"/>
      <c r="N9" s="937"/>
      <c r="O9" s="937"/>
      <c r="P9" s="937"/>
      <c r="Q9" s="937"/>
      <c r="R9" s="936"/>
      <c r="S9" s="867"/>
      <c r="T9" s="510">
        <f t="shared" si="8"/>
        <v>0</v>
      </c>
      <c r="U9" s="510">
        <f t="shared" si="9"/>
        <v>0</v>
      </c>
      <c r="V9" s="937"/>
      <c r="W9" s="937"/>
      <c r="X9" s="937"/>
      <c r="Y9" s="937"/>
      <c r="Z9" s="937"/>
      <c r="AA9" s="937"/>
      <c r="AB9" s="867"/>
      <c r="AC9" s="936"/>
      <c r="AD9" s="936"/>
      <c r="AE9" s="936"/>
      <c r="AF9" s="936"/>
      <c r="AG9" s="867"/>
      <c r="AH9" s="937"/>
      <c r="AI9" s="937"/>
      <c r="AJ9" s="937"/>
      <c r="AK9" s="937"/>
      <c r="AL9" s="937"/>
      <c r="AM9" s="937"/>
      <c r="AN9" s="937"/>
      <c r="AO9" s="937"/>
      <c r="AP9" s="86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c r="CA9" s="937"/>
      <c r="CB9" s="937"/>
      <c r="CC9" s="937"/>
      <c r="CD9" s="937"/>
      <c r="CE9" s="937"/>
      <c r="CF9" s="937"/>
      <c r="CG9" s="937"/>
      <c r="CH9" s="937"/>
      <c r="CI9" s="937"/>
      <c r="CJ9" s="937"/>
      <c r="CK9" s="937"/>
      <c r="CL9" s="937"/>
      <c r="CM9" s="867"/>
      <c r="CN9" s="937"/>
      <c r="CO9" s="937"/>
      <c r="CP9" s="937"/>
      <c r="CQ9" s="937"/>
      <c r="CR9" s="937"/>
      <c r="CS9" s="937"/>
      <c r="CT9" s="937"/>
      <c r="CU9" s="937"/>
      <c r="CV9" s="867"/>
      <c r="CW9" s="937"/>
      <c r="CX9" s="937"/>
      <c r="CY9" s="937"/>
      <c r="CZ9" s="937"/>
      <c r="DA9" s="937"/>
      <c r="DB9" s="937"/>
      <c r="DC9" s="937"/>
      <c r="DD9" s="937"/>
      <c r="DE9" s="867"/>
      <c r="DF9" s="937"/>
      <c r="DG9" s="937"/>
      <c r="DH9" s="937"/>
      <c r="DI9" s="937"/>
      <c r="DJ9" s="937"/>
      <c r="DK9" s="937"/>
      <c r="DL9" s="937"/>
      <c r="DM9" s="937"/>
      <c r="DO9" s="39"/>
      <c r="DP9" s="39"/>
      <c r="DQ9" s="39"/>
      <c r="DR9" s="39"/>
      <c r="DS9" s="39"/>
      <c r="DT9" s="39"/>
    </row>
    <row r="10" spans="2:124">
      <c r="B10" s="7"/>
      <c r="C10" s="7" t="s">
        <v>261</v>
      </c>
      <c r="D10" s="7" t="s">
        <v>102</v>
      </c>
      <c r="E10" s="7" t="s">
        <v>45</v>
      </c>
      <c r="F10" s="7" t="s">
        <v>52</v>
      </c>
      <c r="G10" s="7" t="s">
        <v>150</v>
      </c>
      <c r="H10" s="7" t="s">
        <v>102</v>
      </c>
      <c r="I10" s="7" t="s">
        <v>190</v>
      </c>
      <c r="J10" s="45"/>
      <c r="K10" s="45"/>
      <c r="L10" s="45"/>
      <c r="M10" s="937"/>
      <c r="N10" s="937"/>
      <c r="O10" s="937"/>
      <c r="P10" s="937"/>
      <c r="Q10" s="937"/>
      <c r="R10" s="936"/>
      <c r="S10" s="867"/>
      <c r="T10" s="510">
        <f t="shared" si="8"/>
        <v>0</v>
      </c>
      <c r="U10" s="510">
        <f t="shared" si="9"/>
        <v>0</v>
      </c>
      <c r="V10" s="937"/>
      <c r="W10" s="937"/>
      <c r="X10" s="937"/>
      <c r="Y10" s="937"/>
      <c r="Z10" s="937"/>
      <c r="AA10" s="937"/>
      <c r="AB10" s="867"/>
      <c r="AC10" s="936"/>
      <c r="AD10" s="936"/>
      <c r="AE10" s="936"/>
      <c r="AF10" s="936"/>
      <c r="AG10" s="867"/>
      <c r="AH10" s="937"/>
      <c r="AI10" s="937"/>
      <c r="AJ10" s="937"/>
      <c r="AK10" s="937"/>
      <c r="AL10" s="937"/>
      <c r="AM10" s="937"/>
      <c r="AN10" s="937"/>
      <c r="AO10" s="937"/>
      <c r="AP10" s="86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937"/>
      <c r="BY10" s="937"/>
      <c r="BZ10" s="937"/>
      <c r="CA10" s="937"/>
      <c r="CB10" s="937"/>
      <c r="CC10" s="937"/>
      <c r="CD10" s="937"/>
      <c r="CE10" s="937"/>
      <c r="CF10" s="937"/>
      <c r="CG10" s="937"/>
      <c r="CH10" s="937"/>
      <c r="CI10" s="937"/>
      <c r="CJ10" s="937"/>
      <c r="CK10" s="937"/>
      <c r="CL10" s="937"/>
      <c r="CM10" s="867"/>
      <c r="CN10" s="937"/>
      <c r="CO10" s="937"/>
      <c r="CP10" s="937"/>
      <c r="CQ10" s="937"/>
      <c r="CR10" s="937"/>
      <c r="CS10" s="937"/>
      <c r="CT10" s="937"/>
      <c r="CU10" s="937"/>
      <c r="CV10" s="867"/>
      <c r="CW10" s="937"/>
      <c r="CX10" s="937"/>
      <c r="CY10" s="937"/>
      <c r="CZ10" s="937"/>
      <c r="DA10" s="937"/>
      <c r="DB10" s="937"/>
      <c r="DC10" s="937"/>
      <c r="DD10" s="937"/>
      <c r="DE10" s="867"/>
      <c r="DF10" s="937"/>
      <c r="DG10" s="937"/>
      <c r="DH10" s="937"/>
      <c r="DI10" s="937"/>
      <c r="DJ10" s="937"/>
      <c r="DK10" s="937"/>
      <c r="DL10" s="937"/>
      <c r="DM10" s="937"/>
      <c r="DO10" s="39"/>
      <c r="DP10" s="39"/>
      <c r="DQ10" s="39"/>
      <c r="DR10" s="39"/>
      <c r="DS10" s="39"/>
      <c r="DT10" s="39"/>
    </row>
    <row r="11" spans="2:124">
      <c r="B11" s="7"/>
      <c r="C11" s="7" t="s">
        <v>262</v>
      </c>
      <c r="D11" s="7" t="s">
        <v>102</v>
      </c>
      <c r="E11" s="7" t="s">
        <v>45</v>
      </c>
      <c r="F11" s="7" t="s">
        <v>52</v>
      </c>
      <c r="G11" s="7" t="s">
        <v>150</v>
      </c>
      <c r="H11" s="7" t="s">
        <v>102</v>
      </c>
      <c r="I11" s="7" t="s">
        <v>190</v>
      </c>
      <c r="J11" s="45"/>
      <c r="K11" s="45"/>
      <c r="L11" s="45"/>
      <c r="M11" s="937"/>
      <c r="N11" s="937"/>
      <c r="O11" s="937"/>
      <c r="P11" s="937"/>
      <c r="Q11" s="937"/>
      <c r="R11" s="936"/>
      <c r="S11" s="867"/>
      <c r="T11" s="510">
        <f t="shared" si="8"/>
        <v>0</v>
      </c>
      <c r="U11" s="510">
        <f t="shared" si="9"/>
        <v>0</v>
      </c>
      <c r="V11" s="937"/>
      <c r="W11" s="937"/>
      <c r="X11" s="937"/>
      <c r="Y11" s="937"/>
      <c r="Z11" s="937"/>
      <c r="AA11" s="937"/>
      <c r="AB11" s="867"/>
      <c r="AC11" s="936"/>
      <c r="AD11" s="936"/>
      <c r="AE11" s="936"/>
      <c r="AF11" s="936"/>
      <c r="AG11" s="867"/>
      <c r="AH11" s="937"/>
      <c r="AI11" s="937"/>
      <c r="AJ11" s="937"/>
      <c r="AK11" s="937"/>
      <c r="AL11" s="937"/>
      <c r="AM11" s="937"/>
      <c r="AN11" s="937"/>
      <c r="AO11" s="937"/>
      <c r="AP11" s="86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G11" s="937"/>
      <c r="CH11" s="937"/>
      <c r="CI11" s="937"/>
      <c r="CJ11" s="937"/>
      <c r="CK11" s="937"/>
      <c r="CL11" s="937"/>
      <c r="CM11" s="867"/>
      <c r="CN11" s="937"/>
      <c r="CO11" s="937"/>
      <c r="CP11" s="937"/>
      <c r="CQ11" s="937"/>
      <c r="CR11" s="937"/>
      <c r="CS11" s="937"/>
      <c r="CT11" s="937"/>
      <c r="CU11" s="937"/>
      <c r="CV11" s="867"/>
      <c r="CW11" s="937"/>
      <c r="CX11" s="937"/>
      <c r="CY11" s="937"/>
      <c r="CZ11" s="937"/>
      <c r="DA11" s="937"/>
      <c r="DB11" s="937"/>
      <c r="DC11" s="937"/>
      <c r="DD11" s="937"/>
      <c r="DE11" s="867"/>
      <c r="DF11" s="937"/>
      <c r="DG11" s="937"/>
      <c r="DH11" s="937"/>
      <c r="DI11" s="937"/>
      <c r="DJ11" s="937"/>
      <c r="DK11" s="937"/>
      <c r="DL11" s="937"/>
      <c r="DM11" s="937"/>
      <c r="DO11" s="39"/>
      <c r="DP11" s="39"/>
      <c r="DQ11" s="39"/>
      <c r="DR11" s="39"/>
      <c r="DS11" s="39"/>
      <c r="DT11" s="39"/>
    </row>
    <row r="12" spans="2:124">
      <c r="B12" s="7"/>
      <c r="C12" s="7" t="s">
        <v>263</v>
      </c>
      <c r="D12" s="7" t="s">
        <v>102</v>
      </c>
      <c r="E12" s="7" t="s">
        <v>45</v>
      </c>
      <c r="F12" s="7" t="s">
        <v>52</v>
      </c>
      <c r="G12" s="7" t="s">
        <v>150</v>
      </c>
      <c r="H12" s="7" t="s">
        <v>102</v>
      </c>
      <c r="I12" s="7" t="s">
        <v>190</v>
      </c>
      <c r="J12" s="45"/>
      <c r="K12" s="45"/>
      <c r="L12" s="45"/>
      <c r="M12" s="937"/>
      <c r="N12" s="937"/>
      <c r="O12" s="937"/>
      <c r="P12" s="937"/>
      <c r="Q12" s="937"/>
      <c r="R12" s="936"/>
      <c r="S12" s="867"/>
      <c r="T12" s="510">
        <f t="shared" si="8"/>
        <v>0</v>
      </c>
      <c r="U12" s="510">
        <f t="shared" si="9"/>
        <v>0</v>
      </c>
      <c r="V12" s="937"/>
      <c r="W12" s="937"/>
      <c r="X12" s="937"/>
      <c r="Y12" s="937"/>
      <c r="Z12" s="937"/>
      <c r="AA12" s="937"/>
      <c r="AB12" s="867"/>
      <c r="AC12" s="936"/>
      <c r="AD12" s="936"/>
      <c r="AE12" s="936"/>
      <c r="AF12" s="936"/>
      <c r="AG12" s="867"/>
      <c r="AH12" s="937"/>
      <c r="AI12" s="937"/>
      <c r="AJ12" s="937"/>
      <c r="AK12" s="937"/>
      <c r="AL12" s="937"/>
      <c r="AM12" s="937"/>
      <c r="AN12" s="937"/>
      <c r="AO12" s="937"/>
      <c r="AP12" s="86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c r="CB12" s="937"/>
      <c r="CC12" s="937"/>
      <c r="CD12" s="937"/>
      <c r="CE12" s="937"/>
      <c r="CF12" s="937"/>
      <c r="CG12" s="937"/>
      <c r="CH12" s="937"/>
      <c r="CI12" s="937"/>
      <c r="CJ12" s="937"/>
      <c r="CK12" s="937"/>
      <c r="CL12" s="937"/>
      <c r="CM12" s="867"/>
      <c r="CN12" s="937"/>
      <c r="CO12" s="937"/>
      <c r="CP12" s="937"/>
      <c r="CQ12" s="937"/>
      <c r="CR12" s="937"/>
      <c r="CS12" s="937"/>
      <c r="CT12" s="937"/>
      <c r="CU12" s="937"/>
      <c r="CV12" s="867"/>
      <c r="CW12" s="937"/>
      <c r="CX12" s="937"/>
      <c r="CY12" s="937"/>
      <c r="CZ12" s="937"/>
      <c r="DA12" s="937"/>
      <c r="DB12" s="937"/>
      <c r="DC12" s="937"/>
      <c r="DD12" s="937"/>
      <c r="DE12" s="867"/>
      <c r="DF12" s="937"/>
      <c r="DG12" s="937"/>
      <c r="DH12" s="937"/>
      <c r="DI12" s="937"/>
      <c r="DJ12" s="937"/>
      <c r="DK12" s="937"/>
      <c r="DL12" s="937"/>
      <c r="DM12" s="937"/>
      <c r="DO12" s="39"/>
      <c r="DP12" s="39"/>
      <c r="DQ12" s="39"/>
      <c r="DR12" s="39"/>
      <c r="DS12" s="39"/>
      <c r="DT12" s="39"/>
    </row>
    <row r="13" spans="2:124">
      <c r="B13" s="7"/>
      <c r="C13" s="7" t="s">
        <v>264</v>
      </c>
      <c r="D13" s="7" t="s">
        <v>102</v>
      </c>
      <c r="E13" s="7" t="s">
        <v>45</v>
      </c>
      <c r="F13" s="7" t="s">
        <v>52</v>
      </c>
      <c r="G13" s="7" t="s">
        <v>150</v>
      </c>
      <c r="H13" s="7" t="s">
        <v>102</v>
      </c>
      <c r="I13" s="7" t="s">
        <v>191</v>
      </c>
      <c r="J13" s="45"/>
      <c r="K13" s="45"/>
      <c r="L13" s="45"/>
      <c r="M13" s="937"/>
      <c r="N13" s="937"/>
      <c r="O13" s="937"/>
      <c r="P13" s="937"/>
      <c r="Q13" s="937"/>
      <c r="R13" s="936"/>
      <c r="S13" s="867"/>
      <c r="T13" s="510">
        <f t="shared" si="8"/>
        <v>0</v>
      </c>
      <c r="U13" s="510">
        <f t="shared" si="9"/>
        <v>0</v>
      </c>
      <c r="V13" s="937"/>
      <c r="W13" s="937"/>
      <c r="X13" s="937"/>
      <c r="Y13" s="937"/>
      <c r="Z13" s="937"/>
      <c r="AA13" s="937"/>
      <c r="AB13" s="867"/>
      <c r="AC13" s="936"/>
      <c r="AD13" s="936"/>
      <c r="AE13" s="936"/>
      <c r="AF13" s="936"/>
      <c r="AG13" s="867"/>
      <c r="AH13" s="937"/>
      <c r="AI13" s="937"/>
      <c r="AJ13" s="937"/>
      <c r="AK13" s="937"/>
      <c r="AL13" s="937"/>
      <c r="AM13" s="937"/>
      <c r="AN13" s="937"/>
      <c r="AO13" s="937"/>
      <c r="AP13" s="86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c r="CB13" s="937"/>
      <c r="CC13" s="937"/>
      <c r="CD13" s="937"/>
      <c r="CE13" s="937"/>
      <c r="CF13" s="937"/>
      <c r="CG13" s="937"/>
      <c r="CH13" s="937"/>
      <c r="CI13" s="937"/>
      <c r="CJ13" s="937"/>
      <c r="CK13" s="937"/>
      <c r="CL13" s="937"/>
      <c r="CM13" s="867"/>
      <c r="CN13" s="937"/>
      <c r="CO13" s="937"/>
      <c r="CP13" s="937"/>
      <c r="CQ13" s="937"/>
      <c r="CR13" s="937"/>
      <c r="CS13" s="937"/>
      <c r="CT13" s="937"/>
      <c r="CU13" s="937"/>
      <c r="CV13" s="867"/>
      <c r="CW13" s="937"/>
      <c r="CX13" s="937"/>
      <c r="CY13" s="937"/>
      <c r="CZ13" s="937"/>
      <c r="DA13" s="937"/>
      <c r="DB13" s="937"/>
      <c r="DC13" s="937"/>
      <c r="DD13" s="937"/>
      <c r="DE13" s="867"/>
      <c r="DF13" s="937"/>
      <c r="DG13" s="937"/>
      <c r="DH13" s="937"/>
      <c r="DI13" s="937"/>
      <c r="DJ13" s="937"/>
      <c r="DK13" s="937"/>
      <c r="DL13" s="937"/>
      <c r="DM13" s="937"/>
      <c r="DO13" s="39"/>
      <c r="DP13" s="39"/>
      <c r="DQ13" s="39"/>
      <c r="DR13" s="39"/>
      <c r="DS13" s="39"/>
      <c r="DT13" s="39"/>
    </row>
    <row r="14" spans="2:124">
      <c r="B14" s="7"/>
      <c r="C14" s="7" t="s">
        <v>535</v>
      </c>
      <c r="D14" s="7" t="s">
        <v>105</v>
      </c>
      <c r="E14" s="7" t="s">
        <v>45</v>
      </c>
      <c r="F14" s="7" t="s">
        <v>52</v>
      </c>
      <c r="G14" s="7" t="s">
        <v>150</v>
      </c>
      <c r="H14" s="7" t="s">
        <v>5</v>
      </c>
      <c r="I14" s="7" t="s">
        <v>202</v>
      </c>
      <c r="J14" s="45"/>
      <c r="K14" s="45"/>
      <c r="L14" s="45"/>
      <c r="M14" s="937"/>
      <c r="N14" s="937"/>
      <c r="O14" s="937"/>
      <c r="P14" s="937"/>
      <c r="Q14" s="937"/>
      <c r="R14" s="936"/>
      <c r="S14" s="867"/>
      <c r="T14" s="510">
        <f t="shared" si="8"/>
        <v>0</v>
      </c>
      <c r="U14" s="510">
        <f t="shared" si="9"/>
        <v>0</v>
      </c>
      <c r="V14" s="937"/>
      <c r="W14" s="937"/>
      <c r="X14" s="937"/>
      <c r="Y14" s="937"/>
      <c r="Z14" s="937"/>
      <c r="AA14" s="937"/>
      <c r="AB14" s="867"/>
      <c r="AC14" s="936"/>
      <c r="AD14" s="936"/>
      <c r="AE14" s="936"/>
      <c r="AF14" s="936"/>
      <c r="AG14" s="867"/>
      <c r="AH14" s="937"/>
      <c r="AI14" s="937"/>
      <c r="AJ14" s="937"/>
      <c r="AK14" s="937"/>
      <c r="AL14" s="937"/>
      <c r="AM14" s="937"/>
      <c r="AN14" s="937"/>
      <c r="AO14" s="937"/>
      <c r="AP14" s="86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c r="CB14" s="937"/>
      <c r="CC14" s="937"/>
      <c r="CD14" s="937"/>
      <c r="CE14" s="937"/>
      <c r="CF14" s="937"/>
      <c r="CG14" s="937"/>
      <c r="CH14" s="937"/>
      <c r="CI14" s="937"/>
      <c r="CJ14" s="937"/>
      <c r="CK14" s="937"/>
      <c r="CL14" s="937"/>
      <c r="CM14" s="867"/>
      <c r="CN14" s="937"/>
      <c r="CO14" s="937"/>
      <c r="CP14" s="937"/>
      <c r="CQ14" s="937"/>
      <c r="CR14" s="937"/>
      <c r="CS14" s="937"/>
      <c r="CT14" s="937"/>
      <c r="CU14" s="937"/>
      <c r="CV14" s="867"/>
      <c r="CW14" s="937"/>
      <c r="CX14" s="937"/>
      <c r="CY14" s="937"/>
      <c r="CZ14" s="937"/>
      <c r="DA14" s="937"/>
      <c r="DB14" s="937"/>
      <c r="DC14" s="937"/>
      <c r="DD14" s="937"/>
      <c r="DE14" s="867"/>
      <c r="DF14" s="937"/>
      <c r="DG14" s="937"/>
      <c r="DH14" s="937"/>
      <c r="DI14" s="937"/>
      <c r="DJ14" s="937"/>
      <c r="DK14" s="937"/>
      <c r="DL14" s="937"/>
      <c r="DM14" s="937"/>
      <c r="DO14" s="39"/>
      <c r="DP14" s="39"/>
      <c r="DQ14" s="39"/>
      <c r="DR14" s="39"/>
      <c r="DS14" s="39"/>
      <c r="DT14" s="39"/>
    </row>
    <row r="15" spans="2:124">
      <c r="B15" s="7"/>
      <c r="C15" s="7" t="s">
        <v>90</v>
      </c>
      <c r="D15" s="7" t="s">
        <v>103</v>
      </c>
      <c r="E15" s="7" t="s">
        <v>45</v>
      </c>
      <c r="F15" s="7" t="s">
        <v>52</v>
      </c>
      <c r="G15" s="7" t="s">
        <v>150</v>
      </c>
      <c r="H15" s="7" t="s">
        <v>156</v>
      </c>
      <c r="I15" s="7" t="s">
        <v>103</v>
      </c>
      <c r="J15" s="45"/>
      <c r="K15" s="45"/>
      <c r="L15" s="45"/>
      <c r="M15" s="937"/>
      <c r="N15" s="937"/>
      <c r="O15" s="937"/>
      <c r="P15" s="937"/>
      <c r="Q15" s="937"/>
      <c r="R15" s="936"/>
      <c r="S15" s="867"/>
      <c r="T15" s="510">
        <f t="shared" si="8"/>
        <v>0</v>
      </c>
      <c r="U15" s="510">
        <f t="shared" si="9"/>
        <v>0</v>
      </c>
      <c r="V15" s="937"/>
      <c r="W15" s="937"/>
      <c r="X15" s="937"/>
      <c r="Y15" s="937"/>
      <c r="Z15" s="937"/>
      <c r="AA15" s="937"/>
      <c r="AB15" s="867"/>
      <c r="AC15" s="936"/>
      <c r="AD15" s="936"/>
      <c r="AE15" s="936"/>
      <c r="AF15" s="936"/>
      <c r="AG15" s="867"/>
      <c r="AH15" s="937"/>
      <c r="AI15" s="937"/>
      <c r="AJ15" s="937"/>
      <c r="AK15" s="937"/>
      <c r="AL15" s="937"/>
      <c r="AM15" s="937"/>
      <c r="AN15" s="937"/>
      <c r="AO15" s="937"/>
      <c r="AP15" s="86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c r="CB15" s="937"/>
      <c r="CC15" s="937"/>
      <c r="CD15" s="937"/>
      <c r="CE15" s="937"/>
      <c r="CF15" s="937"/>
      <c r="CG15" s="937"/>
      <c r="CH15" s="937"/>
      <c r="CI15" s="937"/>
      <c r="CJ15" s="937"/>
      <c r="CK15" s="937"/>
      <c r="CL15" s="937"/>
      <c r="CM15" s="867"/>
      <c r="CN15" s="937"/>
      <c r="CO15" s="937"/>
      <c r="CP15" s="937"/>
      <c r="CQ15" s="937"/>
      <c r="CR15" s="937"/>
      <c r="CS15" s="937"/>
      <c r="CT15" s="937"/>
      <c r="CU15" s="937"/>
      <c r="CV15" s="867"/>
      <c r="CW15" s="937"/>
      <c r="CX15" s="937"/>
      <c r="CY15" s="937"/>
      <c r="CZ15" s="937"/>
      <c r="DA15" s="937"/>
      <c r="DB15" s="937"/>
      <c r="DC15" s="937"/>
      <c r="DD15" s="937"/>
      <c r="DE15" s="867"/>
      <c r="DF15" s="937"/>
      <c r="DG15" s="937"/>
      <c r="DH15" s="937"/>
      <c r="DI15" s="937"/>
      <c r="DJ15" s="937"/>
      <c r="DK15" s="937"/>
      <c r="DL15" s="937"/>
      <c r="DM15" s="937"/>
      <c r="DO15" s="39"/>
      <c r="DP15" s="39"/>
      <c r="DQ15" s="39"/>
      <c r="DR15" s="39"/>
      <c r="DS15" s="39"/>
      <c r="DT15" s="39"/>
    </row>
    <row r="16" spans="2:124">
      <c r="B16" s="7"/>
      <c r="C16" s="7" t="s">
        <v>91</v>
      </c>
      <c r="D16" s="7" t="s">
        <v>103</v>
      </c>
      <c r="E16" s="7" t="s">
        <v>45</v>
      </c>
      <c r="F16" s="7" t="s">
        <v>52</v>
      </c>
      <c r="G16" s="7" t="s">
        <v>150</v>
      </c>
      <c r="H16" s="7" t="s">
        <v>156</v>
      </c>
      <c r="I16" s="7" t="s">
        <v>103</v>
      </c>
      <c r="J16" s="45"/>
      <c r="K16" s="45"/>
      <c r="L16" s="45"/>
      <c r="M16" s="937"/>
      <c r="N16" s="937"/>
      <c r="O16" s="937"/>
      <c r="P16" s="937"/>
      <c r="Q16" s="937"/>
      <c r="R16" s="936"/>
      <c r="S16" s="867"/>
      <c r="T16" s="510">
        <f t="shared" si="8"/>
        <v>0</v>
      </c>
      <c r="U16" s="510">
        <f t="shared" si="9"/>
        <v>0</v>
      </c>
      <c r="V16" s="937"/>
      <c r="W16" s="937"/>
      <c r="X16" s="937"/>
      <c r="Y16" s="937"/>
      <c r="Z16" s="937"/>
      <c r="AA16" s="937"/>
      <c r="AB16" s="867"/>
      <c r="AC16" s="936"/>
      <c r="AD16" s="936"/>
      <c r="AE16" s="936"/>
      <c r="AF16" s="936"/>
      <c r="AG16" s="867"/>
      <c r="AH16" s="937"/>
      <c r="AI16" s="937"/>
      <c r="AJ16" s="937"/>
      <c r="AK16" s="937"/>
      <c r="AL16" s="937"/>
      <c r="AM16" s="937"/>
      <c r="AN16" s="937"/>
      <c r="AO16" s="937"/>
      <c r="AP16" s="86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c r="CB16" s="937"/>
      <c r="CC16" s="937"/>
      <c r="CD16" s="937"/>
      <c r="CE16" s="937"/>
      <c r="CF16" s="937"/>
      <c r="CG16" s="937"/>
      <c r="CH16" s="937"/>
      <c r="CI16" s="937"/>
      <c r="CJ16" s="937"/>
      <c r="CK16" s="937"/>
      <c r="CL16" s="937"/>
      <c r="CM16" s="867"/>
      <c r="CN16" s="937"/>
      <c r="CO16" s="937"/>
      <c r="CP16" s="937"/>
      <c r="CQ16" s="937"/>
      <c r="CR16" s="937"/>
      <c r="CS16" s="937"/>
      <c r="CT16" s="937"/>
      <c r="CU16" s="937"/>
      <c r="CV16" s="867"/>
      <c r="CW16" s="937"/>
      <c r="CX16" s="937"/>
      <c r="CY16" s="937"/>
      <c r="CZ16" s="937"/>
      <c r="DA16" s="937"/>
      <c r="DB16" s="937"/>
      <c r="DC16" s="937"/>
      <c r="DD16" s="937"/>
      <c r="DE16" s="867"/>
      <c r="DF16" s="937"/>
      <c r="DG16" s="937"/>
      <c r="DH16" s="937"/>
      <c r="DI16" s="937"/>
      <c r="DJ16" s="937"/>
      <c r="DK16" s="937"/>
      <c r="DL16" s="937"/>
      <c r="DM16" s="937"/>
      <c r="DO16" s="39"/>
      <c r="DP16" s="39"/>
      <c r="DQ16" s="39"/>
      <c r="DR16" s="39"/>
      <c r="DS16" s="39"/>
      <c r="DT16" s="39"/>
    </row>
    <row r="17" spans="2:124">
      <c r="B17" s="7"/>
      <c r="C17" s="7" t="s">
        <v>92</v>
      </c>
      <c r="D17" s="7" t="s">
        <v>103</v>
      </c>
      <c r="E17" s="7" t="s">
        <v>44</v>
      </c>
      <c r="F17" s="7" t="s">
        <v>52</v>
      </c>
      <c r="G17" s="7" t="s">
        <v>150</v>
      </c>
      <c r="H17" s="7" t="s">
        <v>156</v>
      </c>
      <c r="I17" s="7" t="s">
        <v>103</v>
      </c>
      <c r="J17" s="45"/>
      <c r="K17" s="45"/>
      <c r="L17" s="45"/>
      <c r="M17" s="937"/>
      <c r="N17" s="937"/>
      <c r="O17" s="937"/>
      <c r="P17" s="937"/>
      <c r="Q17" s="937"/>
      <c r="R17" s="936"/>
      <c r="S17" s="867"/>
      <c r="T17" s="510">
        <f t="shared" si="8"/>
        <v>0</v>
      </c>
      <c r="U17" s="510">
        <f t="shared" si="9"/>
        <v>0</v>
      </c>
      <c r="V17" s="937"/>
      <c r="W17" s="937"/>
      <c r="X17" s="937"/>
      <c r="Y17" s="937"/>
      <c r="Z17" s="937"/>
      <c r="AA17" s="937"/>
      <c r="AB17" s="867"/>
      <c r="AC17" s="936"/>
      <c r="AD17" s="936"/>
      <c r="AE17" s="936"/>
      <c r="AF17" s="936"/>
      <c r="AG17" s="867"/>
      <c r="AH17" s="937"/>
      <c r="AI17" s="937"/>
      <c r="AJ17" s="937"/>
      <c r="AK17" s="937"/>
      <c r="AL17" s="937"/>
      <c r="AM17" s="937"/>
      <c r="AN17" s="937"/>
      <c r="AO17" s="937"/>
      <c r="AP17" s="86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c r="CB17" s="937"/>
      <c r="CC17" s="937"/>
      <c r="CD17" s="937"/>
      <c r="CE17" s="937"/>
      <c r="CF17" s="937"/>
      <c r="CG17" s="937"/>
      <c r="CH17" s="937"/>
      <c r="CI17" s="937"/>
      <c r="CJ17" s="937"/>
      <c r="CK17" s="937"/>
      <c r="CL17" s="937"/>
      <c r="CM17" s="867"/>
      <c r="CN17" s="937"/>
      <c r="CO17" s="937"/>
      <c r="CP17" s="937"/>
      <c r="CQ17" s="937"/>
      <c r="CR17" s="937"/>
      <c r="CS17" s="937"/>
      <c r="CT17" s="937"/>
      <c r="CU17" s="937"/>
      <c r="CV17" s="867"/>
      <c r="CW17" s="937"/>
      <c r="CX17" s="937"/>
      <c r="CY17" s="937"/>
      <c r="CZ17" s="937"/>
      <c r="DA17" s="937"/>
      <c r="DB17" s="937"/>
      <c r="DC17" s="937"/>
      <c r="DD17" s="937"/>
      <c r="DE17" s="867"/>
      <c r="DF17" s="937"/>
      <c r="DG17" s="937"/>
      <c r="DH17" s="937"/>
      <c r="DI17" s="937"/>
      <c r="DJ17" s="937"/>
      <c r="DK17" s="937"/>
      <c r="DL17" s="937"/>
      <c r="DM17" s="937"/>
      <c r="DO17" s="39"/>
      <c r="DP17" s="39"/>
      <c r="DQ17" s="39"/>
      <c r="DR17" s="39"/>
      <c r="DS17" s="39"/>
      <c r="DT17" s="39"/>
    </row>
    <row r="18" spans="2:124">
      <c r="B18" s="7"/>
      <c r="C18" s="7" t="s">
        <v>446</v>
      </c>
      <c r="D18" s="7" t="s">
        <v>104</v>
      </c>
      <c r="E18" s="7" t="s">
        <v>45</v>
      </c>
      <c r="F18" s="7" t="s">
        <v>52</v>
      </c>
      <c r="G18" s="7" t="s">
        <v>150</v>
      </c>
      <c r="H18" s="7" t="s">
        <v>157</v>
      </c>
      <c r="I18" s="7" t="s">
        <v>193</v>
      </c>
      <c r="J18" s="45"/>
      <c r="K18" s="45"/>
      <c r="L18" s="45"/>
      <c r="M18" s="937"/>
      <c r="N18" s="937"/>
      <c r="O18" s="937"/>
      <c r="P18" s="937"/>
      <c r="Q18" s="937"/>
      <c r="R18" s="936"/>
      <c r="S18" s="867"/>
      <c r="T18" s="510">
        <f t="shared" si="8"/>
        <v>0</v>
      </c>
      <c r="U18" s="510">
        <f t="shared" si="9"/>
        <v>0</v>
      </c>
      <c r="V18" s="937"/>
      <c r="W18" s="937"/>
      <c r="X18" s="937"/>
      <c r="Y18" s="937"/>
      <c r="Z18" s="937"/>
      <c r="AA18" s="937"/>
      <c r="AB18" s="867"/>
      <c r="AC18" s="936"/>
      <c r="AD18" s="936"/>
      <c r="AE18" s="936"/>
      <c r="AF18" s="936"/>
      <c r="AG18" s="867"/>
      <c r="AH18" s="937"/>
      <c r="AI18" s="937"/>
      <c r="AJ18" s="937"/>
      <c r="AK18" s="937"/>
      <c r="AL18" s="937"/>
      <c r="AM18" s="937"/>
      <c r="AN18" s="937"/>
      <c r="AO18" s="937"/>
      <c r="AP18" s="86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937"/>
      <c r="BT18" s="937"/>
      <c r="BU18" s="937"/>
      <c r="BV18" s="937"/>
      <c r="BW18" s="937"/>
      <c r="BX18" s="937"/>
      <c r="BY18" s="937"/>
      <c r="BZ18" s="937"/>
      <c r="CA18" s="937"/>
      <c r="CB18" s="937"/>
      <c r="CC18" s="937"/>
      <c r="CD18" s="937"/>
      <c r="CE18" s="937"/>
      <c r="CF18" s="937"/>
      <c r="CG18" s="937"/>
      <c r="CH18" s="937"/>
      <c r="CI18" s="937"/>
      <c r="CJ18" s="937"/>
      <c r="CK18" s="937"/>
      <c r="CL18" s="937"/>
      <c r="CM18" s="867"/>
      <c r="CN18" s="937"/>
      <c r="CO18" s="937"/>
      <c r="CP18" s="937"/>
      <c r="CQ18" s="937"/>
      <c r="CR18" s="937"/>
      <c r="CS18" s="937"/>
      <c r="CT18" s="937"/>
      <c r="CU18" s="937"/>
      <c r="CV18" s="867"/>
      <c r="CW18" s="937"/>
      <c r="CX18" s="937"/>
      <c r="CY18" s="937"/>
      <c r="CZ18" s="937"/>
      <c r="DA18" s="937"/>
      <c r="DB18" s="937"/>
      <c r="DC18" s="937"/>
      <c r="DD18" s="937"/>
      <c r="DE18" s="867"/>
      <c r="DF18" s="937"/>
      <c r="DG18" s="937"/>
      <c r="DH18" s="937"/>
      <c r="DI18" s="937"/>
      <c r="DJ18" s="937"/>
      <c r="DK18" s="937"/>
      <c r="DL18" s="937"/>
      <c r="DM18" s="937"/>
      <c r="DO18" s="39"/>
      <c r="DP18" s="39"/>
      <c r="DQ18" s="39"/>
      <c r="DR18" s="39"/>
      <c r="DS18" s="39"/>
      <c r="DT18" s="39"/>
    </row>
    <row r="19" spans="2:124">
      <c r="B19" s="7"/>
      <c r="C19" s="7" t="s">
        <v>533</v>
      </c>
      <c r="D19" s="7" t="s">
        <v>104</v>
      </c>
      <c r="E19" s="7" t="s">
        <v>45</v>
      </c>
      <c r="F19" s="7" t="s">
        <v>52</v>
      </c>
      <c r="G19" s="7" t="s">
        <v>150</v>
      </c>
      <c r="H19" s="7" t="s">
        <v>157</v>
      </c>
      <c r="I19" s="7" t="s">
        <v>272</v>
      </c>
      <c r="J19" s="45"/>
      <c r="K19" s="45"/>
      <c r="L19" s="45"/>
      <c r="M19" s="937"/>
      <c r="N19" s="937"/>
      <c r="O19" s="937"/>
      <c r="P19" s="937"/>
      <c r="Q19" s="937"/>
      <c r="R19" s="936"/>
      <c r="S19" s="867"/>
      <c r="T19" s="510">
        <f t="shared" si="8"/>
        <v>0</v>
      </c>
      <c r="U19" s="510">
        <f t="shared" si="9"/>
        <v>0</v>
      </c>
      <c r="V19" s="937"/>
      <c r="W19" s="937"/>
      <c r="X19" s="937"/>
      <c r="Y19" s="937"/>
      <c r="Z19" s="937"/>
      <c r="AA19" s="937"/>
      <c r="AB19" s="867"/>
      <c r="AC19" s="936"/>
      <c r="AD19" s="936"/>
      <c r="AE19" s="936"/>
      <c r="AF19" s="936"/>
      <c r="AG19" s="867"/>
      <c r="AH19" s="937"/>
      <c r="AI19" s="937"/>
      <c r="AJ19" s="937"/>
      <c r="AK19" s="937"/>
      <c r="AL19" s="937"/>
      <c r="AM19" s="937"/>
      <c r="AN19" s="937"/>
      <c r="AO19" s="937"/>
      <c r="AP19" s="86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937"/>
      <c r="BT19" s="937"/>
      <c r="BU19" s="937"/>
      <c r="BV19" s="937"/>
      <c r="BW19" s="937"/>
      <c r="BX19" s="937"/>
      <c r="BY19" s="937"/>
      <c r="BZ19" s="937"/>
      <c r="CA19" s="937"/>
      <c r="CB19" s="937"/>
      <c r="CC19" s="937"/>
      <c r="CD19" s="937"/>
      <c r="CE19" s="937"/>
      <c r="CF19" s="937"/>
      <c r="CG19" s="937"/>
      <c r="CH19" s="937"/>
      <c r="CI19" s="937"/>
      <c r="CJ19" s="937"/>
      <c r="CK19" s="937"/>
      <c r="CL19" s="937"/>
      <c r="CM19" s="867"/>
      <c r="CN19" s="937"/>
      <c r="CO19" s="937"/>
      <c r="CP19" s="937"/>
      <c r="CQ19" s="937"/>
      <c r="CR19" s="937"/>
      <c r="CS19" s="937"/>
      <c r="CT19" s="937"/>
      <c r="CU19" s="937"/>
      <c r="CV19" s="867"/>
      <c r="CW19" s="937"/>
      <c r="CX19" s="937"/>
      <c r="CY19" s="937"/>
      <c r="CZ19" s="937"/>
      <c r="DA19" s="937"/>
      <c r="DB19" s="937"/>
      <c r="DC19" s="937"/>
      <c r="DD19" s="937"/>
      <c r="DE19" s="867"/>
      <c r="DF19" s="937"/>
      <c r="DG19" s="937"/>
      <c r="DH19" s="937"/>
      <c r="DI19" s="937"/>
      <c r="DJ19" s="937"/>
      <c r="DK19" s="937"/>
      <c r="DL19" s="937"/>
      <c r="DM19" s="937"/>
      <c r="DO19" s="39"/>
      <c r="DP19" s="39"/>
      <c r="DQ19" s="39"/>
      <c r="DR19" s="39"/>
      <c r="DS19" s="39"/>
      <c r="DT19" s="39"/>
    </row>
    <row r="20" spans="2:124">
      <c r="B20" s="7"/>
      <c r="C20" s="7" t="s">
        <v>273</v>
      </c>
      <c r="D20" s="7" t="s">
        <v>104</v>
      </c>
      <c r="E20" s="7" t="s">
        <v>44</v>
      </c>
      <c r="F20" s="7" t="s">
        <v>52</v>
      </c>
      <c r="G20" s="7" t="s">
        <v>150</v>
      </c>
      <c r="H20" s="7" t="s">
        <v>157</v>
      </c>
      <c r="I20" s="7" t="s">
        <v>272</v>
      </c>
      <c r="J20" s="45"/>
      <c r="K20" s="45"/>
      <c r="L20" s="45"/>
      <c r="M20" s="937"/>
      <c r="N20" s="937"/>
      <c r="O20" s="937"/>
      <c r="P20" s="937"/>
      <c r="Q20" s="937"/>
      <c r="R20" s="936"/>
      <c r="S20" s="867"/>
      <c r="T20" s="510">
        <f t="shared" si="8"/>
        <v>0</v>
      </c>
      <c r="U20" s="510">
        <f t="shared" si="9"/>
        <v>0</v>
      </c>
      <c r="V20" s="937"/>
      <c r="W20" s="937"/>
      <c r="X20" s="937"/>
      <c r="Y20" s="937"/>
      <c r="Z20" s="937"/>
      <c r="AA20" s="937"/>
      <c r="AB20" s="867"/>
      <c r="AC20" s="936"/>
      <c r="AD20" s="936"/>
      <c r="AE20" s="936"/>
      <c r="AF20" s="936"/>
      <c r="AG20" s="867"/>
      <c r="AH20" s="937"/>
      <c r="AI20" s="937"/>
      <c r="AJ20" s="937"/>
      <c r="AK20" s="937"/>
      <c r="AL20" s="937"/>
      <c r="AM20" s="937"/>
      <c r="AN20" s="937"/>
      <c r="AO20" s="937"/>
      <c r="AP20" s="86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7"/>
      <c r="BO20" s="937"/>
      <c r="BP20" s="937"/>
      <c r="BQ20" s="937"/>
      <c r="BR20" s="937"/>
      <c r="BS20" s="937"/>
      <c r="BT20" s="937"/>
      <c r="BU20" s="937"/>
      <c r="BV20" s="937"/>
      <c r="BW20" s="937"/>
      <c r="BX20" s="937"/>
      <c r="BY20" s="937"/>
      <c r="BZ20" s="937"/>
      <c r="CA20" s="937"/>
      <c r="CB20" s="937"/>
      <c r="CC20" s="937"/>
      <c r="CD20" s="937"/>
      <c r="CE20" s="937"/>
      <c r="CF20" s="937"/>
      <c r="CG20" s="937"/>
      <c r="CH20" s="937"/>
      <c r="CI20" s="937"/>
      <c r="CJ20" s="937"/>
      <c r="CK20" s="937"/>
      <c r="CL20" s="937"/>
      <c r="CM20" s="867"/>
      <c r="CN20" s="937"/>
      <c r="CO20" s="937"/>
      <c r="CP20" s="937"/>
      <c r="CQ20" s="937"/>
      <c r="CR20" s="937"/>
      <c r="CS20" s="937"/>
      <c r="CT20" s="937"/>
      <c r="CU20" s="937"/>
      <c r="CV20" s="867"/>
      <c r="CW20" s="937"/>
      <c r="CX20" s="937"/>
      <c r="CY20" s="937"/>
      <c r="CZ20" s="937"/>
      <c r="DA20" s="937"/>
      <c r="DB20" s="937"/>
      <c r="DC20" s="937"/>
      <c r="DD20" s="937"/>
      <c r="DE20" s="867"/>
      <c r="DF20" s="937"/>
      <c r="DG20" s="937"/>
      <c r="DH20" s="937"/>
      <c r="DI20" s="937"/>
      <c r="DJ20" s="937"/>
      <c r="DK20" s="937"/>
      <c r="DL20" s="937"/>
      <c r="DM20" s="937"/>
      <c r="DO20" s="39"/>
      <c r="DP20" s="39"/>
      <c r="DQ20" s="39"/>
      <c r="DR20" s="39"/>
      <c r="DS20" s="39"/>
      <c r="DT20" s="39"/>
    </row>
    <row r="21" spans="2:124">
      <c r="B21" s="7"/>
      <c r="C21" s="7" t="s">
        <v>265</v>
      </c>
      <c r="D21" s="7" t="s">
        <v>104</v>
      </c>
      <c r="E21" s="7" t="s">
        <v>45</v>
      </c>
      <c r="F21" s="7" t="s">
        <v>52</v>
      </c>
      <c r="G21" s="7" t="s">
        <v>150</v>
      </c>
      <c r="H21" s="7" t="s">
        <v>157</v>
      </c>
      <c r="I21" s="7" t="s">
        <v>270</v>
      </c>
      <c r="J21" s="45"/>
      <c r="K21" s="45"/>
      <c r="L21" s="45"/>
      <c r="M21" s="936"/>
      <c r="N21" s="936"/>
      <c r="O21" s="936"/>
      <c r="P21" s="936"/>
      <c r="Q21" s="936"/>
      <c r="R21" s="936"/>
      <c r="S21" s="867"/>
      <c r="T21" s="510">
        <f t="shared" si="8"/>
        <v>0</v>
      </c>
      <c r="U21" s="510">
        <f t="shared" si="9"/>
        <v>0</v>
      </c>
      <c r="V21" s="937"/>
      <c r="W21" s="937"/>
      <c r="X21" s="937"/>
      <c r="Y21" s="937"/>
      <c r="Z21" s="937"/>
      <c r="AA21" s="937"/>
      <c r="AB21" s="867"/>
      <c r="AC21" s="936"/>
      <c r="AD21" s="936"/>
      <c r="AE21" s="936"/>
      <c r="AF21" s="936"/>
      <c r="AG21" s="867"/>
      <c r="AH21" s="937"/>
      <c r="AI21" s="937"/>
      <c r="AJ21" s="937"/>
      <c r="AK21" s="937"/>
      <c r="AL21" s="937"/>
      <c r="AM21" s="937"/>
      <c r="AN21" s="937"/>
      <c r="AO21" s="937"/>
      <c r="AP21" s="867"/>
      <c r="AQ21" s="939"/>
      <c r="AR21" s="939"/>
      <c r="AS21" s="939"/>
      <c r="AT21" s="939"/>
      <c r="AU21" s="939"/>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c r="CF21" s="937"/>
      <c r="CG21" s="937"/>
      <c r="CH21" s="937"/>
      <c r="CI21" s="937"/>
      <c r="CJ21" s="937"/>
      <c r="CK21" s="937"/>
      <c r="CL21" s="937"/>
      <c r="CM21" s="867"/>
      <c r="CN21" s="937"/>
      <c r="CO21" s="937"/>
      <c r="CP21" s="937"/>
      <c r="CQ21" s="937"/>
      <c r="CR21" s="937"/>
      <c r="CS21" s="937"/>
      <c r="CT21" s="937"/>
      <c r="CU21" s="937"/>
      <c r="CV21" s="867"/>
      <c r="CW21" s="937"/>
      <c r="CX21" s="937"/>
      <c r="CY21" s="937"/>
      <c r="CZ21" s="937"/>
      <c r="DA21" s="937"/>
      <c r="DB21" s="937"/>
      <c r="DC21" s="937"/>
      <c r="DD21" s="937"/>
      <c r="DE21" s="867"/>
      <c r="DF21" s="937"/>
      <c r="DG21" s="937"/>
      <c r="DH21" s="937"/>
      <c r="DI21" s="937"/>
      <c r="DJ21" s="937"/>
      <c r="DK21" s="937"/>
      <c r="DL21" s="937"/>
      <c r="DM21" s="937"/>
      <c r="DO21" s="39"/>
      <c r="DP21" s="39"/>
      <c r="DQ21" s="39"/>
      <c r="DR21" s="39"/>
      <c r="DS21" s="39"/>
      <c r="DT21" s="39"/>
    </row>
    <row r="22" spans="2:124">
      <c r="B22" s="7"/>
      <c r="C22" s="7" t="s">
        <v>274</v>
      </c>
      <c r="D22" s="7" t="s">
        <v>104</v>
      </c>
      <c r="E22" s="7" t="s">
        <v>44</v>
      </c>
      <c r="F22" s="7" t="s">
        <v>52</v>
      </c>
      <c r="G22" s="7" t="s">
        <v>150</v>
      </c>
      <c r="H22" s="7" t="s">
        <v>157</v>
      </c>
      <c r="I22" s="7" t="s">
        <v>270</v>
      </c>
      <c r="J22" s="45"/>
      <c r="K22" s="45"/>
      <c r="L22" s="45"/>
      <c r="M22" s="936"/>
      <c r="N22" s="936"/>
      <c r="O22" s="936"/>
      <c r="P22" s="936"/>
      <c r="Q22" s="936"/>
      <c r="R22" s="936"/>
      <c r="S22" s="867"/>
      <c r="T22" s="510">
        <f t="shared" si="8"/>
        <v>0</v>
      </c>
      <c r="U22" s="510">
        <f t="shared" si="9"/>
        <v>0</v>
      </c>
      <c r="V22" s="937"/>
      <c r="W22" s="937"/>
      <c r="X22" s="937"/>
      <c r="Y22" s="937"/>
      <c r="Z22" s="937"/>
      <c r="AA22" s="937"/>
      <c r="AB22" s="867"/>
      <c r="AC22" s="936"/>
      <c r="AD22" s="936"/>
      <c r="AE22" s="936"/>
      <c r="AF22" s="936"/>
      <c r="AG22" s="867"/>
      <c r="AH22" s="937"/>
      <c r="AI22" s="937"/>
      <c r="AJ22" s="937"/>
      <c r="AK22" s="937"/>
      <c r="AL22" s="937"/>
      <c r="AM22" s="937"/>
      <c r="AN22" s="937"/>
      <c r="AO22" s="937"/>
      <c r="AP22" s="867"/>
      <c r="AQ22" s="939"/>
      <c r="AR22" s="939"/>
      <c r="AS22" s="939"/>
      <c r="AT22" s="939"/>
      <c r="AU22" s="939"/>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c r="CB22" s="937"/>
      <c r="CC22" s="937"/>
      <c r="CD22" s="937"/>
      <c r="CE22" s="937"/>
      <c r="CF22" s="937"/>
      <c r="CG22" s="937"/>
      <c r="CH22" s="937"/>
      <c r="CI22" s="937"/>
      <c r="CJ22" s="937"/>
      <c r="CK22" s="937"/>
      <c r="CL22" s="937"/>
      <c r="CM22" s="867"/>
      <c r="CN22" s="937"/>
      <c r="CO22" s="937"/>
      <c r="CP22" s="937"/>
      <c r="CQ22" s="937"/>
      <c r="CR22" s="937"/>
      <c r="CS22" s="937"/>
      <c r="CT22" s="937"/>
      <c r="CU22" s="937"/>
      <c r="CV22" s="867"/>
      <c r="CW22" s="937"/>
      <c r="CX22" s="937"/>
      <c r="CY22" s="937"/>
      <c r="CZ22" s="937"/>
      <c r="DA22" s="937"/>
      <c r="DB22" s="937"/>
      <c r="DC22" s="937"/>
      <c r="DD22" s="937"/>
      <c r="DE22" s="867"/>
      <c r="DF22" s="937"/>
      <c r="DG22" s="937"/>
      <c r="DH22" s="937"/>
      <c r="DI22" s="937"/>
      <c r="DJ22" s="937"/>
      <c r="DK22" s="937"/>
      <c r="DL22" s="937"/>
      <c r="DM22" s="937"/>
      <c r="DO22" s="39"/>
      <c r="DP22" s="39"/>
      <c r="DQ22" s="39"/>
      <c r="DR22" s="39"/>
      <c r="DS22" s="39"/>
      <c r="DT22" s="39"/>
    </row>
    <row r="23" spans="2:124">
      <c r="B23" s="7"/>
      <c r="C23" s="7" t="s">
        <v>266</v>
      </c>
      <c r="D23" s="7" t="s">
        <v>104</v>
      </c>
      <c r="E23" s="7" t="s">
        <v>45</v>
      </c>
      <c r="F23" s="7" t="s">
        <v>52</v>
      </c>
      <c r="G23" s="7" t="s">
        <v>150</v>
      </c>
      <c r="H23" s="7" t="s">
        <v>157</v>
      </c>
      <c r="I23" s="7" t="s">
        <v>272</v>
      </c>
      <c r="J23" s="45"/>
      <c r="K23" s="45"/>
      <c r="L23" s="45"/>
      <c r="M23" s="936"/>
      <c r="N23" s="936"/>
      <c r="O23" s="936"/>
      <c r="P23" s="936"/>
      <c r="Q23" s="936"/>
      <c r="R23" s="936"/>
      <c r="S23" s="867"/>
      <c r="T23" s="510">
        <f t="shared" si="8"/>
        <v>0</v>
      </c>
      <c r="U23" s="510">
        <f t="shared" si="9"/>
        <v>0</v>
      </c>
      <c r="V23" s="937"/>
      <c r="W23" s="937"/>
      <c r="X23" s="937"/>
      <c r="Y23" s="937"/>
      <c r="Z23" s="937"/>
      <c r="AA23" s="937"/>
      <c r="AB23" s="867"/>
      <c r="AC23" s="936"/>
      <c r="AD23" s="936"/>
      <c r="AE23" s="936"/>
      <c r="AF23" s="936"/>
      <c r="AG23" s="867"/>
      <c r="AH23" s="937"/>
      <c r="AI23" s="937"/>
      <c r="AJ23" s="937"/>
      <c r="AK23" s="937"/>
      <c r="AL23" s="937"/>
      <c r="AM23" s="937"/>
      <c r="AN23" s="937"/>
      <c r="AO23" s="937"/>
      <c r="AP23" s="867"/>
      <c r="AQ23" s="939"/>
      <c r="AR23" s="939"/>
      <c r="AS23" s="939"/>
      <c r="AT23" s="939"/>
      <c r="AU23" s="939"/>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c r="CB23" s="937"/>
      <c r="CC23" s="937"/>
      <c r="CD23" s="937"/>
      <c r="CE23" s="937"/>
      <c r="CF23" s="937"/>
      <c r="CG23" s="937"/>
      <c r="CH23" s="937"/>
      <c r="CI23" s="937"/>
      <c r="CJ23" s="937"/>
      <c r="CK23" s="937"/>
      <c r="CL23" s="937"/>
      <c r="CM23" s="867"/>
      <c r="CN23" s="937"/>
      <c r="CO23" s="937"/>
      <c r="CP23" s="937"/>
      <c r="CQ23" s="937"/>
      <c r="CR23" s="937"/>
      <c r="CS23" s="937"/>
      <c r="CT23" s="937"/>
      <c r="CU23" s="937"/>
      <c r="CV23" s="867"/>
      <c r="CW23" s="937"/>
      <c r="CX23" s="937"/>
      <c r="CY23" s="937"/>
      <c r="CZ23" s="937"/>
      <c r="DA23" s="937"/>
      <c r="DB23" s="937"/>
      <c r="DC23" s="937"/>
      <c r="DD23" s="937"/>
      <c r="DE23" s="867"/>
      <c r="DF23" s="937"/>
      <c r="DG23" s="937"/>
      <c r="DH23" s="937"/>
      <c r="DI23" s="937"/>
      <c r="DJ23" s="937"/>
      <c r="DK23" s="937"/>
      <c r="DL23" s="937"/>
      <c r="DM23" s="937"/>
      <c r="DO23" s="39"/>
      <c r="DP23" s="39"/>
      <c r="DQ23" s="39"/>
      <c r="DR23" s="39"/>
      <c r="DS23" s="39"/>
      <c r="DT23" s="39"/>
    </row>
    <row r="24" spans="2:124">
      <c r="B24" s="7"/>
      <c r="C24" s="7" t="s">
        <v>275</v>
      </c>
      <c r="D24" s="7" t="s">
        <v>104</v>
      </c>
      <c r="E24" s="7" t="s">
        <v>44</v>
      </c>
      <c r="F24" s="7" t="s">
        <v>52</v>
      </c>
      <c r="G24" s="7" t="s">
        <v>150</v>
      </c>
      <c r="H24" s="7" t="s">
        <v>157</v>
      </c>
      <c r="I24" s="7" t="s">
        <v>272</v>
      </c>
      <c r="J24" s="45"/>
      <c r="K24" s="45"/>
      <c r="L24" s="45"/>
      <c r="M24" s="936"/>
      <c r="N24" s="936"/>
      <c r="O24" s="936"/>
      <c r="P24" s="936"/>
      <c r="Q24" s="936"/>
      <c r="R24" s="936"/>
      <c r="S24" s="867"/>
      <c r="T24" s="510">
        <f t="shared" si="8"/>
        <v>0</v>
      </c>
      <c r="U24" s="510">
        <f t="shared" si="9"/>
        <v>0</v>
      </c>
      <c r="V24" s="937"/>
      <c r="W24" s="937"/>
      <c r="X24" s="937"/>
      <c r="Y24" s="937"/>
      <c r="Z24" s="937"/>
      <c r="AA24" s="937"/>
      <c r="AB24" s="867"/>
      <c r="AC24" s="936"/>
      <c r="AD24" s="936"/>
      <c r="AE24" s="936"/>
      <c r="AF24" s="936"/>
      <c r="AG24" s="867"/>
      <c r="AH24" s="937"/>
      <c r="AI24" s="937"/>
      <c r="AJ24" s="937"/>
      <c r="AK24" s="937"/>
      <c r="AL24" s="937"/>
      <c r="AM24" s="937"/>
      <c r="AN24" s="937"/>
      <c r="AO24" s="937"/>
      <c r="AP24" s="867"/>
      <c r="AQ24" s="939"/>
      <c r="AR24" s="939"/>
      <c r="AS24" s="939"/>
      <c r="AT24" s="939"/>
      <c r="AU24" s="939"/>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c r="CB24" s="937"/>
      <c r="CC24" s="937"/>
      <c r="CD24" s="937"/>
      <c r="CE24" s="937"/>
      <c r="CF24" s="937"/>
      <c r="CG24" s="937"/>
      <c r="CH24" s="937"/>
      <c r="CI24" s="937"/>
      <c r="CJ24" s="937"/>
      <c r="CK24" s="937"/>
      <c r="CL24" s="937"/>
      <c r="CM24" s="867"/>
      <c r="CN24" s="937"/>
      <c r="CO24" s="937"/>
      <c r="CP24" s="937"/>
      <c r="CQ24" s="937"/>
      <c r="CR24" s="937"/>
      <c r="CS24" s="937"/>
      <c r="CT24" s="937"/>
      <c r="CU24" s="937"/>
      <c r="CV24" s="867"/>
      <c r="CW24" s="937"/>
      <c r="CX24" s="937"/>
      <c r="CY24" s="937"/>
      <c r="CZ24" s="937"/>
      <c r="DA24" s="937"/>
      <c r="DB24" s="937"/>
      <c r="DC24" s="937"/>
      <c r="DD24" s="937"/>
      <c r="DE24" s="867"/>
      <c r="DF24" s="937"/>
      <c r="DG24" s="937"/>
      <c r="DH24" s="937"/>
      <c r="DI24" s="937"/>
      <c r="DJ24" s="937"/>
      <c r="DK24" s="937"/>
      <c r="DL24" s="937"/>
      <c r="DM24" s="937"/>
      <c r="DO24" s="39"/>
      <c r="DP24" s="39"/>
      <c r="DQ24" s="39"/>
      <c r="DR24" s="39"/>
      <c r="DS24" s="39"/>
      <c r="DT24" s="39"/>
    </row>
    <row r="25" spans="2:124">
      <c r="B25" s="7"/>
      <c r="C25" s="7" t="s">
        <v>267</v>
      </c>
      <c r="D25" s="7" t="s">
        <v>104</v>
      </c>
      <c r="E25" s="7" t="s">
        <v>45</v>
      </c>
      <c r="F25" s="7" t="s">
        <v>52</v>
      </c>
      <c r="G25" s="7" t="s">
        <v>150</v>
      </c>
      <c r="H25" s="7" t="s">
        <v>157</v>
      </c>
      <c r="I25" s="7" t="s">
        <v>192</v>
      </c>
      <c r="J25" s="45"/>
      <c r="K25" s="45"/>
      <c r="L25" s="45"/>
      <c r="M25" s="937"/>
      <c r="N25" s="937"/>
      <c r="O25" s="937"/>
      <c r="P25" s="937"/>
      <c r="Q25" s="937"/>
      <c r="R25" s="936"/>
      <c r="S25" s="867"/>
      <c r="T25" s="510">
        <f t="shared" si="8"/>
        <v>0</v>
      </c>
      <c r="U25" s="510">
        <f t="shared" si="9"/>
        <v>0</v>
      </c>
      <c r="V25" s="937"/>
      <c r="W25" s="937"/>
      <c r="X25" s="937"/>
      <c r="Y25" s="937"/>
      <c r="Z25" s="937"/>
      <c r="AA25" s="937"/>
      <c r="AB25" s="867"/>
      <c r="AC25" s="936"/>
      <c r="AD25" s="936"/>
      <c r="AE25" s="936"/>
      <c r="AF25" s="936"/>
      <c r="AG25" s="867"/>
      <c r="AH25" s="937"/>
      <c r="AI25" s="937"/>
      <c r="AJ25" s="937"/>
      <c r="AK25" s="937"/>
      <c r="AL25" s="937"/>
      <c r="AM25" s="937"/>
      <c r="AN25" s="937"/>
      <c r="AO25" s="937"/>
      <c r="AP25" s="867"/>
      <c r="AQ25" s="939"/>
      <c r="AR25" s="939"/>
      <c r="AS25" s="939"/>
      <c r="AT25" s="939"/>
      <c r="AU25" s="939"/>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c r="CB25" s="937"/>
      <c r="CC25" s="937"/>
      <c r="CD25" s="937"/>
      <c r="CE25" s="937"/>
      <c r="CF25" s="937"/>
      <c r="CG25" s="937"/>
      <c r="CH25" s="937"/>
      <c r="CI25" s="937"/>
      <c r="CJ25" s="937"/>
      <c r="CK25" s="937"/>
      <c r="CL25" s="937"/>
      <c r="CM25" s="867"/>
      <c r="CN25" s="937"/>
      <c r="CO25" s="937"/>
      <c r="CP25" s="937"/>
      <c r="CQ25" s="937"/>
      <c r="CR25" s="937"/>
      <c r="CS25" s="937"/>
      <c r="CT25" s="937"/>
      <c r="CU25" s="937"/>
      <c r="CV25" s="867"/>
      <c r="CW25" s="937"/>
      <c r="CX25" s="937"/>
      <c r="CY25" s="937"/>
      <c r="CZ25" s="937"/>
      <c r="DA25" s="937"/>
      <c r="DB25" s="937"/>
      <c r="DC25" s="937"/>
      <c r="DD25" s="937"/>
      <c r="DE25" s="867"/>
      <c r="DF25" s="937"/>
      <c r="DG25" s="937"/>
      <c r="DH25" s="937"/>
      <c r="DI25" s="937"/>
      <c r="DJ25" s="937"/>
      <c r="DK25" s="937"/>
      <c r="DL25" s="937"/>
      <c r="DM25" s="937"/>
      <c r="DO25" s="39"/>
      <c r="DP25" s="39"/>
      <c r="DQ25" s="39"/>
      <c r="DR25" s="39"/>
      <c r="DS25" s="39"/>
      <c r="DT25" s="39"/>
    </row>
    <row r="26" spans="2:124">
      <c r="B26" s="7"/>
      <c r="C26" s="7" t="s">
        <v>534</v>
      </c>
      <c r="D26" s="7" t="s">
        <v>104</v>
      </c>
      <c r="E26" s="7" t="s">
        <v>45</v>
      </c>
      <c r="F26" s="7" t="s">
        <v>52</v>
      </c>
      <c r="G26" s="7" t="s">
        <v>150</v>
      </c>
      <c r="H26" s="7" t="s">
        <v>157</v>
      </c>
      <c r="I26" s="7" t="s">
        <v>471</v>
      </c>
      <c r="J26" s="45"/>
      <c r="K26" s="45"/>
      <c r="L26" s="45"/>
      <c r="M26" s="937"/>
      <c r="N26" s="937"/>
      <c r="O26" s="937"/>
      <c r="P26" s="937"/>
      <c r="Q26" s="937"/>
      <c r="R26" s="936"/>
      <c r="S26" s="867"/>
      <c r="T26" s="510">
        <f t="shared" si="8"/>
        <v>0</v>
      </c>
      <c r="U26" s="510">
        <f t="shared" si="9"/>
        <v>0</v>
      </c>
      <c r="V26" s="937"/>
      <c r="W26" s="937"/>
      <c r="X26" s="937"/>
      <c r="Y26" s="937"/>
      <c r="Z26" s="937"/>
      <c r="AA26" s="937"/>
      <c r="AB26" s="867"/>
      <c r="AC26" s="936"/>
      <c r="AD26" s="936"/>
      <c r="AE26" s="936"/>
      <c r="AF26" s="936"/>
      <c r="AG26" s="867"/>
      <c r="AH26" s="937"/>
      <c r="AI26" s="937"/>
      <c r="AJ26" s="937"/>
      <c r="AK26" s="937"/>
      <c r="AL26" s="937"/>
      <c r="AM26" s="937"/>
      <c r="AN26" s="937"/>
      <c r="AO26" s="937"/>
      <c r="AP26" s="867"/>
      <c r="AQ26" s="939"/>
      <c r="AR26" s="939"/>
      <c r="AS26" s="939"/>
      <c r="AT26" s="939"/>
      <c r="AU26" s="939"/>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c r="CB26" s="937"/>
      <c r="CC26" s="937"/>
      <c r="CD26" s="937"/>
      <c r="CE26" s="937"/>
      <c r="CF26" s="937"/>
      <c r="CG26" s="937"/>
      <c r="CH26" s="937"/>
      <c r="CI26" s="937"/>
      <c r="CJ26" s="937"/>
      <c r="CK26" s="937"/>
      <c r="CL26" s="937"/>
      <c r="CM26" s="867"/>
      <c r="CN26" s="937"/>
      <c r="CO26" s="937"/>
      <c r="CP26" s="937"/>
      <c r="CQ26" s="937"/>
      <c r="CR26" s="937"/>
      <c r="CS26" s="937"/>
      <c r="CT26" s="937"/>
      <c r="CU26" s="937"/>
      <c r="CV26" s="867"/>
      <c r="CW26" s="937"/>
      <c r="CX26" s="937"/>
      <c r="CY26" s="937"/>
      <c r="CZ26" s="937"/>
      <c r="DA26" s="937"/>
      <c r="DB26" s="937"/>
      <c r="DC26" s="937"/>
      <c r="DD26" s="937"/>
      <c r="DE26" s="867"/>
      <c r="DF26" s="937"/>
      <c r="DG26" s="937"/>
      <c r="DH26" s="937"/>
      <c r="DI26" s="937"/>
      <c r="DJ26" s="937"/>
      <c r="DK26" s="937"/>
      <c r="DL26" s="937"/>
      <c r="DM26" s="937"/>
      <c r="DO26" s="39"/>
    </row>
    <row r="27" spans="2:124">
      <c r="B27" s="7"/>
      <c r="C27" s="7" t="s">
        <v>93</v>
      </c>
      <c r="D27" s="7" t="s">
        <v>105</v>
      </c>
      <c r="E27" s="7" t="s">
        <v>45</v>
      </c>
      <c r="F27" s="7" t="s">
        <v>52</v>
      </c>
      <c r="G27" s="7" t="s">
        <v>150</v>
      </c>
      <c r="H27" s="7" t="s">
        <v>158</v>
      </c>
      <c r="I27" s="7" t="s">
        <v>197</v>
      </c>
      <c r="J27" s="45"/>
      <c r="K27" s="45"/>
      <c r="L27" s="45"/>
      <c r="M27" s="937"/>
      <c r="N27" s="937"/>
      <c r="O27" s="937"/>
      <c r="P27" s="937"/>
      <c r="Q27" s="937"/>
      <c r="R27" s="936"/>
      <c r="S27" s="867"/>
      <c r="T27" s="510">
        <f t="shared" si="8"/>
        <v>0</v>
      </c>
      <c r="U27" s="510">
        <f t="shared" si="9"/>
        <v>0</v>
      </c>
      <c r="V27" s="937"/>
      <c r="W27" s="937"/>
      <c r="X27" s="937"/>
      <c r="Y27" s="937"/>
      <c r="Z27" s="937"/>
      <c r="AA27" s="937"/>
      <c r="AB27" s="867"/>
      <c r="AC27" s="936"/>
      <c r="AD27" s="936"/>
      <c r="AE27" s="936"/>
      <c r="AF27" s="936"/>
      <c r="AG27" s="867"/>
      <c r="AH27" s="937"/>
      <c r="AI27" s="937"/>
      <c r="AJ27" s="937"/>
      <c r="AK27" s="937"/>
      <c r="AL27" s="937"/>
      <c r="AM27" s="937"/>
      <c r="AN27" s="937"/>
      <c r="AO27" s="937"/>
      <c r="AP27" s="867"/>
      <c r="AQ27" s="939"/>
      <c r="AR27" s="939"/>
      <c r="AS27" s="939"/>
      <c r="AT27" s="939"/>
      <c r="AU27" s="939"/>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c r="CB27" s="937"/>
      <c r="CC27" s="937"/>
      <c r="CD27" s="937"/>
      <c r="CE27" s="937"/>
      <c r="CF27" s="937"/>
      <c r="CG27" s="937"/>
      <c r="CH27" s="937"/>
      <c r="CI27" s="937"/>
      <c r="CJ27" s="937"/>
      <c r="CK27" s="937"/>
      <c r="CL27" s="937"/>
      <c r="CM27" s="867"/>
      <c r="CN27" s="937"/>
      <c r="CO27" s="937"/>
      <c r="CP27" s="937"/>
      <c r="CQ27" s="937"/>
      <c r="CR27" s="937"/>
      <c r="CS27" s="937"/>
      <c r="CT27" s="937"/>
      <c r="CU27" s="937"/>
      <c r="CV27" s="867"/>
      <c r="CW27" s="937"/>
      <c r="CX27" s="937"/>
      <c r="CY27" s="937"/>
      <c r="CZ27" s="937"/>
      <c r="DA27" s="937"/>
      <c r="DB27" s="937"/>
      <c r="DC27" s="937"/>
      <c r="DD27" s="937"/>
      <c r="DE27" s="867"/>
      <c r="DF27" s="937"/>
      <c r="DG27" s="937"/>
      <c r="DH27" s="937"/>
      <c r="DI27" s="937"/>
      <c r="DJ27" s="937"/>
      <c r="DK27" s="937"/>
      <c r="DL27" s="937"/>
      <c r="DM27" s="937"/>
      <c r="DO27" s="39"/>
    </row>
    <row r="28" spans="2:124">
      <c r="B28" s="7"/>
      <c r="C28" s="7" t="s">
        <v>465</v>
      </c>
      <c r="D28" s="7" t="s">
        <v>105</v>
      </c>
      <c r="E28" s="7" t="s">
        <v>45</v>
      </c>
      <c r="F28" s="7" t="s">
        <v>54</v>
      </c>
      <c r="G28" s="7" t="s">
        <v>150</v>
      </c>
      <c r="H28" s="7" t="s">
        <v>160</v>
      </c>
      <c r="I28" s="7" t="s">
        <v>187</v>
      </c>
      <c r="J28" s="45"/>
      <c r="K28" s="45"/>
      <c r="L28" s="45"/>
      <c r="M28" s="937"/>
      <c r="N28" s="937"/>
      <c r="O28" s="937"/>
      <c r="P28" s="937"/>
      <c r="Q28" s="937"/>
      <c r="R28" s="936"/>
      <c r="S28" s="867"/>
      <c r="T28" s="510">
        <f t="shared" si="8"/>
        <v>0</v>
      </c>
      <c r="U28" s="510">
        <f t="shared" si="9"/>
        <v>0</v>
      </c>
      <c r="V28" s="937"/>
      <c r="W28" s="937"/>
      <c r="X28" s="937"/>
      <c r="Y28" s="937"/>
      <c r="Z28" s="937"/>
      <c r="AA28" s="937"/>
      <c r="AB28" s="867"/>
      <c r="AC28" s="936"/>
      <c r="AD28" s="936"/>
      <c r="AE28" s="936"/>
      <c r="AF28" s="936"/>
      <c r="AG28" s="867"/>
      <c r="AH28" s="937"/>
      <c r="AI28" s="937"/>
      <c r="AJ28" s="937"/>
      <c r="AK28" s="937"/>
      <c r="AL28" s="937"/>
      <c r="AM28" s="937"/>
      <c r="AN28" s="937"/>
      <c r="AO28" s="937"/>
      <c r="AP28" s="867"/>
      <c r="AQ28" s="939"/>
      <c r="AR28" s="939"/>
      <c r="AS28" s="939"/>
      <c r="AT28" s="939"/>
      <c r="AU28" s="939"/>
      <c r="AV28" s="937"/>
      <c r="AW28" s="937"/>
      <c r="AX28" s="937"/>
      <c r="AY28" s="937"/>
      <c r="AZ28" s="937"/>
      <c r="BA28" s="937"/>
      <c r="BB28" s="937"/>
      <c r="BC28" s="937"/>
      <c r="BD28" s="937"/>
      <c r="BE28" s="937"/>
      <c r="BF28" s="937"/>
      <c r="BG28" s="937"/>
      <c r="BH28" s="937"/>
      <c r="BI28" s="937"/>
      <c r="BJ28" s="937"/>
      <c r="BK28" s="937"/>
      <c r="BL28" s="937"/>
      <c r="BM28" s="937"/>
      <c r="BN28" s="937"/>
      <c r="BO28" s="937"/>
      <c r="BP28" s="937"/>
      <c r="BQ28" s="937"/>
      <c r="BR28" s="937"/>
      <c r="BS28" s="937"/>
      <c r="BT28" s="937"/>
      <c r="BU28" s="937"/>
      <c r="BV28" s="937"/>
      <c r="BW28" s="937"/>
      <c r="BX28" s="937"/>
      <c r="BY28" s="937"/>
      <c r="BZ28" s="937"/>
      <c r="CA28" s="937"/>
      <c r="CB28" s="937"/>
      <c r="CC28" s="937"/>
      <c r="CD28" s="937"/>
      <c r="CE28" s="937"/>
      <c r="CF28" s="937"/>
      <c r="CG28" s="937"/>
      <c r="CH28" s="937"/>
      <c r="CI28" s="937"/>
      <c r="CJ28" s="937"/>
      <c r="CK28" s="937"/>
      <c r="CL28" s="937"/>
      <c r="CM28" s="867"/>
      <c r="CN28" s="937"/>
      <c r="CO28" s="937"/>
      <c r="CP28" s="937"/>
      <c r="CQ28" s="937"/>
      <c r="CR28" s="937"/>
      <c r="CS28" s="937"/>
      <c r="CT28" s="937"/>
      <c r="CU28" s="937"/>
      <c r="CV28" s="867"/>
      <c r="CW28" s="937"/>
      <c r="CX28" s="937"/>
      <c r="CY28" s="937"/>
      <c r="CZ28" s="937"/>
      <c r="DA28" s="937"/>
      <c r="DB28" s="937"/>
      <c r="DC28" s="937"/>
      <c r="DD28" s="937"/>
      <c r="DE28" s="867"/>
      <c r="DF28" s="937"/>
      <c r="DG28" s="937"/>
      <c r="DH28" s="937"/>
      <c r="DI28" s="937"/>
      <c r="DJ28" s="937"/>
      <c r="DK28" s="937"/>
      <c r="DL28" s="937"/>
      <c r="DM28" s="937"/>
      <c r="DO28" s="39"/>
    </row>
    <row r="29" spans="2:124">
      <c r="B29" s="7"/>
      <c r="C29" s="7" t="s">
        <v>464</v>
      </c>
      <c r="D29" s="7" t="s">
        <v>105</v>
      </c>
      <c r="E29" s="7" t="s">
        <v>45</v>
      </c>
      <c r="F29" s="7" t="s">
        <v>54</v>
      </c>
      <c r="G29" s="7" t="s">
        <v>150</v>
      </c>
      <c r="H29" s="7" t="s">
        <v>160</v>
      </c>
      <c r="I29" s="7" t="s">
        <v>187</v>
      </c>
      <c r="J29" s="45"/>
      <c r="K29" s="45"/>
      <c r="L29" s="45"/>
      <c r="M29" s="937"/>
      <c r="N29" s="937"/>
      <c r="O29" s="937"/>
      <c r="P29" s="937"/>
      <c r="Q29" s="937"/>
      <c r="R29" s="936"/>
      <c r="S29" s="867"/>
      <c r="T29" s="510">
        <f t="shared" si="8"/>
        <v>0</v>
      </c>
      <c r="U29" s="510">
        <f t="shared" ref="U29:U37" si="10">K29*$R29</f>
        <v>0</v>
      </c>
      <c r="V29" s="937"/>
      <c r="W29" s="937"/>
      <c r="X29" s="937"/>
      <c r="Y29" s="937"/>
      <c r="Z29" s="937"/>
      <c r="AA29" s="937"/>
      <c r="AB29" s="867"/>
      <c r="AC29" s="936"/>
      <c r="AD29" s="936"/>
      <c r="AE29" s="936"/>
      <c r="AF29" s="936"/>
      <c r="AG29" s="867"/>
      <c r="AH29" s="937"/>
      <c r="AI29" s="937"/>
      <c r="AJ29" s="937"/>
      <c r="AK29" s="937"/>
      <c r="AL29" s="937"/>
      <c r="AM29" s="937"/>
      <c r="AN29" s="937"/>
      <c r="AO29" s="937"/>
      <c r="AP29" s="867"/>
      <c r="AQ29" s="939"/>
      <c r="AR29" s="939"/>
      <c r="AS29" s="939"/>
      <c r="AT29" s="939"/>
      <c r="AU29" s="939"/>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c r="CB29" s="937"/>
      <c r="CC29" s="937"/>
      <c r="CD29" s="937"/>
      <c r="CE29" s="937"/>
      <c r="CF29" s="937"/>
      <c r="CG29" s="937"/>
      <c r="CH29" s="937"/>
      <c r="CI29" s="937"/>
      <c r="CJ29" s="937"/>
      <c r="CK29" s="937"/>
      <c r="CL29" s="937"/>
      <c r="CM29" s="867"/>
      <c r="CN29" s="937"/>
      <c r="CO29" s="937"/>
      <c r="CP29" s="937"/>
      <c r="CQ29" s="937"/>
      <c r="CR29" s="937"/>
      <c r="CS29" s="937"/>
      <c r="CT29" s="937"/>
      <c r="CU29" s="937"/>
      <c r="CV29" s="867"/>
      <c r="CW29" s="937"/>
      <c r="CX29" s="937"/>
      <c r="CY29" s="937"/>
      <c r="CZ29" s="937"/>
      <c r="DA29" s="937"/>
      <c r="DB29" s="937"/>
      <c r="DC29" s="937"/>
      <c r="DD29" s="937"/>
      <c r="DE29" s="867"/>
      <c r="DF29" s="937"/>
      <c r="DG29" s="937"/>
      <c r="DH29" s="937"/>
      <c r="DI29" s="937"/>
      <c r="DJ29" s="937"/>
      <c r="DK29" s="937"/>
      <c r="DL29" s="937"/>
      <c r="DM29" s="937"/>
      <c r="DO29" s="39"/>
    </row>
    <row r="30" spans="2:124">
      <c r="B30" s="7"/>
      <c r="C30" s="7" t="s">
        <v>94</v>
      </c>
      <c r="D30" s="7" t="s">
        <v>105</v>
      </c>
      <c r="E30" s="7" t="s">
        <v>45</v>
      </c>
      <c r="F30" s="7" t="s">
        <v>52</v>
      </c>
      <c r="G30" s="7" t="s">
        <v>150</v>
      </c>
      <c r="H30" s="7" t="s">
        <v>159</v>
      </c>
      <c r="I30" s="7" t="s">
        <v>196</v>
      </c>
      <c r="J30" s="45"/>
      <c r="K30" s="45"/>
      <c r="L30" s="45"/>
      <c r="M30" s="937"/>
      <c r="N30" s="937"/>
      <c r="O30" s="937"/>
      <c r="P30" s="937"/>
      <c r="Q30" s="937"/>
      <c r="R30" s="936"/>
      <c r="S30" s="867"/>
      <c r="T30" s="510">
        <f t="shared" si="8"/>
        <v>0</v>
      </c>
      <c r="U30" s="510">
        <f t="shared" si="10"/>
        <v>0</v>
      </c>
      <c r="V30" s="937"/>
      <c r="W30" s="937"/>
      <c r="X30" s="937"/>
      <c r="Y30" s="937"/>
      <c r="Z30" s="937"/>
      <c r="AA30" s="937"/>
      <c r="AB30" s="867"/>
      <c r="AC30" s="936"/>
      <c r="AD30" s="936"/>
      <c r="AE30" s="936"/>
      <c r="AF30" s="936"/>
      <c r="AG30" s="867"/>
      <c r="AH30" s="937"/>
      <c r="AI30" s="937"/>
      <c r="AJ30" s="937"/>
      <c r="AK30" s="937"/>
      <c r="AL30" s="937"/>
      <c r="AM30" s="937"/>
      <c r="AN30" s="937"/>
      <c r="AO30" s="937"/>
      <c r="AP30" s="867"/>
      <c r="AQ30" s="939"/>
      <c r="AR30" s="939"/>
      <c r="AS30" s="939"/>
      <c r="AT30" s="939"/>
      <c r="AU30" s="939"/>
      <c r="AV30" s="937"/>
      <c r="AW30" s="937"/>
      <c r="AX30" s="937"/>
      <c r="AY30" s="937"/>
      <c r="AZ30" s="937"/>
      <c r="BA30" s="937"/>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c r="CB30" s="937"/>
      <c r="CC30" s="937"/>
      <c r="CD30" s="937"/>
      <c r="CE30" s="937"/>
      <c r="CF30" s="937"/>
      <c r="CG30" s="937"/>
      <c r="CH30" s="937"/>
      <c r="CI30" s="937"/>
      <c r="CJ30" s="937"/>
      <c r="CK30" s="937"/>
      <c r="CL30" s="937"/>
      <c r="CM30" s="867"/>
      <c r="CN30" s="937"/>
      <c r="CO30" s="937"/>
      <c r="CP30" s="937"/>
      <c r="CQ30" s="937"/>
      <c r="CR30" s="937"/>
      <c r="CS30" s="937"/>
      <c r="CT30" s="937"/>
      <c r="CU30" s="937"/>
      <c r="CV30" s="867"/>
      <c r="CW30" s="937"/>
      <c r="CX30" s="937"/>
      <c r="CY30" s="937"/>
      <c r="CZ30" s="937"/>
      <c r="DA30" s="937"/>
      <c r="DB30" s="937"/>
      <c r="DC30" s="937"/>
      <c r="DD30" s="937"/>
      <c r="DE30" s="867"/>
      <c r="DF30" s="937"/>
      <c r="DG30" s="937"/>
      <c r="DH30" s="937"/>
      <c r="DI30" s="937"/>
      <c r="DJ30" s="937"/>
      <c r="DK30" s="937"/>
      <c r="DL30" s="937"/>
      <c r="DM30" s="937"/>
      <c r="DO30" s="39"/>
    </row>
    <row r="31" spans="2:124">
      <c r="B31" s="7"/>
      <c r="C31" s="7" t="s">
        <v>86</v>
      </c>
      <c r="D31" s="7" t="s">
        <v>105</v>
      </c>
      <c r="E31" s="7" t="s">
        <v>45</v>
      </c>
      <c r="F31" s="7" t="s">
        <v>52</v>
      </c>
      <c r="G31" s="7" t="s">
        <v>150</v>
      </c>
      <c r="H31" s="7" t="s">
        <v>5</v>
      </c>
      <c r="I31" s="7" t="s">
        <v>203</v>
      </c>
      <c r="J31" s="45"/>
      <c r="K31" s="45"/>
      <c r="L31" s="45"/>
      <c r="M31" s="937"/>
      <c r="N31" s="937"/>
      <c r="O31" s="937"/>
      <c r="P31" s="937"/>
      <c r="Q31" s="937"/>
      <c r="R31" s="936"/>
      <c r="S31" s="867"/>
      <c r="T31" s="510">
        <f t="shared" si="8"/>
        <v>0</v>
      </c>
      <c r="U31" s="510">
        <f t="shared" si="10"/>
        <v>0</v>
      </c>
      <c r="V31" s="937"/>
      <c r="W31" s="937"/>
      <c r="X31" s="937"/>
      <c r="Y31" s="937"/>
      <c r="Z31" s="937"/>
      <c r="AA31" s="937"/>
      <c r="AB31" s="867"/>
      <c r="AC31" s="936"/>
      <c r="AD31" s="936"/>
      <c r="AE31" s="936"/>
      <c r="AF31" s="936"/>
      <c r="AG31" s="867"/>
      <c r="AH31" s="937"/>
      <c r="AI31" s="937"/>
      <c r="AJ31" s="937"/>
      <c r="AK31" s="937"/>
      <c r="AL31" s="937"/>
      <c r="AM31" s="937"/>
      <c r="AN31" s="937"/>
      <c r="AO31" s="937"/>
      <c r="AP31" s="867"/>
      <c r="AQ31" s="939"/>
      <c r="AR31" s="939"/>
      <c r="AS31" s="939"/>
      <c r="AT31" s="939"/>
      <c r="AU31" s="939"/>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7"/>
      <c r="BY31" s="937"/>
      <c r="BZ31" s="937"/>
      <c r="CA31" s="937"/>
      <c r="CB31" s="937"/>
      <c r="CC31" s="937"/>
      <c r="CD31" s="937"/>
      <c r="CE31" s="937"/>
      <c r="CF31" s="937"/>
      <c r="CG31" s="937"/>
      <c r="CH31" s="937"/>
      <c r="CI31" s="937"/>
      <c r="CJ31" s="937"/>
      <c r="CK31" s="937"/>
      <c r="CL31" s="937"/>
      <c r="CM31" s="867"/>
      <c r="CN31" s="937"/>
      <c r="CO31" s="937"/>
      <c r="CP31" s="937"/>
      <c r="CQ31" s="937"/>
      <c r="CR31" s="937"/>
      <c r="CS31" s="937"/>
      <c r="CT31" s="937"/>
      <c r="CU31" s="937"/>
      <c r="CV31" s="867"/>
      <c r="CW31" s="937"/>
      <c r="CX31" s="937"/>
      <c r="CY31" s="937"/>
      <c r="CZ31" s="937"/>
      <c r="DA31" s="937"/>
      <c r="DB31" s="937"/>
      <c r="DC31" s="937"/>
      <c r="DD31" s="937"/>
      <c r="DE31" s="867"/>
      <c r="DF31" s="937"/>
      <c r="DG31" s="937"/>
      <c r="DH31" s="937"/>
      <c r="DI31" s="937"/>
      <c r="DJ31" s="937"/>
      <c r="DK31" s="937"/>
      <c r="DL31" s="937"/>
      <c r="DM31" s="937"/>
      <c r="DO31" s="39"/>
    </row>
    <row r="32" spans="2:124">
      <c r="B32" s="7"/>
      <c r="C32" s="7" t="s">
        <v>95</v>
      </c>
      <c r="D32" s="7" t="s">
        <v>105</v>
      </c>
      <c r="E32" s="7" t="s">
        <v>45</v>
      </c>
      <c r="F32" s="7" t="s">
        <v>52</v>
      </c>
      <c r="G32" s="7" t="s">
        <v>150</v>
      </c>
      <c r="H32" s="7" t="s">
        <v>5</v>
      </c>
      <c r="I32" s="7" t="s">
        <v>198</v>
      </c>
      <c r="J32" s="45"/>
      <c r="K32" s="45"/>
      <c r="L32" s="45"/>
      <c r="M32" s="937"/>
      <c r="N32" s="937"/>
      <c r="O32" s="937"/>
      <c r="P32" s="937"/>
      <c r="Q32" s="937"/>
      <c r="R32" s="936"/>
      <c r="S32" s="867"/>
      <c r="T32" s="510">
        <f t="shared" si="8"/>
        <v>0</v>
      </c>
      <c r="U32" s="510">
        <f t="shared" si="10"/>
        <v>0</v>
      </c>
      <c r="V32" s="937"/>
      <c r="W32" s="937"/>
      <c r="X32" s="937"/>
      <c r="Y32" s="937"/>
      <c r="Z32" s="937"/>
      <c r="AA32" s="937"/>
      <c r="AB32" s="867"/>
      <c r="AC32" s="936"/>
      <c r="AD32" s="936"/>
      <c r="AE32" s="936"/>
      <c r="AF32" s="936"/>
      <c r="AG32" s="867"/>
      <c r="AH32" s="937"/>
      <c r="AI32" s="937"/>
      <c r="AJ32" s="937"/>
      <c r="AK32" s="937"/>
      <c r="AL32" s="937"/>
      <c r="AM32" s="937"/>
      <c r="AN32" s="937"/>
      <c r="AO32" s="937"/>
      <c r="AP32" s="867"/>
      <c r="AQ32" s="939"/>
      <c r="AR32" s="939"/>
      <c r="AS32" s="939"/>
      <c r="AT32" s="939"/>
      <c r="AU32" s="939"/>
      <c r="AV32" s="937"/>
      <c r="AW32" s="937"/>
      <c r="AX32" s="937"/>
      <c r="AY32" s="937"/>
      <c r="AZ32" s="937"/>
      <c r="BA32" s="937"/>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c r="CB32" s="937"/>
      <c r="CC32" s="937"/>
      <c r="CD32" s="937"/>
      <c r="CE32" s="937"/>
      <c r="CF32" s="937"/>
      <c r="CG32" s="937"/>
      <c r="CH32" s="937"/>
      <c r="CI32" s="937"/>
      <c r="CJ32" s="937"/>
      <c r="CK32" s="937"/>
      <c r="CL32" s="937"/>
      <c r="CM32" s="867"/>
      <c r="CN32" s="937"/>
      <c r="CO32" s="937"/>
      <c r="CP32" s="937"/>
      <c r="CQ32" s="937"/>
      <c r="CR32" s="937"/>
      <c r="CS32" s="937"/>
      <c r="CT32" s="937"/>
      <c r="CU32" s="937"/>
      <c r="CV32" s="867"/>
      <c r="CW32" s="937"/>
      <c r="CX32" s="937"/>
      <c r="CY32" s="937"/>
      <c r="CZ32" s="937"/>
      <c r="DA32" s="937"/>
      <c r="DB32" s="937"/>
      <c r="DC32" s="937"/>
      <c r="DD32" s="937"/>
      <c r="DE32" s="867"/>
      <c r="DF32" s="937"/>
      <c r="DG32" s="937"/>
      <c r="DH32" s="937"/>
      <c r="DI32" s="937"/>
      <c r="DJ32" s="937"/>
      <c r="DK32" s="937"/>
      <c r="DL32" s="937"/>
      <c r="DM32" s="937"/>
      <c r="DO32" s="39"/>
    </row>
    <row r="33" spans="2:119">
      <c r="B33" s="7"/>
      <c r="C33" s="7" t="s">
        <v>268</v>
      </c>
      <c r="D33" s="7" t="s">
        <v>105</v>
      </c>
      <c r="E33" s="7" t="s">
        <v>45</v>
      </c>
      <c r="F33" s="7" t="s">
        <v>52</v>
      </c>
      <c r="G33" s="7" t="s">
        <v>150</v>
      </c>
      <c r="H33" s="7" t="s">
        <v>5</v>
      </c>
      <c r="I33" s="7" t="s">
        <v>202</v>
      </c>
      <c r="J33" s="7"/>
      <c r="K33" s="7"/>
      <c r="L33" s="7"/>
      <c r="M33" s="939"/>
      <c r="N33" s="939"/>
      <c r="O33" s="939"/>
      <c r="P33" s="939"/>
      <c r="Q33" s="939"/>
      <c r="R33" s="936"/>
      <c r="S33" s="867"/>
      <c r="T33" s="510">
        <f t="shared" si="8"/>
        <v>0</v>
      </c>
      <c r="U33" s="510">
        <f t="shared" si="10"/>
        <v>0</v>
      </c>
      <c r="V33" s="937"/>
      <c r="W33" s="937"/>
      <c r="X33" s="937"/>
      <c r="Y33" s="937"/>
      <c r="Z33" s="937"/>
      <c r="AA33" s="937"/>
      <c r="AB33" s="867"/>
      <c r="AC33" s="936"/>
      <c r="AD33" s="936"/>
      <c r="AE33" s="936"/>
      <c r="AF33" s="936"/>
      <c r="AG33" s="867"/>
      <c r="AH33" s="937"/>
      <c r="AI33" s="937"/>
      <c r="AJ33" s="937"/>
      <c r="AK33" s="937"/>
      <c r="AL33" s="937"/>
      <c r="AM33" s="937"/>
      <c r="AN33" s="937"/>
      <c r="AO33" s="937"/>
      <c r="AP33" s="867"/>
      <c r="AQ33" s="939"/>
      <c r="AR33" s="939"/>
      <c r="AS33" s="939"/>
      <c r="AT33" s="939"/>
      <c r="AU33" s="939"/>
      <c r="AV33" s="937"/>
      <c r="AW33" s="937"/>
      <c r="AX33" s="937"/>
      <c r="AY33" s="937"/>
      <c r="AZ33" s="937"/>
      <c r="BA33" s="937"/>
      <c r="BB33" s="937"/>
      <c r="BC33" s="937"/>
      <c r="BD33" s="937"/>
      <c r="BE33" s="937"/>
      <c r="BF33" s="937"/>
      <c r="BG33" s="937"/>
      <c r="BH33" s="937"/>
      <c r="BI33" s="937"/>
      <c r="BJ33" s="937"/>
      <c r="BK33" s="937"/>
      <c r="BL33" s="937"/>
      <c r="BM33" s="937"/>
      <c r="BN33" s="937"/>
      <c r="BO33" s="937"/>
      <c r="BP33" s="937"/>
      <c r="BQ33" s="937"/>
      <c r="BR33" s="937"/>
      <c r="BS33" s="937"/>
      <c r="BT33" s="937"/>
      <c r="BU33" s="937"/>
      <c r="BV33" s="937"/>
      <c r="BW33" s="937"/>
      <c r="BX33" s="937"/>
      <c r="BY33" s="937"/>
      <c r="BZ33" s="937"/>
      <c r="CA33" s="937"/>
      <c r="CB33" s="937"/>
      <c r="CC33" s="937"/>
      <c r="CD33" s="937"/>
      <c r="CE33" s="937"/>
      <c r="CF33" s="937"/>
      <c r="CG33" s="937"/>
      <c r="CH33" s="937"/>
      <c r="CI33" s="937"/>
      <c r="CJ33" s="937"/>
      <c r="CK33" s="937"/>
      <c r="CL33" s="937"/>
      <c r="CM33" s="867"/>
      <c r="CN33" s="937"/>
      <c r="CO33" s="937"/>
      <c r="CP33" s="937"/>
      <c r="CQ33" s="937"/>
      <c r="CR33" s="937"/>
      <c r="CS33" s="937"/>
      <c r="CT33" s="937"/>
      <c r="CU33" s="937"/>
      <c r="CV33" s="867"/>
      <c r="CW33" s="937"/>
      <c r="CX33" s="937"/>
      <c r="CY33" s="937"/>
      <c r="CZ33" s="937"/>
      <c r="DA33" s="937"/>
      <c r="DB33" s="937"/>
      <c r="DC33" s="937"/>
      <c r="DD33" s="937"/>
      <c r="DE33" s="867"/>
      <c r="DF33" s="937"/>
      <c r="DG33" s="937"/>
      <c r="DH33" s="937"/>
      <c r="DI33" s="937"/>
      <c r="DJ33" s="937"/>
      <c r="DK33" s="937"/>
      <c r="DL33" s="937"/>
      <c r="DM33" s="937"/>
      <c r="DO33" s="39"/>
    </row>
    <row r="34" spans="2:119">
      <c r="B34" s="7"/>
      <c r="C34" s="7" t="s">
        <v>269</v>
      </c>
      <c r="D34" s="7" t="s">
        <v>105</v>
      </c>
      <c r="E34" s="7" t="s">
        <v>45</v>
      </c>
      <c r="F34" s="7" t="s">
        <v>52</v>
      </c>
      <c r="G34" s="7" t="s">
        <v>150</v>
      </c>
      <c r="H34" s="7" t="s">
        <v>5</v>
      </c>
      <c r="I34" s="7" t="s">
        <v>199</v>
      </c>
      <c r="J34" s="7"/>
      <c r="K34" s="7"/>
      <c r="L34" s="7"/>
      <c r="M34" s="939"/>
      <c r="N34" s="939"/>
      <c r="O34" s="939"/>
      <c r="P34" s="939"/>
      <c r="Q34" s="939"/>
      <c r="R34" s="936"/>
      <c r="S34" s="867"/>
      <c r="T34" s="510">
        <f t="shared" si="8"/>
        <v>0</v>
      </c>
      <c r="U34" s="510">
        <f t="shared" si="10"/>
        <v>0</v>
      </c>
      <c r="V34" s="937"/>
      <c r="W34" s="937"/>
      <c r="X34" s="937"/>
      <c r="Y34" s="937"/>
      <c r="Z34" s="937"/>
      <c r="AA34" s="937"/>
      <c r="AB34" s="867"/>
      <c r="AC34" s="936"/>
      <c r="AD34" s="936"/>
      <c r="AE34" s="936"/>
      <c r="AF34" s="936"/>
      <c r="AG34" s="867"/>
      <c r="AH34" s="937"/>
      <c r="AI34" s="937"/>
      <c r="AJ34" s="937"/>
      <c r="AK34" s="937"/>
      <c r="AL34" s="937"/>
      <c r="AM34" s="937"/>
      <c r="AN34" s="937"/>
      <c r="AO34" s="937"/>
      <c r="AP34" s="867"/>
      <c r="AQ34" s="939"/>
      <c r="AR34" s="939"/>
      <c r="AS34" s="939"/>
      <c r="AT34" s="939"/>
      <c r="AU34" s="939"/>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c r="CB34" s="937"/>
      <c r="CC34" s="937"/>
      <c r="CD34" s="937"/>
      <c r="CE34" s="937"/>
      <c r="CF34" s="937"/>
      <c r="CG34" s="937"/>
      <c r="CH34" s="937"/>
      <c r="CI34" s="937"/>
      <c r="CJ34" s="937"/>
      <c r="CK34" s="937"/>
      <c r="CL34" s="937"/>
      <c r="CM34" s="867"/>
      <c r="CN34" s="937"/>
      <c r="CO34" s="937"/>
      <c r="CP34" s="937"/>
      <c r="CQ34" s="937"/>
      <c r="CR34" s="937"/>
      <c r="CS34" s="937"/>
      <c r="CT34" s="937"/>
      <c r="CU34" s="937"/>
      <c r="CV34" s="867"/>
      <c r="CW34" s="937"/>
      <c r="CX34" s="937"/>
      <c r="CY34" s="937"/>
      <c r="CZ34" s="937"/>
      <c r="DA34" s="937"/>
      <c r="DB34" s="937"/>
      <c r="DC34" s="937"/>
      <c r="DD34" s="937"/>
      <c r="DE34" s="867"/>
      <c r="DF34" s="937"/>
      <c r="DG34" s="937"/>
      <c r="DH34" s="937"/>
      <c r="DI34" s="937"/>
      <c r="DJ34" s="937"/>
      <c r="DK34" s="937"/>
      <c r="DL34" s="937"/>
      <c r="DM34" s="937"/>
      <c r="DO34" s="39"/>
    </row>
    <row r="35" spans="2:119">
      <c r="B35" s="7"/>
      <c r="C35" s="7" t="s">
        <v>563</v>
      </c>
      <c r="D35" s="7" t="s">
        <v>105</v>
      </c>
      <c r="E35" s="7" t="s">
        <v>45</v>
      </c>
      <c r="F35" s="7" t="s">
        <v>52</v>
      </c>
      <c r="G35" s="7" t="s">
        <v>150</v>
      </c>
      <c r="H35" s="7" t="s">
        <v>5</v>
      </c>
      <c r="I35" s="7" t="s">
        <v>200</v>
      </c>
      <c r="J35" s="7"/>
      <c r="K35" s="7"/>
      <c r="L35" s="7"/>
      <c r="M35" s="939"/>
      <c r="N35" s="939"/>
      <c r="O35" s="939"/>
      <c r="P35" s="939"/>
      <c r="Q35" s="939"/>
      <c r="R35" s="936"/>
      <c r="S35" s="867"/>
      <c r="T35" s="510">
        <f t="shared" si="8"/>
        <v>0</v>
      </c>
      <c r="U35" s="510">
        <f t="shared" si="10"/>
        <v>0</v>
      </c>
      <c r="V35" s="937"/>
      <c r="W35" s="937"/>
      <c r="X35" s="937"/>
      <c r="Y35" s="937"/>
      <c r="Z35" s="937"/>
      <c r="AA35" s="937"/>
      <c r="AB35" s="867"/>
      <c r="AC35" s="936"/>
      <c r="AD35" s="936"/>
      <c r="AE35" s="936"/>
      <c r="AF35" s="936"/>
      <c r="AG35" s="867"/>
      <c r="AH35" s="937"/>
      <c r="AI35" s="937"/>
      <c r="AJ35" s="937"/>
      <c r="AK35" s="937"/>
      <c r="AL35" s="937"/>
      <c r="AM35" s="937"/>
      <c r="AN35" s="937"/>
      <c r="AO35" s="937"/>
      <c r="AP35" s="867"/>
      <c r="AQ35" s="939"/>
      <c r="AR35" s="939"/>
      <c r="AS35" s="939"/>
      <c r="AT35" s="939"/>
      <c r="AU35" s="939"/>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7"/>
      <c r="CA35" s="937"/>
      <c r="CB35" s="937"/>
      <c r="CC35" s="937"/>
      <c r="CD35" s="937"/>
      <c r="CE35" s="937"/>
      <c r="CF35" s="937"/>
      <c r="CG35" s="937"/>
      <c r="CH35" s="937"/>
      <c r="CI35" s="937"/>
      <c r="CJ35" s="937"/>
      <c r="CK35" s="937"/>
      <c r="CL35" s="937"/>
      <c r="CM35" s="867"/>
      <c r="CN35" s="937"/>
      <c r="CO35" s="937"/>
      <c r="CP35" s="937"/>
      <c r="CQ35" s="937"/>
      <c r="CR35" s="937"/>
      <c r="CS35" s="937"/>
      <c r="CT35" s="937"/>
      <c r="CU35" s="937"/>
      <c r="CV35" s="867"/>
      <c r="CW35" s="937"/>
      <c r="CX35" s="937"/>
      <c r="CY35" s="937"/>
      <c r="CZ35" s="937"/>
      <c r="DA35" s="937"/>
      <c r="DB35" s="937"/>
      <c r="DC35" s="937"/>
      <c r="DD35" s="937"/>
      <c r="DE35" s="867"/>
      <c r="DF35" s="937"/>
      <c r="DG35" s="937"/>
      <c r="DH35" s="937"/>
      <c r="DI35" s="937"/>
      <c r="DJ35" s="937"/>
      <c r="DK35" s="937"/>
      <c r="DL35" s="937"/>
      <c r="DM35" s="937"/>
      <c r="DO35" s="39"/>
    </row>
    <row r="36" spans="2:119">
      <c r="B36" s="7"/>
      <c r="C36" s="7" t="s">
        <v>564</v>
      </c>
      <c r="D36" s="7" t="s">
        <v>105</v>
      </c>
      <c r="E36" s="7" t="s">
        <v>45</v>
      </c>
      <c r="F36" s="7" t="s">
        <v>52</v>
      </c>
      <c r="G36" s="7" t="s">
        <v>150</v>
      </c>
      <c r="H36" s="7" t="s">
        <v>5</v>
      </c>
      <c r="I36" s="7" t="s">
        <v>199</v>
      </c>
      <c r="J36" s="7"/>
      <c r="K36" s="7"/>
      <c r="L36" s="7"/>
      <c r="M36" s="939"/>
      <c r="N36" s="939"/>
      <c r="O36" s="939"/>
      <c r="P36" s="939"/>
      <c r="Q36" s="939"/>
      <c r="R36" s="936"/>
      <c r="S36" s="867"/>
      <c r="T36" s="510">
        <f t="shared" si="8"/>
        <v>0</v>
      </c>
      <c r="U36" s="510">
        <f t="shared" si="10"/>
        <v>0</v>
      </c>
      <c r="V36" s="937"/>
      <c r="W36" s="937"/>
      <c r="X36" s="937"/>
      <c r="Y36" s="937"/>
      <c r="Z36" s="937"/>
      <c r="AA36" s="937"/>
      <c r="AB36" s="867"/>
      <c r="AC36" s="936"/>
      <c r="AD36" s="936"/>
      <c r="AE36" s="936"/>
      <c r="AF36" s="936"/>
      <c r="AG36" s="867"/>
      <c r="AH36" s="937"/>
      <c r="AI36" s="937"/>
      <c r="AJ36" s="937"/>
      <c r="AK36" s="937"/>
      <c r="AL36" s="937"/>
      <c r="AM36" s="937"/>
      <c r="AN36" s="937"/>
      <c r="AO36" s="937"/>
      <c r="AP36" s="867"/>
      <c r="AQ36" s="939"/>
      <c r="AR36" s="939"/>
      <c r="AS36" s="939"/>
      <c r="AT36" s="939"/>
      <c r="AU36" s="939"/>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c r="CL36" s="937"/>
      <c r="CM36" s="867"/>
      <c r="CN36" s="937"/>
      <c r="CO36" s="937"/>
      <c r="CP36" s="937"/>
      <c r="CQ36" s="937"/>
      <c r="CR36" s="937"/>
      <c r="CS36" s="937"/>
      <c r="CT36" s="937"/>
      <c r="CU36" s="937"/>
      <c r="CV36" s="867"/>
      <c r="CW36" s="937"/>
      <c r="CX36" s="937"/>
      <c r="CY36" s="937"/>
      <c r="CZ36" s="937"/>
      <c r="DA36" s="937"/>
      <c r="DB36" s="937"/>
      <c r="DC36" s="937"/>
      <c r="DD36" s="937"/>
      <c r="DE36" s="867"/>
      <c r="DF36" s="937"/>
      <c r="DG36" s="937"/>
      <c r="DH36" s="937"/>
      <c r="DI36" s="937"/>
      <c r="DJ36" s="937"/>
      <c r="DK36" s="937"/>
      <c r="DL36" s="937"/>
      <c r="DM36" s="937"/>
      <c r="DO36" s="39"/>
    </row>
    <row r="37" spans="2:119">
      <c r="B37" s="7"/>
      <c r="C37" s="7" t="s">
        <v>194</v>
      </c>
      <c r="D37" s="7" t="s">
        <v>105</v>
      </c>
      <c r="E37" s="7" t="s">
        <v>45</v>
      </c>
      <c r="F37" s="7" t="s">
        <v>52</v>
      </c>
      <c r="G37" s="7" t="s">
        <v>150</v>
      </c>
      <c r="H37" s="7" t="s">
        <v>5</v>
      </c>
      <c r="I37" s="7" t="s">
        <v>194</v>
      </c>
      <c r="J37" s="7"/>
      <c r="K37" s="7"/>
      <c r="L37" s="7"/>
      <c r="M37" s="939"/>
      <c r="N37" s="939"/>
      <c r="O37" s="939"/>
      <c r="P37" s="939"/>
      <c r="Q37" s="939"/>
      <c r="R37" s="936"/>
      <c r="S37" s="867"/>
      <c r="T37" s="510">
        <f t="shared" si="8"/>
        <v>0</v>
      </c>
      <c r="U37" s="510">
        <f t="shared" si="10"/>
        <v>0</v>
      </c>
      <c r="V37" s="937"/>
      <c r="W37" s="937"/>
      <c r="X37" s="937"/>
      <c r="Y37" s="937"/>
      <c r="Z37" s="937"/>
      <c r="AA37" s="937"/>
      <c r="AB37" s="867"/>
      <c r="AC37" s="936"/>
      <c r="AD37" s="936"/>
      <c r="AE37" s="936"/>
      <c r="AF37" s="936"/>
      <c r="AG37" s="867"/>
      <c r="AH37" s="937"/>
      <c r="AI37" s="937"/>
      <c r="AJ37" s="937"/>
      <c r="AK37" s="937"/>
      <c r="AL37" s="937"/>
      <c r="AM37" s="937"/>
      <c r="AN37" s="937"/>
      <c r="AO37" s="937"/>
      <c r="AP37" s="867"/>
      <c r="AQ37" s="939"/>
      <c r="AR37" s="939"/>
      <c r="AS37" s="939"/>
      <c r="AT37" s="939"/>
      <c r="AU37" s="939"/>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c r="CB37" s="937"/>
      <c r="CC37" s="937"/>
      <c r="CD37" s="937"/>
      <c r="CE37" s="937"/>
      <c r="CF37" s="937"/>
      <c r="CG37" s="937"/>
      <c r="CH37" s="937"/>
      <c r="CI37" s="937"/>
      <c r="CJ37" s="937"/>
      <c r="CK37" s="937"/>
      <c r="CL37" s="937"/>
      <c r="CM37" s="867"/>
      <c r="CN37" s="937"/>
      <c r="CO37" s="937"/>
      <c r="CP37" s="937"/>
      <c r="CQ37" s="937"/>
      <c r="CR37" s="937"/>
      <c r="CS37" s="937"/>
      <c r="CT37" s="937"/>
      <c r="CU37" s="937"/>
      <c r="CV37" s="867"/>
      <c r="CW37" s="937"/>
      <c r="CX37" s="937"/>
      <c r="CY37" s="937"/>
      <c r="CZ37" s="937"/>
      <c r="DA37" s="937"/>
      <c r="DB37" s="937"/>
      <c r="DC37" s="937"/>
      <c r="DD37" s="937"/>
      <c r="DE37" s="867"/>
      <c r="DF37" s="937"/>
      <c r="DG37" s="937"/>
      <c r="DH37" s="937"/>
      <c r="DI37" s="937"/>
      <c r="DJ37" s="937"/>
      <c r="DK37" s="937"/>
      <c r="DL37" s="937"/>
      <c r="DM37" s="937"/>
      <c r="DO37" s="39"/>
    </row>
    <row r="38" spans="2:119">
      <c r="T38" s="517">
        <f t="shared" ref="T38:U38" si="11">SUM(T7:T37)</f>
        <v>0</v>
      </c>
      <c r="U38" s="517">
        <f t="shared" si="11"/>
        <v>0</v>
      </c>
      <c r="V38" s="935"/>
      <c r="W38" s="935"/>
      <c r="X38" s="935"/>
      <c r="Y38" s="935"/>
      <c r="Z38" s="935"/>
      <c r="AA38" s="935"/>
      <c r="AB38" s="867"/>
      <c r="AC38" s="867"/>
      <c r="AD38" s="867"/>
      <c r="AE38" s="867"/>
      <c r="AF38" s="867"/>
      <c r="AG38" s="867"/>
      <c r="AH38" s="935"/>
      <c r="AI38" s="935"/>
      <c r="AJ38" s="935"/>
      <c r="AK38" s="935"/>
      <c r="AL38" s="935"/>
      <c r="AM38" s="935"/>
      <c r="AN38" s="935"/>
      <c r="AO38" s="935"/>
      <c r="AP38" s="867"/>
      <c r="AQ38" s="935"/>
      <c r="AR38" s="935"/>
      <c r="AS38" s="935"/>
      <c r="AT38" s="935"/>
      <c r="AU38" s="935"/>
      <c r="AV38" s="935"/>
      <c r="AW38" s="935"/>
      <c r="AX38" s="935"/>
      <c r="AY38" s="935"/>
      <c r="AZ38" s="935"/>
      <c r="BA38" s="935"/>
      <c r="BB38" s="935"/>
      <c r="BC38" s="935"/>
      <c r="BD38" s="935"/>
      <c r="BE38" s="935"/>
      <c r="BF38" s="935"/>
      <c r="BG38" s="935"/>
      <c r="BH38" s="935"/>
      <c r="BI38" s="935"/>
      <c r="BJ38" s="935"/>
      <c r="BK38" s="935"/>
      <c r="BL38" s="935"/>
      <c r="BM38" s="935"/>
      <c r="BN38" s="935"/>
      <c r="BO38" s="935"/>
      <c r="BP38" s="935"/>
      <c r="BQ38" s="935"/>
      <c r="BR38" s="935"/>
      <c r="BS38" s="935"/>
      <c r="BT38" s="935"/>
      <c r="BU38" s="935"/>
      <c r="BV38" s="935"/>
      <c r="BW38" s="935"/>
      <c r="BX38" s="935"/>
      <c r="BY38" s="935"/>
      <c r="BZ38" s="935"/>
      <c r="CA38" s="935"/>
      <c r="CB38" s="935"/>
      <c r="CC38" s="935"/>
      <c r="CD38" s="935"/>
      <c r="CE38" s="935"/>
      <c r="CF38" s="935"/>
      <c r="CG38" s="935"/>
      <c r="CH38" s="935"/>
      <c r="CI38" s="935"/>
      <c r="CJ38" s="935"/>
      <c r="CK38" s="935"/>
      <c r="CL38" s="935"/>
      <c r="CM38" s="867"/>
      <c r="CN38" s="935"/>
      <c r="CO38" s="935"/>
      <c r="CP38" s="935"/>
      <c r="CQ38" s="935"/>
      <c r="CR38" s="935"/>
      <c r="CS38" s="935"/>
      <c r="CT38" s="935"/>
      <c r="CU38" s="935"/>
      <c r="CV38" s="867"/>
      <c r="CW38" s="935"/>
      <c r="CX38" s="935"/>
      <c r="CY38" s="935"/>
      <c r="CZ38" s="935"/>
      <c r="DA38" s="935"/>
      <c r="DB38" s="935"/>
      <c r="DC38" s="935"/>
      <c r="DD38" s="935"/>
      <c r="DE38" s="867"/>
      <c r="DF38" s="935"/>
      <c r="DG38" s="935"/>
      <c r="DH38" s="935"/>
      <c r="DI38" s="935"/>
      <c r="DJ38" s="935"/>
      <c r="DK38" s="935"/>
      <c r="DL38" s="935"/>
      <c r="DM38" s="935"/>
    </row>
    <row r="39" spans="2:119">
      <c r="L39" s="39"/>
      <c r="M39" s="39"/>
      <c r="N39" s="39"/>
      <c r="O39" s="39"/>
      <c r="P39" s="39"/>
      <c r="DF39" s="84">
        <f t="shared" ref="DF39:DM39" si="12">IF(ISERROR((DF38-T38)/T38),0,(DF38-T38)/T38)</f>
        <v>0</v>
      </c>
      <c r="DG39" s="84">
        <f t="shared" si="12"/>
        <v>0</v>
      </c>
      <c r="DH39" s="84">
        <f t="shared" si="12"/>
        <v>0</v>
      </c>
      <c r="DI39" s="84">
        <f t="shared" si="12"/>
        <v>0</v>
      </c>
      <c r="DJ39" s="84">
        <f t="shared" si="12"/>
        <v>0</v>
      </c>
      <c r="DK39" s="84">
        <f t="shared" si="12"/>
        <v>0</v>
      </c>
      <c r="DL39" s="84">
        <f t="shared" si="12"/>
        <v>0</v>
      </c>
      <c r="DM39" s="84">
        <f t="shared" si="12"/>
        <v>0</v>
      </c>
    </row>
    <row r="40" spans="2:119">
      <c r="W40" s="39"/>
      <c r="X40" s="39"/>
      <c r="Y40" s="39"/>
      <c r="Z40" s="39"/>
      <c r="AA40" s="39"/>
    </row>
    <row r="41" spans="2:119">
      <c r="W41" s="39"/>
      <c r="X41" s="39"/>
      <c r="Y41" s="39"/>
      <c r="Z41" s="39"/>
      <c r="AA41" s="39"/>
      <c r="AB41" s="52"/>
      <c r="DF41" s="39"/>
      <c r="DG41" s="39"/>
      <c r="DH41" s="39"/>
      <c r="DI41" s="39"/>
      <c r="DJ41" s="39"/>
      <c r="DK41" s="39"/>
      <c r="DL41" s="39"/>
      <c r="DM41" s="39"/>
    </row>
    <row r="42" spans="2:119">
      <c r="DF42" s="39"/>
      <c r="DG42" s="39"/>
      <c r="DH42" s="39"/>
      <c r="DI42" s="39"/>
      <c r="DJ42" s="39"/>
      <c r="DK42" s="39"/>
      <c r="DL42" s="39"/>
      <c r="DM42" s="39"/>
    </row>
    <row r="43" spans="2:119">
      <c r="W43" s="39"/>
      <c r="X43" s="39"/>
      <c r="Y43" s="39"/>
      <c r="Z43" s="39"/>
      <c r="AA43" s="39"/>
      <c r="DF43" s="39"/>
      <c r="DG43" s="39"/>
      <c r="DH43" s="39"/>
      <c r="DI43" s="39"/>
      <c r="DJ43" s="39"/>
      <c r="DK43" s="39"/>
      <c r="DL43" s="39"/>
      <c r="DM43" s="39"/>
    </row>
    <row r="44" spans="2:119">
      <c r="DF44" s="39"/>
      <c r="DG44" s="39"/>
      <c r="DH44" s="39"/>
      <c r="DI44" s="39"/>
      <c r="DJ44" s="39"/>
      <c r="DK44" s="39"/>
      <c r="DL44" s="39"/>
      <c r="DM44" s="39"/>
    </row>
  </sheetData>
  <autoFilter ref="B6:R37" xr:uid="{0E3A0F91-9256-4838-B9C9-7CE89BF712B6}"/>
  <mergeCells count="12">
    <mergeCell ref="M1:N1"/>
    <mergeCell ref="T3:AA3"/>
    <mergeCell ref="AH3:AO3"/>
    <mergeCell ref="CN3:CU3"/>
    <mergeCell ref="DF3:DM3"/>
    <mergeCell ref="CW3:DD3"/>
    <mergeCell ref="J5:Q5"/>
    <mergeCell ref="T5:AA5"/>
    <mergeCell ref="AH5:AO5"/>
    <mergeCell ref="DF5:DM5"/>
    <mergeCell ref="CW5:DD5"/>
    <mergeCell ref="CN5:CU5"/>
  </mergeCells>
  <hyperlinks>
    <hyperlink ref="B2" location="Contents!A1" display="Table of Contents" xr:uid="{00000000-0004-0000-0E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xWindow="1186" yWindow="742" count="5">
        <x14:dataValidation type="list" errorStyle="warning" showInputMessage="1" showErrorMessage="1" error="Invalid data entered" prompt="Select from drop down list" xr:uid="{00000000-0002-0000-0E00-000000000000}">
          <x14:formula1>
            <xm:f>Lookups!$C$5:$C$13</xm:f>
          </x14:formula1>
          <xm:sqref>E7:E37</xm:sqref>
        </x14:dataValidation>
        <x14:dataValidation type="list" errorStyle="warning" showInputMessage="1" showErrorMessage="1" error="Invalid data entered" prompt="Select from drop down list" xr:uid="{00000000-0002-0000-0E00-000001000000}">
          <x14:formula1>
            <xm:f>Lookups!$C$16:$C$27</xm:f>
          </x14:formula1>
          <xm:sqref>F7:F37</xm:sqref>
        </x14:dataValidation>
        <x14:dataValidation type="list" errorStyle="warning" allowBlank="1" showInputMessage="1" showErrorMessage="1" prompt="Select from drop down list" xr:uid="{00000000-0002-0000-0E00-000002000000}">
          <x14:formula1>
            <xm:f>Lab_Mat!$C$62:$C$98</xm:f>
          </x14:formula1>
          <xm:sqref>I7:I37</xm:sqref>
        </x14:dataValidation>
        <x14:dataValidation type="list" errorStyle="warning" showInputMessage="1" showErrorMessage="1" error="Invalid data entered" prompt="Select from drop down list" xr:uid="{00000000-0002-0000-0E00-000003000000}">
          <x14:formula1>
            <xm:f>Lookups!$I$5:$I$10</xm:f>
          </x14:formula1>
          <xm:sqref>G7:G37</xm:sqref>
        </x14:dataValidation>
        <x14:dataValidation type="list" errorStyle="warning" allowBlank="1" showInputMessage="1" showErrorMessage="1" prompt="Select from drop down list" xr:uid="{00000000-0002-0000-0E00-000004000000}">
          <x14:formula1>
            <xm:f>Lab_Mat!$C$13:$C$22</xm:f>
          </x14:formula1>
          <xm:sqref>H7:H37</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CX41"/>
  <sheetViews>
    <sheetView zoomScale="85" zoomScaleNormal="85" zoomScalePageLayoutView="125" workbookViewId="0">
      <pane xSplit="9" topLeftCell="J1" activePane="topRight" state="frozen"/>
      <selection activeCell="V33" sqref="V33"/>
      <selection pane="topRight" activeCell="C4" sqref="C4"/>
    </sheetView>
  </sheetViews>
  <sheetFormatPr defaultColWidth="8.85546875" defaultRowHeight="15" outlineLevelCol="1"/>
  <cols>
    <col min="1" max="1" width="4" style="1" customWidth="1"/>
    <col min="2" max="2" width="12.42578125" style="1" customWidth="1"/>
    <col min="3" max="3" width="62" style="1" customWidth="1"/>
    <col min="4" max="4" width="29" style="1" bestFit="1" customWidth="1"/>
    <col min="5" max="5" width="21.42578125" style="1" hidden="1" customWidth="1" outlineLevel="1"/>
    <col min="6" max="7" width="28.42578125" style="1" hidden="1" customWidth="1" outlineLevel="1"/>
    <col min="8" max="8" width="17.140625" style="1" hidden="1" customWidth="1" outlineLevel="1"/>
    <col min="9" max="9" width="19.42578125" style="1" hidden="1" customWidth="1" outlineLevel="1"/>
    <col min="10" max="10" width="9.7109375" style="1" customWidth="1" collapsed="1"/>
    <col min="11" max="17" width="9.7109375" style="1" customWidth="1"/>
    <col min="18" max="18" width="3.2851562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2" ht="18.75">
      <c r="B1" s="10" t="s">
        <v>3</v>
      </c>
      <c r="M1" s="969" t="s">
        <v>737</v>
      </c>
      <c r="N1" s="969"/>
    </row>
    <row r="2" spans="2:102">
      <c r="B2" s="25" t="s">
        <v>6</v>
      </c>
    </row>
    <row r="3" spans="2:102">
      <c r="J3" s="964"/>
      <c r="K3" s="964"/>
      <c r="L3" s="964"/>
      <c r="M3" s="964"/>
      <c r="N3" s="964"/>
      <c r="O3" s="964"/>
      <c r="P3" s="964"/>
      <c r="Q3" s="964"/>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2:102" ht="45">
      <c r="C4" s="306"/>
      <c r="E4" s="34"/>
      <c r="J4" s="961" t="s">
        <v>378</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379</v>
      </c>
      <c r="CR4" s="962"/>
      <c r="CS4" s="962"/>
      <c r="CT4" s="962"/>
      <c r="CU4" s="962"/>
      <c r="CV4" s="962"/>
      <c r="CW4" s="962"/>
      <c r="CX4" s="963"/>
    </row>
    <row r="5" spans="2:102">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v>44348</v>
      </c>
      <c r="CT5" s="331">
        <f>Yr_1</f>
        <v>44742</v>
      </c>
      <c r="CU5" s="331">
        <f>Yr_2</f>
        <v>45107</v>
      </c>
      <c r="CV5" s="331">
        <f>Yr_3</f>
        <v>45473</v>
      </c>
      <c r="CW5" s="331">
        <f>Yr_4</f>
        <v>45838</v>
      </c>
      <c r="CX5" s="331">
        <f>Yr_5</f>
        <v>46203</v>
      </c>
    </row>
    <row r="6" spans="2:102">
      <c r="B6" s="7"/>
      <c r="C6" s="7" t="s">
        <v>537</v>
      </c>
      <c r="D6" s="7" t="s">
        <v>536</v>
      </c>
      <c r="E6" s="7" t="s">
        <v>48</v>
      </c>
      <c r="F6" s="7" t="s">
        <v>130</v>
      </c>
      <c r="G6" s="7" t="s">
        <v>150</v>
      </c>
      <c r="H6" s="7" t="s">
        <v>5</v>
      </c>
      <c r="I6" s="7" t="s">
        <v>204</v>
      </c>
      <c r="J6" s="45"/>
      <c r="K6" s="45"/>
      <c r="L6" s="45"/>
      <c r="M6" s="128">
        <v>549.5</v>
      </c>
      <c r="N6" s="128">
        <v>549.5</v>
      </c>
      <c r="O6" s="128">
        <v>549.5</v>
      </c>
      <c r="P6" s="128">
        <v>549.5</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56.665787300137403</v>
      </c>
      <c r="W6" s="128">
        <f>INDEX(Direct_Cost_Splits_Network,MATCH($H6,RIN_Asset_Cat_Network,0),MATCH($S$4,Direct_Cost_Type,0))*N6*HLOOKUP(W$5,Escalators!$I$25:$U$30,3,FALSE)</f>
        <v>56.946900232576297</v>
      </c>
      <c r="X6" s="128">
        <f>INDEX(Direct_Cost_Splits_Network,MATCH($H6,RIN_Asset_Cat_Network,0),MATCH($S$4,Direct_Cost_Type,0))*O6*HLOOKUP(X$5,Escalators!$I$25:$U$30,3,FALSE)</f>
        <v>57.317771345084296</v>
      </c>
      <c r="Y6" s="128">
        <f>INDEX(Direct_Cost_Splits_Network,MATCH($H6,RIN_Asset_Cat_Network,0),MATCH($S$4,Direct_Cost_Type,0))*P6*HLOOKUP(Y$5,Escalators!$I$25:$U$30,3,FALSE)</f>
        <v>57.887202796643415</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24.166913468912824</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96.667653875651297</v>
      </c>
      <c r="AY6" s="128">
        <f>SUM(AT6:AX6)</f>
        <v>120.83456734456412</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24.166913468912824</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96.667653875651297</v>
      </c>
      <c r="BE6" s="128">
        <f>SUM(AZ6:BD6)</f>
        <v>120.83456734456412</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24.166913468912824</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96.667653875651297</v>
      </c>
      <c r="BK6" s="128">
        <f>SUM(BF6:BJ6)</f>
        <v>120.83456734456412</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24.166913468912824</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96.667653875651297</v>
      </c>
      <c r="BQ6" s="128">
        <f>SUM(BL6:BP6)</f>
        <v>120.83456734456412</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323.69975823630296</v>
      </c>
      <c r="CC6" s="128">
        <f>INDEX(Direct_Cost_Splits_Network,MATCH($H6,RIN_Asset_Cat_Network,0),MATCH($BY$4,Direct_Cost_Type,0))*N6*HLOOKUP(CC$5,Escalators!$I$25:$U$30,6,FALSE)</f>
        <v>323.69975823630296</v>
      </c>
      <c r="CD6" s="128">
        <f>INDEX(Direct_Cost_Splits_Network,MATCH($H6,RIN_Asset_Cat_Network,0),MATCH($BY$4,Direct_Cost_Type,0))*O6*HLOOKUP(CD$5,Escalators!$I$25:$U$30,6,FALSE)</f>
        <v>323.69975823630296</v>
      </c>
      <c r="CE6" s="128">
        <f>INDEX(Direct_Cost_Splits_Network,MATCH($H6,RIN_Asset_Cat_Network,0),MATCH($BY$4,Direct_Cost_Type,0))*P6*HLOOKUP(CE$5,Escalators!$I$25:$U$30,6,FALSE)</f>
        <v>323.69975823630296</v>
      </c>
      <c r="CF6" s="128">
        <f>INDEX(Direct_Cost_Splits_Network,MATCH($H6,RIN_Asset_Cat_Network,0),MATCH($BY$4,Direct_Cost_Type,0))*Q6*HLOOKUP(CF$5,Escalators!$I$25:$U$30,6,FALSE)</f>
        <v>0</v>
      </c>
      <c r="CG6" s="129"/>
      <c r="CH6" s="675">
        <f t="shared" ref="CH6:CH15" si="8">INDEX(Direct_Cost_Splits_Network,MATCH($H6,RIN_Asset_Cat_Network,0),MATCH($CH$4,Direct_Cost_Type,0))*J6</f>
        <v>0</v>
      </c>
      <c r="CI6" s="675">
        <f t="shared" ref="CI6:CI15" si="9">INDEX(Direct_Cost_Splits_Network,MATCH($H6,RIN_Asset_Cat_Network,0),MATCH($CH$4,Direct_Cost_Type,0))*K6</f>
        <v>0</v>
      </c>
      <c r="CJ6" s="675">
        <f t="shared" ref="CJ6:CJ15" si="10">INDEX(Direct_Cost_Splits_Network,MATCH($H6,RIN_Asset_Cat_Network,0),MATCH($CH$4,Direct_Cost_Type,0))*L6</f>
        <v>0</v>
      </c>
      <c r="CK6" s="675">
        <f t="shared" ref="CK6:CK15" si="11">INDEX(Direct_Cost_Splits_Network,MATCH($H6,RIN_Asset_Cat_Network,0),MATCH($CH$4,Direct_Cost_Type,0))*M6</f>
        <v>50.094151940237111</v>
      </c>
      <c r="CL6" s="675">
        <f t="shared" ref="CL6:CL15" si="12">INDEX(Direct_Cost_Splits_Network,MATCH($H6,RIN_Asset_Cat_Network,0),MATCH($CH$4,Direct_Cost_Type,0))*N6</f>
        <v>50.094151940237111</v>
      </c>
      <c r="CM6" s="675">
        <f t="shared" ref="CM6:CM15" si="13">INDEX(Direct_Cost_Splits_Network,MATCH($H6,RIN_Asset_Cat_Network,0),MATCH($CH$4,Direct_Cost_Type,0))*O6</f>
        <v>50.094151940237111</v>
      </c>
      <c r="CN6" s="675">
        <f t="shared" ref="CN6:CN15" si="14">INDEX(Direct_Cost_Splits_Network,MATCH($H6,RIN_Asset_Cat_Network,0),MATCH($CH$4,Direct_Cost_Type,0))*P6</f>
        <v>50.094151940237111</v>
      </c>
      <c r="CO6" s="675">
        <f t="shared" ref="CO6:CO15" si="15">INDEX(Direct_Cost_Splits_Network,MATCH($H6,RIN_Asset_Cat_Network,0),MATCH($CH$4,Direct_Cost_Type,0))*Q6</f>
        <v>0</v>
      </c>
      <c r="CP6" s="129"/>
      <c r="CQ6" s="128">
        <f>S6+AG6+BY6+CH6</f>
        <v>0</v>
      </c>
      <c r="CR6" s="128">
        <f>T6+AM6+BZ6+CI6</f>
        <v>0</v>
      </c>
      <c r="CS6" s="128">
        <f>U6+AS6+CA6+CJ6</f>
        <v>0</v>
      </c>
      <c r="CT6" s="128">
        <f>V6+AY6+CB6+CK6</f>
        <v>551.29426482124154</v>
      </c>
      <c r="CU6" s="128">
        <f>W6+BE6+CC6+CL6</f>
        <v>551.57537775368041</v>
      </c>
      <c r="CV6" s="128">
        <f>X6+BK6+CD6+CM6</f>
        <v>551.94624886618851</v>
      </c>
      <c r="CW6" s="128">
        <f>Y6+BQ6+CE6+CN6</f>
        <v>552.51568031774764</v>
      </c>
      <c r="CX6" s="128">
        <f>Z6+BW6+CF6+CO6</f>
        <v>0</v>
      </c>
    </row>
    <row r="7" spans="2:102">
      <c r="B7" s="7"/>
      <c r="C7" s="7" t="s">
        <v>477</v>
      </c>
      <c r="D7" s="7" t="s">
        <v>99</v>
      </c>
      <c r="E7" s="7" t="s">
        <v>48</v>
      </c>
      <c r="F7" s="7" t="s">
        <v>130</v>
      </c>
      <c r="G7" s="7" t="s">
        <v>150</v>
      </c>
      <c r="H7" s="7" t="s">
        <v>5</v>
      </c>
      <c r="I7" s="7" t="s">
        <v>204</v>
      </c>
      <c r="J7" s="45"/>
      <c r="K7" s="45"/>
      <c r="L7" s="45"/>
      <c r="M7" s="128">
        <v>333.6</v>
      </c>
      <c r="N7" s="128">
        <v>333.6</v>
      </c>
      <c r="O7" s="128">
        <v>333.6</v>
      </c>
      <c r="P7" s="128">
        <v>333.6</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34.401649942358212</v>
      </c>
      <c r="W7" s="128">
        <f>INDEX(Direct_Cost_Splits_Network,MATCH($H7,RIN_Asset_Cat_Network,0),MATCH($S$4,Direct_Cost_Type,0))*N7*HLOOKUP(W$5,Escalators!$I$25:$U$30,3,FALSE)</f>
        <v>34.5723128618516</v>
      </c>
      <c r="X7" s="128">
        <f>INDEX(Direct_Cost_Splits_Network,MATCH($H7,RIN_Asset_Cat_Network,0),MATCH($S$4,Direct_Cost_Type,0))*O7*HLOOKUP(X$5,Escalators!$I$25:$U$30,3,FALSE)</f>
        <v>34.797467735614418</v>
      </c>
      <c r="Y7" s="128">
        <f>INDEX(Direct_Cost_Splits_Network,MATCH($H7,RIN_Asset_Cat_Network,0),MATCH($S$4,Direct_Cost_Type,0))*P7*HLOOKUP(Y$5,Escalators!$I$25:$U$30,3,FALSE)</f>
        <v>35.143168067261591</v>
      </c>
      <c r="Z7" s="128">
        <f>INDEX(Direct_Cost_Splits_Network,MATCH($H7,RIN_Asset_Cat_Network,0),MATCH($S$4,Direct_Cost_Type,0))*Q7*HLOOKUP(Z$5,Escalators!$I$25:$U$30,3,FALSE)</f>
        <v>0</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15" si="16">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15" si="17">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15" si="18">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14.6716693962317</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58.686677584926798</v>
      </c>
      <c r="AY7" s="128">
        <f t="shared" ref="AY7:AY15" si="19">SUM(AT7:AX7)</f>
        <v>73.358346981158491</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14.6716693962317</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58.686677584926798</v>
      </c>
      <c r="BE7" s="128">
        <f t="shared" ref="BE7:BE15" si="20">SUM(AZ7:BD7)</f>
        <v>73.358346981158491</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14.6716693962317</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58.686677584926798</v>
      </c>
      <c r="BK7" s="128">
        <f t="shared" ref="BK7:BK15" si="21">SUM(BF7:BJ7)</f>
        <v>73.358346981158491</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14.6716693962317</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58.686677584926798</v>
      </c>
      <c r="BQ7" s="128">
        <f t="shared" ref="BQ7:BQ15" si="22">SUM(BL7:BP7)</f>
        <v>73.358346981158491</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0</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0</v>
      </c>
      <c r="BW7" s="128">
        <f t="shared" ref="BW7:BW15" si="23">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196.51726905847258</v>
      </c>
      <c r="CC7" s="128">
        <f>INDEX(Direct_Cost_Splits_Network,MATCH($H7,RIN_Asset_Cat_Network,0),MATCH($BY$4,Direct_Cost_Type,0))*N7*HLOOKUP(CC$5,Escalators!$I$25:$U$30,6,FALSE)</f>
        <v>196.51726905847258</v>
      </c>
      <c r="CD7" s="128">
        <f>INDEX(Direct_Cost_Splits_Network,MATCH($H7,RIN_Asset_Cat_Network,0),MATCH($BY$4,Direct_Cost_Type,0))*O7*HLOOKUP(CD$5,Escalators!$I$25:$U$30,6,FALSE)</f>
        <v>196.51726905847258</v>
      </c>
      <c r="CE7" s="128">
        <f>INDEX(Direct_Cost_Splits_Network,MATCH($H7,RIN_Asset_Cat_Network,0),MATCH($BY$4,Direct_Cost_Type,0))*P7*HLOOKUP(CE$5,Escalators!$I$25:$U$30,6,FALSE)</f>
        <v>196.51726905847258</v>
      </c>
      <c r="CF7" s="128">
        <f>INDEX(Direct_Cost_Splits_Network,MATCH($H7,RIN_Asset_Cat_Network,0),MATCH($BY$4,Direct_Cost_Type,0))*Q7*HLOOKUP(CF$5,Escalators!$I$25:$U$30,6,FALSE)</f>
        <v>0</v>
      </c>
      <c r="CG7" s="129"/>
      <c r="CH7" s="675">
        <f t="shared" si="8"/>
        <v>0</v>
      </c>
      <c r="CI7" s="675">
        <f t="shared" si="9"/>
        <v>0</v>
      </c>
      <c r="CJ7" s="675">
        <f t="shared" si="10"/>
        <v>0</v>
      </c>
      <c r="CK7" s="675">
        <f t="shared" si="11"/>
        <v>30.412027456347776</v>
      </c>
      <c r="CL7" s="675">
        <f t="shared" si="12"/>
        <v>30.412027456347776</v>
      </c>
      <c r="CM7" s="675">
        <f t="shared" si="13"/>
        <v>30.412027456347776</v>
      </c>
      <c r="CN7" s="675">
        <f t="shared" si="14"/>
        <v>30.412027456347776</v>
      </c>
      <c r="CO7" s="675">
        <f t="shared" si="15"/>
        <v>0</v>
      </c>
      <c r="CP7" s="129"/>
      <c r="CQ7" s="128">
        <f t="shared" ref="CQ7:CQ36" si="24">S7+AG7+BY7+CH7</f>
        <v>0</v>
      </c>
      <c r="CR7" s="128">
        <f t="shared" ref="CR7:CR36" si="25">T7+AM7+BZ7+CI7</f>
        <v>0</v>
      </c>
      <c r="CS7" s="128">
        <f t="shared" ref="CS7:CS36" si="26">U7+AS7+CA7+CJ7</f>
        <v>0</v>
      </c>
      <c r="CT7" s="128">
        <f t="shared" ref="CT7:CT36" si="27">V7+AY7+CB7+CK7</f>
        <v>334.68929343833707</v>
      </c>
      <c r="CU7" s="128">
        <f t="shared" ref="CU7:CU36" si="28">W7+BE7+CC7+CL7</f>
        <v>334.85995635783047</v>
      </c>
      <c r="CV7" s="128">
        <f t="shared" ref="CV7:CV36" si="29">X7+BK7+CD7+CM7</f>
        <v>335.08511123159326</v>
      </c>
      <c r="CW7" s="128">
        <f t="shared" ref="CW7:CW36" si="30">Y7+BQ7+CE7+CN7</f>
        <v>335.43081156324047</v>
      </c>
      <c r="CX7" s="128">
        <f t="shared" ref="CX7:CX36" si="31">Z7+BW7+CF7+CO7</f>
        <v>0</v>
      </c>
    </row>
    <row r="8" spans="2:102">
      <c r="B8" s="7"/>
      <c r="C8" s="7" t="s">
        <v>438</v>
      </c>
      <c r="D8" s="7" t="s">
        <v>99</v>
      </c>
      <c r="E8" s="7" t="s">
        <v>48</v>
      </c>
      <c r="F8" s="7" t="s">
        <v>130</v>
      </c>
      <c r="G8" s="7" t="s">
        <v>150</v>
      </c>
      <c r="H8" s="7" t="s">
        <v>5</v>
      </c>
      <c r="I8" s="7" t="s">
        <v>204</v>
      </c>
      <c r="J8" s="45"/>
      <c r="K8" s="45"/>
      <c r="L8" s="45"/>
      <c r="M8" s="128">
        <v>115</v>
      </c>
      <c r="N8" s="128">
        <v>115</v>
      </c>
      <c r="O8" s="128">
        <v>115</v>
      </c>
      <c r="P8" s="128">
        <v>115</v>
      </c>
      <c r="Q8" s="128">
        <v>115</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11.85908196454195</v>
      </c>
      <c r="W8" s="128">
        <f>INDEX(Direct_Cost_Splits_Network,MATCH($H8,RIN_Asset_Cat_Network,0),MATCH($S$4,Direct_Cost_Type,0))*N8*HLOOKUP(W$5,Escalators!$I$25:$U$30,3,FALSE)</f>
        <v>11.917913606453638</v>
      </c>
      <c r="X8" s="128">
        <f>INDEX(Direct_Cost_Splits_Network,MATCH($H8,RIN_Asset_Cat_Network,0),MATCH($S$4,Direct_Cost_Type,0))*O8*HLOOKUP(X$5,Escalators!$I$25:$U$30,3,FALSE)</f>
        <v>11.995529944831109</v>
      </c>
      <c r="Y8" s="128">
        <f>INDEX(Direct_Cost_Splits_Network,MATCH($H8,RIN_Asset_Cat_Network,0),MATCH($S$4,Direct_Cost_Type,0))*P8*HLOOKUP(Y$5,Escalators!$I$25:$U$30,3,FALSE)</f>
        <v>12.114701222227467</v>
      </c>
      <c r="Z8" s="128">
        <f>INDEX(Direct_Cost_Splits_Network,MATCH($H8,RIN_Asset_Cat_Network,0),MATCH($S$4,Direct_Cost_Type,0))*Q8*HLOOKUP(Z$5,Escalators!$I$25:$U$30,3,FALSE)</f>
        <v>12.27310607470292</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6"/>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7"/>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8"/>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5.0576797978616463</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20.230719191446585</v>
      </c>
      <c r="AY8" s="128">
        <f t="shared" si="19"/>
        <v>25.288398989308231</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5.0576797978616463</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20.230719191446585</v>
      </c>
      <c r="BE8" s="128">
        <f t="shared" si="20"/>
        <v>25.288398989308231</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5.0576797978616463</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20.230719191446585</v>
      </c>
      <c r="BK8" s="128">
        <f t="shared" si="21"/>
        <v>25.288398989308231</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5.0576797978616463</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20.230719191446585</v>
      </c>
      <c r="BQ8" s="128">
        <f t="shared" si="22"/>
        <v>25.288398989308231</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5.0576797978616463</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20.230719191446585</v>
      </c>
      <c r="BW8" s="128">
        <f t="shared" si="23"/>
        <v>25.288398989308231</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67.74426241524084</v>
      </c>
      <c r="CC8" s="128">
        <f>INDEX(Direct_Cost_Splits_Network,MATCH($H8,RIN_Asset_Cat_Network,0),MATCH($BY$4,Direct_Cost_Type,0))*N8*HLOOKUP(CC$5,Escalators!$I$25:$U$30,6,FALSE)</f>
        <v>67.74426241524084</v>
      </c>
      <c r="CD8" s="128">
        <f>INDEX(Direct_Cost_Splits_Network,MATCH($H8,RIN_Asset_Cat_Network,0),MATCH($BY$4,Direct_Cost_Type,0))*O8*HLOOKUP(CD$5,Escalators!$I$25:$U$30,6,FALSE)</f>
        <v>67.74426241524084</v>
      </c>
      <c r="CE8" s="128">
        <f>INDEX(Direct_Cost_Splits_Network,MATCH($H8,RIN_Asset_Cat_Network,0),MATCH($BY$4,Direct_Cost_Type,0))*P8*HLOOKUP(CE$5,Escalators!$I$25:$U$30,6,FALSE)</f>
        <v>67.74426241524084</v>
      </c>
      <c r="CF8" s="128">
        <f>INDEX(Direct_Cost_Splits_Network,MATCH($H8,RIN_Asset_Cat_Network,0),MATCH($BY$4,Direct_Cost_Type,0))*Q8*HLOOKUP(CF$5,Escalators!$I$25:$U$30,6,FALSE)</f>
        <v>67.74426241524084</v>
      </c>
      <c r="CG8" s="129"/>
      <c r="CH8" s="675">
        <f t="shared" si="8"/>
        <v>0</v>
      </c>
      <c r="CI8" s="675">
        <f t="shared" si="9"/>
        <v>0</v>
      </c>
      <c r="CJ8" s="675">
        <f t="shared" si="10"/>
        <v>0</v>
      </c>
      <c r="CK8" s="675">
        <f t="shared" si="11"/>
        <v>10.483762462470006</v>
      </c>
      <c r="CL8" s="675">
        <f t="shared" si="12"/>
        <v>10.483762462470006</v>
      </c>
      <c r="CM8" s="675">
        <f t="shared" si="13"/>
        <v>10.483762462470006</v>
      </c>
      <c r="CN8" s="675">
        <f t="shared" si="14"/>
        <v>10.483762462470006</v>
      </c>
      <c r="CO8" s="675">
        <f t="shared" si="15"/>
        <v>10.483762462470006</v>
      </c>
      <c r="CP8" s="129"/>
      <c r="CQ8" s="128">
        <f t="shared" si="24"/>
        <v>0</v>
      </c>
      <c r="CR8" s="128">
        <f t="shared" si="25"/>
        <v>0</v>
      </c>
      <c r="CS8" s="128">
        <f t="shared" si="26"/>
        <v>0</v>
      </c>
      <c r="CT8" s="128">
        <f t="shared" si="27"/>
        <v>115.37550583156103</v>
      </c>
      <c r="CU8" s="128">
        <f t="shared" si="28"/>
        <v>115.43433747347272</v>
      </c>
      <c r="CV8" s="128">
        <f t="shared" si="29"/>
        <v>115.51195381185019</v>
      </c>
      <c r="CW8" s="128">
        <f t="shared" si="30"/>
        <v>115.63112508924655</v>
      </c>
      <c r="CX8" s="128">
        <f t="shared" si="31"/>
        <v>115.78952994172199</v>
      </c>
    </row>
    <row r="9" spans="2:102">
      <c r="B9" s="7"/>
      <c r="C9" s="7" t="s">
        <v>474</v>
      </c>
      <c r="D9" s="7" t="s">
        <v>99</v>
      </c>
      <c r="E9" s="7" t="s">
        <v>48</v>
      </c>
      <c r="F9" s="7" t="s">
        <v>130</v>
      </c>
      <c r="G9" s="7" t="s">
        <v>150</v>
      </c>
      <c r="H9" s="7" t="s">
        <v>5</v>
      </c>
      <c r="I9" s="7" t="s">
        <v>204</v>
      </c>
      <c r="J9" s="45"/>
      <c r="K9" s="45"/>
      <c r="L9" s="45"/>
      <c r="M9" s="128"/>
      <c r="N9" s="128"/>
      <c r="O9" s="128"/>
      <c r="P9" s="128"/>
      <c r="Q9" s="128"/>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0</v>
      </c>
      <c r="W9" s="128">
        <f>INDEX(Direct_Cost_Splits_Network,MATCH($H9,RIN_Asset_Cat_Network,0),MATCH($S$4,Direct_Cost_Type,0))*N9*HLOOKUP(W$5,Escalators!$I$25:$U$30,3,FALSE)</f>
        <v>0</v>
      </c>
      <c r="X9" s="128">
        <f>INDEX(Direct_Cost_Splits_Network,MATCH($H9,RIN_Asset_Cat_Network,0),MATCH($S$4,Direct_Cost_Type,0))*O9*HLOOKUP(X$5,Escalators!$I$25:$U$30,3,FALSE)</f>
        <v>0</v>
      </c>
      <c r="Y9" s="128">
        <f>INDEX(Direct_Cost_Splits_Network,MATCH($H9,RIN_Asset_Cat_Network,0),MATCH($S$4,Direct_Cost_Type,0))*P9*HLOOKUP(Y$5,Escalators!$I$25:$U$30,3,FALSE)</f>
        <v>0</v>
      </c>
      <c r="Z9" s="128">
        <f>INDEX(Direct_Cost_Splits_Network,MATCH($H9,RIN_Asset_Cat_Network,0),MATCH($S$4,Direct_Cost_Type,0))*Q9*HLOOKUP(Z$5,Escalators!$I$25:$U$30,3,FALSE)</f>
        <v>0</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6"/>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7"/>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8"/>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0</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0</v>
      </c>
      <c r="AY9" s="128">
        <f t="shared" si="19"/>
        <v>0</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0</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0</v>
      </c>
      <c r="BE9" s="128">
        <f t="shared" si="20"/>
        <v>0</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0</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0</v>
      </c>
      <c r="BK9" s="128">
        <f t="shared" si="21"/>
        <v>0</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0</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0</v>
      </c>
      <c r="BQ9" s="128">
        <f t="shared" si="22"/>
        <v>0</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0</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0</v>
      </c>
      <c r="BW9" s="128">
        <f t="shared" si="23"/>
        <v>0</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0</v>
      </c>
      <c r="CC9" s="128">
        <f>INDEX(Direct_Cost_Splits_Network,MATCH($H9,RIN_Asset_Cat_Network,0),MATCH($BY$4,Direct_Cost_Type,0))*N9*HLOOKUP(CC$5,Escalators!$I$25:$U$30,6,FALSE)</f>
        <v>0</v>
      </c>
      <c r="CD9" s="128">
        <f>INDEX(Direct_Cost_Splits_Network,MATCH($H9,RIN_Asset_Cat_Network,0),MATCH($BY$4,Direct_Cost_Type,0))*O9*HLOOKUP(CD$5,Escalators!$I$25:$U$30,6,FALSE)</f>
        <v>0</v>
      </c>
      <c r="CE9" s="128">
        <f>INDEX(Direct_Cost_Splits_Network,MATCH($H9,RIN_Asset_Cat_Network,0),MATCH($BY$4,Direct_Cost_Type,0))*P9*HLOOKUP(CE$5,Escalators!$I$25:$U$30,6,FALSE)</f>
        <v>0</v>
      </c>
      <c r="CF9" s="128">
        <f>INDEX(Direct_Cost_Splits_Network,MATCH($H9,RIN_Asset_Cat_Network,0),MATCH($BY$4,Direct_Cost_Type,0))*Q9*HLOOKUP(CF$5,Escalators!$I$25:$U$30,6,FALSE)</f>
        <v>0</v>
      </c>
      <c r="CG9" s="129"/>
      <c r="CH9" s="675">
        <f t="shared" si="8"/>
        <v>0</v>
      </c>
      <c r="CI9" s="675">
        <f t="shared" si="9"/>
        <v>0</v>
      </c>
      <c r="CJ9" s="675">
        <f t="shared" si="10"/>
        <v>0</v>
      </c>
      <c r="CK9" s="675">
        <f t="shared" si="11"/>
        <v>0</v>
      </c>
      <c r="CL9" s="675">
        <f t="shared" si="12"/>
        <v>0</v>
      </c>
      <c r="CM9" s="675">
        <f t="shared" si="13"/>
        <v>0</v>
      </c>
      <c r="CN9" s="675">
        <f t="shared" si="14"/>
        <v>0</v>
      </c>
      <c r="CO9" s="675">
        <f t="shared" si="15"/>
        <v>0</v>
      </c>
      <c r="CP9" s="129"/>
      <c r="CQ9" s="128">
        <f t="shared" si="24"/>
        <v>0</v>
      </c>
      <c r="CR9" s="128">
        <f t="shared" si="25"/>
        <v>0</v>
      </c>
      <c r="CS9" s="128">
        <f t="shared" si="26"/>
        <v>0</v>
      </c>
      <c r="CT9" s="128">
        <f t="shared" si="27"/>
        <v>0</v>
      </c>
      <c r="CU9" s="128">
        <f t="shared" si="28"/>
        <v>0</v>
      </c>
      <c r="CV9" s="128">
        <f t="shared" si="29"/>
        <v>0</v>
      </c>
      <c r="CW9" s="128">
        <f t="shared" si="30"/>
        <v>0</v>
      </c>
      <c r="CX9" s="128">
        <f t="shared" si="31"/>
        <v>0</v>
      </c>
    </row>
    <row r="10" spans="2:102">
      <c r="B10" s="7"/>
      <c r="C10" s="7" t="s">
        <v>97</v>
      </c>
      <c r="D10" s="7" t="s">
        <v>99</v>
      </c>
      <c r="E10" s="7" t="s">
        <v>48</v>
      </c>
      <c r="F10" s="7" t="s">
        <v>130</v>
      </c>
      <c r="G10" s="7" t="s">
        <v>150</v>
      </c>
      <c r="H10" s="7" t="s">
        <v>5</v>
      </c>
      <c r="I10" s="7" t="s">
        <v>204</v>
      </c>
      <c r="J10" s="45"/>
      <c r="K10" s="45"/>
      <c r="L10" s="45"/>
      <c r="M10" s="937"/>
      <c r="N10" s="937"/>
      <c r="O10" s="937"/>
      <c r="P10" s="937"/>
      <c r="Q10" s="937"/>
      <c r="R10" s="867"/>
      <c r="S10" s="937"/>
      <c r="T10" s="937"/>
      <c r="U10" s="937"/>
      <c r="V10" s="937"/>
      <c r="W10" s="937"/>
      <c r="X10" s="937"/>
      <c r="Y10" s="937"/>
      <c r="Z10" s="937"/>
      <c r="AA10" s="86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867"/>
      <c r="BY10" s="937"/>
      <c r="BZ10" s="937"/>
      <c r="CA10" s="937"/>
      <c r="CB10" s="937"/>
      <c r="CC10" s="937"/>
      <c r="CD10" s="937"/>
      <c r="CE10" s="937"/>
      <c r="CF10" s="937"/>
      <c r="CG10" s="867"/>
      <c r="CH10" s="936"/>
      <c r="CI10" s="936"/>
      <c r="CJ10" s="936"/>
      <c r="CK10" s="936"/>
      <c r="CL10" s="936"/>
      <c r="CM10" s="936"/>
      <c r="CN10" s="936"/>
      <c r="CO10" s="936"/>
      <c r="CP10" s="867"/>
      <c r="CQ10" s="937"/>
      <c r="CR10" s="937"/>
      <c r="CS10" s="937"/>
      <c r="CT10" s="937"/>
      <c r="CU10" s="937"/>
      <c r="CV10" s="937"/>
      <c r="CW10" s="937"/>
      <c r="CX10" s="937"/>
    </row>
    <row r="11" spans="2:102">
      <c r="B11" s="7"/>
      <c r="C11" s="7" t="s">
        <v>475</v>
      </c>
      <c r="D11" s="7" t="s">
        <v>99</v>
      </c>
      <c r="E11" s="7" t="s">
        <v>48</v>
      </c>
      <c r="F11" s="7" t="s">
        <v>130</v>
      </c>
      <c r="G11" s="7" t="s">
        <v>150</v>
      </c>
      <c r="H11" s="7" t="s">
        <v>5</v>
      </c>
      <c r="I11" s="7" t="s">
        <v>204</v>
      </c>
      <c r="J11" s="45"/>
      <c r="K11" s="45"/>
      <c r="L11" s="45"/>
      <c r="M11" s="128">
        <v>1110.1199999999999</v>
      </c>
      <c r="N11" s="128">
        <v>1110.1199999999999</v>
      </c>
      <c r="O11" s="128">
        <v>1110.1199999999999</v>
      </c>
      <c r="P11" s="128">
        <v>1110.1199999999999</v>
      </c>
      <c r="Q11" s="128">
        <v>0</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114.47829626502008</v>
      </c>
      <c r="W11" s="128">
        <f>INDEX(Direct_Cost_Splits_Network,MATCH($H11,RIN_Asset_Cat_Network,0),MATCH($S$4,Direct_Cost_Type,0))*N11*HLOOKUP(W$5,Escalators!$I$25:$U$30,3,FALSE)</f>
        <v>115.04621089388097</v>
      </c>
      <c r="X11" s="128">
        <f>INDEX(Direct_Cost_Splits_Network,MATCH($H11,RIN_Asset_Cat_Network,0),MATCH($S$4,Direct_Cost_Type,0))*O11*HLOOKUP(X$5,Escalators!$I$25:$U$30,3,FALSE)</f>
        <v>115.79545828135572</v>
      </c>
      <c r="Y11" s="128">
        <f>INDEX(Direct_Cost_Splits_Network,MATCH($H11,RIN_Asset_Cat_Network,0),MATCH($S$4,Direct_Cost_Type,0))*P11*HLOOKUP(Y$5,Escalators!$I$25:$U$30,3,FALSE)</f>
        <v>116.9458445288622</v>
      </c>
      <c r="Z11" s="128">
        <f>INDEX(Direct_Cost_Splits_Network,MATCH($H11,RIN_Asset_Cat_Network,0),MATCH($S$4,Direct_Cost_Type,0))*Q11*HLOOKUP(Z$5,Escalators!$I$25:$U$30,3,FALSE)</f>
        <v>0</v>
      </c>
      <c r="AA11" s="129"/>
      <c r="AB11" s="128">
        <f>INDEX(Direct_Cost_Splits_Network,MATCH($H11,RIN_Asset_Cat_Network,0),MATCH($AG$4,Direct_Cost_Type,0))*$J11*INDEX(Act_Type_Repex_Splits,MATCH($I11,Act_Type_Repex,0),MATCH(AB$4,Mat_Type,0))*INDEX(Escalators!$I$44:$Q$49,MATCH(AB$4,Escalators!$C$44:$C$49,0),MATCH(AB$5,Escalators!$I$43:$Q$43,0))</f>
        <v>0</v>
      </c>
      <c r="AC11" s="128">
        <f>INDEX(Direct_Cost_Splits_Network,MATCH($H11,RIN_Asset_Cat_Network,0),MATCH($AG$4,Direct_Cost_Type,0))*$J11*INDEX(Act_Type_Repex_Splits,MATCH($I11,Act_Type_Repex,0),MATCH(AC$4,Mat_Type,0))*INDEX(Escalators!$I$44:$Q$49,MATCH(AC$4,Escalators!$C$44:$C$49,0),MATCH(AC$5,Escalators!$I$43:$Q$43,0))</f>
        <v>0</v>
      </c>
      <c r="AD11" s="128">
        <f>INDEX(Direct_Cost_Splits_Network,MATCH($H11,RIN_Asset_Cat_Network,0),MATCH($AG$4,Direct_Cost_Type,0))*$J11*INDEX(Act_Type_Repex_Splits,MATCH($I11,Act_Type_Repex,0),MATCH(AD$4,Mat_Type,0))*INDEX(Escalators!$I$44:$Q$49,MATCH(AD$4,Escalators!$C$44:$C$49,0),MATCH(AD$5,Escalators!$I$43:$Q$43,0))</f>
        <v>0</v>
      </c>
      <c r="AE11" s="128">
        <f>INDEX(Direct_Cost_Splits_Network,MATCH($H11,RIN_Asset_Cat_Network,0),MATCH($AG$4,Direct_Cost_Type,0))*$J11*INDEX(Act_Type_Repex_Splits,MATCH($I11,Act_Type_Repex,0),MATCH(AE$4,Mat_Type,0))*INDEX(Escalators!$I$44:$Q$49,MATCH(AE$4,Escalators!$C$44:$C$49,0),MATCH(AE$5,Escalators!$I$43:$Q$43,0))</f>
        <v>0</v>
      </c>
      <c r="AF11" s="128">
        <f>INDEX(Direct_Cost_Splits_Network,MATCH($H11,RIN_Asset_Cat_Network,0),MATCH($AG$4,Direct_Cost_Type,0))*$J11*INDEX(Act_Type_Repex_Splits,MATCH($I11,Act_Type_Repex,0),MATCH(AF$4,Mat_Type,0))*INDEX(Escalators!$I$44:$Q$49,MATCH(AF$4,Escalators!$C$44:$C$49,0),MATCH(AF$5,Escalators!$I$43:$Q$43,0))</f>
        <v>0</v>
      </c>
      <c r="AG11" s="128">
        <f t="shared" si="16"/>
        <v>0</v>
      </c>
      <c r="AH11" s="128">
        <f>INDEX(Direct_Cost_Splits_Network,MATCH($H11,RIN_Asset_Cat_Network,0),MATCH($AY$4,Direct_Cost_Type,0))*$K11*INDEX(Act_Type_Repex_Splits,MATCH($I11,Act_Type_Repex,0),MATCH(AH$4,Mat_Type,0))*INDEX(Escalators!$I$44:$U$49,MATCH(AH$4,Escalators!$C$44:$C$49,0),MATCH(AH$5,Escalators!$I$43:$U$43,0))</f>
        <v>0</v>
      </c>
      <c r="AI11" s="128">
        <f>INDEX(Direct_Cost_Splits_Network,MATCH($H11,RIN_Asset_Cat_Network,0),MATCH($AY$4,Direct_Cost_Type,0))*$K11*INDEX(Act_Type_Repex_Splits,MATCH($I11,Act_Type_Repex,0),MATCH(AI$4,Mat_Type,0))*INDEX(Escalators!$I$44:$U$49,MATCH(AI$4,Escalators!$C$44:$C$49,0),MATCH(AI$5,Escalators!$I$43:$U$43,0))</f>
        <v>0</v>
      </c>
      <c r="AJ11" s="128">
        <f>INDEX(Direct_Cost_Splits_Network,MATCH($H11,RIN_Asset_Cat_Network,0),MATCH($AY$4,Direct_Cost_Type,0))*$K11*INDEX(Act_Type_Repex_Splits,MATCH($I11,Act_Type_Repex,0),MATCH(AJ$4,Mat_Type,0))*INDEX(Escalators!$I$44:$U$49,MATCH(AJ$4,Escalators!$C$44:$C$49,0),MATCH(AJ$5,Escalators!$I$43:$U$43,0))</f>
        <v>0</v>
      </c>
      <c r="AK11" s="128">
        <f>INDEX(Direct_Cost_Splits_Network,MATCH($H11,RIN_Asset_Cat_Network,0),MATCH($AY$4,Direct_Cost_Type,0))*$K11*INDEX(Act_Type_Repex_Splits,MATCH($I11,Act_Type_Repex,0),MATCH(AK$4,Mat_Type,0))*INDEX(Escalators!$I$44:$U$49,MATCH(AK$4,Escalators!$C$44:$C$49,0),MATCH(AK$5,Escalators!$I$43:$U$43,0))</f>
        <v>0</v>
      </c>
      <c r="AL11" s="128">
        <f>INDEX(Direct_Cost_Splits_Network,MATCH($H11,RIN_Asset_Cat_Network,0),MATCH($AY$4,Direct_Cost_Type,0))*$K11*INDEX(Act_Type_Repex_Splits,MATCH($I11,Act_Type_Repex,0),MATCH(AL$4,Mat_Type,0))*INDEX(Escalators!$I$44:$U$49,MATCH(AL$4,Escalators!$C$44:$C$49,0),MATCH(AL$5,Escalators!$I$43:$U$43,0))</f>
        <v>0</v>
      </c>
      <c r="AM11" s="128">
        <f t="shared" si="17"/>
        <v>0</v>
      </c>
      <c r="AN11" s="128">
        <f>INDEX(Direct_Cost_Splits_Network,MATCH($H11,RIN_Asset_Cat_Network,0),MATCH($AY$4,Direct_Cost_Type,0))*$L11*INDEX(Act_Type_Repex_Splits,MATCH($I11,Act_Type_Repex,0),MATCH(AN$4,Mat_Type,0))*INDEX(Escalators!$I$44:$U$49,MATCH(AN$4,Escalators!$C$44:$C$49,0),MATCH(AN$5,Escalators!$I$43:$U$43,0))</f>
        <v>0</v>
      </c>
      <c r="AO11" s="128">
        <f>INDEX(Direct_Cost_Splits_Network,MATCH($H11,RIN_Asset_Cat_Network,0),MATCH($AY$4,Direct_Cost_Type,0))*$L11*INDEX(Act_Type_Repex_Splits,MATCH($I11,Act_Type_Repex,0),MATCH(AO$4,Mat_Type,0))*INDEX(Escalators!$I$44:$U$49,MATCH(AO$4,Escalators!$C$44:$C$49,0),MATCH(AO$5,Escalators!$I$43:$U$43,0))</f>
        <v>0</v>
      </c>
      <c r="AP11" s="128">
        <f>INDEX(Direct_Cost_Splits_Network,MATCH($H11,RIN_Asset_Cat_Network,0),MATCH($AY$4,Direct_Cost_Type,0))*$L11*INDEX(Act_Type_Repex_Splits,MATCH($I11,Act_Type_Repex,0),MATCH(AP$4,Mat_Type,0))*INDEX(Escalators!$I$44:$U$49,MATCH(AP$4,Escalators!$C$44:$C$49,0),MATCH(AP$5,Escalators!$I$43:$U$43,0))</f>
        <v>0</v>
      </c>
      <c r="AQ11" s="128">
        <f>INDEX(Direct_Cost_Splits_Network,MATCH($H11,RIN_Asset_Cat_Network,0),MATCH($AY$4,Direct_Cost_Type,0))*$L11*INDEX(Act_Type_Repex_Splits,MATCH($I11,Act_Type_Repex,0),MATCH(AQ$4,Mat_Type,0))*INDEX(Escalators!$I$44:$U$49,MATCH(AQ$4,Escalators!$C$44:$C$49,0),MATCH(AQ$5,Escalators!$I$43:$U$43,0))</f>
        <v>0</v>
      </c>
      <c r="AR11" s="128">
        <f>INDEX(Direct_Cost_Splits_Network,MATCH($H11,RIN_Asset_Cat_Network,0),MATCH($AY$4,Direct_Cost_Type,0))*$L11*INDEX(Act_Type_Repex_Splits,MATCH($I11,Act_Type_Repex,0),MATCH(AR$4,Mat_Type,0))*INDEX(Escalators!$I$44:$U$49,MATCH(AR$4,Escalators!$C$44:$C$49,0),MATCH(AR$5,Escalators!$I$43:$U$43,0))</f>
        <v>0</v>
      </c>
      <c r="AS11" s="128">
        <f t="shared" si="18"/>
        <v>0</v>
      </c>
      <c r="AT11" s="128">
        <f>INDEX(Direct_Cost_Splits_Network,MATCH($H11,RIN_Asset_Cat_Network,0),MATCH($AY$4,Direct_Cost_Type,0))*$M11*INDEX(Act_Type_Repex_Splits,MATCH($I11,Act_Type_Repex,0),MATCH(AT$4,Mat_Type,0))*INDEX(Escalators!$I$44:$U$49,MATCH(AT$4,Escalators!$C$44:$C$49,0),MATCH(AT$5,Escalators!$I$43:$U$43,0))</f>
        <v>0</v>
      </c>
      <c r="AU11" s="128">
        <f>INDEX(Direct_Cost_Splits_Network,MATCH($H11,RIN_Asset_Cat_Network,0),MATCH($AY$4,Direct_Cost_Type,0))*$M11*INDEX(Act_Type_Repex_Splits,MATCH($I11,Act_Type_Repex,0),MATCH(AU$4,Mat_Type,0))*INDEX(Escalators!$I$44:$U$49,MATCH(AU$4,Escalators!$C$44:$C$49,0),MATCH(AU$5,Escalators!$I$43:$U$43,0))</f>
        <v>0</v>
      </c>
      <c r="AV11" s="128">
        <f>INDEX(Direct_Cost_Splits_Network,MATCH($H11,RIN_Asset_Cat_Network,0),MATCH($AY$4,Direct_Cost_Type,0))*$M11*INDEX(Act_Type_Repex_Splits,MATCH($I11,Act_Type_Repex,0),MATCH(AV$4,Mat_Type,0))*INDEX(Escalators!$I$44:$U$49,MATCH(AV$4,Escalators!$C$44:$C$49,0),MATCH(AV$5,Escalators!$I$43:$U$43,0))</f>
        <v>48.822882584366695</v>
      </c>
      <c r="AW11" s="128">
        <f>INDEX(Direct_Cost_Splits_Network,MATCH($H11,RIN_Asset_Cat_Network,0),MATCH($AY$4,Direct_Cost_Type,0))*$M11*INDEX(Act_Type_Repex_Splits,MATCH($I11,Act_Type_Repex,0),MATCH(AW$4,Mat_Type,0))*INDEX(Escalators!$I$44:$U$49,MATCH(AW$4,Escalators!$C$44:$C$49,0),MATCH(AW$5,Escalators!$I$43:$U$43,0))</f>
        <v>0</v>
      </c>
      <c r="AX11" s="128">
        <f>INDEX(Direct_Cost_Splits_Network,MATCH($H11,RIN_Asset_Cat_Network,0),MATCH($AY$4,Direct_Cost_Type,0))*$M11*INDEX(Act_Type_Repex_Splits,MATCH($I11,Act_Type_Repex,0),MATCH(AX$4,Mat_Type,0))*INDEX(Escalators!$I$44:$U$49,MATCH(AX$4,Escalators!$C$44:$C$49,0),MATCH(AX$5,Escalators!$I$43:$U$43,0))</f>
        <v>195.29153033746678</v>
      </c>
      <c r="AY11" s="128">
        <f t="shared" si="19"/>
        <v>244.11441292183349</v>
      </c>
      <c r="AZ11" s="128">
        <f>INDEX(Direct_Cost_Splits_Network,MATCH($H11,RIN_Asset_Cat_Network,0),MATCH($BE$4,Direct_Cost_Type,0))*$N11*INDEX(Act_Type_Repex_Splits,MATCH($I11,Act_Type_Repex,0),MATCH(AZ$4,Mat_Type,0))*INDEX(Escalators!$I$44:$U$49,MATCH(AZ$4,Escalators!$C$44:$C$49,0),MATCH(AZ$5,Escalators!$I$43:$U$43,0))</f>
        <v>0</v>
      </c>
      <c r="BA11" s="128">
        <f>INDEX(Direct_Cost_Splits_Network,MATCH($H11,RIN_Asset_Cat_Network,0),MATCH($BE$4,Direct_Cost_Type,0))*$N11*INDEX(Act_Type_Repex_Splits,MATCH($I11,Act_Type_Repex,0),MATCH(BA$4,Mat_Type,0))*INDEX(Escalators!$I$44:$U$49,MATCH(BA$4,Escalators!$C$44:$C$49,0),MATCH(BA$5,Escalators!$I$43:$U$43,0))</f>
        <v>0</v>
      </c>
      <c r="BB11" s="128">
        <f>INDEX(Direct_Cost_Splits_Network,MATCH($H11,RIN_Asset_Cat_Network,0),MATCH($BE$4,Direct_Cost_Type,0))*$N11*INDEX(Act_Type_Repex_Splits,MATCH($I11,Act_Type_Repex,0),MATCH(BB$4,Mat_Type,0))*INDEX(Escalators!$I$44:$U$49,MATCH(BB$4,Escalators!$C$44:$C$49,0),MATCH(BB$5,Escalators!$I$43:$U$43,0))</f>
        <v>48.822882584366695</v>
      </c>
      <c r="BC11" s="128">
        <f>INDEX(Direct_Cost_Splits_Network,MATCH($H11,RIN_Asset_Cat_Network,0),MATCH($BE$4,Direct_Cost_Type,0))*$N11*INDEX(Act_Type_Repex_Splits,MATCH($I11,Act_Type_Repex,0),MATCH(BC$4,Mat_Type,0))*INDEX(Escalators!$I$44:$U$49,MATCH(BC$4,Escalators!$C$44:$C$49,0),MATCH(BC$5,Escalators!$I$43:$U$43,0))</f>
        <v>0</v>
      </c>
      <c r="BD11" s="128">
        <f>INDEX(Direct_Cost_Splits_Network,MATCH($H11,RIN_Asset_Cat_Network,0),MATCH($BE$4,Direct_Cost_Type,0))*$N11*INDEX(Act_Type_Repex_Splits,MATCH($I11,Act_Type_Repex,0),MATCH(BD$4,Mat_Type,0))*INDEX(Escalators!$I$44:$U$49,MATCH(BD$4,Escalators!$C$44:$C$49,0),MATCH(BD$5,Escalators!$I$43:$U$43,0))</f>
        <v>195.29153033746678</v>
      </c>
      <c r="BE11" s="128">
        <f t="shared" si="20"/>
        <v>244.11441292183349</v>
      </c>
      <c r="BF11" s="128">
        <f>INDEX(Direct_Cost_Splits_Network,MATCH($H11,RIN_Asset_Cat_Network,0),MATCH($BK$4,Direct_Cost_Type,0))*$O11*INDEX(Act_Type_Repex_Splits,MATCH($I11,Act_Type_Repex,0),MATCH(BF$4,Mat_Type,0))*INDEX(Escalators!$I$44:$U$49,MATCH(BF$4,Escalators!$C$44:$C$49,0),MATCH(BF$5,Escalators!$I$43:$U$43,0))</f>
        <v>0</v>
      </c>
      <c r="BG11" s="128">
        <f>INDEX(Direct_Cost_Splits_Network,MATCH($H11,RIN_Asset_Cat_Network,0),MATCH($BK$4,Direct_Cost_Type,0))*$O11*INDEX(Act_Type_Repex_Splits,MATCH($I11,Act_Type_Repex,0),MATCH(BG$4,Mat_Type,0))*INDEX(Escalators!$I$44:$U$49,MATCH(BG$4,Escalators!$C$44:$C$49,0),MATCH(BG$5,Escalators!$I$43:$U$43,0))</f>
        <v>0</v>
      </c>
      <c r="BH11" s="128">
        <f>INDEX(Direct_Cost_Splits_Network,MATCH($H11,RIN_Asset_Cat_Network,0),MATCH($BK$4,Direct_Cost_Type,0))*$O11*INDEX(Act_Type_Repex_Splits,MATCH($I11,Act_Type_Repex,0),MATCH(BH$4,Mat_Type,0))*INDEX(Escalators!$I$44:$U$49,MATCH(BH$4,Escalators!$C$44:$C$49,0),MATCH(BH$5,Escalators!$I$43:$U$43,0))</f>
        <v>48.822882584366695</v>
      </c>
      <c r="BI11" s="128">
        <f>INDEX(Direct_Cost_Splits_Network,MATCH($H11,RIN_Asset_Cat_Network,0),MATCH($BK$4,Direct_Cost_Type,0))*$O11*INDEX(Act_Type_Repex_Splits,MATCH($I11,Act_Type_Repex,0),MATCH(BI$4,Mat_Type,0))*INDEX(Escalators!$I$44:$U$49,MATCH(BI$4,Escalators!$C$44:$C$49,0),MATCH(BI$5,Escalators!$I$43:$U$43,0))</f>
        <v>0</v>
      </c>
      <c r="BJ11" s="128">
        <f>INDEX(Direct_Cost_Splits_Network,MATCH($H11,RIN_Asset_Cat_Network,0),MATCH($BK$4,Direct_Cost_Type,0))*$O11*INDEX(Act_Type_Repex_Splits,MATCH($I11,Act_Type_Repex,0),MATCH(BJ$4,Mat_Type,0))*INDEX(Escalators!$I$44:$U$49,MATCH(BJ$4,Escalators!$C$44:$C$49,0),MATCH(BJ$5,Escalators!$I$43:$U$43,0))</f>
        <v>195.29153033746678</v>
      </c>
      <c r="BK11" s="128">
        <f t="shared" si="21"/>
        <v>244.11441292183349</v>
      </c>
      <c r="BL11" s="128">
        <f>INDEX(Direct_Cost_Splits_Network,MATCH($H11,RIN_Asset_Cat_Network,0),MATCH($BQ$4,Direct_Cost_Type,0))*$P11*INDEX(Act_Type_Repex_Splits,MATCH($I11,Act_Type_Repex,0),MATCH(BL$4,Mat_Type,0))*INDEX(Escalators!$I$44:$U$49,MATCH(BL$4,Escalators!$C$44:$C$49,0),MATCH(BL$5,Escalators!$I$43:$U$43,0))</f>
        <v>0</v>
      </c>
      <c r="BM11" s="128">
        <f>INDEX(Direct_Cost_Splits_Network,MATCH($H11,RIN_Asset_Cat_Network,0),MATCH($BQ$4,Direct_Cost_Type,0))*$P11*INDEX(Act_Type_Repex_Splits,MATCH($I11,Act_Type_Repex,0),MATCH(BM$4,Mat_Type,0))*INDEX(Escalators!$I$44:$U$49,MATCH(BM$4,Escalators!$C$44:$C$49,0),MATCH(BM$5,Escalators!$I$43:$U$43,0))</f>
        <v>0</v>
      </c>
      <c r="BN11" s="128">
        <f>INDEX(Direct_Cost_Splits_Network,MATCH($H11,RIN_Asset_Cat_Network,0),MATCH($BQ$4,Direct_Cost_Type,0))*$P11*INDEX(Act_Type_Repex_Splits,MATCH($I11,Act_Type_Repex,0),MATCH(BN$4,Mat_Type,0))*INDEX(Escalators!$I$44:$U$49,MATCH(BN$4,Escalators!$C$44:$C$49,0),MATCH(BN$5,Escalators!$I$43:$U$43,0))</f>
        <v>48.822882584366695</v>
      </c>
      <c r="BO11" s="128">
        <f>INDEX(Direct_Cost_Splits_Network,MATCH($H11,RIN_Asset_Cat_Network,0),MATCH($BQ$4,Direct_Cost_Type,0))*$P11*INDEX(Act_Type_Repex_Splits,MATCH($I11,Act_Type_Repex,0),MATCH(BO$4,Mat_Type,0))*INDEX(Escalators!$I$44:$U$49,MATCH(BO$4,Escalators!$C$44:$C$49,0),MATCH(BO$5,Escalators!$I$43:$U$43,0))</f>
        <v>0</v>
      </c>
      <c r="BP11" s="128">
        <f>INDEX(Direct_Cost_Splits_Network,MATCH($H11,RIN_Asset_Cat_Network,0),MATCH($BQ$4,Direct_Cost_Type,0))*$P11*INDEX(Act_Type_Repex_Splits,MATCH($I11,Act_Type_Repex,0),MATCH(BP$4,Mat_Type,0))*INDEX(Escalators!$I$44:$U$49,MATCH(BP$4,Escalators!$C$44:$C$49,0),MATCH(BP$5,Escalators!$I$43:$U$43,0))</f>
        <v>195.29153033746678</v>
      </c>
      <c r="BQ11" s="128">
        <f t="shared" si="22"/>
        <v>244.11441292183349</v>
      </c>
      <c r="BR11" s="128">
        <f>INDEX(Direct_Cost_Splits_Network,MATCH($H11,RIN_Asset_Cat_Network,0),MATCH($BW$4,Direct_Cost_Type,0))*$Q11*INDEX(Act_Type_Repex_Splits,MATCH($I11,Act_Type_Repex,0),MATCH(BR$4,Mat_Type,0))*INDEX(Escalators!$I$44:$U$49,MATCH(BR$4,Escalators!$C$44:$C$49,0),MATCH(BR$5,Escalators!$I$43:$U$43,0))</f>
        <v>0</v>
      </c>
      <c r="BS11" s="128">
        <f>INDEX(Direct_Cost_Splits_Network,MATCH($H11,RIN_Asset_Cat_Network,0),MATCH($BW$4,Direct_Cost_Type,0))*$Q11*INDEX(Act_Type_Repex_Splits,MATCH($I11,Act_Type_Repex,0),MATCH(BS$4,Mat_Type,0))*INDEX(Escalators!$I$44:$U$49,MATCH(BS$4,Escalators!$C$44:$C$49,0),MATCH(BS$5,Escalators!$I$43:$U$43,0))</f>
        <v>0</v>
      </c>
      <c r="BT11" s="128">
        <f>INDEX(Direct_Cost_Splits_Network,MATCH($H11,RIN_Asset_Cat_Network,0),MATCH($BW$4,Direct_Cost_Type,0))*$Q11*INDEX(Act_Type_Repex_Splits,MATCH($I11,Act_Type_Repex,0),MATCH(BT$4,Mat_Type,0))*INDEX(Escalators!$I$44:$U$49,MATCH(BT$4,Escalators!$C$44:$C$49,0),MATCH(BT$5,Escalators!$I$43:$U$43,0))</f>
        <v>0</v>
      </c>
      <c r="BU11" s="128">
        <f>INDEX(Direct_Cost_Splits_Network,MATCH($H11,RIN_Asset_Cat_Network,0),MATCH($BW$4,Direct_Cost_Type,0))*$Q11*INDEX(Act_Type_Repex_Splits,MATCH($I11,Act_Type_Repex,0),MATCH(BU$4,Mat_Type,0))*INDEX(Escalators!$I$44:$U$49,MATCH(BU$4,Escalators!$C$44:$C$49,0),MATCH(BU$5,Escalators!$I$43:$U$43,0))</f>
        <v>0</v>
      </c>
      <c r="BV11" s="128">
        <f>INDEX(Direct_Cost_Splits_Network,MATCH($H11,RIN_Asset_Cat_Network,0),MATCH($BW$4,Direct_Cost_Type,0))*$Q11*INDEX(Act_Type_Repex_Splits,MATCH($I11,Act_Type_Repex,0),MATCH(BV$4,Mat_Type,0))*INDEX(Escalators!$I$44:$U$49,MATCH(BV$4,Escalators!$C$44:$C$49,0),MATCH(BV$5,Escalators!$I$43:$U$43,0))</f>
        <v>0</v>
      </c>
      <c r="BW11" s="128">
        <f t="shared" si="23"/>
        <v>0</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653.95009210788828</v>
      </c>
      <c r="CC11" s="128">
        <f>INDEX(Direct_Cost_Splits_Network,MATCH($H11,RIN_Asset_Cat_Network,0),MATCH($BY$4,Direct_Cost_Type,0))*N11*HLOOKUP(CC$5,Escalators!$I$25:$U$30,6,FALSE)</f>
        <v>653.95009210788828</v>
      </c>
      <c r="CD11" s="128">
        <f>INDEX(Direct_Cost_Splits_Network,MATCH($H11,RIN_Asset_Cat_Network,0),MATCH($BY$4,Direct_Cost_Type,0))*O11*HLOOKUP(CD$5,Escalators!$I$25:$U$30,6,FALSE)</f>
        <v>653.95009210788828</v>
      </c>
      <c r="CE11" s="128">
        <f>INDEX(Direct_Cost_Splits_Network,MATCH($H11,RIN_Asset_Cat_Network,0),MATCH($BY$4,Direct_Cost_Type,0))*P11*HLOOKUP(CE$5,Escalators!$I$25:$U$30,6,FALSE)</f>
        <v>653.95009210788828</v>
      </c>
      <c r="CF11" s="128">
        <f>INDEX(Direct_Cost_Splits_Network,MATCH($H11,RIN_Asset_Cat_Network,0),MATCH($BY$4,Direct_Cost_Type,0))*Q11*HLOOKUP(CF$5,Escalators!$I$25:$U$30,6,FALSE)</f>
        <v>0</v>
      </c>
      <c r="CG11" s="129"/>
      <c r="CH11" s="675">
        <f t="shared" si="8"/>
        <v>0</v>
      </c>
      <c r="CI11" s="675">
        <f t="shared" si="9"/>
        <v>0</v>
      </c>
      <c r="CJ11" s="675">
        <f t="shared" si="10"/>
        <v>0</v>
      </c>
      <c r="CK11" s="675">
        <f t="shared" si="11"/>
        <v>101.20203812901914</v>
      </c>
      <c r="CL11" s="675">
        <f t="shared" si="12"/>
        <v>101.20203812901914</v>
      </c>
      <c r="CM11" s="675">
        <f t="shared" si="13"/>
        <v>101.20203812901914</v>
      </c>
      <c r="CN11" s="675">
        <f t="shared" si="14"/>
        <v>101.20203812901914</v>
      </c>
      <c r="CO11" s="675">
        <f t="shared" si="15"/>
        <v>0</v>
      </c>
      <c r="CP11" s="129"/>
      <c r="CQ11" s="128">
        <f t="shared" si="24"/>
        <v>0</v>
      </c>
      <c r="CR11" s="128">
        <f t="shared" si="25"/>
        <v>0</v>
      </c>
      <c r="CS11" s="128">
        <f t="shared" si="26"/>
        <v>0</v>
      </c>
      <c r="CT11" s="128">
        <f t="shared" si="27"/>
        <v>1113.7448394237611</v>
      </c>
      <c r="CU11" s="128">
        <f t="shared" si="28"/>
        <v>1114.312754052622</v>
      </c>
      <c r="CV11" s="128">
        <f t="shared" si="29"/>
        <v>1115.0620014400968</v>
      </c>
      <c r="CW11" s="128">
        <f t="shared" si="30"/>
        <v>1116.2123876876033</v>
      </c>
      <c r="CX11" s="128">
        <f t="shared" si="31"/>
        <v>0</v>
      </c>
    </row>
    <row r="12" spans="2:102">
      <c r="B12" s="7"/>
      <c r="C12" s="7" t="s">
        <v>476</v>
      </c>
      <c r="D12" s="7" t="s">
        <v>99</v>
      </c>
      <c r="E12" s="7" t="s">
        <v>48</v>
      </c>
      <c r="F12" s="7" t="s">
        <v>130</v>
      </c>
      <c r="G12" s="7" t="s">
        <v>150</v>
      </c>
      <c r="H12" s="7" t="s">
        <v>5</v>
      </c>
      <c r="I12" s="7" t="s">
        <v>204</v>
      </c>
      <c r="J12" s="45"/>
      <c r="K12" s="45"/>
      <c r="L12" s="45"/>
      <c r="M12" s="128">
        <v>199.99991999999997</v>
      </c>
      <c r="N12" s="128">
        <v>199.99991999999997</v>
      </c>
      <c r="O12" s="128">
        <v>199.99991999999997</v>
      </c>
      <c r="P12" s="128">
        <v>199.99991999999997</v>
      </c>
      <c r="Q12" s="128">
        <v>0</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0</v>
      </c>
      <c r="V12" s="128">
        <f>INDEX(Direct_Cost_Splits_Network,MATCH($H12,RIN_Asset_Cat_Network,0),MATCH($S$4,Direct_Cost_Type,0))*M12*HLOOKUP(V$5,Escalators!$I$25:$U$30,3,FALSE)</f>
        <v>20.624482123320284</v>
      </c>
      <c r="W12" s="128">
        <f>INDEX(Direct_Cost_Splits_Network,MATCH($H12,RIN_Asset_Cat_Network,0),MATCH($S$4,Direct_Cost_Type,0))*N12*HLOOKUP(W$5,Escalators!$I$25:$U$30,3,FALSE)</f>
        <v>20.726797981370773</v>
      </c>
      <c r="X12" s="128">
        <f>INDEX(Direct_Cost_Splits_Network,MATCH($H12,RIN_Asset_Cat_Network,0),MATCH($S$4,Direct_Cost_Type,0))*O12*HLOOKUP(X$5,Escalators!$I$25:$U$30,3,FALSE)</f>
        <v>20.861782863685445</v>
      </c>
      <c r="Y12" s="128">
        <f>INDEX(Direct_Cost_Splits_Network,MATCH($H12,RIN_Asset_Cat_Network,0),MATCH($S$4,Direct_Cost_Type,0))*P12*HLOOKUP(Y$5,Escalators!$I$25:$U$30,3,FALSE)</f>
        <v>21.069037176255613</v>
      </c>
      <c r="Z12" s="128">
        <f>INDEX(Direct_Cost_Splits_Network,MATCH($H12,RIN_Asset_Cat_Network,0),MATCH($S$4,Direct_Cost_Type,0))*Q12*HLOOKUP(Z$5,Escalators!$I$25:$U$30,3,FALSE)</f>
        <v>0</v>
      </c>
      <c r="AA12" s="129"/>
      <c r="AB12" s="128">
        <f>INDEX(Direct_Cost_Splits_Network,MATCH($H12,RIN_Asset_Cat_Network,0),MATCH($AG$4,Direct_Cost_Type,0))*$J12*INDEX(Act_Type_Repex_Splits,MATCH($I12,Act_Type_Repex,0),MATCH(AB$4,Mat_Type,0))*INDEX(Escalators!$I$44:$Q$49,MATCH(AB$4,Escalators!$C$44:$C$49,0),MATCH(AB$5,Escalators!$I$43:$Q$43,0))</f>
        <v>0</v>
      </c>
      <c r="AC12" s="128">
        <f>INDEX(Direct_Cost_Splits_Network,MATCH($H12,RIN_Asset_Cat_Network,0),MATCH($AG$4,Direct_Cost_Type,0))*$J12*INDEX(Act_Type_Repex_Splits,MATCH($I12,Act_Type_Repex,0),MATCH(AC$4,Mat_Type,0))*INDEX(Escalators!$I$44:$Q$49,MATCH(AC$4,Escalators!$C$44:$C$49,0),MATCH(AC$5,Escalators!$I$43:$Q$43,0))</f>
        <v>0</v>
      </c>
      <c r="AD12" s="128">
        <f>INDEX(Direct_Cost_Splits_Network,MATCH($H12,RIN_Asset_Cat_Network,0),MATCH($AG$4,Direct_Cost_Type,0))*$J12*INDEX(Act_Type_Repex_Splits,MATCH($I12,Act_Type_Repex,0),MATCH(AD$4,Mat_Type,0))*INDEX(Escalators!$I$44:$Q$49,MATCH(AD$4,Escalators!$C$44:$C$49,0),MATCH(AD$5,Escalators!$I$43:$Q$43,0))</f>
        <v>0</v>
      </c>
      <c r="AE12" s="128">
        <f>INDEX(Direct_Cost_Splits_Network,MATCH($H12,RIN_Asset_Cat_Network,0),MATCH($AG$4,Direct_Cost_Type,0))*$J12*INDEX(Act_Type_Repex_Splits,MATCH($I12,Act_Type_Repex,0),MATCH(AE$4,Mat_Type,0))*INDEX(Escalators!$I$44:$Q$49,MATCH(AE$4,Escalators!$C$44:$C$49,0),MATCH(AE$5,Escalators!$I$43:$Q$43,0))</f>
        <v>0</v>
      </c>
      <c r="AF12" s="128">
        <f>INDEX(Direct_Cost_Splits_Network,MATCH($H12,RIN_Asset_Cat_Network,0),MATCH($AG$4,Direct_Cost_Type,0))*$J12*INDEX(Act_Type_Repex_Splits,MATCH($I12,Act_Type_Repex,0),MATCH(AF$4,Mat_Type,0))*INDEX(Escalators!$I$44:$Q$49,MATCH(AF$4,Escalators!$C$44:$C$49,0),MATCH(AF$5,Escalators!$I$43:$Q$43,0))</f>
        <v>0</v>
      </c>
      <c r="AG12" s="128">
        <f t="shared" si="16"/>
        <v>0</v>
      </c>
      <c r="AH12" s="128">
        <f>INDEX(Direct_Cost_Splits_Network,MATCH($H12,RIN_Asset_Cat_Network,0),MATCH($AY$4,Direct_Cost_Type,0))*$K12*INDEX(Act_Type_Repex_Splits,MATCH($I12,Act_Type_Repex,0),MATCH(AH$4,Mat_Type,0))*INDEX(Escalators!$I$44:$U$49,MATCH(AH$4,Escalators!$C$44:$C$49,0),MATCH(AH$5,Escalators!$I$43:$U$43,0))</f>
        <v>0</v>
      </c>
      <c r="AI12" s="128">
        <f>INDEX(Direct_Cost_Splits_Network,MATCH($H12,RIN_Asset_Cat_Network,0),MATCH($AY$4,Direct_Cost_Type,0))*$K12*INDEX(Act_Type_Repex_Splits,MATCH($I12,Act_Type_Repex,0),MATCH(AI$4,Mat_Type,0))*INDEX(Escalators!$I$44:$U$49,MATCH(AI$4,Escalators!$C$44:$C$49,0),MATCH(AI$5,Escalators!$I$43:$U$43,0))</f>
        <v>0</v>
      </c>
      <c r="AJ12" s="128">
        <f>INDEX(Direct_Cost_Splits_Network,MATCH($H12,RIN_Asset_Cat_Network,0),MATCH($AY$4,Direct_Cost_Type,0))*$K12*INDEX(Act_Type_Repex_Splits,MATCH($I12,Act_Type_Repex,0),MATCH(AJ$4,Mat_Type,0))*INDEX(Escalators!$I$44:$U$49,MATCH(AJ$4,Escalators!$C$44:$C$49,0),MATCH(AJ$5,Escalators!$I$43:$U$43,0))</f>
        <v>0</v>
      </c>
      <c r="AK12" s="128">
        <f>INDEX(Direct_Cost_Splits_Network,MATCH($H12,RIN_Asset_Cat_Network,0),MATCH($AY$4,Direct_Cost_Type,0))*$K12*INDEX(Act_Type_Repex_Splits,MATCH($I12,Act_Type_Repex,0),MATCH(AK$4,Mat_Type,0))*INDEX(Escalators!$I$44:$U$49,MATCH(AK$4,Escalators!$C$44:$C$49,0),MATCH(AK$5,Escalators!$I$43:$U$43,0))</f>
        <v>0</v>
      </c>
      <c r="AL12" s="128">
        <f>INDEX(Direct_Cost_Splits_Network,MATCH($H12,RIN_Asset_Cat_Network,0),MATCH($AY$4,Direct_Cost_Type,0))*$K12*INDEX(Act_Type_Repex_Splits,MATCH($I12,Act_Type_Repex,0),MATCH(AL$4,Mat_Type,0))*INDEX(Escalators!$I$44:$U$49,MATCH(AL$4,Escalators!$C$44:$C$49,0),MATCH(AL$5,Escalators!$I$43:$U$43,0))</f>
        <v>0</v>
      </c>
      <c r="AM12" s="128">
        <f t="shared" si="17"/>
        <v>0</v>
      </c>
      <c r="AN12" s="128">
        <f>INDEX(Direct_Cost_Splits_Network,MATCH($H12,RIN_Asset_Cat_Network,0),MATCH($AY$4,Direct_Cost_Type,0))*$L12*INDEX(Act_Type_Repex_Splits,MATCH($I12,Act_Type_Repex,0),MATCH(AN$4,Mat_Type,0))*INDEX(Escalators!$I$44:$U$49,MATCH(AN$4,Escalators!$C$44:$C$49,0),MATCH(AN$5,Escalators!$I$43:$U$43,0))</f>
        <v>0</v>
      </c>
      <c r="AO12" s="128">
        <f>INDEX(Direct_Cost_Splits_Network,MATCH($H12,RIN_Asset_Cat_Network,0),MATCH($AY$4,Direct_Cost_Type,0))*$L12*INDEX(Act_Type_Repex_Splits,MATCH($I12,Act_Type_Repex,0),MATCH(AO$4,Mat_Type,0))*INDEX(Escalators!$I$44:$U$49,MATCH(AO$4,Escalators!$C$44:$C$49,0),MATCH(AO$5,Escalators!$I$43:$U$43,0))</f>
        <v>0</v>
      </c>
      <c r="AP12" s="128">
        <f>INDEX(Direct_Cost_Splits_Network,MATCH($H12,RIN_Asset_Cat_Network,0),MATCH($AY$4,Direct_Cost_Type,0))*$L12*INDEX(Act_Type_Repex_Splits,MATCH($I12,Act_Type_Repex,0),MATCH(AP$4,Mat_Type,0))*INDEX(Escalators!$I$44:$U$49,MATCH(AP$4,Escalators!$C$44:$C$49,0),MATCH(AP$5,Escalators!$I$43:$U$43,0))</f>
        <v>0</v>
      </c>
      <c r="AQ12" s="128">
        <f>INDEX(Direct_Cost_Splits_Network,MATCH($H12,RIN_Asset_Cat_Network,0),MATCH($AY$4,Direct_Cost_Type,0))*$L12*INDEX(Act_Type_Repex_Splits,MATCH($I12,Act_Type_Repex,0),MATCH(AQ$4,Mat_Type,0))*INDEX(Escalators!$I$44:$U$49,MATCH(AQ$4,Escalators!$C$44:$C$49,0),MATCH(AQ$5,Escalators!$I$43:$U$43,0))</f>
        <v>0</v>
      </c>
      <c r="AR12" s="128">
        <f>INDEX(Direct_Cost_Splits_Network,MATCH($H12,RIN_Asset_Cat_Network,0),MATCH($AY$4,Direct_Cost_Type,0))*$L12*INDEX(Act_Type_Repex_Splits,MATCH($I12,Act_Type_Repex,0),MATCH(AR$4,Mat_Type,0))*INDEX(Escalators!$I$44:$U$49,MATCH(AR$4,Escalators!$C$44:$C$49,0),MATCH(AR$5,Escalators!$I$43:$U$43,0))</f>
        <v>0</v>
      </c>
      <c r="AS12" s="128">
        <f t="shared" si="18"/>
        <v>0</v>
      </c>
      <c r="AT12" s="128">
        <f>INDEX(Direct_Cost_Splits_Network,MATCH($H12,RIN_Asset_Cat_Network,0),MATCH($AY$4,Direct_Cost_Type,0))*$M12*INDEX(Act_Type_Repex_Splits,MATCH($I12,Act_Type_Repex,0),MATCH(AT$4,Mat_Type,0))*INDEX(Escalators!$I$44:$U$49,MATCH(AT$4,Escalators!$C$44:$C$49,0),MATCH(AT$5,Escalators!$I$43:$U$43,0))</f>
        <v>0</v>
      </c>
      <c r="AU12" s="128">
        <f>INDEX(Direct_Cost_Splits_Network,MATCH($H12,RIN_Asset_Cat_Network,0),MATCH($AY$4,Direct_Cost_Type,0))*$M12*INDEX(Act_Type_Repex_Splits,MATCH($I12,Act_Type_Repex,0),MATCH(AU$4,Mat_Type,0))*INDEX(Escalators!$I$44:$U$49,MATCH(AU$4,Escalators!$C$44:$C$49,0),MATCH(AU$5,Escalators!$I$43:$U$43,0))</f>
        <v>0</v>
      </c>
      <c r="AV12" s="128">
        <f>INDEX(Direct_Cost_Splits_Network,MATCH($H12,RIN_Asset_Cat_Network,0),MATCH($AY$4,Direct_Cost_Type,0))*$M12*INDEX(Act_Type_Repex_Splits,MATCH($I12,Act_Type_Repex,0),MATCH(AV$4,Mat_Type,0))*INDEX(Escalators!$I$44:$U$49,MATCH(AV$4,Escalators!$C$44:$C$49,0),MATCH(AV$5,Escalators!$I$43:$U$43,0))</f>
        <v>8.795961347460393</v>
      </c>
      <c r="AW12" s="128">
        <f>INDEX(Direct_Cost_Splits_Network,MATCH($H12,RIN_Asset_Cat_Network,0),MATCH($AY$4,Direct_Cost_Type,0))*$M12*INDEX(Act_Type_Repex_Splits,MATCH($I12,Act_Type_Repex,0),MATCH(AW$4,Mat_Type,0))*INDEX(Escalators!$I$44:$U$49,MATCH(AW$4,Escalators!$C$44:$C$49,0),MATCH(AW$5,Escalators!$I$43:$U$43,0))</f>
        <v>0</v>
      </c>
      <c r="AX12" s="128">
        <f>INDEX(Direct_Cost_Splits_Network,MATCH($H12,RIN_Asset_Cat_Network,0),MATCH($AY$4,Direct_Cost_Type,0))*$M12*INDEX(Act_Type_Repex_Splits,MATCH($I12,Act_Type_Repex,0),MATCH(AX$4,Mat_Type,0))*INDEX(Escalators!$I$44:$U$49,MATCH(AX$4,Escalators!$C$44:$C$49,0),MATCH(AX$5,Escalators!$I$43:$U$43,0))</f>
        <v>35.183845389841572</v>
      </c>
      <c r="AY12" s="128">
        <f t="shared" si="19"/>
        <v>43.979806737301963</v>
      </c>
      <c r="AZ12" s="128">
        <f>INDEX(Direct_Cost_Splits_Network,MATCH($H12,RIN_Asset_Cat_Network,0),MATCH($BE$4,Direct_Cost_Type,0))*$N12*INDEX(Act_Type_Repex_Splits,MATCH($I12,Act_Type_Repex,0),MATCH(AZ$4,Mat_Type,0))*INDEX(Escalators!$I$44:$U$49,MATCH(AZ$4,Escalators!$C$44:$C$49,0),MATCH(AZ$5,Escalators!$I$43:$U$43,0))</f>
        <v>0</v>
      </c>
      <c r="BA12" s="128">
        <f>INDEX(Direct_Cost_Splits_Network,MATCH($H12,RIN_Asset_Cat_Network,0),MATCH($BE$4,Direct_Cost_Type,0))*$N12*INDEX(Act_Type_Repex_Splits,MATCH($I12,Act_Type_Repex,0),MATCH(BA$4,Mat_Type,0))*INDEX(Escalators!$I$44:$U$49,MATCH(BA$4,Escalators!$C$44:$C$49,0),MATCH(BA$5,Escalators!$I$43:$U$43,0))</f>
        <v>0</v>
      </c>
      <c r="BB12" s="128">
        <f>INDEX(Direct_Cost_Splits_Network,MATCH($H12,RIN_Asset_Cat_Network,0),MATCH($BE$4,Direct_Cost_Type,0))*$N12*INDEX(Act_Type_Repex_Splits,MATCH($I12,Act_Type_Repex,0),MATCH(BB$4,Mat_Type,0))*INDEX(Escalators!$I$44:$U$49,MATCH(BB$4,Escalators!$C$44:$C$49,0),MATCH(BB$5,Escalators!$I$43:$U$43,0))</f>
        <v>8.795961347460393</v>
      </c>
      <c r="BC12" s="128">
        <f>INDEX(Direct_Cost_Splits_Network,MATCH($H12,RIN_Asset_Cat_Network,0),MATCH($BE$4,Direct_Cost_Type,0))*$N12*INDEX(Act_Type_Repex_Splits,MATCH($I12,Act_Type_Repex,0),MATCH(BC$4,Mat_Type,0))*INDEX(Escalators!$I$44:$U$49,MATCH(BC$4,Escalators!$C$44:$C$49,0),MATCH(BC$5,Escalators!$I$43:$U$43,0))</f>
        <v>0</v>
      </c>
      <c r="BD12" s="128">
        <f>INDEX(Direct_Cost_Splits_Network,MATCH($H12,RIN_Asset_Cat_Network,0),MATCH($BE$4,Direct_Cost_Type,0))*$N12*INDEX(Act_Type_Repex_Splits,MATCH($I12,Act_Type_Repex,0),MATCH(BD$4,Mat_Type,0))*INDEX(Escalators!$I$44:$U$49,MATCH(BD$4,Escalators!$C$44:$C$49,0),MATCH(BD$5,Escalators!$I$43:$U$43,0))</f>
        <v>35.183845389841572</v>
      </c>
      <c r="BE12" s="128">
        <f t="shared" si="20"/>
        <v>43.979806737301963</v>
      </c>
      <c r="BF12" s="128">
        <f>INDEX(Direct_Cost_Splits_Network,MATCH($H12,RIN_Asset_Cat_Network,0),MATCH($BK$4,Direct_Cost_Type,0))*$O12*INDEX(Act_Type_Repex_Splits,MATCH($I12,Act_Type_Repex,0),MATCH(BF$4,Mat_Type,0))*INDEX(Escalators!$I$44:$U$49,MATCH(BF$4,Escalators!$C$44:$C$49,0),MATCH(BF$5,Escalators!$I$43:$U$43,0))</f>
        <v>0</v>
      </c>
      <c r="BG12" s="128">
        <f>INDEX(Direct_Cost_Splits_Network,MATCH($H12,RIN_Asset_Cat_Network,0),MATCH($BK$4,Direct_Cost_Type,0))*$O12*INDEX(Act_Type_Repex_Splits,MATCH($I12,Act_Type_Repex,0),MATCH(BG$4,Mat_Type,0))*INDEX(Escalators!$I$44:$U$49,MATCH(BG$4,Escalators!$C$44:$C$49,0),MATCH(BG$5,Escalators!$I$43:$U$43,0))</f>
        <v>0</v>
      </c>
      <c r="BH12" s="128">
        <f>INDEX(Direct_Cost_Splits_Network,MATCH($H12,RIN_Asset_Cat_Network,0),MATCH($BK$4,Direct_Cost_Type,0))*$O12*INDEX(Act_Type_Repex_Splits,MATCH($I12,Act_Type_Repex,0),MATCH(BH$4,Mat_Type,0))*INDEX(Escalators!$I$44:$U$49,MATCH(BH$4,Escalators!$C$44:$C$49,0),MATCH(BH$5,Escalators!$I$43:$U$43,0))</f>
        <v>8.795961347460393</v>
      </c>
      <c r="BI12" s="128">
        <f>INDEX(Direct_Cost_Splits_Network,MATCH($H12,RIN_Asset_Cat_Network,0),MATCH($BK$4,Direct_Cost_Type,0))*$O12*INDEX(Act_Type_Repex_Splits,MATCH($I12,Act_Type_Repex,0),MATCH(BI$4,Mat_Type,0))*INDEX(Escalators!$I$44:$U$49,MATCH(BI$4,Escalators!$C$44:$C$49,0),MATCH(BI$5,Escalators!$I$43:$U$43,0))</f>
        <v>0</v>
      </c>
      <c r="BJ12" s="128">
        <f>INDEX(Direct_Cost_Splits_Network,MATCH($H12,RIN_Asset_Cat_Network,0),MATCH($BK$4,Direct_Cost_Type,0))*$O12*INDEX(Act_Type_Repex_Splits,MATCH($I12,Act_Type_Repex,0),MATCH(BJ$4,Mat_Type,0))*INDEX(Escalators!$I$44:$U$49,MATCH(BJ$4,Escalators!$C$44:$C$49,0),MATCH(BJ$5,Escalators!$I$43:$U$43,0))</f>
        <v>35.183845389841572</v>
      </c>
      <c r="BK12" s="128">
        <f t="shared" si="21"/>
        <v>43.979806737301963</v>
      </c>
      <c r="BL12" s="128">
        <f>INDEX(Direct_Cost_Splits_Network,MATCH($H12,RIN_Asset_Cat_Network,0),MATCH($BQ$4,Direct_Cost_Type,0))*$P12*INDEX(Act_Type_Repex_Splits,MATCH($I12,Act_Type_Repex,0),MATCH(BL$4,Mat_Type,0))*INDEX(Escalators!$I$44:$U$49,MATCH(BL$4,Escalators!$C$44:$C$49,0),MATCH(BL$5,Escalators!$I$43:$U$43,0))</f>
        <v>0</v>
      </c>
      <c r="BM12" s="128">
        <f>INDEX(Direct_Cost_Splits_Network,MATCH($H12,RIN_Asset_Cat_Network,0),MATCH($BQ$4,Direct_Cost_Type,0))*$P12*INDEX(Act_Type_Repex_Splits,MATCH($I12,Act_Type_Repex,0),MATCH(BM$4,Mat_Type,0))*INDEX(Escalators!$I$44:$U$49,MATCH(BM$4,Escalators!$C$44:$C$49,0),MATCH(BM$5,Escalators!$I$43:$U$43,0))</f>
        <v>0</v>
      </c>
      <c r="BN12" s="128">
        <f>INDEX(Direct_Cost_Splits_Network,MATCH($H12,RIN_Asset_Cat_Network,0),MATCH($BQ$4,Direct_Cost_Type,0))*$P12*INDEX(Act_Type_Repex_Splits,MATCH($I12,Act_Type_Repex,0),MATCH(BN$4,Mat_Type,0))*INDEX(Escalators!$I$44:$U$49,MATCH(BN$4,Escalators!$C$44:$C$49,0),MATCH(BN$5,Escalators!$I$43:$U$43,0))</f>
        <v>8.795961347460393</v>
      </c>
      <c r="BO12" s="128">
        <f>INDEX(Direct_Cost_Splits_Network,MATCH($H12,RIN_Asset_Cat_Network,0),MATCH($BQ$4,Direct_Cost_Type,0))*$P12*INDEX(Act_Type_Repex_Splits,MATCH($I12,Act_Type_Repex,0),MATCH(BO$4,Mat_Type,0))*INDEX(Escalators!$I$44:$U$49,MATCH(BO$4,Escalators!$C$44:$C$49,0),MATCH(BO$5,Escalators!$I$43:$U$43,0))</f>
        <v>0</v>
      </c>
      <c r="BP12" s="128">
        <f>INDEX(Direct_Cost_Splits_Network,MATCH($H12,RIN_Asset_Cat_Network,0),MATCH($BQ$4,Direct_Cost_Type,0))*$P12*INDEX(Act_Type_Repex_Splits,MATCH($I12,Act_Type_Repex,0),MATCH(BP$4,Mat_Type,0))*INDEX(Escalators!$I$44:$U$49,MATCH(BP$4,Escalators!$C$44:$C$49,0),MATCH(BP$5,Escalators!$I$43:$U$43,0))</f>
        <v>35.183845389841572</v>
      </c>
      <c r="BQ12" s="128">
        <f t="shared" si="22"/>
        <v>43.979806737301963</v>
      </c>
      <c r="BR12" s="128">
        <f>INDEX(Direct_Cost_Splits_Network,MATCH($H12,RIN_Asset_Cat_Network,0),MATCH($BW$4,Direct_Cost_Type,0))*$Q12*INDEX(Act_Type_Repex_Splits,MATCH($I12,Act_Type_Repex,0),MATCH(BR$4,Mat_Type,0))*INDEX(Escalators!$I$44:$U$49,MATCH(BR$4,Escalators!$C$44:$C$49,0),MATCH(BR$5,Escalators!$I$43:$U$43,0))</f>
        <v>0</v>
      </c>
      <c r="BS12" s="128">
        <f>INDEX(Direct_Cost_Splits_Network,MATCH($H12,RIN_Asset_Cat_Network,0),MATCH($BW$4,Direct_Cost_Type,0))*$Q12*INDEX(Act_Type_Repex_Splits,MATCH($I12,Act_Type_Repex,0),MATCH(BS$4,Mat_Type,0))*INDEX(Escalators!$I$44:$U$49,MATCH(BS$4,Escalators!$C$44:$C$49,0),MATCH(BS$5,Escalators!$I$43:$U$43,0))</f>
        <v>0</v>
      </c>
      <c r="BT12" s="128">
        <f>INDEX(Direct_Cost_Splits_Network,MATCH($H12,RIN_Asset_Cat_Network,0),MATCH($BW$4,Direct_Cost_Type,0))*$Q12*INDEX(Act_Type_Repex_Splits,MATCH($I12,Act_Type_Repex,0),MATCH(BT$4,Mat_Type,0))*INDEX(Escalators!$I$44:$U$49,MATCH(BT$4,Escalators!$C$44:$C$49,0),MATCH(BT$5,Escalators!$I$43:$U$43,0))</f>
        <v>0</v>
      </c>
      <c r="BU12" s="128">
        <f>INDEX(Direct_Cost_Splits_Network,MATCH($H12,RIN_Asset_Cat_Network,0),MATCH($BW$4,Direct_Cost_Type,0))*$Q12*INDEX(Act_Type_Repex_Splits,MATCH($I12,Act_Type_Repex,0),MATCH(BU$4,Mat_Type,0))*INDEX(Escalators!$I$44:$U$49,MATCH(BU$4,Escalators!$C$44:$C$49,0),MATCH(BU$5,Escalators!$I$43:$U$43,0))</f>
        <v>0</v>
      </c>
      <c r="BV12" s="128">
        <f>INDEX(Direct_Cost_Splits_Network,MATCH($H12,RIN_Asset_Cat_Network,0),MATCH($BW$4,Direct_Cost_Type,0))*$Q12*INDEX(Act_Type_Repex_Splits,MATCH($I12,Act_Type_Repex,0),MATCH(BV$4,Mat_Type,0))*INDEX(Escalators!$I$44:$U$49,MATCH(BV$4,Escalators!$C$44:$C$49,0),MATCH(BV$5,Escalators!$I$43:$U$43,0))</f>
        <v>0</v>
      </c>
      <c r="BW12" s="128">
        <f t="shared" si="23"/>
        <v>0</v>
      </c>
      <c r="BX12" s="129"/>
      <c r="BY12" s="128">
        <f>INDEX(Direct_Cost_Splits_Network,MATCH($H12,RIN_Asset_Cat_Network,0),MATCH($BY$4,Direct_Cost_Type,0))*J12*HLOOKUP(BY$5,Escalators!$I$25:$U$30,6,FALSE)</f>
        <v>0</v>
      </c>
      <c r="BZ12" s="128">
        <f>INDEX(Direct_Cost_Splits_Network,MATCH($H12,RIN_Asset_Cat_Network,0),MATCH($BY$4,Direct_Cost_Type,0))*K12*HLOOKUP(BZ$5,Escalators!$I$25:$U$30,6,FALSE)</f>
        <v>0</v>
      </c>
      <c r="CA12" s="128">
        <f>INDEX(Direct_Cost_Splits_Network,MATCH($H12,RIN_Asset_Cat_Network,0),MATCH($BY$4,Direct_Cost_Type,0))*L12*HLOOKUP(CA$5,Escalators!$I$25:$U$30,6,FALSE)</f>
        <v>0</v>
      </c>
      <c r="CB12" s="128">
        <f>INDEX(Direct_Cost_Splits_Network,MATCH($H12,RIN_Asset_Cat_Network,0),MATCH($BY$4,Direct_Cost_Type,0))*M12*HLOOKUP(CB$5,Escalators!$I$25:$U$30,6,FALSE)</f>
        <v>117.81606142180151</v>
      </c>
      <c r="CC12" s="128">
        <f>INDEX(Direct_Cost_Splits_Network,MATCH($H12,RIN_Asset_Cat_Network,0),MATCH($BY$4,Direct_Cost_Type,0))*N12*HLOOKUP(CC$5,Escalators!$I$25:$U$30,6,FALSE)</f>
        <v>117.81606142180151</v>
      </c>
      <c r="CD12" s="128">
        <f>INDEX(Direct_Cost_Splits_Network,MATCH($H12,RIN_Asset_Cat_Network,0),MATCH($BY$4,Direct_Cost_Type,0))*O12*HLOOKUP(CD$5,Escalators!$I$25:$U$30,6,FALSE)</f>
        <v>117.81606142180151</v>
      </c>
      <c r="CE12" s="128">
        <f>INDEX(Direct_Cost_Splits_Network,MATCH($H12,RIN_Asset_Cat_Network,0),MATCH($BY$4,Direct_Cost_Type,0))*P12*HLOOKUP(CE$5,Escalators!$I$25:$U$30,6,FALSE)</f>
        <v>117.81606142180151</v>
      </c>
      <c r="CF12" s="128">
        <f>INDEX(Direct_Cost_Splits_Network,MATCH($H12,RIN_Asset_Cat_Network,0),MATCH($BY$4,Direct_Cost_Type,0))*Q12*HLOOKUP(CF$5,Escalators!$I$25:$U$30,6,FALSE)</f>
        <v>0</v>
      </c>
      <c r="CG12" s="129"/>
      <c r="CH12" s="675">
        <f t="shared" si="8"/>
        <v>0</v>
      </c>
      <c r="CI12" s="675">
        <f t="shared" si="9"/>
        <v>0</v>
      </c>
      <c r="CJ12" s="675">
        <f t="shared" si="10"/>
        <v>0</v>
      </c>
      <c r="CK12" s="675">
        <f t="shared" si="11"/>
        <v>18.232623076460904</v>
      </c>
      <c r="CL12" s="675">
        <f t="shared" si="12"/>
        <v>18.232623076460904</v>
      </c>
      <c r="CM12" s="675">
        <f t="shared" si="13"/>
        <v>18.232623076460904</v>
      </c>
      <c r="CN12" s="675">
        <f t="shared" si="14"/>
        <v>18.232623076460904</v>
      </c>
      <c r="CO12" s="675">
        <f t="shared" si="15"/>
        <v>0</v>
      </c>
      <c r="CP12" s="129"/>
      <c r="CQ12" s="128">
        <f t="shared" si="24"/>
        <v>0</v>
      </c>
      <c r="CR12" s="128">
        <f t="shared" si="25"/>
        <v>0</v>
      </c>
      <c r="CS12" s="128">
        <f t="shared" si="26"/>
        <v>0</v>
      </c>
      <c r="CT12" s="128">
        <f t="shared" si="27"/>
        <v>200.65297335888465</v>
      </c>
      <c r="CU12" s="128">
        <f t="shared" si="28"/>
        <v>200.75528921693515</v>
      </c>
      <c r="CV12" s="128">
        <f t="shared" si="29"/>
        <v>200.89027409924981</v>
      </c>
      <c r="CW12" s="128">
        <f t="shared" si="30"/>
        <v>201.09752841181998</v>
      </c>
      <c r="CX12" s="128">
        <f t="shared" si="31"/>
        <v>0</v>
      </c>
    </row>
    <row r="13" spans="2:102">
      <c r="B13" s="7"/>
      <c r="C13" s="7" t="s">
        <v>439</v>
      </c>
      <c r="D13" s="7" t="s">
        <v>101</v>
      </c>
      <c r="E13" s="7" t="s">
        <v>48</v>
      </c>
      <c r="F13" s="7" t="s">
        <v>130</v>
      </c>
      <c r="G13" s="7" t="s">
        <v>150</v>
      </c>
      <c r="H13" s="7" t="s">
        <v>5</v>
      </c>
      <c r="I13" s="7" t="s">
        <v>204</v>
      </c>
      <c r="J13" s="45"/>
      <c r="K13" s="45"/>
      <c r="L13" s="45"/>
      <c r="M13" s="128">
        <v>1599.972</v>
      </c>
      <c r="N13" s="128">
        <v>1599.972</v>
      </c>
      <c r="O13" s="128">
        <v>1599.972</v>
      </c>
      <c r="P13" s="128">
        <v>1599.972</v>
      </c>
      <c r="Q13" s="128">
        <v>1599.972</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164.99303555627924</v>
      </c>
      <c r="W13" s="128">
        <f>INDEX(Direct_Cost_Splits_Network,MATCH($H13,RIN_Asset_Cat_Network,0),MATCH($S$4,Direct_Cost_Type,0))*N13*HLOOKUP(W$5,Escalators!$I$25:$U$30,3,FALSE)</f>
        <v>165.81154842386817</v>
      </c>
      <c r="X13" s="128">
        <f>INDEX(Direct_Cost_Splits_Network,MATCH($H13,RIN_Asset_Cat_Network,0),MATCH($S$4,Direct_Cost_Type,0))*O13*HLOOKUP(X$5,Escalators!$I$25:$U$30,3,FALSE)</f>
        <v>166.89140901644623</v>
      </c>
      <c r="Y13" s="128">
        <f>INDEX(Direct_Cost_Splits_Network,MATCH($H13,RIN_Asset_Cat_Network,0),MATCH($S$4,Direct_Cost_Type,0))*P13*HLOOKUP(Y$5,Escalators!$I$25:$U$30,3,FALSE)</f>
        <v>168.5494151646063</v>
      </c>
      <c r="Z13" s="128">
        <f>INDEX(Direct_Cost_Splits_Network,MATCH($H13,RIN_Asset_Cat_Network,0),MATCH($S$4,Direct_Cost_Type,0))*Q13*HLOOKUP(Z$5,Escalators!$I$25:$U$30,3,FALSE)</f>
        <v>170.75327019612678</v>
      </c>
      <c r="AA13" s="129"/>
      <c r="AB13" s="128">
        <f>INDEX(Direct_Cost_Splits_Network,MATCH($H13,RIN_Asset_Cat_Network,0),MATCH($AG$4,Direct_Cost_Type,0))*$J13*INDEX(Act_Type_Repex_Splits,MATCH($I13,Act_Type_Repex,0),MATCH(AB$4,Mat_Type,0))*INDEX(Escalators!$I$44:$Q$49,MATCH(AB$4,Escalators!$C$44:$C$49,0),MATCH(AB$5,Escalators!$I$43:$Q$43,0))</f>
        <v>0</v>
      </c>
      <c r="AC13" s="128">
        <f>INDEX(Direct_Cost_Splits_Network,MATCH($H13,RIN_Asset_Cat_Network,0),MATCH($AG$4,Direct_Cost_Type,0))*$J13*INDEX(Act_Type_Repex_Splits,MATCH($I13,Act_Type_Repex,0),MATCH(AC$4,Mat_Type,0))*INDEX(Escalators!$I$44:$Q$49,MATCH(AC$4,Escalators!$C$44:$C$49,0),MATCH(AC$5,Escalators!$I$43:$Q$43,0))</f>
        <v>0</v>
      </c>
      <c r="AD13" s="128">
        <f>INDEX(Direct_Cost_Splits_Network,MATCH($H13,RIN_Asset_Cat_Network,0),MATCH($AG$4,Direct_Cost_Type,0))*$J13*INDEX(Act_Type_Repex_Splits,MATCH($I13,Act_Type_Repex,0),MATCH(AD$4,Mat_Type,0))*INDEX(Escalators!$I$44:$Q$49,MATCH(AD$4,Escalators!$C$44:$C$49,0),MATCH(AD$5,Escalators!$I$43:$Q$43,0))</f>
        <v>0</v>
      </c>
      <c r="AE13" s="128">
        <f>INDEX(Direct_Cost_Splits_Network,MATCH($H13,RIN_Asset_Cat_Network,0),MATCH($AG$4,Direct_Cost_Type,0))*$J13*INDEX(Act_Type_Repex_Splits,MATCH($I13,Act_Type_Repex,0),MATCH(AE$4,Mat_Type,0))*INDEX(Escalators!$I$44:$Q$49,MATCH(AE$4,Escalators!$C$44:$C$49,0),MATCH(AE$5,Escalators!$I$43:$Q$43,0))</f>
        <v>0</v>
      </c>
      <c r="AF13" s="128">
        <f>INDEX(Direct_Cost_Splits_Network,MATCH($H13,RIN_Asset_Cat_Network,0),MATCH($AG$4,Direct_Cost_Type,0))*$J13*INDEX(Act_Type_Repex_Splits,MATCH($I13,Act_Type_Repex,0),MATCH(AF$4,Mat_Type,0))*INDEX(Escalators!$I$44:$Q$49,MATCH(AF$4,Escalators!$C$44:$C$49,0),MATCH(AF$5,Escalators!$I$43:$Q$43,0))</f>
        <v>0</v>
      </c>
      <c r="AG13" s="128">
        <f t="shared" si="16"/>
        <v>0</v>
      </c>
      <c r="AH13" s="128">
        <f>INDEX(Direct_Cost_Splits_Network,MATCH($H13,RIN_Asset_Cat_Network,0),MATCH($AY$4,Direct_Cost_Type,0))*$K13*INDEX(Act_Type_Repex_Splits,MATCH($I13,Act_Type_Repex,0),MATCH(AH$4,Mat_Type,0))*INDEX(Escalators!$I$44:$U$49,MATCH(AH$4,Escalators!$C$44:$C$49,0),MATCH(AH$5,Escalators!$I$43:$U$43,0))</f>
        <v>0</v>
      </c>
      <c r="AI13" s="128">
        <f>INDEX(Direct_Cost_Splits_Network,MATCH($H13,RIN_Asset_Cat_Network,0),MATCH($AY$4,Direct_Cost_Type,0))*$K13*INDEX(Act_Type_Repex_Splits,MATCH($I13,Act_Type_Repex,0),MATCH(AI$4,Mat_Type,0))*INDEX(Escalators!$I$44:$U$49,MATCH(AI$4,Escalators!$C$44:$C$49,0),MATCH(AI$5,Escalators!$I$43:$U$43,0))</f>
        <v>0</v>
      </c>
      <c r="AJ13" s="128">
        <f>INDEX(Direct_Cost_Splits_Network,MATCH($H13,RIN_Asset_Cat_Network,0),MATCH($AY$4,Direct_Cost_Type,0))*$K13*INDEX(Act_Type_Repex_Splits,MATCH($I13,Act_Type_Repex,0),MATCH(AJ$4,Mat_Type,0))*INDEX(Escalators!$I$44:$U$49,MATCH(AJ$4,Escalators!$C$44:$C$49,0),MATCH(AJ$5,Escalators!$I$43:$U$43,0))</f>
        <v>0</v>
      </c>
      <c r="AK13" s="128">
        <f>INDEX(Direct_Cost_Splits_Network,MATCH($H13,RIN_Asset_Cat_Network,0),MATCH($AY$4,Direct_Cost_Type,0))*$K13*INDEX(Act_Type_Repex_Splits,MATCH($I13,Act_Type_Repex,0),MATCH(AK$4,Mat_Type,0))*INDEX(Escalators!$I$44:$U$49,MATCH(AK$4,Escalators!$C$44:$C$49,0),MATCH(AK$5,Escalators!$I$43:$U$43,0))</f>
        <v>0</v>
      </c>
      <c r="AL13" s="128">
        <f>INDEX(Direct_Cost_Splits_Network,MATCH($H13,RIN_Asset_Cat_Network,0),MATCH($AY$4,Direct_Cost_Type,0))*$K13*INDEX(Act_Type_Repex_Splits,MATCH($I13,Act_Type_Repex,0),MATCH(AL$4,Mat_Type,0))*INDEX(Escalators!$I$44:$U$49,MATCH(AL$4,Escalators!$C$44:$C$49,0),MATCH(AL$5,Escalators!$I$43:$U$43,0))</f>
        <v>0</v>
      </c>
      <c r="AM13" s="128">
        <f t="shared" si="17"/>
        <v>0</v>
      </c>
      <c r="AN13" s="128">
        <f>INDEX(Direct_Cost_Splits_Network,MATCH($H13,RIN_Asset_Cat_Network,0),MATCH($AY$4,Direct_Cost_Type,0))*$L13*INDEX(Act_Type_Repex_Splits,MATCH($I13,Act_Type_Repex,0),MATCH(AN$4,Mat_Type,0))*INDEX(Escalators!$I$44:$U$49,MATCH(AN$4,Escalators!$C$44:$C$49,0),MATCH(AN$5,Escalators!$I$43:$U$43,0))</f>
        <v>0</v>
      </c>
      <c r="AO13" s="128">
        <f>INDEX(Direct_Cost_Splits_Network,MATCH($H13,RIN_Asset_Cat_Network,0),MATCH($AY$4,Direct_Cost_Type,0))*$L13*INDEX(Act_Type_Repex_Splits,MATCH($I13,Act_Type_Repex,0),MATCH(AO$4,Mat_Type,0))*INDEX(Escalators!$I$44:$U$49,MATCH(AO$4,Escalators!$C$44:$C$49,0),MATCH(AO$5,Escalators!$I$43:$U$43,0))</f>
        <v>0</v>
      </c>
      <c r="AP13" s="128">
        <f>INDEX(Direct_Cost_Splits_Network,MATCH($H13,RIN_Asset_Cat_Network,0),MATCH($AY$4,Direct_Cost_Type,0))*$L13*INDEX(Act_Type_Repex_Splits,MATCH($I13,Act_Type_Repex,0),MATCH(AP$4,Mat_Type,0))*INDEX(Escalators!$I$44:$U$49,MATCH(AP$4,Escalators!$C$44:$C$49,0),MATCH(AP$5,Escalators!$I$43:$U$43,0))</f>
        <v>0</v>
      </c>
      <c r="AQ13" s="128">
        <f>INDEX(Direct_Cost_Splits_Network,MATCH($H13,RIN_Asset_Cat_Network,0),MATCH($AY$4,Direct_Cost_Type,0))*$L13*INDEX(Act_Type_Repex_Splits,MATCH($I13,Act_Type_Repex,0),MATCH(AQ$4,Mat_Type,0))*INDEX(Escalators!$I$44:$U$49,MATCH(AQ$4,Escalators!$C$44:$C$49,0),MATCH(AQ$5,Escalators!$I$43:$U$43,0))</f>
        <v>0</v>
      </c>
      <c r="AR13" s="128">
        <f>INDEX(Direct_Cost_Splits_Network,MATCH($H13,RIN_Asset_Cat_Network,0),MATCH($AY$4,Direct_Cost_Type,0))*$L13*INDEX(Act_Type_Repex_Splits,MATCH($I13,Act_Type_Repex,0),MATCH(AR$4,Mat_Type,0))*INDEX(Escalators!$I$44:$U$49,MATCH(AR$4,Escalators!$C$44:$C$49,0),MATCH(AR$5,Escalators!$I$43:$U$43,0))</f>
        <v>0</v>
      </c>
      <c r="AS13" s="128">
        <f t="shared" si="18"/>
        <v>0</v>
      </c>
      <c r="AT13" s="128">
        <f>INDEX(Direct_Cost_Splits_Network,MATCH($H13,RIN_Asset_Cat_Network,0),MATCH($AY$4,Direct_Cost_Type,0))*$M13*INDEX(Act_Type_Repex_Splits,MATCH($I13,Act_Type_Repex,0),MATCH(AT$4,Mat_Type,0))*INDEX(Escalators!$I$44:$U$49,MATCH(AT$4,Escalators!$C$44:$C$49,0),MATCH(AT$5,Escalators!$I$43:$U$43,0))</f>
        <v>0</v>
      </c>
      <c r="AU13" s="128">
        <f>INDEX(Direct_Cost_Splits_Network,MATCH($H13,RIN_Asset_Cat_Network,0),MATCH($AY$4,Direct_Cost_Type,0))*$M13*INDEX(Act_Type_Repex_Splits,MATCH($I13,Act_Type_Repex,0),MATCH(AU$4,Mat_Type,0))*INDEX(Escalators!$I$44:$U$49,MATCH(AU$4,Escalators!$C$44:$C$49,0),MATCH(AU$5,Escalators!$I$43:$U$43,0))</f>
        <v>0</v>
      </c>
      <c r="AV13" s="128">
        <f>INDEX(Direct_Cost_Splits_Network,MATCH($H13,RIN_Asset_Cat_Network,0),MATCH($AY$4,Direct_Cost_Type,0))*$M13*INDEX(Act_Type_Repex_Splits,MATCH($I13,Act_Type_Repex,0),MATCH(AV$4,Mat_Type,0))*INDEX(Escalators!$I$44:$U$49,MATCH(AV$4,Escalators!$C$44:$C$49,0),MATCH(AV$5,Escalators!$I$43:$U$43,0))</f>
        <v>70.366487491689512</v>
      </c>
      <c r="AW13" s="128">
        <f>INDEX(Direct_Cost_Splits_Network,MATCH($H13,RIN_Asset_Cat_Network,0),MATCH($AY$4,Direct_Cost_Type,0))*$M13*INDEX(Act_Type_Repex_Splits,MATCH($I13,Act_Type_Repex,0),MATCH(AW$4,Mat_Type,0))*INDEX(Escalators!$I$44:$U$49,MATCH(AW$4,Escalators!$C$44:$C$49,0),MATCH(AW$5,Escalators!$I$43:$U$43,0))</f>
        <v>0</v>
      </c>
      <c r="AX13" s="128">
        <f>INDEX(Direct_Cost_Splits_Network,MATCH($H13,RIN_Asset_Cat_Network,0),MATCH($AY$4,Direct_Cost_Type,0))*$M13*INDEX(Act_Type_Repex_Splits,MATCH($I13,Act_Type_Repex,0),MATCH(AX$4,Mat_Type,0))*INDEX(Escalators!$I$44:$U$49,MATCH(AX$4,Escalators!$C$44:$C$49,0),MATCH(AX$5,Escalators!$I$43:$U$43,0))</f>
        <v>281.46594996675805</v>
      </c>
      <c r="AY13" s="128">
        <f t="shared" si="19"/>
        <v>351.83243745844754</v>
      </c>
      <c r="AZ13" s="128">
        <f>INDEX(Direct_Cost_Splits_Network,MATCH($H13,RIN_Asset_Cat_Network,0),MATCH($BE$4,Direct_Cost_Type,0))*$N13*INDEX(Act_Type_Repex_Splits,MATCH($I13,Act_Type_Repex,0),MATCH(AZ$4,Mat_Type,0))*INDEX(Escalators!$I$44:$U$49,MATCH(AZ$4,Escalators!$C$44:$C$49,0),MATCH(AZ$5,Escalators!$I$43:$U$43,0))</f>
        <v>0</v>
      </c>
      <c r="BA13" s="128">
        <f>INDEX(Direct_Cost_Splits_Network,MATCH($H13,RIN_Asset_Cat_Network,0),MATCH($BE$4,Direct_Cost_Type,0))*$N13*INDEX(Act_Type_Repex_Splits,MATCH($I13,Act_Type_Repex,0),MATCH(BA$4,Mat_Type,0))*INDEX(Escalators!$I$44:$U$49,MATCH(BA$4,Escalators!$C$44:$C$49,0),MATCH(BA$5,Escalators!$I$43:$U$43,0))</f>
        <v>0</v>
      </c>
      <c r="BB13" s="128">
        <f>INDEX(Direct_Cost_Splits_Network,MATCH($H13,RIN_Asset_Cat_Network,0),MATCH($BE$4,Direct_Cost_Type,0))*$N13*INDEX(Act_Type_Repex_Splits,MATCH($I13,Act_Type_Repex,0),MATCH(BB$4,Mat_Type,0))*INDEX(Escalators!$I$44:$U$49,MATCH(BB$4,Escalators!$C$44:$C$49,0),MATCH(BB$5,Escalators!$I$43:$U$43,0))</f>
        <v>70.366487491689512</v>
      </c>
      <c r="BC13" s="128">
        <f>INDEX(Direct_Cost_Splits_Network,MATCH($H13,RIN_Asset_Cat_Network,0),MATCH($BE$4,Direct_Cost_Type,0))*$N13*INDEX(Act_Type_Repex_Splits,MATCH($I13,Act_Type_Repex,0),MATCH(BC$4,Mat_Type,0))*INDEX(Escalators!$I$44:$U$49,MATCH(BC$4,Escalators!$C$44:$C$49,0),MATCH(BC$5,Escalators!$I$43:$U$43,0))</f>
        <v>0</v>
      </c>
      <c r="BD13" s="128">
        <f>INDEX(Direct_Cost_Splits_Network,MATCH($H13,RIN_Asset_Cat_Network,0),MATCH($BE$4,Direct_Cost_Type,0))*$N13*INDEX(Act_Type_Repex_Splits,MATCH($I13,Act_Type_Repex,0),MATCH(BD$4,Mat_Type,0))*INDEX(Escalators!$I$44:$U$49,MATCH(BD$4,Escalators!$C$44:$C$49,0),MATCH(BD$5,Escalators!$I$43:$U$43,0))</f>
        <v>281.46594996675805</v>
      </c>
      <c r="BE13" s="128">
        <f t="shared" si="20"/>
        <v>351.83243745844754</v>
      </c>
      <c r="BF13" s="128">
        <f>INDEX(Direct_Cost_Splits_Network,MATCH($H13,RIN_Asset_Cat_Network,0),MATCH($BK$4,Direct_Cost_Type,0))*$O13*INDEX(Act_Type_Repex_Splits,MATCH($I13,Act_Type_Repex,0),MATCH(BF$4,Mat_Type,0))*INDEX(Escalators!$I$44:$U$49,MATCH(BF$4,Escalators!$C$44:$C$49,0),MATCH(BF$5,Escalators!$I$43:$U$43,0))</f>
        <v>0</v>
      </c>
      <c r="BG13" s="128">
        <f>INDEX(Direct_Cost_Splits_Network,MATCH($H13,RIN_Asset_Cat_Network,0),MATCH($BK$4,Direct_Cost_Type,0))*$O13*INDEX(Act_Type_Repex_Splits,MATCH($I13,Act_Type_Repex,0),MATCH(BG$4,Mat_Type,0))*INDEX(Escalators!$I$44:$U$49,MATCH(BG$4,Escalators!$C$44:$C$49,0),MATCH(BG$5,Escalators!$I$43:$U$43,0))</f>
        <v>0</v>
      </c>
      <c r="BH13" s="128">
        <f>INDEX(Direct_Cost_Splits_Network,MATCH($H13,RIN_Asset_Cat_Network,0),MATCH($BK$4,Direct_Cost_Type,0))*$O13*INDEX(Act_Type_Repex_Splits,MATCH($I13,Act_Type_Repex,0),MATCH(BH$4,Mat_Type,0))*INDEX(Escalators!$I$44:$U$49,MATCH(BH$4,Escalators!$C$44:$C$49,0),MATCH(BH$5,Escalators!$I$43:$U$43,0))</f>
        <v>70.366487491689512</v>
      </c>
      <c r="BI13" s="128">
        <f>INDEX(Direct_Cost_Splits_Network,MATCH($H13,RIN_Asset_Cat_Network,0),MATCH($BK$4,Direct_Cost_Type,0))*$O13*INDEX(Act_Type_Repex_Splits,MATCH($I13,Act_Type_Repex,0),MATCH(BI$4,Mat_Type,0))*INDEX(Escalators!$I$44:$U$49,MATCH(BI$4,Escalators!$C$44:$C$49,0),MATCH(BI$5,Escalators!$I$43:$U$43,0))</f>
        <v>0</v>
      </c>
      <c r="BJ13" s="128">
        <f>INDEX(Direct_Cost_Splits_Network,MATCH($H13,RIN_Asset_Cat_Network,0),MATCH($BK$4,Direct_Cost_Type,0))*$O13*INDEX(Act_Type_Repex_Splits,MATCH($I13,Act_Type_Repex,0),MATCH(BJ$4,Mat_Type,0))*INDEX(Escalators!$I$44:$U$49,MATCH(BJ$4,Escalators!$C$44:$C$49,0),MATCH(BJ$5,Escalators!$I$43:$U$43,0))</f>
        <v>281.46594996675805</v>
      </c>
      <c r="BK13" s="128">
        <f t="shared" si="21"/>
        <v>351.83243745844754</v>
      </c>
      <c r="BL13" s="128">
        <f>INDEX(Direct_Cost_Splits_Network,MATCH($H13,RIN_Asset_Cat_Network,0),MATCH($BQ$4,Direct_Cost_Type,0))*$P13*INDEX(Act_Type_Repex_Splits,MATCH($I13,Act_Type_Repex,0),MATCH(BL$4,Mat_Type,0))*INDEX(Escalators!$I$44:$U$49,MATCH(BL$4,Escalators!$C$44:$C$49,0),MATCH(BL$5,Escalators!$I$43:$U$43,0))</f>
        <v>0</v>
      </c>
      <c r="BM13" s="128">
        <f>INDEX(Direct_Cost_Splits_Network,MATCH($H13,RIN_Asset_Cat_Network,0),MATCH($BQ$4,Direct_Cost_Type,0))*$P13*INDEX(Act_Type_Repex_Splits,MATCH($I13,Act_Type_Repex,0),MATCH(BM$4,Mat_Type,0))*INDEX(Escalators!$I$44:$U$49,MATCH(BM$4,Escalators!$C$44:$C$49,0),MATCH(BM$5,Escalators!$I$43:$U$43,0))</f>
        <v>0</v>
      </c>
      <c r="BN13" s="128">
        <f>INDEX(Direct_Cost_Splits_Network,MATCH($H13,RIN_Asset_Cat_Network,0),MATCH($BQ$4,Direct_Cost_Type,0))*$P13*INDEX(Act_Type_Repex_Splits,MATCH($I13,Act_Type_Repex,0),MATCH(BN$4,Mat_Type,0))*INDEX(Escalators!$I$44:$U$49,MATCH(BN$4,Escalators!$C$44:$C$49,0),MATCH(BN$5,Escalators!$I$43:$U$43,0))</f>
        <v>70.366487491689512</v>
      </c>
      <c r="BO13" s="128">
        <f>INDEX(Direct_Cost_Splits_Network,MATCH($H13,RIN_Asset_Cat_Network,0),MATCH($BQ$4,Direct_Cost_Type,0))*$P13*INDEX(Act_Type_Repex_Splits,MATCH($I13,Act_Type_Repex,0),MATCH(BO$4,Mat_Type,0))*INDEX(Escalators!$I$44:$U$49,MATCH(BO$4,Escalators!$C$44:$C$49,0),MATCH(BO$5,Escalators!$I$43:$U$43,0))</f>
        <v>0</v>
      </c>
      <c r="BP13" s="128">
        <f>INDEX(Direct_Cost_Splits_Network,MATCH($H13,RIN_Asset_Cat_Network,0),MATCH($BQ$4,Direct_Cost_Type,0))*$P13*INDEX(Act_Type_Repex_Splits,MATCH($I13,Act_Type_Repex,0),MATCH(BP$4,Mat_Type,0))*INDEX(Escalators!$I$44:$U$49,MATCH(BP$4,Escalators!$C$44:$C$49,0),MATCH(BP$5,Escalators!$I$43:$U$43,0))</f>
        <v>281.46594996675805</v>
      </c>
      <c r="BQ13" s="128">
        <f t="shared" si="22"/>
        <v>351.83243745844754</v>
      </c>
      <c r="BR13" s="128">
        <f>INDEX(Direct_Cost_Splits_Network,MATCH($H13,RIN_Asset_Cat_Network,0),MATCH($BW$4,Direct_Cost_Type,0))*$Q13*INDEX(Act_Type_Repex_Splits,MATCH($I13,Act_Type_Repex,0),MATCH(BR$4,Mat_Type,0))*INDEX(Escalators!$I$44:$U$49,MATCH(BR$4,Escalators!$C$44:$C$49,0),MATCH(BR$5,Escalators!$I$43:$U$43,0))</f>
        <v>0</v>
      </c>
      <c r="BS13" s="128">
        <f>INDEX(Direct_Cost_Splits_Network,MATCH($H13,RIN_Asset_Cat_Network,0),MATCH($BW$4,Direct_Cost_Type,0))*$Q13*INDEX(Act_Type_Repex_Splits,MATCH($I13,Act_Type_Repex,0),MATCH(BS$4,Mat_Type,0))*INDEX(Escalators!$I$44:$U$49,MATCH(BS$4,Escalators!$C$44:$C$49,0),MATCH(BS$5,Escalators!$I$43:$U$43,0))</f>
        <v>0</v>
      </c>
      <c r="BT13" s="128">
        <f>INDEX(Direct_Cost_Splits_Network,MATCH($H13,RIN_Asset_Cat_Network,0),MATCH($BW$4,Direct_Cost_Type,0))*$Q13*INDEX(Act_Type_Repex_Splits,MATCH($I13,Act_Type_Repex,0),MATCH(BT$4,Mat_Type,0))*INDEX(Escalators!$I$44:$U$49,MATCH(BT$4,Escalators!$C$44:$C$49,0),MATCH(BT$5,Escalators!$I$43:$U$43,0))</f>
        <v>70.366487491689512</v>
      </c>
      <c r="BU13" s="128">
        <f>INDEX(Direct_Cost_Splits_Network,MATCH($H13,RIN_Asset_Cat_Network,0),MATCH($BW$4,Direct_Cost_Type,0))*$Q13*INDEX(Act_Type_Repex_Splits,MATCH($I13,Act_Type_Repex,0),MATCH(BU$4,Mat_Type,0))*INDEX(Escalators!$I$44:$U$49,MATCH(BU$4,Escalators!$C$44:$C$49,0),MATCH(BU$5,Escalators!$I$43:$U$43,0))</f>
        <v>0</v>
      </c>
      <c r="BV13" s="128">
        <f>INDEX(Direct_Cost_Splits_Network,MATCH($H13,RIN_Asset_Cat_Network,0),MATCH($BW$4,Direct_Cost_Type,0))*$Q13*INDEX(Act_Type_Repex_Splits,MATCH($I13,Act_Type_Repex,0),MATCH(BV$4,Mat_Type,0))*INDEX(Escalators!$I$44:$U$49,MATCH(BV$4,Escalators!$C$44:$C$49,0),MATCH(BV$5,Escalators!$I$43:$U$43,0))</f>
        <v>281.46594996675805</v>
      </c>
      <c r="BW13" s="128">
        <f t="shared" si="23"/>
        <v>351.83243745844754</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942.51237413076274</v>
      </c>
      <c r="CC13" s="128">
        <f>INDEX(Direct_Cost_Splits_Network,MATCH($H13,RIN_Asset_Cat_Network,0),MATCH($BY$4,Direct_Cost_Type,0))*N13*HLOOKUP(CC$5,Escalators!$I$25:$U$30,6,FALSE)</f>
        <v>942.51237413076274</v>
      </c>
      <c r="CD13" s="128">
        <f>INDEX(Direct_Cost_Splits_Network,MATCH($H13,RIN_Asset_Cat_Network,0),MATCH($BY$4,Direct_Cost_Type,0))*O13*HLOOKUP(CD$5,Escalators!$I$25:$U$30,6,FALSE)</f>
        <v>942.51237413076274</v>
      </c>
      <c r="CE13" s="128">
        <f>INDEX(Direct_Cost_Splits_Network,MATCH($H13,RIN_Asset_Cat_Network,0),MATCH($BY$4,Direct_Cost_Type,0))*P13*HLOOKUP(CE$5,Escalators!$I$25:$U$30,6,FALSE)</f>
        <v>942.51237413076274</v>
      </c>
      <c r="CF13" s="128">
        <f>INDEX(Direct_Cost_Splits_Network,MATCH($H13,RIN_Asset_Cat_Network,0),MATCH($BY$4,Direct_Cost_Type,0))*Q13*HLOOKUP(CF$5,Escalators!$I$25:$U$30,6,FALSE)</f>
        <v>942.51237413076274</v>
      </c>
      <c r="CG13" s="129"/>
      <c r="CH13" s="675">
        <f t="shared" si="8"/>
        <v>0</v>
      </c>
      <c r="CI13" s="675">
        <f t="shared" si="9"/>
        <v>0</v>
      </c>
      <c r="CJ13" s="675">
        <f t="shared" si="10"/>
        <v>0</v>
      </c>
      <c r="CK13" s="675">
        <f t="shared" si="11"/>
        <v>145.8584903878527</v>
      </c>
      <c r="CL13" s="675">
        <f t="shared" si="12"/>
        <v>145.8584903878527</v>
      </c>
      <c r="CM13" s="675">
        <f t="shared" si="13"/>
        <v>145.8584903878527</v>
      </c>
      <c r="CN13" s="675">
        <f t="shared" si="14"/>
        <v>145.8584903878527</v>
      </c>
      <c r="CO13" s="675">
        <f t="shared" si="15"/>
        <v>145.8584903878527</v>
      </c>
      <c r="CP13" s="129"/>
      <c r="CQ13" s="128">
        <f t="shared" si="24"/>
        <v>0</v>
      </c>
      <c r="CR13" s="128">
        <f t="shared" si="25"/>
        <v>0</v>
      </c>
      <c r="CS13" s="128">
        <f t="shared" si="26"/>
        <v>0</v>
      </c>
      <c r="CT13" s="128">
        <f t="shared" si="27"/>
        <v>1605.1963375333421</v>
      </c>
      <c r="CU13" s="128">
        <f t="shared" si="28"/>
        <v>1606.0148504009312</v>
      </c>
      <c r="CV13" s="128">
        <f t="shared" si="29"/>
        <v>1607.0947109935091</v>
      </c>
      <c r="CW13" s="128">
        <f t="shared" si="30"/>
        <v>1608.7527171416693</v>
      </c>
      <c r="CX13" s="128">
        <f t="shared" si="31"/>
        <v>1610.9565721731897</v>
      </c>
    </row>
    <row r="14" spans="2:102">
      <c r="B14" s="7"/>
      <c r="C14" s="7" t="s">
        <v>96</v>
      </c>
      <c r="D14" s="7" t="s">
        <v>100</v>
      </c>
      <c r="E14" s="7" t="s">
        <v>44</v>
      </c>
      <c r="F14" s="7" t="s">
        <v>130</v>
      </c>
      <c r="G14" s="7" t="s">
        <v>150</v>
      </c>
      <c r="H14" s="7" t="s">
        <v>5</v>
      </c>
      <c r="I14" s="7" t="s">
        <v>204</v>
      </c>
      <c r="J14" s="45"/>
      <c r="K14" s="45"/>
      <c r="L14" s="45"/>
      <c r="M14" s="128">
        <v>125.87200000000001</v>
      </c>
      <c r="N14" s="128">
        <v>125.87200000000001</v>
      </c>
      <c r="O14" s="128">
        <v>125.87200000000001</v>
      </c>
      <c r="P14" s="128">
        <v>125.87200000000001</v>
      </c>
      <c r="Q14" s="128">
        <v>0</v>
      </c>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12.980229261224562</v>
      </c>
      <c r="W14" s="128">
        <f>INDEX(Direct_Cost_Splits_Network,MATCH($H14,RIN_Asset_Cat_Network,0),MATCH($S$4,Direct_Cost_Type,0))*N14*HLOOKUP(W$5,Escalators!$I$25:$U$30,3,FALSE)</f>
        <v>13.044622795404631</v>
      </c>
      <c r="X14" s="128">
        <f>INDEX(Direct_Cost_Splits_Network,MATCH($H14,RIN_Asset_Cat_Network,0),MATCH($S$4,Direct_Cost_Type,0))*O14*HLOOKUP(X$5,Escalators!$I$25:$U$30,3,FALSE)</f>
        <v>13.12957691491984</v>
      </c>
      <c r="Y14" s="128">
        <f>INDEX(Direct_Cost_Splits_Network,MATCH($H14,RIN_Asset_Cat_Network,0),MATCH($S$4,Direct_Cost_Type,0))*P14*HLOOKUP(Y$5,Escalators!$I$25:$U$30,3,FALSE)</f>
        <v>13.260014541254051</v>
      </c>
      <c r="Z14" s="128">
        <f>INDEX(Direct_Cost_Splits_Network,MATCH($H14,RIN_Asset_Cat_Network,0),MATCH($S$4,Direct_Cost_Type,0))*Q14*HLOOKUP(Z$5,Escalators!$I$25:$U$30,3,FALSE)</f>
        <v>0</v>
      </c>
      <c r="AA14" s="129"/>
      <c r="AB14" s="75">
        <f>INDEX(Direct_Cost_Splits_Network,MATCH($H14,RIN_Asset_Cat_Network,0),MATCH($AG$4,Direct_Cost_Type,0))*$J14*INDEX(Act_Type_Repex_Splits,MATCH($I14,Act_Type_Repex,0),MATCH(AB$4,Mat_Type,0))*INDEX(Escalators!$I$44:$Q$49,MATCH(AB$4,Escalators!$C$44:$C$49,0),MATCH(AB$5,Escalators!$I$43:$Q$43,0))</f>
        <v>0</v>
      </c>
      <c r="AC14" s="75">
        <f>INDEX(Direct_Cost_Splits_Network,MATCH($H14,RIN_Asset_Cat_Network,0),MATCH($AG$4,Direct_Cost_Type,0))*$J14*INDEX(Act_Type_Repex_Splits,MATCH($I14,Act_Type_Repex,0),MATCH(AC$4,Mat_Type,0))*INDEX(Escalators!$I$44:$Q$49,MATCH(AC$4,Escalators!$C$44:$C$49,0),MATCH(AC$5,Escalators!$I$43:$Q$43,0))</f>
        <v>0</v>
      </c>
      <c r="AD14" s="75">
        <f>INDEX(Direct_Cost_Splits_Network,MATCH($H14,RIN_Asset_Cat_Network,0),MATCH($AG$4,Direct_Cost_Type,0))*$J14*INDEX(Act_Type_Repex_Splits,MATCH($I14,Act_Type_Repex,0),MATCH(AD$4,Mat_Type,0))*INDEX(Escalators!$I$44:$Q$49,MATCH(AD$4,Escalators!$C$44:$C$49,0),MATCH(AD$5,Escalators!$I$43:$Q$43,0))</f>
        <v>0</v>
      </c>
      <c r="AE14" s="75">
        <f>INDEX(Direct_Cost_Splits_Network,MATCH($H14,RIN_Asset_Cat_Network,0),MATCH($AG$4,Direct_Cost_Type,0))*$J14*INDEX(Act_Type_Repex_Splits,MATCH($I14,Act_Type_Repex,0),MATCH(AE$4,Mat_Type,0))*INDEX(Escalators!$I$44:$Q$49,MATCH(AE$4,Escalators!$C$44:$C$49,0),MATCH(AE$5,Escalators!$I$43:$Q$43,0))</f>
        <v>0</v>
      </c>
      <c r="AF14" s="75">
        <f>INDEX(Direct_Cost_Splits_Network,MATCH($H14,RIN_Asset_Cat_Network,0),MATCH($AG$4,Direct_Cost_Type,0))*$J14*INDEX(Act_Type_Repex_Splits,MATCH($I14,Act_Type_Repex,0),MATCH(AF$4,Mat_Type,0))*INDEX(Escalators!$I$44:$Q$49,MATCH(AF$4,Escalators!$C$44:$C$49,0),MATCH(AF$5,Escalators!$I$43:$Q$43,0))</f>
        <v>0</v>
      </c>
      <c r="AG14" s="128">
        <f t="shared" si="16"/>
        <v>0</v>
      </c>
      <c r="AH14" s="128">
        <f>INDEX(Direct_Cost_Splits_Network,MATCH($H14,RIN_Asset_Cat_Network,0),MATCH($AY$4,Direct_Cost_Type,0))*$K14*INDEX(Act_Type_Repex_Splits,MATCH($I14,Act_Type_Repex,0),MATCH(AH$4,Mat_Type,0))*INDEX(Escalators!$I$44:$U$49,MATCH(AH$4,Escalators!$C$44:$C$49,0),MATCH(AH$5,Escalators!$I$43:$U$43,0))</f>
        <v>0</v>
      </c>
      <c r="AI14" s="128">
        <f>INDEX(Direct_Cost_Splits_Network,MATCH($H14,RIN_Asset_Cat_Network,0),MATCH($AY$4,Direct_Cost_Type,0))*$K14*INDEX(Act_Type_Repex_Splits,MATCH($I14,Act_Type_Repex,0),MATCH(AI$4,Mat_Type,0))*INDEX(Escalators!$I$44:$U$49,MATCH(AI$4,Escalators!$C$44:$C$49,0),MATCH(AI$5,Escalators!$I$43:$U$43,0))</f>
        <v>0</v>
      </c>
      <c r="AJ14" s="128">
        <f>INDEX(Direct_Cost_Splits_Network,MATCH($H14,RIN_Asset_Cat_Network,0),MATCH($AY$4,Direct_Cost_Type,0))*$K14*INDEX(Act_Type_Repex_Splits,MATCH($I14,Act_Type_Repex,0),MATCH(AJ$4,Mat_Type,0))*INDEX(Escalators!$I$44:$U$49,MATCH(AJ$4,Escalators!$C$44:$C$49,0),MATCH(AJ$5,Escalators!$I$43:$U$43,0))</f>
        <v>0</v>
      </c>
      <c r="AK14" s="128">
        <f>INDEX(Direct_Cost_Splits_Network,MATCH($H14,RIN_Asset_Cat_Network,0),MATCH($AY$4,Direct_Cost_Type,0))*$K14*INDEX(Act_Type_Repex_Splits,MATCH($I14,Act_Type_Repex,0),MATCH(AK$4,Mat_Type,0))*INDEX(Escalators!$I$44:$U$49,MATCH(AK$4,Escalators!$C$44:$C$49,0),MATCH(AK$5,Escalators!$I$43:$U$43,0))</f>
        <v>0</v>
      </c>
      <c r="AL14" s="128">
        <f>INDEX(Direct_Cost_Splits_Network,MATCH($H14,RIN_Asset_Cat_Network,0),MATCH($AY$4,Direct_Cost_Type,0))*$K14*INDEX(Act_Type_Repex_Splits,MATCH($I14,Act_Type_Repex,0),MATCH(AL$4,Mat_Type,0))*INDEX(Escalators!$I$44:$U$49,MATCH(AL$4,Escalators!$C$44:$C$49,0),MATCH(AL$5,Escalators!$I$43:$U$43,0))</f>
        <v>0</v>
      </c>
      <c r="AM14" s="128">
        <f t="shared" si="17"/>
        <v>0</v>
      </c>
      <c r="AN14" s="128">
        <f>INDEX(Direct_Cost_Splits_Network,MATCH($H14,RIN_Asset_Cat_Network,0),MATCH($AY$4,Direct_Cost_Type,0))*$L14*INDEX(Act_Type_Repex_Splits,MATCH($I14,Act_Type_Repex,0),MATCH(AN$4,Mat_Type,0))*INDEX(Escalators!$I$44:$U$49,MATCH(AN$4,Escalators!$C$44:$C$49,0),MATCH(AN$5,Escalators!$I$43:$U$43,0))</f>
        <v>0</v>
      </c>
      <c r="AO14" s="128">
        <f>INDEX(Direct_Cost_Splits_Network,MATCH($H14,RIN_Asset_Cat_Network,0),MATCH($AY$4,Direct_Cost_Type,0))*$L14*INDEX(Act_Type_Repex_Splits,MATCH($I14,Act_Type_Repex,0),MATCH(AO$4,Mat_Type,0))*INDEX(Escalators!$I$44:$U$49,MATCH(AO$4,Escalators!$C$44:$C$49,0),MATCH(AO$5,Escalators!$I$43:$U$43,0))</f>
        <v>0</v>
      </c>
      <c r="AP14" s="128">
        <f>INDEX(Direct_Cost_Splits_Network,MATCH($H14,RIN_Asset_Cat_Network,0),MATCH($AY$4,Direct_Cost_Type,0))*$L14*INDEX(Act_Type_Repex_Splits,MATCH($I14,Act_Type_Repex,0),MATCH(AP$4,Mat_Type,0))*INDEX(Escalators!$I$44:$U$49,MATCH(AP$4,Escalators!$C$44:$C$49,0),MATCH(AP$5,Escalators!$I$43:$U$43,0))</f>
        <v>0</v>
      </c>
      <c r="AQ14" s="128">
        <f>INDEX(Direct_Cost_Splits_Network,MATCH($H14,RIN_Asset_Cat_Network,0),MATCH($AY$4,Direct_Cost_Type,0))*$L14*INDEX(Act_Type_Repex_Splits,MATCH($I14,Act_Type_Repex,0),MATCH(AQ$4,Mat_Type,0))*INDEX(Escalators!$I$44:$U$49,MATCH(AQ$4,Escalators!$C$44:$C$49,0),MATCH(AQ$5,Escalators!$I$43:$U$43,0))</f>
        <v>0</v>
      </c>
      <c r="AR14" s="128">
        <f>INDEX(Direct_Cost_Splits_Network,MATCH($H14,RIN_Asset_Cat_Network,0),MATCH($AY$4,Direct_Cost_Type,0))*$L14*INDEX(Act_Type_Repex_Splits,MATCH($I14,Act_Type_Repex,0),MATCH(AR$4,Mat_Type,0))*INDEX(Escalators!$I$44:$U$49,MATCH(AR$4,Escalators!$C$44:$C$49,0),MATCH(AR$5,Escalators!$I$43:$U$43,0))</f>
        <v>0</v>
      </c>
      <c r="AS14" s="128">
        <f t="shared" si="18"/>
        <v>0</v>
      </c>
      <c r="AT14" s="128">
        <f>INDEX(Direct_Cost_Splits_Network,MATCH($H14,RIN_Asset_Cat_Network,0),MATCH($AY$4,Direct_Cost_Type,0))*$M14*INDEX(Act_Type_Repex_Splits,MATCH($I14,Act_Type_Repex,0),MATCH(AT$4,Mat_Type,0))*INDEX(Escalators!$I$44:$U$49,MATCH(AT$4,Escalators!$C$44:$C$49,0),MATCH(AT$5,Escalators!$I$43:$U$43,0))</f>
        <v>0</v>
      </c>
      <c r="AU14" s="128">
        <f>INDEX(Direct_Cost_Splits_Network,MATCH($H14,RIN_Asset_Cat_Network,0),MATCH($AY$4,Direct_Cost_Type,0))*$M14*INDEX(Act_Type_Repex_Splits,MATCH($I14,Act_Type_Repex,0),MATCH(AU$4,Mat_Type,0))*INDEX(Escalators!$I$44:$U$49,MATCH(AU$4,Escalators!$C$44:$C$49,0),MATCH(AU$5,Escalators!$I$43:$U$43,0))</f>
        <v>0</v>
      </c>
      <c r="AV14" s="128">
        <f>INDEX(Direct_Cost_Splits_Network,MATCH($H14,RIN_Asset_Cat_Network,0),MATCH($AY$4,Direct_Cost_Type,0))*$M14*INDEX(Act_Type_Repex_Splits,MATCH($I14,Act_Type_Repex,0),MATCH(AV$4,Mat_Type,0))*INDEX(Escalators!$I$44:$U$49,MATCH(AV$4,Escalators!$C$44:$C$49,0),MATCH(AV$5,Escalators!$I$43:$U$43,0))</f>
        <v>5.5358284479690543</v>
      </c>
      <c r="AW14" s="128">
        <f>INDEX(Direct_Cost_Splits_Network,MATCH($H14,RIN_Asset_Cat_Network,0),MATCH($AY$4,Direct_Cost_Type,0))*$M14*INDEX(Act_Type_Repex_Splits,MATCH($I14,Act_Type_Repex,0),MATCH(AW$4,Mat_Type,0))*INDEX(Escalators!$I$44:$U$49,MATCH(AW$4,Escalators!$C$44:$C$49,0),MATCH(AW$5,Escalators!$I$43:$U$43,0))</f>
        <v>0</v>
      </c>
      <c r="AX14" s="128">
        <f>INDEX(Direct_Cost_Splits_Network,MATCH($H14,RIN_Asset_Cat_Network,0),MATCH($AY$4,Direct_Cost_Type,0))*$M14*INDEX(Act_Type_Repex_Splits,MATCH($I14,Act_Type_Repex,0),MATCH(AX$4,Mat_Type,0))*INDEX(Escalators!$I$44:$U$49,MATCH(AX$4,Escalators!$C$44:$C$49,0),MATCH(AX$5,Escalators!$I$43:$U$43,0))</f>
        <v>22.143313791876217</v>
      </c>
      <c r="AY14" s="128">
        <f t="shared" si="19"/>
        <v>27.67914223984527</v>
      </c>
      <c r="AZ14" s="128">
        <f>INDEX(Direct_Cost_Splits_Network,MATCH($H14,RIN_Asset_Cat_Network,0),MATCH($BE$4,Direct_Cost_Type,0))*$N14*INDEX(Act_Type_Repex_Splits,MATCH($I14,Act_Type_Repex,0),MATCH(AZ$4,Mat_Type,0))*INDEX(Escalators!$I$44:$U$49,MATCH(AZ$4,Escalators!$C$44:$C$49,0),MATCH(AZ$5,Escalators!$I$43:$U$43,0))</f>
        <v>0</v>
      </c>
      <c r="BA14" s="128">
        <f>INDEX(Direct_Cost_Splits_Network,MATCH($H14,RIN_Asset_Cat_Network,0),MATCH($BE$4,Direct_Cost_Type,0))*$N14*INDEX(Act_Type_Repex_Splits,MATCH($I14,Act_Type_Repex,0),MATCH(BA$4,Mat_Type,0))*INDEX(Escalators!$I$44:$U$49,MATCH(BA$4,Escalators!$C$44:$C$49,0),MATCH(BA$5,Escalators!$I$43:$U$43,0))</f>
        <v>0</v>
      </c>
      <c r="BB14" s="128">
        <f>INDEX(Direct_Cost_Splits_Network,MATCH($H14,RIN_Asset_Cat_Network,0),MATCH($BE$4,Direct_Cost_Type,0))*$N14*INDEX(Act_Type_Repex_Splits,MATCH($I14,Act_Type_Repex,0),MATCH(BB$4,Mat_Type,0))*INDEX(Escalators!$I$44:$U$49,MATCH(BB$4,Escalators!$C$44:$C$49,0),MATCH(BB$5,Escalators!$I$43:$U$43,0))</f>
        <v>5.5358284479690543</v>
      </c>
      <c r="BC14" s="128">
        <f>INDEX(Direct_Cost_Splits_Network,MATCH($H14,RIN_Asset_Cat_Network,0),MATCH($BE$4,Direct_Cost_Type,0))*$N14*INDEX(Act_Type_Repex_Splits,MATCH($I14,Act_Type_Repex,0),MATCH(BC$4,Mat_Type,0))*INDEX(Escalators!$I$44:$U$49,MATCH(BC$4,Escalators!$C$44:$C$49,0),MATCH(BC$5,Escalators!$I$43:$U$43,0))</f>
        <v>0</v>
      </c>
      <c r="BD14" s="128">
        <f>INDEX(Direct_Cost_Splits_Network,MATCH($H14,RIN_Asset_Cat_Network,0),MATCH($BE$4,Direct_Cost_Type,0))*$N14*INDEX(Act_Type_Repex_Splits,MATCH($I14,Act_Type_Repex,0),MATCH(BD$4,Mat_Type,0))*INDEX(Escalators!$I$44:$U$49,MATCH(BD$4,Escalators!$C$44:$C$49,0),MATCH(BD$5,Escalators!$I$43:$U$43,0))</f>
        <v>22.143313791876217</v>
      </c>
      <c r="BE14" s="128">
        <f t="shared" si="20"/>
        <v>27.67914223984527</v>
      </c>
      <c r="BF14" s="128">
        <f>INDEX(Direct_Cost_Splits_Network,MATCH($H14,RIN_Asset_Cat_Network,0),MATCH($BK$4,Direct_Cost_Type,0))*$O14*INDEX(Act_Type_Repex_Splits,MATCH($I14,Act_Type_Repex,0),MATCH(BF$4,Mat_Type,0))*INDEX(Escalators!$I$44:$U$49,MATCH(BF$4,Escalators!$C$44:$C$49,0),MATCH(BF$5,Escalators!$I$43:$U$43,0))</f>
        <v>0</v>
      </c>
      <c r="BG14" s="128">
        <f>INDEX(Direct_Cost_Splits_Network,MATCH($H14,RIN_Asset_Cat_Network,0),MATCH($BK$4,Direct_Cost_Type,0))*$O14*INDEX(Act_Type_Repex_Splits,MATCH($I14,Act_Type_Repex,0),MATCH(BG$4,Mat_Type,0))*INDEX(Escalators!$I$44:$U$49,MATCH(BG$4,Escalators!$C$44:$C$49,0),MATCH(BG$5,Escalators!$I$43:$U$43,0))</f>
        <v>0</v>
      </c>
      <c r="BH14" s="128">
        <f>INDEX(Direct_Cost_Splits_Network,MATCH($H14,RIN_Asset_Cat_Network,0),MATCH($BK$4,Direct_Cost_Type,0))*$O14*INDEX(Act_Type_Repex_Splits,MATCH($I14,Act_Type_Repex,0),MATCH(BH$4,Mat_Type,0))*INDEX(Escalators!$I$44:$U$49,MATCH(BH$4,Escalators!$C$44:$C$49,0),MATCH(BH$5,Escalators!$I$43:$U$43,0))</f>
        <v>5.5358284479690543</v>
      </c>
      <c r="BI14" s="128">
        <f>INDEX(Direct_Cost_Splits_Network,MATCH($H14,RIN_Asset_Cat_Network,0),MATCH($BK$4,Direct_Cost_Type,0))*$O14*INDEX(Act_Type_Repex_Splits,MATCH($I14,Act_Type_Repex,0),MATCH(BI$4,Mat_Type,0))*INDEX(Escalators!$I$44:$U$49,MATCH(BI$4,Escalators!$C$44:$C$49,0),MATCH(BI$5,Escalators!$I$43:$U$43,0))</f>
        <v>0</v>
      </c>
      <c r="BJ14" s="128">
        <f>INDEX(Direct_Cost_Splits_Network,MATCH($H14,RIN_Asset_Cat_Network,0),MATCH($BK$4,Direct_Cost_Type,0))*$O14*INDEX(Act_Type_Repex_Splits,MATCH($I14,Act_Type_Repex,0),MATCH(BJ$4,Mat_Type,0))*INDEX(Escalators!$I$44:$U$49,MATCH(BJ$4,Escalators!$C$44:$C$49,0),MATCH(BJ$5,Escalators!$I$43:$U$43,0))</f>
        <v>22.143313791876217</v>
      </c>
      <c r="BK14" s="128">
        <f t="shared" si="21"/>
        <v>27.67914223984527</v>
      </c>
      <c r="BL14" s="128">
        <f>INDEX(Direct_Cost_Splits_Network,MATCH($H14,RIN_Asset_Cat_Network,0),MATCH($BQ$4,Direct_Cost_Type,0))*$P14*INDEX(Act_Type_Repex_Splits,MATCH($I14,Act_Type_Repex,0),MATCH(BL$4,Mat_Type,0))*INDEX(Escalators!$I$44:$U$49,MATCH(BL$4,Escalators!$C$44:$C$49,0),MATCH(BL$5,Escalators!$I$43:$U$43,0))</f>
        <v>0</v>
      </c>
      <c r="BM14" s="128">
        <f>INDEX(Direct_Cost_Splits_Network,MATCH($H14,RIN_Asset_Cat_Network,0),MATCH($BQ$4,Direct_Cost_Type,0))*$P14*INDEX(Act_Type_Repex_Splits,MATCH($I14,Act_Type_Repex,0),MATCH(BM$4,Mat_Type,0))*INDEX(Escalators!$I$44:$U$49,MATCH(BM$4,Escalators!$C$44:$C$49,0),MATCH(BM$5,Escalators!$I$43:$U$43,0))</f>
        <v>0</v>
      </c>
      <c r="BN14" s="128">
        <f>INDEX(Direct_Cost_Splits_Network,MATCH($H14,RIN_Asset_Cat_Network,0),MATCH($BQ$4,Direct_Cost_Type,0))*$P14*INDEX(Act_Type_Repex_Splits,MATCH($I14,Act_Type_Repex,0),MATCH(BN$4,Mat_Type,0))*INDEX(Escalators!$I$44:$U$49,MATCH(BN$4,Escalators!$C$44:$C$49,0),MATCH(BN$5,Escalators!$I$43:$U$43,0))</f>
        <v>5.5358284479690543</v>
      </c>
      <c r="BO14" s="128">
        <f>INDEX(Direct_Cost_Splits_Network,MATCH($H14,RIN_Asset_Cat_Network,0),MATCH($BQ$4,Direct_Cost_Type,0))*$P14*INDEX(Act_Type_Repex_Splits,MATCH($I14,Act_Type_Repex,0),MATCH(BO$4,Mat_Type,0))*INDEX(Escalators!$I$44:$U$49,MATCH(BO$4,Escalators!$C$44:$C$49,0),MATCH(BO$5,Escalators!$I$43:$U$43,0))</f>
        <v>0</v>
      </c>
      <c r="BP14" s="128">
        <f>INDEX(Direct_Cost_Splits_Network,MATCH($H14,RIN_Asset_Cat_Network,0),MATCH($BQ$4,Direct_Cost_Type,0))*$P14*INDEX(Act_Type_Repex_Splits,MATCH($I14,Act_Type_Repex,0),MATCH(BP$4,Mat_Type,0))*INDEX(Escalators!$I$44:$U$49,MATCH(BP$4,Escalators!$C$44:$C$49,0),MATCH(BP$5,Escalators!$I$43:$U$43,0))</f>
        <v>22.143313791876217</v>
      </c>
      <c r="BQ14" s="128">
        <f t="shared" si="22"/>
        <v>27.67914223984527</v>
      </c>
      <c r="BR14" s="128">
        <f>INDEX(Direct_Cost_Splits_Network,MATCH($H14,RIN_Asset_Cat_Network,0),MATCH($BW$4,Direct_Cost_Type,0))*$Q14*INDEX(Act_Type_Repex_Splits,MATCH($I14,Act_Type_Repex,0),MATCH(BR$4,Mat_Type,0))*INDEX(Escalators!$I$44:$U$49,MATCH(BR$4,Escalators!$C$44:$C$49,0),MATCH(BR$5,Escalators!$I$43:$U$43,0))</f>
        <v>0</v>
      </c>
      <c r="BS14" s="128">
        <f>INDEX(Direct_Cost_Splits_Network,MATCH($H14,RIN_Asset_Cat_Network,0),MATCH($BW$4,Direct_Cost_Type,0))*$Q14*INDEX(Act_Type_Repex_Splits,MATCH($I14,Act_Type_Repex,0),MATCH(BS$4,Mat_Type,0))*INDEX(Escalators!$I$44:$U$49,MATCH(BS$4,Escalators!$C$44:$C$49,0),MATCH(BS$5,Escalators!$I$43:$U$43,0))</f>
        <v>0</v>
      </c>
      <c r="BT14" s="128">
        <f>INDEX(Direct_Cost_Splits_Network,MATCH($H14,RIN_Asset_Cat_Network,0),MATCH($BW$4,Direct_Cost_Type,0))*$Q14*INDEX(Act_Type_Repex_Splits,MATCH($I14,Act_Type_Repex,0),MATCH(BT$4,Mat_Type,0))*INDEX(Escalators!$I$44:$U$49,MATCH(BT$4,Escalators!$C$44:$C$49,0),MATCH(BT$5,Escalators!$I$43:$U$43,0))</f>
        <v>0</v>
      </c>
      <c r="BU14" s="128">
        <f>INDEX(Direct_Cost_Splits_Network,MATCH($H14,RIN_Asset_Cat_Network,0),MATCH($BW$4,Direct_Cost_Type,0))*$Q14*INDEX(Act_Type_Repex_Splits,MATCH($I14,Act_Type_Repex,0),MATCH(BU$4,Mat_Type,0))*INDEX(Escalators!$I$44:$U$49,MATCH(BU$4,Escalators!$C$44:$C$49,0),MATCH(BU$5,Escalators!$I$43:$U$43,0))</f>
        <v>0</v>
      </c>
      <c r="BV14" s="128">
        <f>INDEX(Direct_Cost_Splits_Network,MATCH($H14,RIN_Asset_Cat_Network,0),MATCH($BW$4,Direct_Cost_Type,0))*$Q14*INDEX(Act_Type_Repex_Splits,MATCH($I14,Act_Type_Repex,0),MATCH(BV$4,Mat_Type,0))*INDEX(Escalators!$I$44:$U$49,MATCH(BV$4,Escalators!$C$44:$C$49,0),MATCH(BV$5,Escalators!$I$43:$U$43,0))</f>
        <v>0</v>
      </c>
      <c r="BW14" s="128">
        <f t="shared" si="23"/>
        <v>0</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74.148746075923441</v>
      </c>
      <c r="CC14" s="128">
        <f>INDEX(Direct_Cost_Splits_Network,MATCH($H14,RIN_Asset_Cat_Network,0),MATCH($BY$4,Direct_Cost_Type,0))*N14*HLOOKUP(CC$5,Escalators!$I$25:$U$30,6,FALSE)</f>
        <v>74.148746075923441</v>
      </c>
      <c r="CD14" s="128">
        <f>INDEX(Direct_Cost_Splits_Network,MATCH($H14,RIN_Asset_Cat_Network,0),MATCH($BY$4,Direct_Cost_Type,0))*O14*HLOOKUP(CD$5,Escalators!$I$25:$U$30,6,FALSE)</f>
        <v>74.148746075923441</v>
      </c>
      <c r="CE14" s="128">
        <f>INDEX(Direct_Cost_Splits_Network,MATCH($H14,RIN_Asset_Cat_Network,0),MATCH($BY$4,Direct_Cost_Type,0))*P14*HLOOKUP(CE$5,Escalators!$I$25:$U$30,6,FALSE)</f>
        <v>74.148746075923441</v>
      </c>
      <c r="CF14" s="128">
        <f>INDEX(Direct_Cost_Splits_Network,MATCH($H14,RIN_Asset_Cat_Network,0),MATCH($BY$4,Direct_Cost_Type,0))*Q14*HLOOKUP(CF$5,Escalators!$I$25:$U$30,6,FALSE)</f>
        <v>0</v>
      </c>
      <c r="CG14" s="129"/>
      <c r="CH14" s="675">
        <f t="shared" si="8"/>
        <v>0</v>
      </c>
      <c r="CI14" s="675">
        <f t="shared" si="9"/>
        <v>0</v>
      </c>
      <c r="CJ14" s="675">
        <f t="shared" si="10"/>
        <v>0</v>
      </c>
      <c r="CK14" s="675">
        <f t="shared" si="11"/>
        <v>11.474888249356736</v>
      </c>
      <c r="CL14" s="675">
        <f t="shared" si="12"/>
        <v>11.474888249356736</v>
      </c>
      <c r="CM14" s="675">
        <f t="shared" si="13"/>
        <v>11.474888249356736</v>
      </c>
      <c r="CN14" s="675">
        <f t="shared" si="14"/>
        <v>11.474888249356736</v>
      </c>
      <c r="CO14" s="675">
        <f t="shared" si="15"/>
        <v>0</v>
      </c>
      <c r="CP14" s="129"/>
      <c r="CQ14" s="128">
        <f t="shared" si="24"/>
        <v>0</v>
      </c>
      <c r="CR14" s="128">
        <f t="shared" si="25"/>
        <v>0</v>
      </c>
      <c r="CS14" s="128">
        <f t="shared" si="26"/>
        <v>0</v>
      </c>
      <c r="CT14" s="128">
        <f t="shared" si="27"/>
        <v>126.28300582635001</v>
      </c>
      <c r="CU14" s="128">
        <f t="shared" si="28"/>
        <v>126.34739936053008</v>
      </c>
      <c r="CV14" s="128">
        <f t="shared" si="29"/>
        <v>126.43235348004528</v>
      </c>
      <c r="CW14" s="128">
        <f t="shared" si="30"/>
        <v>126.56279110637949</v>
      </c>
      <c r="CX14" s="128">
        <f t="shared" si="31"/>
        <v>0</v>
      </c>
    </row>
    <row r="15" spans="2:102">
      <c r="B15" s="7"/>
      <c r="C15" s="7" t="s">
        <v>440</v>
      </c>
      <c r="D15" s="7" t="s">
        <v>100</v>
      </c>
      <c r="E15" s="7" t="s">
        <v>44</v>
      </c>
      <c r="F15" s="7" t="s">
        <v>130</v>
      </c>
      <c r="G15" s="7" t="s">
        <v>150</v>
      </c>
      <c r="H15" s="7" t="s">
        <v>5</v>
      </c>
      <c r="I15" s="7" t="s">
        <v>204</v>
      </c>
      <c r="J15" s="45"/>
      <c r="K15" s="45"/>
      <c r="L15" s="45"/>
      <c r="M15" s="128">
        <v>283.21199999999999</v>
      </c>
      <c r="N15" s="128">
        <v>283.21199999999999</v>
      </c>
      <c r="O15" s="128">
        <v>283.21199999999999</v>
      </c>
      <c r="P15" s="128">
        <v>283.21199999999999</v>
      </c>
      <c r="Q15" s="128">
        <v>0</v>
      </c>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29.205515837755257</v>
      </c>
      <c r="W15" s="128">
        <f>INDEX(Direct_Cost_Splits_Network,MATCH($H15,RIN_Asset_Cat_Network,0),MATCH($S$4,Direct_Cost_Type,0))*N15*HLOOKUP(W$5,Escalators!$I$25:$U$30,3,FALSE)</f>
        <v>29.350401289660411</v>
      </c>
      <c r="X15" s="128">
        <f>INDEX(Direct_Cost_Splits_Network,MATCH($H15,RIN_Asset_Cat_Network,0),MATCH($S$4,Direct_Cost_Type,0))*O15*HLOOKUP(X$5,Escalators!$I$25:$U$30,3,FALSE)</f>
        <v>29.541548058569632</v>
      </c>
      <c r="Y15" s="128">
        <f>INDEX(Direct_Cost_Splits_Network,MATCH($H15,RIN_Asset_Cat_Network,0),MATCH($S$4,Direct_Cost_Type,0))*P15*HLOOKUP(Y$5,Escalators!$I$25:$U$30,3,FALSE)</f>
        <v>29.835032717821608</v>
      </c>
      <c r="Z15" s="128">
        <f>INDEX(Direct_Cost_Splits_Network,MATCH($H15,RIN_Asset_Cat_Network,0),MATCH($S$4,Direct_Cost_Type,0))*Q15*HLOOKUP(Z$5,Escalators!$I$25:$U$30,3,FALSE)</f>
        <v>0</v>
      </c>
      <c r="AA15" s="129"/>
      <c r="AB15" s="75">
        <f>INDEX(Direct_Cost_Splits_Network,MATCH($H15,RIN_Asset_Cat_Network,0),MATCH($AG$4,Direct_Cost_Type,0))*$J15*INDEX(Act_Type_Repex_Splits,MATCH($I15,Act_Type_Repex,0),MATCH(AB$4,Mat_Type,0))*INDEX(Escalators!$I$44:$Q$49,MATCH(AB$4,Escalators!$C$44:$C$49,0),MATCH(AB$5,Escalators!$I$43:$Q$43,0))</f>
        <v>0</v>
      </c>
      <c r="AC15" s="75">
        <f>INDEX(Direct_Cost_Splits_Network,MATCH($H15,RIN_Asset_Cat_Network,0),MATCH($AG$4,Direct_Cost_Type,0))*$J15*INDEX(Act_Type_Repex_Splits,MATCH($I15,Act_Type_Repex,0),MATCH(AC$4,Mat_Type,0))*INDEX(Escalators!$I$44:$Q$49,MATCH(AC$4,Escalators!$C$44:$C$49,0),MATCH(AC$5,Escalators!$I$43:$Q$43,0))</f>
        <v>0</v>
      </c>
      <c r="AD15" s="75">
        <f>INDEX(Direct_Cost_Splits_Network,MATCH($H15,RIN_Asset_Cat_Network,0),MATCH($AG$4,Direct_Cost_Type,0))*$J15*INDEX(Act_Type_Repex_Splits,MATCH($I15,Act_Type_Repex,0),MATCH(AD$4,Mat_Type,0))*INDEX(Escalators!$I$44:$Q$49,MATCH(AD$4,Escalators!$C$44:$C$49,0),MATCH(AD$5,Escalators!$I$43:$Q$43,0))</f>
        <v>0</v>
      </c>
      <c r="AE15" s="75">
        <f>INDEX(Direct_Cost_Splits_Network,MATCH($H15,RIN_Asset_Cat_Network,0),MATCH($AG$4,Direct_Cost_Type,0))*$J15*INDEX(Act_Type_Repex_Splits,MATCH($I15,Act_Type_Repex,0),MATCH(AE$4,Mat_Type,0))*INDEX(Escalators!$I$44:$Q$49,MATCH(AE$4,Escalators!$C$44:$C$49,0),MATCH(AE$5,Escalators!$I$43:$Q$43,0))</f>
        <v>0</v>
      </c>
      <c r="AF15" s="75">
        <f>INDEX(Direct_Cost_Splits_Network,MATCH($H15,RIN_Asset_Cat_Network,0),MATCH($AG$4,Direct_Cost_Type,0))*$J15*INDEX(Act_Type_Repex_Splits,MATCH($I15,Act_Type_Repex,0),MATCH(AF$4,Mat_Type,0))*INDEX(Escalators!$I$44:$Q$49,MATCH(AF$4,Escalators!$C$44:$C$49,0),MATCH(AF$5,Escalators!$I$43:$Q$43,0))</f>
        <v>0</v>
      </c>
      <c r="AG15" s="128">
        <f t="shared" si="16"/>
        <v>0</v>
      </c>
      <c r="AH15" s="128">
        <f>INDEX(Direct_Cost_Splits_Network,MATCH($H15,RIN_Asset_Cat_Network,0),MATCH($AY$4,Direct_Cost_Type,0))*$K15*INDEX(Act_Type_Repex_Splits,MATCH($I15,Act_Type_Repex,0),MATCH(AH$4,Mat_Type,0))*INDEX(Escalators!$I$44:$U$49,MATCH(AH$4,Escalators!$C$44:$C$49,0),MATCH(AH$5,Escalators!$I$43:$U$43,0))</f>
        <v>0</v>
      </c>
      <c r="AI15" s="128">
        <f>INDEX(Direct_Cost_Splits_Network,MATCH($H15,RIN_Asset_Cat_Network,0),MATCH($AY$4,Direct_Cost_Type,0))*$K15*INDEX(Act_Type_Repex_Splits,MATCH($I15,Act_Type_Repex,0),MATCH(AI$4,Mat_Type,0))*INDEX(Escalators!$I$44:$U$49,MATCH(AI$4,Escalators!$C$44:$C$49,0),MATCH(AI$5,Escalators!$I$43:$U$43,0))</f>
        <v>0</v>
      </c>
      <c r="AJ15" s="128">
        <f>INDEX(Direct_Cost_Splits_Network,MATCH($H15,RIN_Asset_Cat_Network,0),MATCH($AY$4,Direct_Cost_Type,0))*$K15*INDEX(Act_Type_Repex_Splits,MATCH($I15,Act_Type_Repex,0),MATCH(AJ$4,Mat_Type,0))*INDEX(Escalators!$I$44:$U$49,MATCH(AJ$4,Escalators!$C$44:$C$49,0),MATCH(AJ$5,Escalators!$I$43:$U$43,0))</f>
        <v>0</v>
      </c>
      <c r="AK15" s="128">
        <f>INDEX(Direct_Cost_Splits_Network,MATCH($H15,RIN_Asset_Cat_Network,0),MATCH($AY$4,Direct_Cost_Type,0))*$K15*INDEX(Act_Type_Repex_Splits,MATCH($I15,Act_Type_Repex,0),MATCH(AK$4,Mat_Type,0))*INDEX(Escalators!$I$44:$U$49,MATCH(AK$4,Escalators!$C$44:$C$49,0),MATCH(AK$5,Escalators!$I$43:$U$43,0))</f>
        <v>0</v>
      </c>
      <c r="AL15" s="128">
        <f>INDEX(Direct_Cost_Splits_Network,MATCH($H15,RIN_Asset_Cat_Network,0),MATCH($AY$4,Direct_Cost_Type,0))*$K15*INDEX(Act_Type_Repex_Splits,MATCH($I15,Act_Type_Repex,0),MATCH(AL$4,Mat_Type,0))*INDEX(Escalators!$I$44:$U$49,MATCH(AL$4,Escalators!$C$44:$C$49,0),MATCH(AL$5,Escalators!$I$43:$U$43,0))</f>
        <v>0</v>
      </c>
      <c r="AM15" s="128">
        <f t="shared" si="17"/>
        <v>0</v>
      </c>
      <c r="AN15" s="128">
        <f>INDEX(Direct_Cost_Splits_Network,MATCH($H15,RIN_Asset_Cat_Network,0),MATCH($AY$4,Direct_Cost_Type,0))*$L15*INDEX(Act_Type_Repex_Splits,MATCH($I15,Act_Type_Repex,0),MATCH(AN$4,Mat_Type,0))*INDEX(Escalators!$I$44:$U$49,MATCH(AN$4,Escalators!$C$44:$C$49,0),MATCH(AN$5,Escalators!$I$43:$U$43,0))</f>
        <v>0</v>
      </c>
      <c r="AO15" s="128">
        <f>INDEX(Direct_Cost_Splits_Network,MATCH($H15,RIN_Asset_Cat_Network,0),MATCH($AY$4,Direct_Cost_Type,0))*$L15*INDEX(Act_Type_Repex_Splits,MATCH($I15,Act_Type_Repex,0),MATCH(AO$4,Mat_Type,0))*INDEX(Escalators!$I$44:$U$49,MATCH(AO$4,Escalators!$C$44:$C$49,0),MATCH(AO$5,Escalators!$I$43:$U$43,0))</f>
        <v>0</v>
      </c>
      <c r="AP15" s="128">
        <f>INDEX(Direct_Cost_Splits_Network,MATCH($H15,RIN_Asset_Cat_Network,0),MATCH($AY$4,Direct_Cost_Type,0))*$L15*INDEX(Act_Type_Repex_Splits,MATCH($I15,Act_Type_Repex,0),MATCH(AP$4,Mat_Type,0))*INDEX(Escalators!$I$44:$U$49,MATCH(AP$4,Escalators!$C$44:$C$49,0),MATCH(AP$5,Escalators!$I$43:$U$43,0))</f>
        <v>0</v>
      </c>
      <c r="AQ15" s="128">
        <f>INDEX(Direct_Cost_Splits_Network,MATCH($H15,RIN_Asset_Cat_Network,0),MATCH($AY$4,Direct_Cost_Type,0))*$L15*INDEX(Act_Type_Repex_Splits,MATCH($I15,Act_Type_Repex,0),MATCH(AQ$4,Mat_Type,0))*INDEX(Escalators!$I$44:$U$49,MATCH(AQ$4,Escalators!$C$44:$C$49,0),MATCH(AQ$5,Escalators!$I$43:$U$43,0))</f>
        <v>0</v>
      </c>
      <c r="AR15" s="128">
        <f>INDEX(Direct_Cost_Splits_Network,MATCH($H15,RIN_Asset_Cat_Network,0),MATCH($AY$4,Direct_Cost_Type,0))*$L15*INDEX(Act_Type_Repex_Splits,MATCH($I15,Act_Type_Repex,0),MATCH(AR$4,Mat_Type,0))*INDEX(Escalators!$I$44:$U$49,MATCH(AR$4,Escalators!$C$44:$C$49,0),MATCH(AR$5,Escalators!$I$43:$U$43,0))</f>
        <v>0</v>
      </c>
      <c r="AS15" s="128">
        <f t="shared" si="18"/>
        <v>0</v>
      </c>
      <c r="AT15" s="128">
        <f>INDEX(Direct_Cost_Splits_Network,MATCH($H15,RIN_Asset_Cat_Network,0),MATCH($AY$4,Direct_Cost_Type,0))*$M15*INDEX(Act_Type_Repex_Splits,MATCH($I15,Act_Type_Repex,0),MATCH(AT$4,Mat_Type,0))*INDEX(Escalators!$I$44:$U$49,MATCH(AT$4,Escalators!$C$44:$C$49,0),MATCH(AT$5,Escalators!$I$43:$U$43,0))</f>
        <v>0</v>
      </c>
      <c r="AU15" s="128">
        <f>INDEX(Direct_Cost_Splits_Network,MATCH($H15,RIN_Asset_Cat_Network,0),MATCH($AY$4,Direct_Cost_Type,0))*$M15*INDEX(Act_Type_Repex_Splits,MATCH($I15,Act_Type_Repex,0),MATCH(AU$4,Mat_Type,0))*INDEX(Escalators!$I$44:$U$49,MATCH(AU$4,Escalators!$C$44:$C$49,0),MATCH(AU$5,Escalators!$I$43:$U$43,0))</f>
        <v>0</v>
      </c>
      <c r="AV15" s="128">
        <f>INDEX(Direct_Cost_Splits_Network,MATCH($H15,RIN_Asset_Cat_Network,0),MATCH($AY$4,Direct_Cost_Type,0))*$M15*INDEX(Act_Type_Repex_Splits,MATCH($I15,Act_Type_Repex,0),MATCH(AV$4,Mat_Type,0))*INDEX(Escalators!$I$44:$U$49,MATCH(AV$4,Escalators!$C$44:$C$49,0),MATCH(AV$5,Escalators!$I$43:$U$43,0))</f>
        <v>12.45561400793037</v>
      </c>
      <c r="AW15" s="128">
        <f>INDEX(Direct_Cost_Splits_Network,MATCH($H15,RIN_Asset_Cat_Network,0),MATCH($AY$4,Direct_Cost_Type,0))*$M15*INDEX(Act_Type_Repex_Splits,MATCH($I15,Act_Type_Repex,0),MATCH(AW$4,Mat_Type,0))*INDEX(Escalators!$I$44:$U$49,MATCH(AW$4,Escalators!$C$44:$C$49,0),MATCH(AW$5,Escalators!$I$43:$U$43,0))</f>
        <v>0</v>
      </c>
      <c r="AX15" s="128">
        <f>INDEX(Direct_Cost_Splits_Network,MATCH($H15,RIN_Asset_Cat_Network,0),MATCH($AY$4,Direct_Cost_Type,0))*$M15*INDEX(Act_Type_Repex_Splits,MATCH($I15,Act_Type_Repex,0),MATCH(AX$4,Mat_Type,0))*INDEX(Escalators!$I$44:$U$49,MATCH(AX$4,Escalators!$C$44:$C$49,0),MATCH(AX$5,Escalators!$I$43:$U$43,0))</f>
        <v>49.82245603172148</v>
      </c>
      <c r="AY15" s="128">
        <f t="shared" si="19"/>
        <v>62.278070039651851</v>
      </c>
      <c r="AZ15" s="128">
        <f>INDEX(Direct_Cost_Splits_Network,MATCH($H15,RIN_Asset_Cat_Network,0),MATCH($BE$4,Direct_Cost_Type,0))*$N15*INDEX(Act_Type_Repex_Splits,MATCH($I15,Act_Type_Repex,0),MATCH(AZ$4,Mat_Type,0))*INDEX(Escalators!$I$44:$U$49,MATCH(AZ$4,Escalators!$C$44:$C$49,0),MATCH(AZ$5,Escalators!$I$43:$U$43,0))</f>
        <v>0</v>
      </c>
      <c r="BA15" s="128">
        <f>INDEX(Direct_Cost_Splits_Network,MATCH($H15,RIN_Asset_Cat_Network,0),MATCH($BE$4,Direct_Cost_Type,0))*$N15*INDEX(Act_Type_Repex_Splits,MATCH($I15,Act_Type_Repex,0),MATCH(BA$4,Mat_Type,0))*INDEX(Escalators!$I$44:$U$49,MATCH(BA$4,Escalators!$C$44:$C$49,0),MATCH(BA$5,Escalators!$I$43:$U$43,0))</f>
        <v>0</v>
      </c>
      <c r="BB15" s="128">
        <f>INDEX(Direct_Cost_Splits_Network,MATCH($H15,RIN_Asset_Cat_Network,0),MATCH($BE$4,Direct_Cost_Type,0))*$N15*INDEX(Act_Type_Repex_Splits,MATCH($I15,Act_Type_Repex,0),MATCH(BB$4,Mat_Type,0))*INDEX(Escalators!$I$44:$U$49,MATCH(BB$4,Escalators!$C$44:$C$49,0),MATCH(BB$5,Escalators!$I$43:$U$43,0))</f>
        <v>12.45561400793037</v>
      </c>
      <c r="BC15" s="128">
        <f>INDEX(Direct_Cost_Splits_Network,MATCH($H15,RIN_Asset_Cat_Network,0),MATCH($BE$4,Direct_Cost_Type,0))*$N15*INDEX(Act_Type_Repex_Splits,MATCH($I15,Act_Type_Repex,0),MATCH(BC$4,Mat_Type,0))*INDEX(Escalators!$I$44:$U$49,MATCH(BC$4,Escalators!$C$44:$C$49,0),MATCH(BC$5,Escalators!$I$43:$U$43,0))</f>
        <v>0</v>
      </c>
      <c r="BD15" s="128">
        <f>INDEX(Direct_Cost_Splits_Network,MATCH($H15,RIN_Asset_Cat_Network,0),MATCH($BE$4,Direct_Cost_Type,0))*$N15*INDEX(Act_Type_Repex_Splits,MATCH($I15,Act_Type_Repex,0),MATCH(BD$4,Mat_Type,0))*INDEX(Escalators!$I$44:$U$49,MATCH(BD$4,Escalators!$C$44:$C$49,0),MATCH(BD$5,Escalators!$I$43:$U$43,0))</f>
        <v>49.82245603172148</v>
      </c>
      <c r="BE15" s="128">
        <f t="shared" si="20"/>
        <v>62.278070039651851</v>
      </c>
      <c r="BF15" s="128">
        <f>INDEX(Direct_Cost_Splits_Network,MATCH($H15,RIN_Asset_Cat_Network,0),MATCH($BK$4,Direct_Cost_Type,0))*$O15*INDEX(Act_Type_Repex_Splits,MATCH($I15,Act_Type_Repex,0),MATCH(BF$4,Mat_Type,0))*INDEX(Escalators!$I$44:$U$49,MATCH(BF$4,Escalators!$C$44:$C$49,0),MATCH(BF$5,Escalators!$I$43:$U$43,0))</f>
        <v>0</v>
      </c>
      <c r="BG15" s="128">
        <f>INDEX(Direct_Cost_Splits_Network,MATCH($H15,RIN_Asset_Cat_Network,0),MATCH($BK$4,Direct_Cost_Type,0))*$O15*INDEX(Act_Type_Repex_Splits,MATCH($I15,Act_Type_Repex,0),MATCH(BG$4,Mat_Type,0))*INDEX(Escalators!$I$44:$U$49,MATCH(BG$4,Escalators!$C$44:$C$49,0),MATCH(BG$5,Escalators!$I$43:$U$43,0))</f>
        <v>0</v>
      </c>
      <c r="BH15" s="128">
        <f>INDEX(Direct_Cost_Splits_Network,MATCH($H15,RIN_Asset_Cat_Network,0),MATCH($BK$4,Direct_Cost_Type,0))*$O15*INDEX(Act_Type_Repex_Splits,MATCH($I15,Act_Type_Repex,0),MATCH(BH$4,Mat_Type,0))*INDEX(Escalators!$I$44:$U$49,MATCH(BH$4,Escalators!$C$44:$C$49,0),MATCH(BH$5,Escalators!$I$43:$U$43,0))</f>
        <v>12.45561400793037</v>
      </c>
      <c r="BI15" s="128">
        <f>INDEX(Direct_Cost_Splits_Network,MATCH($H15,RIN_Asset_Cat_Network,0),MATCH($BK$4,Direct_Cost_Type,0))*$O15*INDEX(Act_Type_Repex_Splits,MATCH($I15,Act_Type_Repex,0),MATCH(BI$4,Mat_Type,0))*INDEX(Escalators!$I$44:$U$49,MATCH(BI$4,Escalators!$C$44:$C$49,0),MATCH(BI$5,Escalators!$I$43:$U$43,0))</f>
        <v>0</v>
      </c>
      <c r="BJ15" s="128">
        <f>INDEX(Direct_Cost_Splits_Network,MATCH($H15,RIN_Asset_Cat_Network,0),MATCH($BK$4,Direct_Cost_Type,0))*$O15*INDEX(Act_Type_Repex_Splits,MATCH($I15,Act_Type_Repex,0),MATCH(BJ$4,Mat_Type,0))*INDEX(Escalators!$I$44:$U$49,MATCH(BJ$4,Escalators!$C$44:$C$49,0),MATCH(BJ$5,Escalators!$I$43:$U$43,0))</f>
        <v>49.82245603172148</v>
      </c>
      <c r="BK15" s="128">
        <f t="shared" si="21"/>
        <v>62.278070039651851</v>
      </c>
      <c r="BL15" s="128">
        <f>INDEX(Direct_Cost_Splits_Network,MATCH($H15,RIN_Asset_Cat_Network,0),MATCH($BQ$4,Direct_Cost_Type,0))*$P15*INDEX(Act_Type_Repex_Splits,MATCH($I15,Act_Type_Repex,0),MATCH(BL$4,Mat_Type,0))*INDEX(Escalators!$I$44:$U$49,MATCH(BL$4,Escalators!$C$44:$C$49,0),MATCH(BL$5,Escalators!$I$43:$U$43,0))</f>
        <v>0</v>
      </c>
      <c r="BM15" s="128">
        <f>INDEX(Direct_Cost_Splits_Network,MATCH($H15,RIN_Asset_Cat_Network,0),MATCH($BQ$4,Direct_Cost_Type,0))*$P15*INDEX(Act_Type_Repex_Splits,MATCH($I15,Act_Type_Repex,0),MATCH(BM$4,Mat_Type,0))*INDEX(Escalators!$I$44:$U$49,MATCH(BM$4,Escalators!$C$44:$C$49,0),MATCH(BM$5,Escalators!$I$43:$U$43,0))</f>
        <v>0</v>
      </c>
      <c r="BN15" s="128">
        <f>INDEX(Direct_Cost_Splits_Network,MATCH($H15,RIN_Asset_Cat_Network,0),MATCH($BQ$4,Direct_Cost_Type,0))*$P15*INDEX(Act_Type_Repex_Splits,MATCH($I15,Act_Type_Repex,0),MATCH(BN$4,Mat_Type,0))*INDEX(Escalators!$I$44:$U$49,MATCH(BN$4,Escalators!$C$44:$C$49,0),MATCH(BN$5,Escalators!$I$43:$U$43,0))</f>
        <v>12.45561400793037</v>
      </c>
      <c r="BO15" s="128">
        <f>INDEX(Direct_Cost_Splits_Network,MATCH($H15,RIN_Asset_Cat_Network,0),MATCH($BQ$4,Direct_Cost_Type,0))*$P15*INDEX(Act_Type_Repex_Splits,MATCH($I15,Act_Type_Repex,0),MATCH(BO$4,Mat_Type,0))*INDEX(Escalators!$I$44:$U$49,MATCH(BO$4,Escalators!$C$44:$C$49,0),MATCH(BO$5,Escalators!$I$43:$U$43,0))</f>
        <v>0</v>
      </c>
      <c r="BP15" s="128">
        <f>INDEX(Direct_Cost_Splits_Network,MATCH($H15,RIN_Asset_Cat_Network,0),MATCH($BQ$4,Direct_Cost_Type,0))*$P15*INDEX(Act_Type_Repex_Splits,MATCH($I15,Act_Type_Repex,0),MATCH(BP$4,Mat_Type,0))*INDEX(Escalators!$I$44:$U$49,MATCH(BP$4,Escalators!$C$44:$C$49,0),MATCH(BP$5,Escalators!$I$43:$U$43,0))</f>
        <v>49.82245603172148</v>
      </c>
      <c r="BQ15" s="128">
        <f t="shared" si="22"/>
        <v>62.278070039651851</v>
      </c>
      <c r="BR15" s="128">
        <f>INDEX(Direct_Cost_Splits_Network,MATCH($H15,RIN_Asset_Cat_Network,0),MATCH($BW$4,Direct_Cost_Type,0))*$Q15*INDEX(Act_Type_Repex_Splits,MATCH($I15,Act_Type_Repex,0),MATCH(BR$4,Mat_Type,0))*INDEX(Escalators!$I$44:$U$49,MATCH(BR$4,Escalators!$C$44:$C$49,0),MATCH(BR$5,Escalators!$I$43:$U$43,0))</f>
        <v>0</v>
      </c>
      <c r="BS15" s="128">
        <f>INDEX(Direct_Cost_Splits_Network,MATCH($H15,RIN_Asset_Cat_Network,0),MATCH($BW$4,Direct_Cost_Type,0))*$Q15*INDEX(Act_Type_Repex_Splits,MATCH($I15,Act_Type_Repex,0),MATCH(BS$4,Mat_Type,0))*INDEX(Escalators!$I$44:$U$49,MATCH(BS$4,Escalators!$C$44:$C$49,0),MATCH(BS$5,Escalators!$I$43:$U$43,0))</f>
        <v>0</v>
      </c>
      <c r="BT15" s="128">
        <f>INDEX(Direct_Cost_Splits_Network,MATCH($H15,RIN_Asset_Cat_Network,0),MATCH($BW$4,Direct_Cost_Type,0))*$Q15*INDEX(Act_Type_Repex_Splits,MATCH($I15,Act_Type_Repex,0),MATCH(BT$4,Mat_Type,0))*INDEX(Escalators!$I$44:$U$49,MATCH(BT$4,Escalators!$C$44:$C$49,0),MATCH(BT$5,Escalators!$I$43:$U$43,0))</f>
        <v>0</v>
      </c>
      <c r="BU15" s="128">
        <f>INDEX(Direct_Cost_Splits_Network,MATCH($H15,RIN_Asset_Cat_Network,0),MATCH($BW$4,Direct_Cost_Type,0))*$Q15*INDEX(Act_Type_Repex_Splits,MATCH($I15,Act_Type_Repex,0),MATCH(BU$4,Mat_Type,0))*INDEX(Escalators!$I$44:$U$49,MATCH(BU$4,Escalators!$C$44:$C$49,0),MATCH(BU$5,Escalators!$I$43:$U$43,0))</f>
        <v>0</v>
      </c>
      <c r="BV15" s="128">
        <f>INDEX(Direct_Cost_Splits_Network,MATCH($H15,RIN_Asset_Cat_Network,0),MATCH($BW$4,Direct_Cost_Type,0))*$Q15*INDEX(Act_Type_Repex_Splits,MATCH($I15,Act_Type_Repex,0),MATCH(BV$4,Mat_Type,0))*INDEX(Escalators!$I$44:$U$49,MATCH(BV$4,Escalators!$C$44:$C$49,0),MATCH(BV$5,Escalators!$I$43:$U$43,0))</f>
        <v>0</v>
      </c>
      <c r="BW15" s="128">
        <f t="shared" si="23"/>
        <v>0</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166.83467867082771</v>
      </c>
      <c r="CC15" s="128">
        <f>INDEX(Direct_Cost_Splits_Network,MATCH($H15,RIN_Asset_Cat_Network,0),MATCH($BY$4,Direct_Cost_Type,0))*N15*HLOOKUP(CC$5,Escalators!$I$25:$U$30,6,FALSE)</f>
        <v>166.83467867082771</v>
      </c>
      <c r="CD15" s="128">
        <f>INDEX(Direct_Cost_Splits_Network,MATCH($H15,RIN_Asset_Cat_Network,0),MATCH($BY$4,Direct_Cost_Type,0))*O15*HLOOKUP(CD$5,Escalators!$I$25:$U$30,6,FALSE)</f>
        <v>166.83467867082771</v>
      </c>
      <c r="CE15" s="128">
        <f>INDEX(Direct_Cost_Splits_Network,MATCH($H15,RIN_Asset_Cat_Network,0),MATCH($BY$4,Direct_Cost_Type,0))*P15*HLOOKUP(CE$5,Escalators!$I$25:$U$30,6,FALSE)</f>
        <v>166.83467867082771</v>
      </c>
      <c r="CF15" s="128">
        <f>INDEX(Direct_Cost_Splits_Network,MATCH($H15,RIN_Asset_Cat_Network,0),MATCH($BY$4,Direct_Cost_Type,0))*Q15*HLOOKUP(CF$5,Escalators!$I$25:$U$30,6,FALSE)</f>
        <v>0</v>
      </c>
      <c r="CG15" s="129"/>
      <c r="CH15" s="675">
        <f t="shared" si="8"/>
        <v>0</v>
      </c>
      <c r="CI15" s="675">
        <f t="shared" si="9"/>
        <v>0</v>
      </c>
      <c r="CJ15" s="675">
        <f t="shared" si="10"/>
        <v>0</v>
      </c>
      <c r="CK15" s="675">
        <f t="shared" si="11"/>
        <v>25.818498561052653</v>
      </c>
      <c r="CL15" s="675">
        <f t="shared" si="12"/>
        <v>25.818498561052653</v>
      </c>
      <c r="CM15" s="675">
        <f t="shared" si="13"/>
        <v>25.818498561052653</v>
      </c>
      <c r="CN15" s="675">
        <f t="shared" si="14"/>
        <v>25.818498561052653</v>
      </c>
      <c r="CO15" s="675">
        <f t="shared" si="15"/>
        <v>0</v>
      </c>
      <c r="CP15" s="129"/>
      <c r="CQ15" s="128">
        <f t="shared" si="24"/>
        <v>0</v>
      </c>
      <c r="CR15" s="128">
        <f t="shared" si="25"/>
        <v>0</v>
      </c>
      <c r="CS15" s="128">
        <f t="shared" si="26"/>
        <v>0</v>
      </c>
      <c r="CT15" s="128">
        <f t="shared" si="27"/>
        <v>284.13676310928747</v>
      </c>
      <c r="CU15" s="128">
        <f t="shared" si="28"/>
        <v>284.28164856119264</v>
      </c>
      <c r="CV15" s="128">
        <f t="shared" si="29"/>
        <v>284.47279533010186</v>
      </c>
      <c r="CW15" s="128">
        <f t="shared" si="30"/>
        <v>284.76627998935379</v>
      </c>
      <c r="CX15" s="128">
        <f t="shared" si="31"/>
        <v>0</v>
      </c>
    </row>
    <row r="16" spans="2:102">
      <c r="B16" s="7"/>
      <c r="C16" s="7"/>
      <c r="D16" s="7"/>
      <c r="E16" s="7"/>
      <c r="F16" s="7"/>
      <c r="G16" s="7"/>
      <c r="H16" s="7"/>
      <c r="I16" s="7"/>
      <c r="J16" s="45"/>
      <c r="K16" s="45"/>
      <c r="L16" s="45"/>
      <c r="M16" s="45"/>
      <c r="N16" s="45"/>
      <c r="O16" s="45"/>
      <c r="P16" s="45"/>
      <c r="Q16" s="45"/>
      <c r="S16" s="47"/>
      <c r="T16" s="47"/>
      <c r="U16" s="47"/>
      <c r="V16" s="47"/>
      <c r="W16" s="47"/>
      <c r="X16" s="47"/>
      <c r="Y16" s="47"/>
      <c r="Z16" s="47"/>
      <c r="AB16" s="6"/>
      <c r="AC16" s="6"/>
      <c r="AD16" s="6"/>
      <c r="AE16" s="6"/>
      <c r="AF16" s="6"/>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4"/>
        <v>0</v>
      </c>
      <c r="CR16" s="47">
        <f t="shared" si="25"/>
        <v>0</v>
      </c>
      <c r="CS16" s="47">
        <f t="shared" si="26"/>
        <v>0</v>
      </c>
      <c r="CT16" s="47">
        <f t="shared" si="27"/>
        <v>0</v>
      </c>
      <c r="CU16" s="47">
        <f t="shared" si="28"/>
        <v>0</v>
      </c>
      <c r="CV16" s="47">
        <f t="shared" si="29"/>
        <v>0</v>
      </c>
      <c r="CW16" s="47">
        <f t="shared" si="30"/>
        <v>0</v>
      </c>
      <c r="CX16" s="47">
        <f t="shared" si="31"/>
        <v>0</v>
      </c>
    </row>
    <row r="17" spans="2:102">
      <c r="B17" s="7"/>
      <c r="C17" s="7"/>
      <c r="D17" s="7"/>
      <c r="E17" s="7"/>
      <c r="F17" s="7"/>
      <c r="G17" s="7"/>
      <c r="H17" s="7"/>
      <c r="I17" s="7"/>
      <c r="J17" s="45"/>
      <c r="K17" s="45"/>
      <c r="L17" s="45"/>
      <c r="M17" s="45"/>
      <c r="N17" s="45"/>
      <c r="O17" s="45"/>
      <c r="P17" s="45"/>
      <c r="Q17" s="45"/>
      <c r="S17" s="47"/>
      <c r="T17" s="47"/>
      <c r="U17" s="47"/>
      <c r="V17" s="47"/>
      <c r="W17" s="47"/>
      <c r="X17" s="47"/>
      <c r="Y17" s="47"/>
      <c r="Z17" s="47"/>
      <c r="AB17" s="6"/>
      <c r="AC17" s="6"/>
      <c r="AD17" s="6"/>
      <c r="AE17" s="6"/>
      <c r="AF17" s="6"/>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4"/>
        <v>0</v>
      </c>
      <c r="CR17" s="47">
        <f t="shared" si="25"/>
        <v>0</v>
      </c>
      <c r="CS17" s="47">
        <f t="shared" si="26"/>
        <v>0</v>
      </c>
      <c r="CT17" s="47">
        <f t="shared" si="27"/>
        <v>0</v>
      </c>
      <c r="CU17" s="47">
        <f t="shared" si="28"/>
        <v>0</v>
      </c>
      <c r="CV17" s="47">
        <f t="shared" si="29"/>
        <v>0</v>
      </c>
      <c r="CW17" s="47">
        <f t="shared" si="30"/>
        <v>0</v>
      </c>
      <c r="CX17" s="47">
        <f t="shared" si="31"/>
        <v>0</v>
      </c>
    </row>
    <row r="18" spans="2:102">
      <c r="B18" s="7"/>
      <c r="C18" s="7"/>
      <c r="D18" s="7"/>
      <c r="E18" s="7"/>
      <c r="F18" s="7"/>
      <c r="G18" s="7"/>
      <c r="H18" s="7"/>
      <c r="I18" s="7"/>
      <c r="J18" s="45"/>
      <c r="K18" s="45"/>
      <c r="L18" s="45"/>
      <c r="M18" s="45"/>
      <c r="N18" s="45"/>
      <c r="O18" s="45"/>
      <c r="P18" s="45"/>
      <c r="Q18" s="45"/>
      <c r="S18" s="47"/>
      <c r="T18" s="47"/>
      <c r="U18" s="47"/>
      <c r="V18" s="47"/>
      <c r="W18" s="47"/>
      <c r="X18" s="47"/>
      <c r="Y18" s="47"/>
      <c r="Z18" s="47"/>
      <c r="AB18" s="6"/>
      <c r="AC18" s="6"/>
      <c r="AD18" s="6"/>
      <c r="AE18" s="6"/>
      <c r="AF18" s="6"/>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4"/>
        <v>0</v>
      </c>
      <c r="CR18" s="47">
        <f t="shared" si="25"/>
        <v>0</v>
      </c>
      <c r="CS18" s="47">
        <f t="shared" si="26"/>
        <v>0</v>
      </c>
      <c r="CT18" s="47">
        <f t="shared" si="27"/>
        <v>0</v>
      </c>
      <c r="CU18" s="47">
        <f t="shared" si="28"/>
        <v>0</v>
      </c>
      <c r="CV18" s="47">
        <f t="shared" si="29"/>
        <v>0</v>
      </c>
      <c r="CW18" s="47">
        <f t="shared" si="30"/>
        <v>0</v>
      </c>
      <c r="CX18" s="47">
        <f t="shared" si="31"/>
        <v>0</v>
      </c>
    </row>
    <row r="19" spans="2:102">
      <c r="B19" s="7"/>
      <c r="C19" s="7"/>
      <c r="D19" s="7"/>
      <c r="E19" s="7"/>
      <c r="F19" s="7"/>
      <c r="G19" s="7"/>
      <c r="H19" s="7"/>
      <c r="I19" s="7"/>
      <c r="J19" s="45"/>
      <c r="K19" s="45"/>
      <c r="L19" s="45"/>
      <c r="M19" s="45"/>
      <c r="N19" s="45"/>
      <c r="O19" s="45"/>
      <c r="P19" s="45"/>
      <c r="Q19" s="45"/>
      <c r="S19" s="47"/>
      <c r="T19" s="47"/>
      <c r="U19" s="47"/>
      <c r="V19" s="47"/>
      <c r="W19" s="47"/>
      <c r="X19" s="47"/>
      <c r="Y19" s="47"/>
      <c r="Z19" s="47"/>
      <c r="AB19" s="6"/>
      <c r="AC19" s="6"/>
      <c r="AD19" s="6"/>
      <c r="AE19" s="6"/>
      <c r="AF19" s="6"/>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4"/>
        <v>0</v>
      </c>
      <c r="CR19" s="47">
        <f t="shared" si="25"/>
        <v>0</v>
      </c>
      <c r="CS19" s="47">
        <f t="shared" si="26"/>
        <v>0</v>
      </c>
      <c r="CT19" s="47">
        <f t="shared" si="27"/>
        <v>0</v>
      </c>
      <c r="CU19" s="47">
        <f t="shared" si="28"/>
        <v>0</v>
      </c>
      <c r="CV19" s="47">
        <f t="shared" si="29"/>
        <v>0</v>
      </c>
      <c r="CW19" s="47">
        <f t="shared" si="30"/>
        <v>0</v>
      </c>
      <c r="CX19" s="47">
        <f t="shared" si="31"/>
        <v>0</v>
      </c>
    </row>
    <row r="20" spans="2:102">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82"/>
      <c r="CI20" s="82"/>
      <c r="CJ20" s="82"/>
      <c r="CK20" s="82"/>
      <c r="CL20" s="82"/>
      <c r="CM20" s="82"/>
      <c r="CN20" s="82"/>
      <c r="CO20" s="82"/>
      <c r="CQ20" s="47">
        <f t="shared" si="24"/>
        <v>0</v>
      </c>
      <c r="CR20" s="47">
        <f t="shared" si="25"/>
        <v>0</v>
      </c>
      <c r="CS20" s="47">
        <f t="shared" si="26"/>
        <v>0</v>
      </c>
      <c r="CT20" s="47">
        <f t="shared" si="27"/>
        <v>0</v>
      </c>
      <c r="CU20" s="47">
        <f t="shared" si="28"/>
        <v>0</v>
      </c>
      <c r="CV20" s="47">
        <f t="shared" si="29"/>
        <v>0</v>
      </c>
      <c r="CW20" s="47">
        <f t="shared" si="30"/>
        <v>0</v>
      </c>
      <c r="CX20" s="47">
        <f t="shared" si="31"/>
        <v>0</v>
      </c>
    </row>
    <row r="21" spans="2:102">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82"/>
      <c r="CI21" s="82"/>
      <c r="CJ21" s="82"/>
      <c r="CK21" s="82"/>
      <c r="CL21" s="82"/>
      <c r="CM21" s="82"/>
      <c r="CN21" s="82"/>
      <c r="CO21" s="82"/>
      <c r="CQ21" s="47">
        <f t="shared" si="24"/>
        <v>0</v>
      </c>
      <c r="CR21" s="47">
        <f t="shared" si="25"/>
        <v>0</v>
      </c>
      <c r="CS21" s="47">
        <f t="shared" si="26"/>
        <v>0</v>
      </c>
      <c r="CT21" s="47">
        <f t="shared" si="27"/>
        <v>0</v>
      </c>
      <c r="CU21" s="47">
        <f t="shared" si="28"/>
        <v>0</v>
      </c>
      <c r="CV21" s="47">
        <f t="shared" si="29"/>
        <v>0</v>
      </c>
      <c r="CW21" s="47">
        <f t="shared" si="30"/>
        <v>0</v>
      </c>
      <c r="CX21" s="47">
        <f t="shared" si="31"/>
        <v>0</v>
      </c>
    </row>
    <row r="22" spans="2:102">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82"/>
      <c r="CI22" s="82"/>
      <c r="CJ22" s="82"/>
      <c r="CK22" s="82"/>
      <c r="CL22" s="82"/>
      <c r="CM22" s="82"/>
      <c r="CN22" s="82"/>
      <c r="CO22" s="82"/>
      <c r="CQ22" s="47">
        <f t="shared" si="24"/>
        <v>0</v>
      </c>
      <c r="CR22" s="47">
        <f t="shared" si="25"/>
        <v>0</v>
      </c>
      <c r="CS22" s="47">
        <f t="shared" si="26"/>
        <v>0</v>
      </c>
      <c r="CT22" s="47">
        <f t="shared" si="27"/>
        <v>0</v>
      </c>
      <c r="CU22" s="47">
        <f t="shared" si="28"/>
        <v>0</v>
      </c>
      <c r="CV22" s="47">
        <f t="shared" si="29"/>
        <v>0</v>
      </c>
      <c r="CW22" s="47">
        <f t="shared" si="30"/>
        <v>0</v>
      </c>
      <c r="CX22" s="47">
        <f t="shared" si="31"/>
        <v>0</v>
      </c>
    </row>
    <row r="23" spans="2:102">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82"/>
      <c r="CI23" s="82"/>
      <c r="CJ23" s="82"/>
      <c r="CK23" s="82"/>
      <c r="CL23" s="82"/>
      <c r="CM23" s="82"/>
      <c r="CN23" s="82"/>
      <c r="CO23" s="82"/>
      <c r="CQ23" s="47">
        <f t="shared" si="24"/>
        <v>0</v>
      </c>
      <c r="CR23" s="47">
        <f t="shared" si="25"/>
        <v>0</v>
      </c>
      <c r="CS23" s="47">
        <f t="shared" si="26"/>
        <v>0</v>
      </c>
      <c r="CT23" s="47">
        <f t="shared" si="27"/>
        <v>0</v>
      </c>
      <c r="CU23" s="47">
        <f t="shared" si="28"/>
        <v>0</v>
      </c>
      <c r="CV23" s="47">
        <f t="shared" si="29"/>
        <v>0</v>
      </c>
      <c r="CW23" s="47">
        <f t="shared" si="30"/>
        <v>0</v>
      </c>
      <c r="CX23" s="47">
        <f t="shared" si="31"/>
        <v>0</v>
      </c>
    </row>
    <row r="24" spans="2:102">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82"/>
      <c r="CI24" s="82"/>
      <c r="CJ24" s="82"/>
      <c r="CK24" s="82"/>
      <c r="CL24" s="82"/>
      <c r="CM24" s="82"/>
      <c r="CN24" s="82"/>
      <c r="CO24" s="82"/>
      <c r="CQ24" s="47">
        <f t="shared" ref="CQ24" si="32">S24+AG24+BY24+CH24</f>
        <v>0</v>
      </c>
      <c r="CR24" s="47">
        <f t="shared" ref="CR24" si="33">T24+AM24+BZ24+CI24</f>
        <v>0</v>
      </c>
      <c r="CS24" s="47">
        <f t="shared" si="26"/>
        <v>0</v>
      </c>
      <c r="CT24" s="47">
        <f t="shared" ref="CT24" si="34">V24+AY24+CB24+CK24</f>
        <v>0</v>
      </c>
      <c r="CU24" s="47">
        <f t="shared" ref="CU24" si="35">W24+BE24+CC24+CL24</f>
        <v>0</v>
      </c>
      <c r="CV24" s="47">
        <f t="shared" ref="CV24" si="36">X24+BK24+CD24+CM24</f>
        <v>0</v>
      </c>
      <c r="CW24" s="47">
        <f t="shared" ref="CW24" si="37">Y24+BQ24+CE24+CN24</f>
        <v>0</v>
      </c>
      <c r="CX24" s="47">
        <f t="shared" ref="CX24" si="38">Z24+BW24+CF24+CO24</f>
        <v>0</v>
      </c>
    </row>
    <row r="25" spans="2:102">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82"/>
      <c r="CI25" s="82"/>
      <c r="CJ25" s="82"/>
      <c r="CK25" s="82"/>
      <c r="CL25" s="82"/>
      <c r="CM25" s="82"/>
      <c r="CN25" s="82"/>
      <c r="CO25" s="82"/>
      <c r="CQ25" s="47">
        <f t="shared" si="24"/>
        <v>0</v>
      </c>
      <c r="CR25" s="47">
        <f t="shared" si="25"/>
        <v>0</v>
      </c>
      <c r="CS25" s="47">
        <f t="shared" si="26"/>
        <v>0</v>
      </c>
      <c r="CT25" s="47">
        <f t="shared" si="27"/>
        <v>0</v>
      </c>
      <c r="CU25" s="47">
        <f t="shared" si="28"/>
        <v>0</v>
      </c>
      <c r="CV25" s="47">
        <f t="shared" si="29"/>
        <v>0</v>
      </c>
      <c r="CW25" s="47">
        <f t="shared" si="30"/>
        <v>0</v>
      </c>
      <c r="CX25" s="47">
        <f t="shared" si="31"/>
        <v>0</v>
      </c>
    </row>
    <row r="26" spans="2:102">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47"/>
      <c r="CI26" s="47"/>
      <c r="CJ26" s="47"/>
      <c r="CK26" s="47"/>
      <c r="CL26" s="47"/>
      <c r="CM26" s="47"/>
      <c r="CN26" s="47"/>
      <c r="CO26" s="47"/>
      <c r="CQ26" s="47">
        <f t="shared" si="24"/>
        <v>0</v>
      </c>
      <c r="CR26" s="47">
        <f t="shared" si="25"/>
        <v>0</v>
      </c>
      <c r="CS26" s="47">
        <f t="shared" si="26"/>
        <v>0</v>
      </c>
      <c r="CT26" s="47">
        <f t="shared" si="27"/>
        <v>0</v>
      </c>
      <c r="CU26" s="47">
        <f t="shared" si="28"/>
        <v>0</v>
      </c>
      <c r="CV26" s="47">
        <f t="shared" si="29"/>
        <v>0</v>
      </c>
      <c r="CW26" s="47">
        <f t="shared" si="30"/>
        <v>0</v>
      </c>
      <c r="CX26" s="47">
        <f t="shared" si="31"/>
        <v>0</v>
      </c>
    </row>
    <row r="27" spans="2:102">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82"/>
      <c r="CI27" s="82"/>
      <c r="CJ27" s="82"/>
      <c r="CK27" s="82"/>
      <c r="CL27" s="82"/>
      <c r="CM27" s="82"/>
      <c r="CN27" s="82"/>
      <c r="CO27" s="82"/>
      <c r="CQ27" s="47">
        <f t="shared" si="24"/>
        <v>0</v>
      </c>
      <c r="CR27" s="47">
        <f t="shared" si="25"/>
        <v>0</v>
      </c>
      <c r="CS27" s="47">
        <f t="shared" si="26"/>
        <v>0</v>
      </c>
      <c r="CT27" s="47">
        <f t="shared" si="27"/>
        <v>0</v>
      </c>
      <c r="CU27" s="47">
        <f t="shared" si="28"/>
        <v>0</v>
      </c>
      <c r="CV27" s="47">
        <f t="shared" si="29"/>
        <v>0</v>
      </c>
      <c r="CW27" s="47">
        <f t="shared" si="30"/>
        <v>0</v>
      </c>
      <c r="CX27" s="47">
        <f t="shared" si="31"/>
        <v>0</v>
      </c>
    </row>
    <row r="28" spans="2:102">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82"/>
      <c r="CI28" s="82"/>
      <c r="CJ28" s="82"/>
      <c r="CK28" s="82"/>
      <c r="CL28" s="82"/>
      <c r="CM28" s="82"/>
      <c r="CN28" s="82"/>
      <c r="CO28" s="82"/>
      <c r="CQ28" s="47">
        <f t="shared" si="24"/>
        <v>0</v>
      </c>
      <c r="CR28" s="47">
        <f t="shared" si="25"/>
        <v>0</v>
      </c>
      <c r="CS28" s="47">
        <f t="shared" si="26"/>
        <v>0</v>
      </c>
      <c r="CT28" s="47">
        <f t="shared" si="27"/>
        <v>0</v>
      </c>
      <c r="CU28" s="47">
        <f t="shared" si="28"/>
        <v>0</v>
      </c>
      <c r="CV28" s="47">
        <f t="shared" si="29"/>
        <v>0</v>
      </c>
      <c r="CW28" s="47">
        <f t="shared" si="30"/>
        <v>0</v>
      </c>
      <c r="CX28" s="47">
        <f t="shared" si="31"/>
        <v>0</v>
      </c>
    </row>
    <row r="29" spans="2:102">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82"/>
      <c r="CI29" s="82"/>
      <c r="CJ29" s="82"/>
      <c r="CK29" s="82"/>
      <c r="CL29" s="82"/>
      <c r="CM29" s="82"/>
      <c r="CN29" s="82"/>
      <c r="CO29" s="82"/>
      <c r="CQ29" s="47">
        <f t="shared" si="24"/>
        <v>0</v>
      </c>
      <c r="CR29" s="47">
        <f t="shared" si="25"/>
        <v>0</v>
      </c>
      <c r="CS29" s="47">
        <f t="shared" si="26"/>
        <v>0</v>
      </c>
      <c r="CT29" s="47">
        <f t="shared" si="27"/>
        <v>0</v>
      </c>
      <c r="CU29" s="47">
        <f t="shared" si="28"/>
        <v>0</v>
      </c>
      <c r="CV29" s="47">
        <f t="shared" si="29"/>
        <v>0</v>
      </c>
      <c r="CW29" s="47">
        <f t="shared" si="30"/>
        <v>0</v>
      </c>
      <c r="CX29" s="47">
        <f t="shared" si="31"/>
        <v>0</v>
      </c>
    </row>
    <row r="30" spans="2:102">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4"/>
        <v>0</v>
      </c>
      <c r="CR30" s="47">
        <f t="shared" si="25"/>
        <v>0</v>
      </c>
      <c r="CS30" s="47">
        <f t="shared" si="26"/>
        <v>0</v>
      </c>
      <c r="CT30" s="47">
        <f t="shared" si="27"/>
        <v>0</v>
      </c>
      <c r="CU30" s="47">
        <f t="shared" si="28"/>
        <v>0</v>
      </c>
      <c r="CV30" s="47">
        <f t="shared" si="29"/>
        <v>0</v>
      </c>
      <c r="CW30" s="47">
        <f t="shared" si="30"/>
        <v>0</v>
      </c>
      <c r="CX30" s="47">
        <f t="shared" si="31"/>
        <v>0</v>
      </c>
    </row>
    <row r="31" spans="2:102">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4"/>
        <v>0</v>
      </c>
      <c r="CR31" s="47">
        <f t="shared" si="25"/>
        <v>0</v>
      </c>
      <c r="CS31" s="47">
        <f t="shared" si="26"/>
        <v>0</v>
      </c>
      <c r="CT31" s="47">
        <f t="shared" si="27"/>
        <v>0</v>
      </c>
      <c r="CU31" s="47">
        <f t="shared" si="28"/>
        <v>0</v>
      </c>
      <c r="CV31" s="47">
        <f t="shared" si="29"/>
        <v>0</v>
      </c>
      <c r="CW31" s="47">
        <f t="shared" si="30"/>
        <v>0</v>
      </c>
      <c r="CX31" s="47">
        <f t="shared" si="31"/>
        <v>0</v>
      </c>
    </row>
    <row r="32" spans="2:102">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4"/>
        <v>0</v>
      </c>
      <c r="CR32" s="47">
        <f t="shared" si="25"/>
        <v>0</v>
      </c>
      <c r="CS32" s="47">
        <f t="shared" si="26"/>
        <v>0</v>
      </c>
      <c r="CT32" s="47">
        <f t="shared" si="27"/>
        <v>0</v>
      </c>
      <c r="CU32" s="47">
        <f t="shared" si="28"/>
        <v>0</v>
      </c>
      <c r="CV32" s="47">
        <f t="shared" si="29"/>
        <v>0</v>
      </c>
      <c r="CW32" s="47">
        <f t="shared" si="30"/>
        <v>0</v>
      </c>
      <c r="CX32" s="47">
        <f t="shared" si="31"/>
        <v>0</v>
      </c>
    </row>
    <row r="33" spans="2:102">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4"/>
        <v>0</v>
      </c>
      <c r="CR33" s="47">
        <f t="shared" si="25"/>
        <v>0</v>
      </c>
      <c r="CS33" s="47">
        <f t="shared" si="26"/>
        <v>0</v>
      </c>
      <c r="CT33" s="47">
        <f t="shared" si="27"/>
        <v>0</v>
      </c>
      <c r="CU33" s="47">
        <f t="shared" si="28"/>
        <v>0</v>
      </c>
      <c r="CV33" s="47">
        <f t="shared" si="29"/>
        <v>0</v>
      </c>
      <c r="CW33" s="47">
        <f t="shared" si="30"/>
        <v>0</v>
      </c>
      <c r="CX33" s="47">
        <f t="shared" si="31"/>
        <v>0</v>
      </c>
    </row>
    <row r="34" spans="2:102">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4"/>
        <v>0</v>
      </c>
      <c r="CR34" s="47">
        <f t="shared" si="25"/>
        <v>0</v>
      </c>
      <c r="CS34" s="47">
        <f t="shared" si="26"/>
        <v>0</v>
      </c>
      <c r="CT34" s="47">
        <f t="shared" si="27"/>
        <v>0</v>
      </c>
      <c r="CU34" s="47">
        <f t="shared" si="28"/>
        <v>0</v>
      </c>
      <c r="CV34" s="47">
        <f t="shared" si="29"/>
        <v>0</v>
      </c>
      <c r="CW34" s="47">
        <f t="shared" si="30"/>
        <v>0</v>
      </c>
      <c r="CX34" s="47">
        <f t="shared" si="31"/>
        <v>0</v>
      </c>
    </row>
    <row r="35" spans="2:102">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4"/>
        <v>0</v>
      </c>
      <c r="CR35" s="47">
        <f t="shared" si="25"/>
        <v>0</v>
      </c>
      <c r="CS35" s="47">
        <f t="shared" si="26"/>
        <v>0</v>
      </c>
      <c r="CT35" s="47">
        <f t="shared" si="27"/>
        <v>0</v>
      </c>
      <c r="CU35" s="47">
        <f t="shared" si="28"/>
        <v>0</v>
      </c>
      <c r="CV35" s="47">
        <f t="shared" si="29"/>
        <v>0</v>
      </c>
      <c r="CW35" s="47">
        <f t="shared" si="30"/>
        <v>0</v>
      </c>
      <c r="CX35" s="47">
        <f t="shared" si="31"/>
        <v>0</v>
      </c>
    </row>
    <row r="36" spans="2:102">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4"/>
        <v>0</v>
      </c>
      <c r="CR36" s="47">
        <f t="shared" si="25"/>
        <v>0</v>
      </c>
      <c r="CS36" s="47">
        <f t="shared" si="26"/>
        <v>0</v>
      </c>
      <c r="CT36" s="47">
        <f t="shared" si="27"/>
        <v>0</v>
      </c>
      <c r="CU36" s="47">
        <f t="shared" si="28"/>
        <v>0</v>
      </c>
      <c r="CV36" s="47">
        <f t="shared" si="29"/>
        <v>0</v>
      </c>
      <c r="CW36" s="47">
        <f t="shared" si="30"/>
        <v>0</v>
      </c>
      <c r="CX36" s="47">
        <f t="shared" si="31"/>
        <v>0</v>
      </c>
    </row>
    <row r="37" spans="2:102">
      <c r="J37" s="48">
        <f t="shared" ref="J37:Q37" si="39">SUM(J6:J36)</f>
        <v>0</v>
      </c>
      <c r="K37" s="48">
        <f t="shared" si="39"/>
        <v>0</v>
      </c>
      <c r="L37" s="48">
        <f t="shared" si="39"/>
        <v>0</v>
      </c>
      <c r="M37" s="48">
        <f t="shared" si="39"/>
        <v>4317.2759199999991</v>
      </c>
      <c r="N37" s="48">
        <f t="shared" si="39"/>
        <v>4317.2759199999991</v>
      </c>
      <c r="O37" s="48">
        <f t="shared" si="39"/>
        <v>4317.2759199999991</v>
      </c>
      <c r="P37" s="48">
        <f t="shared" si="39"/>
        <v>4317.2759199999991</v>
      </c>
      <c r="Q37" s="48">
        <f t="shared" si="39"/>
        <v>1714.972</v>
      </c>
      <c r="S37" s="48">
        <f t="shared" ref="S37:Z37" si="40">SUM(S6:S36)</f>
        <v>0</v>
      </c>
      <c r="T37" s="48">
        <f t="shared" si="40"/>
        <v>0</v>
      </c>
      <c r="U37" s="48">
        <f t="shared" ref="U37" si="41">SUM(U6:U36)</f>
        <v>0</v>
      </c>
      <c r="V37" s="48">
        <f t="shared" si="40"/>
        <v>445.20807825063696</v>
      </c>
      <c r="W37" s="48">
        <f t="shared" si="40"/>
        <v>447.41670808506643</v>
      </c>
      <c r="X37" s="48">
        <f t="shared" si="40"/>
        <v>450.33054416050663</v>
      </c>
      <c r="Y37" s="48">
        <f t="shared" si="40"/>
        <v>454.80441621493225</v>
      </c>
      <c r="Z37" s="48">
        <f t="shared" si="40"/>
        <v>183.0263762708297</v>
      </c>
      <c r="AB37" s="48">
        <f t="shared" ref="AB37:AF37" si="42">SUM(AB6:AB36)</f>
        <v>0</v>
      </c>
      <c r="AC37" s="48">
        <f t="shared" si="42"/>
        <v>0</v>
      </c>
      <c r="AD37" s="48">
        <f t="shared" si="42"/>
        <v>0</v>
      </c>
      <c r="AE37" s="48">
        <f t="shared" si="42"/>
        <v>0</v>
      </c>
      <c r="AF37" s="48">
        <f t="shared" si="42"/>
        <v>0</v>
      </c>
      <c r="AG37" s="48">
        <f t="shared" ref="AG37:BW37" si="43">SUM(AG6:AG36)</f>
        <v>0</v>
      </c>
      <c r="AH37" s="48">
        <f t="shared" ref="AH37:AM37" si="44">SUM(AH6:AH36)</f>
        <v>0</v>
      </c>
      <c r="AI37" s="48">
        <f t="shared" si="44"/>
        <v>0</v>
      </c>
      <c r="AJ37" s="48">
        <f t="shared" si="44"/>
        <v>0</v>
      </c>
      <c r="AK37" s="48">
        <f t="shared" si="44"/>
        <v>0</v>
      </c>
      <c r="AL37" s="48">
        <f t="shared" si="44"/>
        <v>0</v>
      </c>
      <c r="AM37" s="48">
        <f t="shared" si="44"/>
        <v>0</v>
      </c>
      <c r="AN37" s="48">
        <f t="shared" si="43"/>
        <v>0</v>
      </c>
      <c r="AO37" s="48">
        <f t="shared" si="43"/>
        <v>0</v>
      </c>
      <c r="AP37" s="48">
        <f t="shared" si="43"/>
        <v>0</v>
      </c>
      <c r="AQ37" s="48">
        <f t="shared" si="43"/>
        <v>0</v>
      </c>
      <c r="AR37" s="48">
        <f t="shared" si="43"/>
        <v>0</v>
      </c>
      <c r="AS37" s="48">
        <f t="shared" si="43"/>
        <v>0</v>
      </c>
      <c r="AT37" s="48">
        <f t="shared" si="43"/>
        <v>0</v>
      </c>
      <c r="AU37" s="48">
        <f t="shared" si="43"/>
        <v>0</v>
      </c>
      <c r="AV37" s="48">
        <f t="shared" si="43"/>
        <v>189.8730365424222</v>
      </c>
      <c r="AW37" s="48">
        <f t="shared" si="43"/>
        <v>0</v>
      </c>
      <c r="AX37" s="48">
        <f t="shared" si="43"/>
        <v>759.49214616968879</v>
      </c>
      <c r="AY37" s="48">
        <f t="shared" si="43"/>
        <v>949.36518271211105</v>
      </c>
      <c r="AZ37" s="48">
        <f t="shared" si="43"/>
        <v>0</v>
      </c>
      <c r="BA37" s="48">
        <f t="shared" si="43"/>
        <v>0</v>
      </c>
      <c r="BB37" s="48">
        <f t="shared" si="43"/>
        <v>189.8730365424222</v>
      </c>
      <c r="BC37" s="48">
        <f t="shared" si="43"/>
        <v>0</v>
      </c>
      <c r="BD37" s="48">
        <f t="shared" si="43"/>
        <v>759.49214616968879</v>
      </c>
      <c r="BE37" s="48">
        <f t="shared" si="43"/>
        <v>949.36518271211105</v>
      </c>
      <c r="BF37" s="48">
        <f t="shared" si="43"/>
        <v>0</v>
      </c>
      <c r="BG37" s="48">
        <f t="shared" si="43"/>
        <v>0</v>
      </c>
      <c r="BH37" s="48">
        <f t="shared" si="43"/>
        <v>189.8730365424222</v>
      </c>
      <c r="BI37" s="48">
        <f t="shared" si="43"/>
        <v>0</v>
      </c>
      <c r="BJ37" s="48">
        <f t="shared" si="43"/>
        <v>759.49214616968879</v>
      </c>
      <c r="BK37" s="48">
        <f t="shared" si="43"/>
        <v>949.36518271211105</v>
      </c>
      <c r="BL37" s="48">
        <f t="shared" si="43"/>
        <v>0</v>
      </c>
      <c r="BM37" s="48">
        <f t="shared" si="43"/>
        <v>0</v>
      </c>
      <c r="BN37" s="48">
        <f t="shared" si="43"/>
        <v>189.8730365424222</v>
      </c>
      <c r="BO37" s="48">
        <f t="shared" si="43"/>
        <v>0</v>
      </c>
      <c r="BP37" s="48">
        <f t="shared" si="43"/>
        <v>759.49214616968879</v>
      </c>
      <c r="BQ37" s="48">
        <f t="shared" si="43"/>
        <v>949.36518271211105</v>
      </c>
      <c r="BR37" s="48">
        <f t="shared" si="43"/>
        <v>0</v>
      </c>
      <c r="BS37" s="48">
        <f t="shared" si="43"/>
        <v>0</v>
      </c>
      <c r="BT37" s="48">
        <f t="shared" si="43"/>
        <v>75.424167289551164</v>
      </c>
      <c r="BU37" s="48">
        <f t="shared" si="43"/>
        <v>0</v>
      </c>
      <c r="BV37" s="48">
        <f t="shared" si="43"/>
        <v>301.69666915820466</v>
      </c>
      <c r="BW37" s="48">
        <f t="shared" si="43"/>
        <v>377.12083644775578</v>
      </c>
      <c r="BY37" s="48">
        <f t="shared" ref="BY37:CF37" si="45">SUM(BY6:BY36)</f>
        <v>0</v>
      </c>
      <c r="BZ37" s="48">
        <f t="shared" si="45"/>
        <v>0</v>
      </c>
      <c r="CA37" s="48">
        <f t="shared" si="45"/>
        <v>0</v>
      </c>
      <c r="CB37" s="48">
        <f t="shared" si="45"/>
        <v>2543.2232421172203</v>
      </c>
      <c r="CC37" s="48">
        <f t="shared" si="45"/>
        <v>2543.2232421172203</v>
      </c>
      <c r="CD37" s="48">
        <f t="shared" si="45"/>
        <v>2543.2232421172203</v>
      </c>
      <c r="CE37" s="48">
        <f t="shared" si="45"/>
        <v>2543.2232421172203</v>
      </c>
      <c r="CF37" s="48">
        <f t="shared" si="45"/>
        <v>1010.2566365460036</v>
      </c>
      <c r="CH37" s="48">
        <f t="shared" ref="CH37:CO37" si="46">SUM(CH6:CH36)</f>
        <v>0</v>
      </c>
      <c r="CI37" s="48">
        <f t="shared" si="46"/>
        <v>0</v>
      </c>
      <c r="CJ37" s="48">
        <f t="shared" si="46"/>
        <v>0</v>
      </c>
      <c r="CK37" s="48">
        <f t="shared" si="46"/>
        <v>393.57648026279702</v>
      </c>
      <c r="CL37" s="48">
        <f t="shared" si="46"/>
        <v>393.57648026279702</v>
      </c>
      <c r="CM37" s="48">
        <f t="shared" si="46"/>
        <v>393.57648026279702</v>
      </c>
      <c r="CN37" s="48">
        <f t="shared" si="46"/>
        <v>393.57648026279702</v>
      </c>
      <c r="CO37" s="48">
        <f t="shared" si="46"/>
        <v>156.34225285032269</v>
      </c>
      <c r="CQ37" s="48">
        <f t="shared" ref="CQ37:CX37" si="47">SUM(CQ6:CQ36)</f>
        <v>0</v>
      </c>
      <c r="CR37" s="48">
        <f t="shared" ref="CR37:CS37" si="48">SUM(CR6:CR36)</f>
        <v>0</v>
      </c>
      <c r="CS37" s="48">
        <f t="shared" si="48"/>
        <v>0</v>
      </c>
      <c r="CT37" s="48">
        <f t="shared" si="47"/>
        <v>4331.3729833427642</v>
      </c>
      <c r="CU37" s="48">
        <f t="shared" si="47"/>
        <v>4333.5816131771953</v>
      </c>
      <c r="CV37" s="48">
        <f t="shared" si="47"/>
        <v>4336.4954492526349</v>
      </c>
      <c r="CW37" s="48">
        <f t="shared" si="47"/>
        <v>4340.9693213070605</v>
      </c>
      <c r="CX37" s="48">
        <f t="shared" si="47"/>
        <v>1726.7461021149118</v>
      </c>
    </row>
    <row r="38" spans="2:102">
      <c r="CQ38" s="84">
        <f t="shared" ref="CQ38:CX38" si="49">IF(ISERROR((CQ37-J37)/J37),0,(CQ37-J37)/J37)</f>
        <v>0</v>
      </c>
      <c r="CR38" s="84">
        <f t="shared" si="49"/>
        <v>0</v>
      </c>
      <c r="CS38" s="84">
        <f t="shared" si="49"/>
        <v>0</v>
      </c>
      <c r="CT38" s="84">
        <f t="shared" si="49"/>
        <v>3.2652681005306398E-3</v>
      </c>
      <c r="CU38" s="84">
        <f t="shared" si="49"/>
        <v>3.7768475954152573E-3</v>
      </c>
      <c r="CV38" s="84">
        <f t="shared" si="49"/>
        <v>4.4517722769583301E-3</v>
      </c>
      <c r="CW38" s="84">
        <f t="shared" si="49"/>
        <v>5.4880442543179695E-3</v>
      </c>
      <c r="CX38" s="84">
        <f t="shared" si="49"/>
        <v>6.8654777541043146E-3</v>
      </c>
    </row>
    <row r="39" spans="2:102">
      <c r="M39" s="39"/>
      <c r="N39" s="39"/>
      <c r="O39" s="39"/>
      <c r="P39" s="39"/>
      <c r="Q39" s="39"/>
    </row>
    <row r="40" spans="2:102">
      <c r="M40" s="39"/>
      <c r="N40" s="39"/>
      <c r="O40" s="39"/>
      <c r="P40" s="39"/>
      <c r="Q40" s="39"/>
    </row>
    <row r="41" spans="2:102">
      <c r="M41" s="39"/>
      <c r="N41" s="39"/>
      <c r="O41" s="39"/>
      <c r="P41" s="39"/>
      <c r="Q41" s="39"/>
    </row>
  </sheetData>
  <mergeCells count="11">
    <mergeCell ref="M1:N1"/>
    <mergeCell ref="J3:Q3"/>
    <mergeCell ref="S3:Z3"/>
    <mergeCell ref="BY3:CF3"/>
    <mergeCell ref="CQ3:CX3"/>
    <mergeCell ref="CH3:CO3"/>
    <mergeCell ref="J4:Q4"/>
    <mergeCell ref="S4:Z4"/>
    <mergeCell ref="BY4:CF4"/>
    <mergeCell ref="CH4:CO4"/>
    <mergeCell ref="CQ4:CX4"/>
  </mergeCells>
  <hyperlinks>
    <hyperlink ref="B2" location="Contents!A1" display="Table of Contents" xr:uid="{00000000-0004-0000-0F00-000000000000}"/>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r:uid="{00000000-0002-0000-0F00-000000000000}">
          <x14:formula1>
            <xm:f>Lookups!$C$5:$C$13</xm:f>
          </x14:formula1>
          <xm:sqref>E6:E36</xm:sqref>
        </x14:dataValidation>
        <x14:dataValidation type="list" errorStyle="warning" showInputMessage="1" showErrorMessage="1" error="Invalid data entered" prompt="Select from drop down list" xr:uid="{00000000-0002-0000-0F00-000001000000}">
          <x14:formula1>
            <xm:f>Lookups!$C$16:$C$27</xm:f>
          </x14:formula1>
          <xm:sqref>F6:F36</xm:sqref>
        </x14:dataValidation>
        <x14:dataValidation type="list" errorStyle="warning" allowBlank="1" showInputMessage="1" showErrorMessage="1" prompt="Select from drop down list" xr:uid="{00000000-0002-0000-0F00-000002000000}">
          <x14:formula1>
            <xm:f>Lab_Mat!$C$62:$C$98</xm:f>
          </x14:formula1>
          <xm:sqref>I6:I36</xm:sqref>
        </x14:dataValidation>
        <x14:dataValidation type="list" errorStyle="warning" showInputMessage="1" showErrorMessage="1" error="Invalid data entered" prompt="Select from drop down list" xr:uid="{00000000-0002-0000-0F00-000003000000}">
          <x14:formula1>
            <xm:f>Lookups!$I$5:$I$10</xm:f>
          </x14:formula1>
          <xm:sqref>G6:G36</xm:sqref>
        </x14:dataValidation>
        <x14:dataValidation type="list" errorStyle="warning" allowBlank="1" showInputMessage="1" showErrorMessage="1" prompt="Select from drop down list" xr:uid="{00000000-0002-0000-0F00-000004000000}">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CX40"/>
  <sheetViews>
    <sheetView zoomScale="85" zoomScaleNormal="85" zoomScalePageLayoutView="125" workbookViewId="0">
      <pane xSplit="4" topLeftCell="E1" activePane="topRight" state="frozen"/>
      <selection activeCell="V33" sqref="V33"/>
      <selection pane="topRight" activeCell="M1" sqref="M1:N1"/>
    </sheetView>
  </sheetViews>
  <sheetFormatPr defaultColWidth="8.85546875" defaultRowHeight="15" outlineLevelCol="1"/>
  <cols>
    <col min="1" max="1" width="4" style="1" customWidth="1"/>
    <col min="2" max="2" width="8.85546875" style="1"/>
    <col min="3" max="3" width="53" style="1" customWidth="1"/>
    <col min="4" max="4" width="20.28515625" style="1" customWidth="1"/>
    <col min="5" max="5" width="24.42578125" style="1" hidden="1" customWidth="1" outlineLevel="1"/>
    <col min="6" max="6" width="22.7109375" style="1" hidden="1" customWidth="1" outlineLevel="1"/>
    <col min="7" max="7" width="27.5703125" style="1" hidden="1" customWidth="1" outlineLevel="1"/>
    <col min="8" max="8" width="28.42578125" style="1" hidden="1" customWidth="1" outlineLevel="1"/>
    <col min="9" max="9" width="18.28515625" style="1" hidden="1" customWidth="1" outlineLevel="1"/>
    <col min="10" max="10" width="9.7109375" style="1" customWidth="1" collapsed="1"/>
    <col min="11" max="17" width="9.7109375" style="1" customWidth="1"/>
    <col min="18" max="18" width="3"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2" ht="18.75">
      <c r="B1" s="10" t="s">
        <v>132</v>
      </c>
      <c r="M1" s="968"/>
      <c r="N1" s="968"/>
    </row>
    <row r="2" spans="2:102">
      <c r="B2" s="25" t="s">
        <v>6</v>
      </c>
    </row>
    <row r="3" spans="2:102">
      <c r="J3" s="964"/>
      <c r="K3" s="964"/>
      <c r="L3" s="964"/>
      <c r="M3" s="964"/>
      <c r="N3" s="964"/>
      <c r="O3" s="964"/>
      <c r="P3" s="964"/>
      <c r="Q3" s="964"/>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2:102" ht="45">
      <c r="J4" s="961" t="s">
        <v>378</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237</v>
      </c>
      <c r="CR4" s="962"/>
      <c r="CS4" s="962"/>
      <c r="CT4" s="962"/>
      <c r="CU4" s="962"/>
      <c r="CV4" s="962"/>
      <c r="CW4" s="962"/>
      <c r="CX4" s="963"/>
    </row>
    <row r="5" spans="2:102">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f>Stub</f>
        <v>44377</v>
      </c>
      <c r="CT5" s="331">
        <f>Yr_1</f>
        <v>44742</v>
      </c>
      <c r="CU5" s="331">
        <f>Yr_2</f>
        <v>45107</v>
      </c>
      <c r="CV5" s="331">
        <f>Yr_3</f>
        <v>45473</v>
      </c>
      <c r="CW5" s="331">
        <f>Yr_4</f>
        <v>45838</v>
      </c>
      <c r="CX5" s="331">
        <f>Yr_5</f>
        <v>46203</v>
      </c>
    </row>
    <row r="6" spans="2:102">
      <c r="B6" s="7"/>
      <c r="C6" s="7" t="s">
        <v>565</v>
      </c>
      <c r="D6" s="7" t="s">
        <v>112</v>
      </c>
      <c r="E6" s="7" t="s">
        <v>48</v>
      </c>
      <c r="F6" s="7" t="s">
        <v>48</v>
      </c>
      <c r="G6" s="7" t="s">
        <v>150</v>
      </c>
      <c r="H6" s="7" t="s">
        <v>323</v>
      </c>
      <c r="I6" s="7" t="s">
        <v>240</v>
      </c>
      <c r="J6" s="45"/>
      <c r="K6" s="45"/>
      <c r="L6" s="45"/>
      <c r="M6" s="128">
        <v>2307</v>
      </c>
      <c r="N6" s="128">
        <v>2307</v>
      </c>
      <c r="O6" s="128">
        <v>1403</v>
      </c>
      <c r="P6" s="128">
        <v>0</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237.90349645389807</v>
      </c>
      <c r="W6" s="128">
        <f>INDEX(Direct_Cost_Splits_Network,MATCH($H6,RIN_Asset_Cat_Network,0),MATCH($S$4,Direct_Cost_Type,0))*N6*HLOOKUP(W$5,Escalators!$I$25:$U$30,3,FALSE)</f>
        <v>239.08371034859601</v>
      </c>
      <c r="X6" s="128">
        <f>INDEX(Direct_Cost_Splits_Network,MATCH($H6,RIN_Asset_Cat_Network,0),MATCH($S$4,Direct_Cost_Type,0))*O6*HLOOKUP(X$5,Escalators!$I$25:$U$30,3,FALSE)</f>
        <v>146.34546532693952</v>
      </c>
      <c r="Y6" s="128">
        <f>INDEX(Direct_Cost_Splits_Network,MATCH($H6,RIN_Asset_Cat_Network,0),MATCH($S$4,Direct_Cost_Type,0))*P6*HLOOKUP(Y$5,Escalators!$I$25:$U$30,3,FALSE)</f>
        <v>0</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101.46145472753756</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405.84581891015023</v>
      </c>
      <c r="AY6" s="128">
        <f>SUM(AT6:AX6)</f>
        <v>507.30727363768779</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101.46145472753756</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405.84581891015023</v>
      </c>
      <c r="BE6" s="128">
        <f>SUM(AZ6:BD6)</f>
        <v>507.30727363768779</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61.703693533912087</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246.81477413564835</v>
      </c>
      <c r="BK6" s="128">
        <f>SUM(BF6:BJ6)</f>
        <v>308.51846766956044</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0</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0</v>
      </c>
      <c r="BQ6" s="128">
        <f>SUM(BL6:BP6)</f>
        <v>0</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1359.0088121040053</v>
      </c>
      <c r="CC6" s="128">
        <f>INDEX(Direct_Cost_Splits_Network,MATCH($H6,RIN_Asset_Cat_Network,0),MATCH($BY$4,Direct_Cost_Type,0))*N6*HLOOKUP(CC$5,Escalators!$I$25:$U$30,6,FALSE)</f>
        <v>1359.0088121040053</v>
      </c>
      <c r="CD6" s="128">
        <f>INDEX(Direct_Cost_Splits_Network,MATCH($H6,RIN_Asset_Cat_Network,0),MATCH($BY$4,Direct_Cost_Type,0))*O6*HLOOKUP(CD$5,Escalators!$I$25:$U$30,6,FALSE)</f>
        <v>826.48000146593824</v>
      </c>
      <c r="CE6" s="128">
        <f>INDEX(Direct_Cost_Splits_Network,MATCH($H6,RIN_Asset_Cat_Network,0),MATCH($BY$4,Direct_Cost_Type,0))*P6*HLOOKUP(CE$5,Escalators!$I$25:$U$30,6,FALSE)</f>
        <v>0</v>
      </c>
      <c r="CF6" s="128">
        <f>INDEX(Direct_Cost_Splits_Network,MATCH($H6,RIN_Asset_Cat_Network,0),MATCH($BY$4,Direct_Cost_Type,0))*Q6*HLOOKUP(CF$5,Escalators!$I$25:$U$30,6,FALSE)</f>
        <v>0</v>
      </c>
      <c r="CG6" s="129"/>
      <c r="CH6" s="675">
        <f t="shared" ref="CH6:CH9" si="8">INDEX(Direct_Cost_Splits_Network,MATCH($H6,RIN_Asset_Cat_Network,0),MATCH($CH$4,Direct_Cost_Type,0))*J6</f>
        <v>0</v>
      </c>
      <c r="CI6" s="675">
        <f t="shared" ref="CI6:CI9" si="9">INDEX(Direct_Cost_Splits_Network,MATCH($H6,RIN_Asset_Cat_Network,0),MATCH($CH$4,Direct_Cost_Type,0))*K6</f>
        <v>0</v>
      </c>
      <c r="CJ6" s="675">
        <f t="shared" ref="CJ6:CK9" si="10">INDEX(Direct_Cost_Splits_Network,MATCH($H6,RIN_Asset_Cat_Network,0),MATCH($CH$4,Direct_Cost_Type,0))*L6</f>
        <v>0</v>
      </c>
      <c r="CK6" s="675">
        <f t="shared" si="10"/>
        <v>210.31339131233307</v>
      </c>
      <c r="CL6" s="675">
        <f t="shared" ref="CL6:CL9" si="11">INDEX(Direct_Cost_Splits_Network,MATCH($H6,RIN_Asset_Cat_Network,0),MATCH($CH$4,Direct_Cost_Type,0))*N6</f>
        <v>210.31339131233307</v>
      </c>
      <c r="CM6" s="675">
        <f t="shared" ref="CM6:CM9" si="12">INDEX(Direct_Cost_Splits_Network,MATCH($H6,RIN_Asset_Cat_Network,0),MATCH($CH$4,Direct_Cost_Type,0))*O6</f>
        <v>127.90190204213407</v>
      </c>
      <c r="CN6" s="675">
        <f t="shared" ref="CN6:CN9" si="13">INDEX(Direct_Cost_Splits_Network,MATCH($H6,RIN_Asset_Cat_Network,0),MATCH($CH$4,Direct_Cost_Type,0))*P6</f>
        <v>0</v>
      </c>
      <c r="CO6" s="675">
        <f t="shared" ref="CO6:CO9" si="14">INDEX(Direct_Cost_Splits_Network,MATCH($H6,RIN_Asset_Cat_Network,0),MATCH($CH$4,Direct_Cost_Type,0))*Q6</f>
        <v>0</v>
      </c>
      <c r="CP6" s="129"/>
      <c r="CQ6" s="128">
        <f>S6+AG6+BY6+CH6</f>
        <v>0</v>
      </c>
      <c r="CR6" s="128">
        <f>T6+AM6+BZ6+CI6</f>
        <v>0</v>
      </c>
      <c r="CS6" s="128">
        <f>U6+AS6+CA6+CJ6</f>
        <v>0</v>
      </c>
      <c r="CT6" s="128">
        <f>V6+AY6+CB6+CK6</f>
        <v>2314.532973507924</v>
      </c>
      <c r="CU6" s="128">
        <f>W6+BE6+CC6+CL6</f>
        <v>2315.7131874026218</v>
      </c>
      <c r="CV6" s="128">
        <f>X6+BK6+CD6+CM6</f>
        <v>1409.2458365045723</v>
      </c>
      <c r="CW6" s="128">
        <f>Y6+BQ6+CE6+CN6</f>
        <v>0</v>
      </c>
      <c r="CX6" s="128">
        <f>Z6+BW6+CF6+CO6</f>
        <v>0</v>
      </c>
    </row>
    <row r="7" spans="2:102">
      <c r="B7" s="7"/>
      <c r="C7" s="7" t="s">
        <v>566</v>
      </c>
      <c r="D7" s="7" t="s">
        <v>112</v>
      </c>
      <c r="E7" s="7" t="s">
        <v>48</v>
      </c>
      <c r="F7" s="7" t="s">
        <v>48</v>
      </c>
      <c r="G7" s="7" t="s">
        <v>150</v>
      </c>
      <c r="H7" s="7" t="s">
        <v>323</v>
      </c>
      <c r="I7" s="7" t="s">
        <v>240</v>
      </c>
      <c r="J7" s="45"/>
      <c r="K7" s="45"/>
      <c r="L7" s="45"/>
      <c r="M7" s="128">
        <v>2080</v>
      </c>
      <c r="N7" s="128">
        <v>2040</v>
      </c>
      <c r="O7" s="128">
        <v>2971</v>
      </c>
      <c r="P7" s="128">
        <v>4457</v>
      </c>
      <c r="Q7" s="128">
        <v>4457</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214.49469988041091</v>
      </c>
      <c r="W7" s="128">
        <f>INDEX(Direct_Cost_Splits_Network,MATCH($H7,RIN_Asset_Cat_Network,0),MATCH($S$4,Direct_Cost_Type,0))*N7*HLOOKUP(W$5,Escalators!$I$25:$U$30,3,FALSE)</f>
        <v>211.41342397535149</v>
      </c>
      <c r="X7" s="128">
        <f>INDEX(Direct_Cost_Splits_Network,MATCH($H7,RIN_Asset_Cat_Network,0),MATCH($S$4,Direct_Cost_Type,0))*O7*HLOOKUP(X$5,Escalators!$I$25:$U$30,3,FALSE)</f>
        <v>309.90190840081061</v>
      </c>
      <c r="Y7" s="128">
        <f>INDEX(Direct_Cost_Splits_Network,MATCH($H7,RIN_Asset_Cat_Network,0),MATCH($S$4,Direct_Cost_Type,0))*P7*HLOOKUP(Y$5,Escalators!$I$25:$U$30,3,FALSE)</f>
        <v>469.52368128232882</v>
      </c>
      <c r="Z7" s="128">
        <f>INDEX(Direct_Cost_Splits_Network,MATCH($H7,RIN_Asset_Cat_Network,0),MATCH($S$4,Direct_Cost_Type,0))*Q7*HLOOKUP(Z$5,Escalators!$I$25:$U$30,3,FALSE)</f>
        <v>475.66290239087749</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9" si="15">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9" si="16">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9" si="17">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91.478034604801962</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365.91213841920785</v>
      </c>
      <c r="AY7" s="128">
        <f t="shared" ref="AY7:AY9" si="18">SUM(AT7:AX7)</f>
        <v>457.39017302400981</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89.718841631632699</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358.8753665265308</v>
      </c>
      <c r="BE7" s="128">
        <f t="shared" ref="BE7:BE9" si="19">SUM(AZ7:BD7)</f>
        <v>448.5942081581635</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130.66405808214742</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522.65623232858968</v>
      </c>
      <c r="BK7" s="128">
        <f t="shared" ref="BK7:BK9" si="20">SUM(BF7:BJ7)</f>
        <v>653.32029041073713</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196.01807703538574</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784.07230814154298</v>
      </c>
      <c r="BQ7" s="128">
        <f t="shared" ref="BQ7:BQ9" si="21">SUM(BL7:BP7)</f>
        <v>980.09038517692875</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196.01807703538574</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784.07230814154298</v>
      </c>
      <c r="BW7" s="128">
        <f t="shared" ref="BW7:BW9" si="22">SUM(BR7:BV7)</f>
        <v>980.09038517692875</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1225.2875289017472</v>
      </c>
      <c r="CC7" s="128">
        <f>INDEX(Direct_Cost_Splits_Network,MATCH($H7,RIN_Asset_Cat_Network,0),MATCH($BY$4,Direct_Cost_Type,0))*N7*HLOOKUP(CC$5,Escalators!$I$25:$U$30,6,FALSE)</f>
        <v>1201.7243071920984</v>
      </c>
      <c r="CD7" s="128">
        <f>INDEX(Direct_Cost_Splits_Network,MATCH($H7,RIN_Asset_Cat_Network,0),MATCH($BY$4,Direct_Cost_Type,0))*O7*HLOOKUP(CD$5,Escalators!$I$25:$U$30,6,FALSE)</f>
        <v>1750.1582924841784</v>
      </c>
      <c r="CE7" s="128">
        <f>INDEX(Direct_Cost_Splits_Network,MATCH($H7,RIN_Asset_Cat_Network,0),MATCH($BY$4,Direct_Cost_Type,0))*P7*HLOOKUP(CE$5,Escalators!$I$25:$U$30,6,FALSE)</f>
        <v>2625.5319789976384</v>
      </c>
      <c r="CF7" s="128">
        <f>INDEX(Direct_Cost_Splits_Network,MATCH($H7,RIN_Asset_Cat_Network,0),MATCH($BY$4,Direct_Cost_Type,0))*Q7*HLOOKUP(CF$5,Escalators!$I$25:$U$30,6,FALSE)</f>
        <v>2625.5319789976384</v>
      </c>
      <c r="CG7" s="129"/>
      <c r="CH7" s="675">
        <f t="shared" si="8"/>
        <v>0</v>
      </c>
      <c r="CI7" s="675">
        <f t="shared" si="9"/>
        <v>0</v>
      </c>
      <c r="CJ7" s="675">
        <f t="shared" si="10"/>
        <v>0</v>
      </c>
      <c r="CK7" s="675">
        <f t="shared" si="10"/>
        <v>189.61935584293576</v>
      </c>
      <c r="CL7" s="675">
        <f t="shared" si="11"/>
        <v>185.97282976903315</v>
      </c>
      <c r="CM7" s="675">
        <f t="shared" si="12"/>
        <v>270.84572413911638</v>
      </c>
      <c r="CN7" s="675">
        <f t="shared" si="13"/>
        <v>406.3141677845984</v>
      </c>
      <c r="CO7" s="675">
        <f t="shared" si="14"/>
        <v>406.3141677845984</v>
      </c>
      <c r="CP7" s="129"/>
      <c r="CQ7" s="128">
        <f t="shared" ref="CQ7:CQ36" si="23">S7+AG7+BY7+CH7</f>
        <v>0</v>
      </c>
      <c r="CR7" s="128">
        <f t="shared" ref="CR7:CR36" si="24">T7+AM7+BZ7+CI7</f>
        <v>0</v>
      </c>
      <c r="CS7" s="128">
        <f t="shared" ref="CS7:CS36" si="25">U7+AS7+CA7+CJ7</f>
        <v>0</v>
      </c>
      <c r="CT7" s="128">
        <f t="shared" ref="CT7:CT36" si="26">V7+AY7+CB7+CK7</f>
        <v>2086.7917576491036</v>
      </c>
      <c r="CU7" s="128">
        <f t="shared" ref="CU7:CU36" si="27">W7+BE7+CC7+CL7</f>
        <v>2047.7047690946465</v>
      </c>
      <c r="CV7" s="128">
        <f t="shared" ref="CV7:CV36" si="28">X7+BK7+CD7+CM7</f>
        <v>2984.2262154348427</v>
      </c>
      <c r="CW7" s="128">
        <f t="shared" ref="CW7:CW36" si="29">Y7+BQ7+CE7+CN7</f>
        <v>4481.4602132414948</v>
      </c>
      <c r="CX7" s="128">
        <f t="shared" ref="CX7:CX36" si="30">Z7+BW7+CF7+CO7</f>
        <v>4487.5994343500433</v>
      </c>
    </row>
    <row r="8" spans="2:102">
      <c r="B8" s="7"/>
      <c r="C8" s="7" t="s">
        <v>567</v>
      </c>
      <c r="D8" s="7" t="s">
        <v>112</v>
      </c>
      <c r="E8" s="7" t="s">
        <v>48</v>
      </c>
      <c r="F8" s="7" t="s">
        <v>48</v>
      </c>
      <c r="G8" s="7" t="s">
        <v>150</v>
      </c>
      <c r="H8" s="7" t="s">
        <v>323</v>
      </c>
      <c r="I8" s="7" t="s">
        <v>240</v>
      </c>
      <c r="J8" s="45"/>
      <c r="K8" s="45"/>
      <c r="L8" s="45"/>
      <c r="M8" s="128">
        <v>850</v>
      </c>
      <c r="N8" s="128">
        <v>850</v>
      </c>
      <c r="O8" s="128">
        <v>600</v>
      </c>
      <c r="P8" s="128">
        <v>0</v>
      </c>
      <c r="Q8" s="128">
        <v>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87.654084085744856</v>
      </c>
      <c r="W8" s="128">
        <f>INDEX(Direct_Cost_Splits_Network,MATCH($H8,RIN_Asset_Cat_Network,0),MATCH($S$4,Direct_Cost_Type,0))*N8*HLOOKUP(W$5,Escalators!$I$25:$U$30,3,FALSE)</f>
        <v>88.088926656396453</v>
      </c>
      <c r="X8" s="128">
        <f>INDEX(Direct_Cost_Splits_Network,MATCH($H8,RIN_Asset_Cat_Network,0),MATCH($S$4,Direct_Cost_Type,0))*O8*HLOOKUP(X$5,Escalators!$I$25:$U$30,3,FALSE)</f>
        <v>62.585373625205783</v>
      </c>
      <c r="Y8" s="128">
        <f>INDEX(Direct_Cost_Splits_Network,MATCH($H8,RIN_Asset_Cat_Network,0),MATCH($S$4,Direct_Cost_Type,0))*P8*HLOOKUP(Y$5,Escalators!$I$25:$U$30,3,FALSE)</f>
        <v>0</v>
      </c>
      <c r="Z8" s="128">
        <f>INDEX(Direct_Cost_Splits_Network,MATCH($H8,RIN_Asset_Cat_Network,0),MATCH($S$4,Direct_Cost_Type,0))*Q8*HLOOKUP(Z$5,Escalators!$I$25:$U$30,3,FALSE)</f>
        <v>0</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5"/>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6"/>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7"/>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37.382850679846953</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149.53140271938781</v>
      </c>
      <c r="AY8" s="128">
        <f t="shared" si="18"/>
        <v>186.91425339923478</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37.382850679846953</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149.53140271938781</v>
      </c>
      <c r="BE8" s="128">
        <f t="shared" si="19"/>
        <v>186.91425339923478</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26.387894597539027</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105.55157839015611</v>
      </c>
      <c r="BK8" s="128">
        <f t="shared" si="20"/>
        <v>131.93947298769513</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0</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0</v>
      </c>
      <c r="BQ8" s="128">
        <f t="shared" si="21"/>
        <v>0</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0</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0</v>
      </c>
      <c r="BW8" s="128">
        <f t="shared" si="22"/>
        <v>0</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500.71846133004095</v>
      </c>
      <c r="CC8" s="128">
        <f>INDEX(Direct_Cost_Splits_Network,MATCH($H8,RIN_Asset_Cat_Network,0),MATCH($BY$4,Direct_Cost_Type,0))*N8*HLOOKUP(CC$5,Escalators!$I$25:$U$30,6,FALSE)</f>
        <v>500.71846133004095</v>
      </c>
      <c r="CD8" s="128">
        <f>INDEX(Direct_Cost_Splits_Network,MATCH($H8,RIN_Asset_Cat_Network,0),MATCH($BY$4,Direct_Cost_Type,0))*O8*HLOOKUP(CD$5,Escalators!$I$25:$U$30,6,FALSE)</f>
        <v>353.44832564473478</v>
      </c>
      <c r="CE8" s="128">
        <f>INDEX(Direct_Cost_Splits_Network,MATCH($H8,RIN_Asset_Cat_Network,0),MATCH($BY$4,Direct_Cost_Type,0))*P8*HLOOKUP(CE$5,Escalators!$I$25:$U$30,6,FALSE)</f>
        <v>0</v>
      </c>
      <c r="CF8" s="128">
        <f>INDEX(Direct_Cost_Splits_Network,MATCH($H8,RIN_Asset_Cat_Network,0),MATCH($BY$4,Direct_Cost_Type,0))*Q8*HLOOKUP(CF$5,Escalators!$I$25:$U$30,6,FALSE)</f>
        <v>0</v>
      </c>
      <c r="CG8" s="129"/>
      <c r="CH8" s="675">
        <f t="shared" si="8"/>
        <v>0</v>
      </c>
      <c r="CI8" s="675">
        <f t="shared" si="9"/>
        <v>0</v>
      </c>
      <c r="CJ8" s="675">
        <f t="shared" si="10"/>
        <v>0</v>
      </c>
      <c r="CK8" s="675">
        <f t="shared" si="10"/>
        <v>77.488679070430479</v>
      </c>
      <c r="CL8" s="675">
        <f t="shared" si="11"/>
        <v>77.488679070430479</v>
      </c>
      <c r="CM8" s="675">
        <f t="shared" si="12"/>
        <v>54.69789110853916</v>
      </c>
      <c r="CN8" s="675">
        <f t="shared" si="13"/>
        <v>0</v>
      </c>
      <c r="CO8" s="675">
        <f t="shared" si="14"/>
        <v>0</v>
      </c>
      <c r="CP8" s="129"/>
      <c r="CQ8" s="128">
        <f t="shared" si="23"/>
        <v>0</v>
      </c>
      <c r="CR8" s="128">
        <f t="shared" si="24"/>
        <v>0</v>
      </c>
      <c r="CS8" s="128">
        <f t="shared" si="25"/>
        <v>0</v>
      </c>
      <c r="CT8" s="128">
        <f t="shared" si="26"/>
        <v>852.7754778854511</v>
      </c>
      <c r="CU8" s="128">
        <f t="shared" si="27"/>
        <v>853.21032045610275</v>
      </c>
      <c r="CV8" s="128">
        <f t="shared" si="28"/>
        <v>602.67106336617485</v>
      </c>
      <c r="CW8" s="128">
        <f t="shared" si="29"/>
        <v>0</v>
      </c>
      <c r="CX8" s="128">
        <f t="shared" si="30"/>
        <v>0</v>
      </c>
    </row>
    <row r="9" spans="2:102">
      <c r="B9" s="7"/>
      <c r="C9" s="7" t="s">
        <v>436</v>
      </c>
      <c r="D9" s="7" t="s">
        <v>112</v>
      </c>
      <c r="E9" s="7" t="s">
        <v>48</v>
      </c>
      <c r="F9" s="7" t="s">
        <v>48</v>
      </c>
      <c r="G9" s="7" t="s">
        <v>150</v>
      </c>
      <c r="H9" s="7" t="s">
        <v>323</v>
      </c>
      <c r="I9" s="7" t="s">
        <v>240</v>
      </c>
      <c r="J9" s="45"/>
      <c r="K9" s="45"/>
      <c r="L9" s="45"/>
      <c r="M9" s="128">
        <v>200</v>
      </c>
      <c r="N9" s="128">
        <v>200</v>
      </c>
      <c r="O9" s="128">
        <v>200</v>
      </c>
      <c r="P9" s="128">
        <v>200</v>
      </c>
      <c r="Q9" s="128">
        <v>180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20.624490373116434</v>
      </c>
      <c r="W9" s="128">
        <f>INDEX(Direct_Cost_Splits_Network,MATCH($H9,RIN_Asset_Cat_Network,0),MATCH($S$4,Direct_Cost_Type,0))*N9*HLOOKUP(W$5,Escalators!$I$25:$U$30,3,FALSE)</f>
        <v>20.726806272093281</v>
      </c>
      <c r="X9" s="128">
        <f>INDEX(Direct_Cost_Splits_Network,MATCH($H9,RIN_Asset_Cat_Network,0),MATCH($S$4,Direct_Cost_Type,0))*O9*HLOOKUP(X$5,Escalators!$I$25:$U$30,3,FALSE)</f>
        <v>20.861791208401925</v>
      </c>
      <c r="Y9" s="128">
        <f>INDEX(Direct_Cost_Splits_Network,MATCH($H9,RIN_Asset_Cat_Network,0),MATCH($S$4,Direct_Cost_Type,0))*P9*HLOOKUP(Y$5,Escalators!$I$25:$U$30,3,FALSE)</f>
        <v>21.069045603873853</v>
      </c>
      <c r="Z9" s="128">
        <f>INDEX(Direct_Cost_Splits_Network,MATCH($H9,RIN_Asset_Cat_Network,0),MATCH($S$4,Direct_Cost_Type,0))*Q9*HLOOKUP(Z$5,Escalators!$I$25:$U$30,3,FALSE)</f>
        <v>19.210079073448046</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5"/>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6"/>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7"/>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8.7959648658463419</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35.183859463385367</v>
      </c>
      <c r="AY9" s="128">
        <f t="shared" si="18"/>
        <v>43.979824329231711</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8.7959648658463419</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35.183859463385367</v>
      </c>
      <c r="BE9" s="128">
        <f t="shared" si="19"/>
        <v>43.979824329231711</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8.7959648658463419</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35.183859463385367</v>
      </c>
      <c r="BK9" s="128">
        <f t="shared" si="20"/>
        <v>43.979824329231711</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8.7959648658463419</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35.183859463385367</v>
      </c>
      <c r="BQ9" s="128">
        <f t="shared" si="21"/>
        <v>43.979824329231711</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7.9163683792617086</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31.665473517046834</v>
      </c>
      <c r="BW9" s="128">
        <f t="shared" si="22"/>
        <v>39.581841896308546</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117.81610854824494</v>
      </c>
      <c r="CC9" s="128">
        <f>INDEX(Direct_Cost_Splits_Network,MATCH($H9,RIN_Asset_Cat_Network,0),MATCH($BY$4,Direct_Cost_Type,0))*N9*HLOOKUP(CC$5,Escalators!$I$25:$U$30,6,FALSE)</f>
        <v>117.81610854824494</v>
      </c>
      <c r="CD9" s="128">
        <f>INDEX(Direct_Cost_Splits_Network,MATCH($H9,RIN_Asset_Cat_Network,0),MATCH($BY$4,Direct_Cost_Type,0))*O9*HLOOKUP(CD$5,Escalators!$I$25:$U$30,6,FALSE)</f>
        <v>117.81610854824494</v>
      </c>
      <c r="CE9" s="128">
        <f>INDEX(Direct_Cost_Splits_Network,MATCH($H9,RIN_Asset_Cat_Network,0),MATCH($BY$4,Direct_Cost_Type,0))*P9*HLOOKUP(CE$5,Escalators!$I$25:$U$30,6,FALSE)</f>
        <v>117.81610854824494</v>
      </c>
      <c r="CF9" s="128">
        <f>INDEX(Direct_Cost_Splits_Network,MATCH($H9,RIN_Asset_Cat_Network,0),MATCH($BY$4,Direct_Cost_Type,0))*Q9*HLOOKUP(CF$5,Escalators!$I$25:$U$30,6,FALSE)</f>
        <v>106.03449769342045</v>
      </c>
      <c r="CG9" s="129"/>
      <c r="CH9" s="675">
        <f t="shared" si="8"/>
        <v>0</v>
      </c>
      <c r="CI9" s="675">
        <f t="shared" si="9"/>
        <v>0</v>
      </c>
      <c r="CJ9" s="675">
        <f t="shared" si="10"/>
        <v>0</v>
      </c>
      <c r="CK9" s="675">
        <f t="shared" si="10"/>
        <v>18.232630369513053</v>
      </c>
      <c r="CL9" s="675">
        <f t="shared" si="11"/>
        <v>18.232630369513053</v>
      </c>
      <c r="CM9" s="675">
        <f t="shared" si="12"/>
        <v>18.232630369513053</v>
      </c>
      <c r="CN9" s="675">
        <f t="shared" si="13"/>
        <v>18.232630369513053</v>
      </c>
      <c r="CO9" s="675">
        <f t="shared" si="14"/>
        <v>16.409367332561747</v>
      </c>
      <c r="CP9" s="129"/>
      <c r="CQ9" s="128">
        <f t="shared" si="23"/>
        <v>0</v>
      </c>
      <c r="CR9" s="128">
        <f t="shared" si="24"/>
        <v>0</v>
      </c>
      <c r="CS9" s="128">
        <f t="shared" si="25"/>
        <v>0</v>
      </c>
      <c r="CT9" s="128">
        <f t="shared" si="26"/>
        <v>200.65305362010616</v>
      </c>
      <c r="CU9" s="128">
        <f t="shared" si="27"/>
        <v>200.75536951908299</v>
      </c>
      <c r="CV9" s="128">
        <f t="shared" si="28"/>
        <v>200.89035445539162</v>
      </c>
      <c r="CW9" s="128">
        <f t="shared" si="29"/>
        <v>201.09760885086357</v>
      </c>
      <c r="CX9" s="128">
        <f t="shared" si="30"/>
        <v>181.23578599573878</v>
      </c>
    </row>
    <row r="10" spans="2:102">
      <c r="B10" s="7"/>
      <c r="C10" s="7"/>
      <c r="D10" s="7"/>
      <c r="E10" s="7"/>
      <c r="F10" s="7"/>
      <c r="G10" s="7"/>
      <c r="H10" s="7"/>
      <c r="I10" s="7"/>
      <c r="J10" s="45"/>
      <c r="K10" s="45"/>
      <c r="L10" s="45"/>
      <c r="M10" s="45"/>
      <c r="N10" s="45"/>
      <c r="O10" s="45"/>
      <c r="P10" s="45"/>
      <c r="Q10" s="45"/>
      <c r="S10" s="47"/>
      <c r="T10" s="47"/>
      <c r="U10" s="47"/>
      <c r="V10" s="47"/>
      <c r="W10" s="47"/>
      <c r="X10" s="47"/>
      <c r="Y10" s="47"/>
      <c r="Z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Y10" s="47"/>
      <c r="BZ10" s="47"/>
      <c r="CA10" s="47"/>
      <c r="CB10" s="47"/>
      <c r="CC10" s="47"/>
      <c r="CD10" s="47"/>
      <c r="CE10" s="47"/>
      <c r="CF10" s="47"/>
      <c r="CH10" s="82"/>
      <c r="CI10" s="82"/>
      <c r="CJ10" s="82"/>
      <c r="CK10" s="82"/>
      <c r="CL10" s="82"/>
      <c r="CM10" s="82"/>
      <c r="CN10" s="82"/>
      <c r="CO10" s="82"/>
      <c r="CQ10" s="47">
        <f t="shared" si="23"/>
        <v>0</v>
      </c>
      <c r="CR10" s="47">
        <f t="shared" si="24"/>
        <v>0</v>
      </c>
      <c r="CS10" s="47">
        <f t="shared" si="25"/>
        <v>0</v>
      </c>
      <c r="CT10" s="47">
        <f t="shared" si="26"/>
        <v>0</v>
      </c>
      <c r="CU10" s="47">
        <f t="shared" si="27"/>
        <v>0</v>
      </c>
      <c r="CV10" s="47">
        <f t="shared" si="28"/>
        <v>0</v>
      </c>
      <c r="CW10" s="47">
        <f t="shared" si="29"/>
        <v>0</v>
      </c>
      <c r="CX10" s="47">
        <f t="shared" si="30"/>
        <v>0</v>
      </c>
    </row>
    <row r="11" spans="2:102">
      <c r="B11" s="7"/>
      <c r="C11" s="7"/>
      <c r="D11" s="7"/>
      <c r="E11" s="7"/>
      <c r="F11" s="7"/>
      <c r="G11" s="7"/>
      <c r="H11" s="7"/>
      <c r="I11" s="7"/>
      <c r="J11" s="45"/>
      <c r="K11" s="45"/>
      <c r="L11" s="45"/>
      <c r="M11" s="45"/>
      <c r="N11" s="45"/>
      <c r="O11" s="45"/>
      <c r="P11" s="45"/>
      <c r="Q11" s="45"/>
      <c r="S11" s="47"/>
      <c r="T11" s="47"/>
      <c r="U11" s="47"/>
      <c r="V11" s="47"/>
      <c r="W11" s="47"/>
      <c r="X11" s="47"/>
      <c r="Y11" s="47"/>
      <c r="Z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Y11" s="47"/>
      <c r="BZ11" s="47"/>
      <c r="CA11" s="47"/>
      <c r="CB11" s="47"/>
      <c r="CC11" s="47"/>
      <c r="CD11" s="47"/>
      <c r="CE11" s="47"/>
      <c r="CF11" s="47"/>
      <c r="CH11" s="82"/>
      <c r="CI11" s="82"/>
      <c r="CJ11" s="82"/>
      <c r="CK11" s="82"/>
      <c r="CL11" s="82"/>
      <c r="CM11" s="82"/>
      <c r="CN11" s="82"/>
      <c r="CO11" s="82"/>
      <c r="CQ11" s="47">
        <f t="shared" si="23"/>
        <v>0</v>
      </c>
      <c r="CR11" s="47">
        <f t="shared" si="24"/>
        <v>0</v>
      </c>
      <c r="CS11" s="47">
        <f t="shared" si="25"/>
        <v>0</v>
      </c>
      <c r="CT11" s="47">
        <f t="shared" si="26"/>
        <v>0</v>
      </c>
      <c r="CU11" s="47">
        <f t="shared" si="27"/>
        <v>0</v>
      </c>
      <c r="CV11" s="47">
        <f t="shared" si="28"/>
        <v>0</v>
      </c>
      <c r="CW11" s="47">
        <f t="shared" si="29"/>
        <v>0</v>
      </c>
      <c r="CX11" s="47">
        <f t="shared" si="30"/>
        <v>0</v>
      </c>
    </row>
    <row r="12" spans="2:102">
      <c r="B12" s="7"/>
      <c r="C12" s="7"/>
      <c r="D12" s="7"/>
      <c r="E12" s="7"/>
      <c r="F12" s="7"/>
      <c r="G12" s="7"/>
      <c r="H12" s="7"/>
      <c r="I12" s="7"/>
      <c r="J12" s="45"/>
      <c r="K12" s="45"/>
      <c r="L12" s="45"/>
      <c r="M12" s="45"/>
      <c r="N12" s="45"/>
      <c r="O12" s="45"/>
      <c r="P12" s="45"/>
      <c r="Q12" s="45"/>
      <c r="S12" s="47"/>
      <c r="T12" s="47"/>
      <c r="U12" s="47"/>
      <c r="V12" s="47"/>
      <c r="W12" s="47"/>
      <c r="X12" s="47"/>
      <c r="Y12" s="47"/>
      <c r="Z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Y12" s="47"/>
      <c r="BZ12" s="47"/>
      <c r="CA12" s="47"/>
      <c r="CB12" s="47"/>
      <c r="CC12" s="47"/>
      <c r="CD12" s="47"/>
      <c r="CE12" s="47"/>
      <c r="CF12" s="47"/>
      <c r="CH12" s="82"/>
      <c r="CI12" s="82"/>
      <c r="CJ12" s="82"/>
      <c r="CK12" s="82"/>
      <c r="CL12" s="82"/>
      <c r="CM12" s="82"/>
      <c r="CN12" s="82"/>
      <c r="CO12" s="82"/>
      <c r="CQ12" s="47">
        <f t="shared" si="23"/>
        <v>0</v>
      </c>
      <c r="CR12" s="47">
        <f t="shared" si="24"/>
        <v>0</v>
      </c>
      <c r="CS12" s="47">
        <f t="shared" si="25"/>
        <v>0</v>
      </c>
      <c r="CT12" s="47">
        <f t="shared" si="26"/>
        <v>0</v>
      </c>
      <c r="CU12" s="47">
        <f t="shared" si="27"/>
        <v>0</v>
      </c>
      <c r="CV12" s="47">
        <f t="shared" si="28"/>
        <v>0</v>
      </c>
      <c r="CW12" s="47">
        <f t="shared" si="29"/>
        <v>0</v>
      </c>
      <c r="CX12" s="47">
        <f t="shared" si="30"/>
        <v>0</v>
      </c>
    </row>
    <row r="13" spans="2:102">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Y13" s="47"/>
      <c r="BZ13" s="47"/>
      <c r="CA13" s="47"/>
      <c r="CB13" s="47"/>
      <c r="CC13" s="47"/>
      <c r="CD13" s="47"/>
      <c r="CE13" s="47"/>
      <c r="CF13" s="47"/>
      <c r="CH13" s="82"/>
      <c r="CI13" s="82"/>
      <c r="CJ13" s="82"/>
      <c r="CK13" s="82"/>
      <c r="CL13" s="82"/>
      <c r="CM13" s="82"/>
      <c r="CN13" s="82"/>
      <c r="CO13" s="82"/>
      <c r="CQ13" s="47">
        <f t="shared" si="23"/>
        <v>0</v>
      </c>
      <c r="CR13" s="47">
        <f t="shared" si="24"/>
        <v>0</v>
      </c>
      <c r="CS13" s="47">
        <f t="shared" si="25"/>
        <v>0</v>
      </c>
      <c r="CT13" s="47">
        <f t="shared" si="26"/>
        <v>0</v>
      </c>
      <c r="CU13" s="47">
        <f t="shared" si="27"/>
        <v>0</v>
      </c>
      <c r="CV13" s="47">
        <f t="shared" si="28"/>
        <v>0</v>
      </c>
      <c r="CW13" s="47">
        <f t="shared" si="29"/>
        <v>0</v>
      </c>
      <c r="CX13" s="47">
        <f t="shared" si="30"/>
        <v>0</v>
      </c>
    </row>
    <row r="14" spans="2:102">
      <c r="B14" s="7"/>
      <c r="C14" s="7"/>
      <c r="D14" s="7"/>
      <c r="E14" s="7"/>
      <c r="F14" s="7"/>
      <c r="G14" s="7"/>
      <c r="H14" s="7"/>
      <c r="I14" s="7"/>
      <c r="J14" s="45"/>
      <c r="K14" s="45"/>
      <c r="L14" s="45"/>
      <c r="M14" s="45"/>
      <c r="N14" s="45"/>
      <c r="O14" s="45"/>
      <c r="P14" s="45"/>
      <c r="Q14" s="45"/>
      <c r="S14" s="47"/>
      <c r="T14" s="47"/>
      <c r="U14" s="47"/>
      <c r="V14" s="47"/>
      <c r="W14" s="47"/>
      <c r="X14" s="47"/>
      <c r="Y14" s="47"/>
      <c r="Z14" s="47"/>
      <c r="AB14" s="6"/>
      <c r="AC14" s="6"/>
      <c r="AD14" s="6"/>
      <c r="AE14" s="6"/>
      <c r="AF14" s="6"/>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Y14" s="47"/>
      <c r="BZ14" s="47"/>
      <c r="CA14" s="47"/>
      <c r="CB14" s="47"/>
      <c r="CC14" s="47"/>
      <c r="CD14" s="47"/>
      <c r="CE14" s="47"/>
      <c r="CF14" s="47"/>
      <c r="CH14" s="82"/>
      <c r="CI14" s="82"/>
      <c r="CJ14" s="82"/>
      <c r="CK14" s="82"/>
      <c r="CL14" s="82"/>
      <c r="CM14" s="82"/>
      <c r="CN14" s="82"/>
      <c r="CO14" s="82"/>
      <c r="CQ14" s="47">
        <f t="shared" si="23"/>
        <v>0</v>
      </c>
      <c r="CR14" s="47">
        <f t="shared" si="24"/>
        <v>0</v>
      </c>
      <c r="CS14" s="47">
        <f t="shared" si="25"/>
        <v>0</v>
      </c>
      <c r="CT14" s="47">
        <f t="shared" si="26"/>
        <v>0</v>
      </c>
      <c r="CU14" s="47">
        <f t="shared" si="27"/>
        <v>0</v>
      </c>
      <c r="CV14" s="47">
        <f t="shared" si="28"/>
        <v>0</v>
      </c>
      <c r="CW14" s="47">
        <f t="shared" si="29"/>
        <v>0</v>
      </c>
      <c r="CX14" s="47">
        <f t="shared" si="30"/>
        <v>0</v>
      </c>
    </row>
    <row r="15" spans="2:102">
      <c r="B15" s="7"/>
      <c r="C15" s="7"/>
      <c r="D15" s="7"/>
      <c r="E15" s="7"/>
      <c r="F15" s="7"/>
      <c r="G15" s="7"/>
      <c r="H15" s="7"/>
      <c r="I15" s="7"/>
      <c r="J15" s="45"/>
      <c r="K15" s="45"/>
      <c r="L15" s="45"/>
      <c r="M15" s="45"/>
      <c r="N15" s="45"/>
      <c r="O15" s="45"/>
      <c r="P15" s="45"/>
      <c r="Q15" s="45"/>
      <c r="S15" s="47"/>
      <c r="T15" s="47"/>
      <c r="U15" s="47"/>
      <c r="V15" s="47"/>
      <c r="W15" s="47"/>
      <c r="X15" s="47"/>
      <c r="Y15" s="47"/>
      <c r="Z15" s="47"/>
      <c r="AB15" s="6"/>
      <c r="AC15" s="6"/>
      <c r="AD15" s="6"/>
      <c r="AE15" s="6"/>
      <c r="AF15" s="6"/>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Y15" s="47"/>
      <c r="BZ15" s="47"/>
      <c r="CA15" s="47"/>
      <c r="CB15" s="47"/>
      <c r="CC15" s="47"/>
      <c r="CD15" s="47"/>
      <c r="CE15" s="47"/>
      <c r="CF15" s="47"/>
      <c r="CH15" s="82"/>
      <c r="CI15" s="82"/>
      <c r="CJ15" s="82"/>
      <c r="CK15" s="82"/>
      <c r="CL15" s="82"/>
      <c r="CM15" s="82"/>
      <c r="CN15" s="82"/>
      <c r="CO15" s="82"/>
      <c r="CQ15" s="47">
        <f t="shared" si="23"/>
        <v>0</v>
      </c>
      <c r="CR15" s="47">
        <f t="shared" si="24"/>
        <v>0</v>
      </c>
      <c r="CS15" s="47">
        <f t="shared" si="25"/>
        <v>0</v>
      </c>
      <c r="CT15" s="47">
        <f t="shared" si="26"/>
        <v>0</v>
      </c>
      <c r="CU15" s="47">
        <f t="shared" si="27"/>
        <v>0</v>
      </c>
      <c r="CV15" s="47">
        <f t="shared" si="28"/>
        <v>0</v>
      </c>
      <c r="CW15" s="47">
        <f t="shared" si="29"/>
        <v>0</v>
      </c>
      <c r="CX15" s="47">
        <f t="shared" si="30"/>
        <v>0</v>
      </c>
    </row>
    <row r="16" spans="2:102">
      <c r="B16" s="7"/>
      <c r="C16" s="7"/>
      <c r="D16" s="7"/>
      <c r="E16" s="7"/>
      <c r="F16" s="7"/>
      <c r="G16" s="7"/>
      <c r="H16" s="7"/>
      <c r="I16" s="7"/>
      <c r="J16" s="45"/>
      <c r="K16" s="45"/>
      <c r="L16" s="45"/>
      <c r="M16" s="45"/>
      <c r="N16" s="45"/>
      <c r="O16" s="45"/>
      <c r="P16" s="45"/>
      <c r="Q16" s="45"/>
      <c r="S16" s="47"/>
      <c r="T16" s="47"/>
      <c r="U16" s="47"/>
      <c r="V16" s="47"/>
      <c r="W16" s="47"/>
      <c r="X16" s="47"/>
      <c r="Y16" s="47"/>
      <c r="Z16" s="47"/>
      <c r="AB16" s="6"/>
      <c r="AC16" s="6"/>
      <c r="AD16" s="6"/>
      <c r="AE16" s="6"/>
      <c r="AF16" s="6"/>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3"/>
        <v>0</v>
      </c>
      <c r="CR16" s="47">
        <f t="shared" si="24"/>
        <v>0</v>
      </c>
      <c r="CS16" s="47">
        <f t="shared" si="25"/>
        <v>0</v>
      </c>
      <c r="CT16" s="47">
        <f t="shared" si="26"/>
        <v>0</v>
      </c>
      <c r="CU16" s="47">
        <f t="shared" si="27"/>
        <v>0</v>
      </c>
      <c r="CV16" s="47">
        <f t="shared" si="28"/>
        <v>0</v>
      </c>
      <c r="CW16" s="47">
        <f t="shared" si="29"/>
        <v>0</v>
      </c>
      <c r="CX16" s="47">
        <f t="shared" si="30"/>
        <v>0</v>
      </c>
    </row>
    <row r="17" spans="2:102">
      <c r="B17" s="7"/>
      <c r="C17" s="7"/>
      <c r="D17" s="7"/>
      <c r="E17" s="7"/>
      <c r="F17" s="7"/>
      <c r="G17" s="7"/>
      <c r="H17" s="7"/>
      <c r="I17" s="7"/>
      <c r="J17" s="45"/>
      <c r="K17" s="45"/>
      <c r="L17" s="45"/>
      <c r="M17" s="45"/>
      <c r="N17" s="45"/>
      <c r="O17" s="45"/>
      <c r="P17" s="45"/>
      <c r="Q17" s="45"/>
      <c r="S17" s="47"/>
      <c r="T17" s="47"/>
      <c r="U17" s="47"/>
      <c r="V17" s="47"/>
      <c r="W17" s="47"/>
      <c r="X17" s="47"/>
      <c r="Y17" s="47"/>
      <c r="Z17" s="47"/>
      <c r="AB17" s="6"/>
      <c r="AC17" s="6"/>
      <c r="AD17" s="6"/>
      <c r="AE17" s="6"/>
      <c r="AF17" s="6"/>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3"/>
        <v>0</v>
      </c>
      <c r="CR17" s="47">
        <f t="shared" si="24"/>
        <v>0</v>
      </c>
      <c r="CS17" s="47">
        <f t="shared" si="25"/>
        <v>0</v>
      </c>
      <c r="CT17" s="47">
        <f t="shared" si="26"/>
        <v>0</v>
      </c>
      <c r="CU17" s="47">
        <f t="shared" si="27"/>
        <v>0</v>
      </c>
      <c r="CV17" s="47">
        <f t="shared" si="28"/>
        <v>0</v>
      </c>
      <c r="CW17" s="47">
        <f t="shared" si="29"/>
        <v>0</v>
      </c>
      <c r="CX17" s="47">
        <f t="shared" si="30"/>
        <v>0</v>
      </c>
    </row>
    <row r="18" spans="2:102">
      <c r="B18" s="7"/>
      <c r="C18" s="7"/>
      <c r="D18" s="7"/>
      <c r="E18" s="7"/>
      <c r="F18" s="7"/>
      <c r="G18" s="7"/>
      <c r="H18" s="7"/>
      <c r="I18" s="7"/>
      <c r="J18" s="45"/>
      <c r="K18" s="45"/>
      <c r="L18" s="45"/>
      <c r="M18" s="45"/>
      <c r="N18" s="45"/>
      <c r="O18" s="45"/>
      <c r="P18" s="45"/>
      <c r="Q18" s="45"/>
      <c r="S18" s="47"/>
      <c r="T18" s="47"/>
      <c r="U18" s="47"/>
      <c r="V18" s="47"/>
      <c r="W18" s="47"/>
      <c r="X18" s="47"/>
      <c r="Y18" s="47"/>
      <c r="Z18" s="47"/>
      <c r="AB18" s="6"/>
      <c r="AC18" s="6"/>
      <c r="AD18" s="6"/>
      <c r="AE18" s="6"/>
      <c r="AF18" s="6"/>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3"/>
        <v>0</v>
      </c>
      <c r="CR18" s="47">
        <f t="shared" si="24"/>
        <v>0</v>
      </c>
      <c r="CS18" s="47">
        <f t="shared" si="25"/>
        <v>0</v>
      </c>
      <c r="CT18" s="47">
        <f t="shared" si="26"/>
        <v>0</v>
      </c>
      <c r="CU18" s="47">
        <f t="shared" si="27"/>
        <v>0</v>
      </c>
      <c r="CV18" s="47">
        <f t="shared" si="28"/>
        <v>0</v>
      </c>
      <c r="CW18" s="47">
        <f t="shared" si="29"/>
        <v>0</v>
      </c>
      <c r="CX18" s="47">
        <f t="shared" si="30"/>
        <v>0</v>
      </c>
    </row>
    <row r="19" spans="2:102">
      <c r="B19" s="7"/>
      <c r="C19" s="7"/>
      <c r="D19" s="7"/>
      <c r="E19" s="7"/>
      <c r="F19" s="7"/>
      <c r="G19" s="7"/>
      <c r="H19" s="7"/>
      <c r="I19" s="7"/>
      <c r="J19" s="45"/>
      <c r="K19" s="45"/>
      <c r="L19" s="45"/>
      <c r="M19" s="45"/>
      <c r="N19" s="45"/>
      <c r="O19" s="45"/>
      <c r="P19" s="45"/>
      <c r="Q19" s="45"/>
      <c r="S19" s="47"/>
      <c r="T19" s="47"/>
      <c r="U19" s="47"/>
      <c r="V19" s="47"/>
      <c r="W19" s="47"/>
      <c r="X19" s="47"/>
      <c r="Y19" s="47"/>
      <c r="Z19" s="47"/>
      <c r="AB19" s="6"/>
      <c r="AC19" s="6"/>
      <c r="AD19" s="6"/>
      <c r="AE19" s="6"/>
      <c r="AF19" s="6"/>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3"/>
        <v>0</v>
      </c>
      <c r="CR19" s="47">
        <f t="shared" si="24"/>
        <v>0</v>
      </c>
      <c r="CS19" s="47">
        <f t="shared" si="25"/>
        <v>0</v>
      </c>
      <c r="CT19" s="47">
        <f t="shared" si="26"/>
        <v>0</v>
      </c>
      <c r="CU19" s="47">
        <f t="shared" si="27"/>
        <v>0</v>
      </c>
      <c r="CV19" s="47">
        <f t="shared" si="28"/>
        <v>0</v>
      </c>
      <c r="CW19" s="47">
        <f t="shared" si="29"/>
        <v>0</v>
      </c>
      <c r="CX19" s="47">
        <f t="shared" si="30"/>
        <v>0</v>
      </c>
    </row>
    <row r="20" spans="2:102">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47"/>
      <c r="CI20" s="47"/>
      <c r="CJ20" s="47"/>
      <c r="CK20" s="47"/>
      <c r="CL20" s="47"/>
      <c r="CM20" s="47"/>
      <c r="CN20" s="47"/>
      <c r="CO20" s="47"/>
      <c r="CQ20" s="47">
        <f t="shared" si="23"/>
        <v>0</v>
      </c>
      <c r="CR20" s="47">
        <f t="shared" si="24"/>
        <v>0</v>
      </c>
      <c r="CS20" s="47">
        <f t="shared" si="25"/>
        <v>0</v>
      </c>
      <c r="CT20" s="47">
        <f t="shared" si="26"/>
        <v>0</v>
      </c>
      <c r="CU20" s="47">
        <f t="shared" si="27"/>
        <v>0</v>
      </c>
      <c r="CV20" s="47">
        <f t="shared" si="28"/>
        <v>0</v>
      </c>
      <c r="CW20" s="47">
        <f t="shared" si="29"/>
        <v>0</v>
      </c>
      <c r="CX20" s="47">
        <f t="shared" si="30"/>
        <v>0</v>
      </c>
    </row>
    <row r="21" spans="2:102">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47"/>
      <c r="CI21" s="47"/>
      <c r="CJ21" s="47"/>
      <c r="CK21" s="47"/>
      <c r="CL21" s="47"/>
      <c r="CM21" s="47"/>
      <c r="CN21" s="47"/>
      <c r="CO21" s="47"/>
      <c r="CQ21" s="47">
        <f t="shared" si="23"/>
        <v>0</v>
      </c>
      <c r="CR21" s="47">
        <f t="shared" si="24"/>
        <v>0</v>
      </c>
      <c r="CS21" s="47">
        <f t="shared" si="25"/>
        <v>0</v>
      </c>
      <c r="CT21" s="47">
        <f t="shared" si="26"/>
        <v>0</v>
      </c>
      <c r="CU21" s="47">
        <f t="shared" si="27"/>
        <v>0</v>
      </c>
      <c r="CV21" s="47">
        <f t="shared" si="28"/>
        <v>0</v>
      </c>
      <c r="CW21" s="47">
        <f t="shared" si="29"/>
        <v>0</v>
      </c>
      <c r="CX21" s="47">
        <f t="shared" si="30"/>
        <v>0</v>
      </c>
    </row>
    <row r="22" spans="2:102">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47"/>
      <c r="CI22" s="47"/>
      <c r="CJ22" s="47"/>
      <c r="CK22" s="47"/>
      <c r="CL22" s="47"/>
      <c r="CM22" s="47"/>
      <c r="CN22" s="47"/>
      <c r="CO22" s="47"/>
      <c r="CQ22" s="47">
        <f t="shared" si="23"/>
        <v>0</v>
      </c>
      <c r="CR22" s="47">
        <f t="shared" si="24"/>
        <v>0</v>
      </c>
      <c r="CS22" s="47">
        <f t="shared" si="25"/>
        <v>0</v>
      </c>
      <c r="CT22" s="47">
        <f t="shared" si="26"/>
        <v>0</v>
      </c>
      <c r="CU22" s="47">
        <f t="shared" si="27"/>
        <v>0</v>
      </c>
      <c r="CV22" s="47">
        <f t="shared" si="28"/>
        <v>0</v>
      </c>
      <c r="CW22" s="47">
        <f t="shared" si="29"/>
        <v>0</v>
      </c>
      <c r="CX22" s="47">
        <f t="shared" si="30"/>
        <v>0</v>
      </c>
    </row>
    <row r="23" spans="2:102">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47"/>
      <c r="CI23" s="47"/>
      <c r="CJ23" s="47"/>
      <c r="CK23" s="47"/>
      <c r="CL23" s="47"/>
      <c r="CM23" s="47"/>
      <c r="CN23" s="47"/>
      <c r="CO23" s="47"/>
      <c r="CQ23" s="47">
        <f t="shared" si="23"/>
        <v>0</v>
      </c>
      <c r="CR23" s="47">
        <f t="shared" si="24"/>
        <v>0</v>
      </c>
      <c r="CS23" s="47">
        <f t="shared" si="25"/>
        <v>0</v>
      </c>
      <c r="CT23" s="47">
        <f t="shared" si="26"/>
        <v>0</v>
      </c>
      <c r="CU23" s="47">
        <f t="shared" si="27"/>
        <v>0</v>
      </c>
      <c r="CV23" s="47">
        <f t="shared" si="28"/>
        <v>0</v>
      </c>
      <c r="CW23" s="47">
        <f t="shared" si="29"/>
        <v>0</v>
      </c>
      <c r="CX23" s="47">
        <f t="shared" si="30"/>
        <v>0</v>
      </c>
    </row>
    <row r="24" spans="2:102">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47"/>
      <c r="CI24" s="47"/>
      <c r="CJ24" s="47"/>
      <c r="CK24" s="47"/>
      <c r="CL24" s="47"/>
      <c r="CM24" s="47"/>
      <c r="CN24" s="47"/>
      <c r="CO24" s="47"/>
      <c r="CQ24" s="47">
        <f t="shared" si="23"/>
        <v>0</v>
      </c>
      <c r="CR24" s="47">
        <f t="shared" si="24"/>
        <v>0</v>
      </c>
      <c r="CS24" s="47">
        <f t="shared" si="25"/>
        <v>0</v>
      </c>
      <c r="CT24" s="47">
        <f t="shared" si="26"/>
        <v>0</v>
      </c>
      <c r="CU24" s="47">
        <f t="shared" si="27"/>
        <v>0</v>
      </c>
      <c r="CV24" s="47">
        <f t="shared" si="28"/>
        <v>0</v>
      </c>
      <c r="CW24" s="47">
        <f t="shared" si="29"/>
        <v>0</v>
      </c>
      <c r="CX24" s="47">
        <f t="shared" si="30"/>
        <v>0</v>
      </c>
    </row>
    <row r="25" spans="2:102">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47"/>
      <c r="CI25" s="47"/>
      <c r="CJ25" s="47"/>
      <c r="CK25" s="47"/>
      <c r="CL25" s="47"/>
      <c r="CM25" s="47"/>
      <c r="CN25" s="47"/>
      <c r="CO25" s="47"/>
      <c r="CQ25" s="47">
        <f t="shared" si="23"/>
        <v>0</v>
      </c>
      <c r="CR25" s="47">
        <f t="shared" si="24"/>
        <v>0</v>
      </c>
      <c r="CS25" s="47">
        <f t="shared" si="25"/>
        <v>0</v>
      </c>
      <c r="CT25" s="47">
        <f t="shared" si="26"/>
        <v>0</v>
      </c>
      <c r="CU25" s="47">
        <f t="shared" si="27"/>
        <v>0</v>
      </c>
      <c r="CV25" s="47">
        <f t="shared" si="28"/>
        <v>0</v>
      </c>
      <c r="CW25" s="47">
        <f t="shared" si="29"/>
        <v>0</v>
      </c>
      <c r="CX25" s="47">
        <f t="shared" si="30"/>
        <v>0</v>
      </c>
    </row>
    <row r="26" spans="2:102">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47"/>
      <c r="CI26" s="47"/>
      <c r="CJ26" s="47"/>
      <c r="CK26" s="47"/>
      <c r="CL26" s="47"/>
      <c r="CM26" s="47"/>
      <c r="CN26" s="47"/>
      <c r="CO26" s="47"/>
      <c r="CQ26" s="47">
        <f t="shared" si="23"/>
        <v>0</v>
      </c>
      <c r="CR26" s="47">
        <f t="shared" si="24"/>
        <v>0</v>
      </c>
      <c r="CS26" s="47">
        <f t="shared" si="25"/>
        <v>0</v>
      </c>
      <c r="CT26" s="47">
        <f t="shared" si="26"/>
        <v>0</v>
      </c>
      <c r="CU26" s="47">
        <f t="shared" si="27"/>
        <v>0</v>
      </c>
      <c r="CV26" s="47">
        <f t="shared" si="28"/>
        <v>0</v>
      </c>
      <c r="CW26" s="47">
        <f t="shared" si="29"/>
        <v>0</v>
      </c>
      <c r="CX26" s="47">
        <f t="shared" si="30"/>
        <v>0</v>
      </c>
    </row>
    <row r="27" spans="2:102">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47"/>
      <c r="CI27" s="47"/>
      <c r="CJ27" s="47"/>
      <c r="CK27" s="47"/>
      <c r="CL27" s="47"/>
      <c r="CM27" s="47"/>
      <c r="CN27" s="47"/>
      <c r="CO27" s="47"/>
      <c r="CQ27" s="47">
        <f t="shared" si="23"/>
        <v>0</v>
      </c>
      <c r="CR27" s="47">
        <f t="shared" si="24"/>
        <v>0</v>
      </c>
      <c r="CS27" s="47">
        <f t="shared" si="25"/>
        <v>0</v>
      </c>
      <c r="CT27" s="47">
        <f t="shared" si="26"/>
        <v>0</v>
      </c>
      <c r="CU27" s="47">
        <f t="shared" si="27"/>
        <v>0</v>
      </c>
      <c r="CV27" s="47">
        <f t="shared" si="28"/>
        <v>0</v>
      </c>
      <c r="CW27" s="47">
        <f t="shared" si="29"/>
        <v>0</v>
      </c>
      <c r="CX27" s="47">
        <f t="shared" si="30"/>
        <v>0</v>
      </c>
    </row>
    <row r="28" spans="2:102">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47"/>
      <c r="CI28" s="47"/>
      <c r="CJ28" s="47"/>
      <c r="CK28" s="47"/>
      <c r="CL28" s="47"/>
      <c r="CM28" s="47"/>
      <c r="CN28" s="47"/>
      <c r="CO28" s="47"/>
      <c r="CQ28" s="47">
        <f t="shared" si="23"/>
        <v>0</v>
      </c>
      <c r="CR28" s="47">
        <f t="shared" si="24"/>
        <v>0</v>
      </c>
      <c r="CS28" s="47">
        <f t="shared" si="25"/>
        <v>0</v>
      </c>
      <c r="CT28" s="47">
        <f t="shared" si="26"/>
        <v>0</v>
      </c>
      <c r="CU28" s="47">
        <f t="shared" si="27"/>
        <v>0</v>
      </c>
      <c r="CV28" s="47">
        <f t="shared" si="28"/>
        <v>0</v>
      </c>
      <c r="CW28" s="47">
        <f t="shared" si="29"/>
        <v>0</v>
      </c>
      <c r="CX28" s="47">
        <f t="shared" si="30"/>
        <v>0</v>
      </c>
    </row>
    <row r="29" spans="2:102">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47"/>
      <c r="CI29" s="47"/>
      <c r="CJ29" s="47"/>
      <c r="CK29" s="47"/>
      <c r="CL29" s="47"/>
      <c r="CM29" s="47"/>
      <c r="CN29" s="47"/>
      <c r="CO29" s="47"/>
      <c r="CQ29" s="47">
        <f t="shared" si="23"/>
        <v>0</v>
      </c>
      <c r="CR29" s="47">
        <f t="shared" si="24"/>
        <v>0</v>
      </c>
      <c r="CS29" s="47">
        <f t="shared" si="25"/>
        <v>0</v>
      </c>
      <c r="CT29" s="47">
        <f t="shared" si="26"/>
        <v>0</v>
      </c>
      <c r="CU29" s="47">
        <f t="shared" si="27"/>
        <v>0</v>
      </c>
      <c r="CV29" s="47">
        <f t="shared" si="28"/>
        <v>0</v>
      </c>
      <c r="CW29" s="47">
        <f t="shared" si="29"/>
        <v>0</v>
      </c>
      <c r="CX29" s="47">
        <f t="shared" si="30"/>
        <v>0</v>
      </c>
    </row>
    <row r="30" spans="2:102">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3"/>
        <v>0</v>
      </c>
      <c r="CR30" s="47">
        <f t="shared" si="24"/>
        <v>0</v>
      </c>
      <c r="CS30" s="47">
        <f t="shared" si="25"/>
        <v>0</v>
      </c>
      <c r="CT30" s="47">
        <f t="shared" si="26"/>
        <v>0</v>
      </c>
      <c r="CU30" s="47">
        <f t="shared" si="27"/>
        <v>0</v>
      </c>
      <c r="CV30" s="47">
        <f t="shared" si="28"/>
        <v>0</v>
      </c>
      <c r="CW30" s="47">
        <f t="shared" si="29"/>
        <v>0</v>
      </c>
      <c r="CX30" s="47">
        <f t="shared" si="30"/>
        <v>0</v>
      </c>
    </row>
    <row r="31" spans="2:102">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3"/>
        <v>0</v>
      </c>
      <c r="CR31" s="47">
        <f t="shared" si="24"/>
        <v>0</v>
      </c>
      <c r="CS31" s="47">
        <f t="shared" si="25"/>
        <v>0</v>
      </c>
      <c r="CT31" s="47">
        <f t="shared" si="26"/>
        <v>0</v>
      </c>
      <c r="CU31" s="47">
        <f t="shared" si="27"/>
        <v>0</v>
      </c>
      <c r="CV31" s="47">
        <f t="shared" si="28"/>
        <v>0</v>
      </c>
      <c r="CW31" s="47">
        <f t="shared" si="29"/>
        <v>0</v>
      </c>
      <c r="CX31" s="47">
        <f t="shared" si="30"/>
        <v>0</v>
      </c>
    </row>
    <row r="32" spans="2:102">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3"/>
        <v>0</v>
      </c>
      <c r="CR32" s="47">
        <f t="shared" si="24"/>
        <v>0</v>
      </c>
      <c r="CS32" s="47">
        <f t="shared" si="25"/>
        <v>0</v>
      </c>
      <c r="CT32" s="47">
        <f t="shared" si="26"/>
        <v>0</v>
      </c>
      <c r="CU32" s="47">
        <f t="shared" si="27"/>
        <v>0</v>
      </c>
      <c r="CV32" s="47">
        <f t="shared" si="28"/>
        <v>0</v>
      </c>
      <c r="CW32" s="47">
        <f t="shared" si="29"/>
        <v>0</v>
      </c>
      <c r="CX32" s="47">
        <f t="shared" si="30"/>
        <v>0</v>
      </c>
    </row>
    <row r="33" spans="2:102">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3"/>
        <v>0</v>
      </c>
      <c r="CR33" s="47">
        <f t="shared" si="24"/>
        <v>0</v>
      </c>
      <c r="CS33" s="47">
        <f t="shared" si="25"/>
        <v>0</v>
      </c>
      <c r="CT33" s="47">
        <f t="shared" si="26"/>
        <v>0</v>
      </c>
      <c r="CU33" s="47">
        <f t="shared" si="27"/>
        <v>0</v>
      </c>
      <c r="CV33" s="47">
        <f t="shared" si="28"/>
        <v>0</v>
      </c>
      <c r="CW33" s="47">
        <f t="shared" si="29"/>
        <v>0</v>
      </c>
      <c r="CX33" s="47">
        <f t="shared" si="30"/>
        <v>0</v>
      </c>
    </row>
    <row r="34" spans="2:102">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3"/>
        <v>0</v>
      </c>
      <c r="CR34" s="47">
        <f t="shared" si="24"/>
        <v>0</v>
      </c>
      <c r="CS34" s="47">
        <f t="shared" si="25"/>
        <v>0</v>
      </c>
      <c r="CT34" s="47">
        <f t="shared" si="26"/>
        <v>0</v>
      </c>
      <c r="CU34" s="47">
        <f t="shared" si="27"/>
        <v>0</v>
      </c>
      <c r="CV34" s="47">
        <f t="shared" si="28"/>
        <v>0</v>
      </c>
      <c r="CW34" s="47">
        <f t="shared" si="29"/>
        <v>0</v>
      </c>
      <c r="CX34" s="47">
        <f t="shared" si="30"/>
        <v>0</v>
      </c>
    </row>
    <row r="35" spans="2:102">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3"/>
        <v>0</v>
      </c>
      <c r="CR35" s="47">
        <f t="shared" si="24"/>
        <v>0</v>
      </c>
      <c r="CS35" s="47">
        <f t="shared" si="25"/>
        <v>0</v>
      </c>
      <c r="CT35" s="47">
        <f t="shared" si="26"/>
        <v>0</v>
      </c>
      <c r="CU35" s="47">
        <f t="shared" si="27"/>
        <v>0</v>
      </c>
      <c r="CV35" s="47">
        <f t="shared" si="28"/>
        <v>0</v>
      </c>
      <c r="CW35" s="47">
        <f t="shared" si="29"/>
        <v>0</v>
      </c>
      <c r="CX35" s="47">
        <f t="shared" si="30"/>
        <v>0</v>
      </c>
    </row>
    <row r="36" spans="2:102">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3"/>
        <v>0</v>
      </c>
      <c r="CR36" s="47">
        <f t="shared" si="24"/>
        <v>0</v>
      </c>
      <c r="CS36" s="47">
        <f t="shared" si="25"/>
        <v>0</v>
      </c>
      <c r="CT36" s="47">
        <f t="shared" si="26"/>
        <v>0</v>
      </c>
      <c r="CU36" s="47">
        <f t="shared" si="27"/>
        <v>0</v>
      </c>
      <c r="CV36" s="47">
        <f t="shared" si="28"/>
        <v>0</v>
      </c>
      <c r="CW36" s="47">
        <f t="shared" si="29"/>
        <v>0</v>
      </c>
      <c r="CX36" s="47">
        <f t="shared" si="30"/>
        <v>0</v>
      </c>
    </row>
    <row r="37" spans="2:102">
      <c r="J37" s="48">
        <f t="shared" ref="J37:Q37" si="31">SUM(J6:J36)</f>
        <v>0</v>
      </c>
      <c r="K37" s="48">
        <f t="shared" si="31"/>
        <v>0</v>
      </c>
      <c r="L37" s="48">
        <f t="shared" si="31"/>
        <v>0</v>
      </c>
      <c r="M37" s="676">
        <f t="shared" si="31"/>
        <v>5437</v>
      </c>
      <c r="N37" s="676">
        <f t="shared" si="31"/>
        <v>5397</v>
      </c>
      <c r="O37" s="676">
        <f t="shared" si="31"/>
        <v>5174</v>
      </c>
      <c r="P37" s="676">
        <f t="shared" si="31"/>
        <v>4657</v>
      </c>
      <c r="Q37" s="676">
        <f t="shared" si="31"/>
        <v>4637</v>
      </c>
      <c r="R37" s="129"/>
      <c r="S37" s="676">
        <f t="shared" ref="S37:Z37" si="32">SUM(S6:S36)</f>
        <v>0</v>
      </c>
      <c r="T37" s="676">
        <f t="shared" si="32"/>
        <v>0</v>
      </c>
      <c r="U37" s="676">
        <f t="shared" si="32"/>
        <v>0</v>
      </c>
      <c r="V37" s="676">
        <f t="shared" si="32"/>
        <v>560.67677079317036</v>
      </c>
      <c r="W37" s="676">
        <f t="shared" si="32"/>
        <v>559.31286725243729</v>
      </c>
      <c r="X37" s="676">
        <f t="shared" si="32"/>
        <v>539.69453856135783</v>
      </c>
      <c r="Y37" s="676">
        <f t="shared" si="32"/>
        <v>490.59272688620268</v>
      </c>
      <c r="Z37" s="676">
        <f t="shared" si="32"/>
        <v>494.87298146432556</v>
      </c>
      <c r="AA37" s="129"/>
      <c r="AB37" s="676">
        <f t="shared" ref="AB37:AF37" si="33">SUM(AB6:AB36)</f>
        <v>0</v>
      </c>
      <c r="AC37" s="676">
        <f t="shared" si="33"/>
        <v>0</v>
      </c>
      <c r="AD37" s="676">
        <f t="shared" si="33"/>
        <v>0</v>
      </c>
      <c r="AE37" s="676">
        <f t="shared" si="33"/>
        <v>0</v>
      </c>
      <c r="AF37" s="676">
        <f t="shared" si="33"/>
        <v>0</v>
      </c>
      <c r="AG37" s="676">
        <f t="shared" ref="AG37:BW37" si="34">SUM(AG6:AG36)</f>
        <v>0</v>
      </c>
      <c r="AH37" s="676">
        <f t="shared" ref="AH37:AM37" si="35">SUM(AH6:AH36)</f>
        <v>0</v>
      </c>
      <c r="AI37" s="676">
        <f t="shared" si="35"/>
        <v>0</v>
      </c>
      <c r="AJ37" s="676">
        <f t="shared" si="35"/>
        <v>0</v>
      </c>
      <c r="AK37" s="676">
        <f t="shared" si="35"/>
        <v>0</v>
      </c>
      <c r="AL37" s="676">
        <f t="shared" si="35"/>
        <v>0</v>
      </c>
      <c r="AM37" s="676">
        <f t="shared" si="35"/>
        <v>0</v>
      </c>
      <c r="AN37" s="676">
        <f t="shared" si="34"/>
        <v>0</v>
      </c>
      <c r="AO37" s="676">
        <f t="shared" si="34"/>
        <v>0</v>
      </c>
      <c r="AP37" s="676">
        <f t="shared" si="34"/>
        <v>0</v>
      </c>
      <c r="AQ37" s="676">
        <f t="shared" si="34"/>
        <v>0</v>
      </c>
      <c r="AR37" s="676">
        <f t="shared" si="34"/>
        <v>0</v>
      </c>
      <c r="AS37" s="676">
        <f t="shared" si="34"/>
        <v>0</v>
      </c>
      <c r="AT37" s="676">
        <f t="shared" si="34"/>
        <v>0</v>
      </c>
      <c r="AU37" s="676">
        <f t="shared" si="34"/>
        <v>0</v>
      </c>
      <c r="AV37" s="676">
        <f t="shared" si="34"/>
        <v>239.11830487803283</v>
      </c>
      <c r="AW37" s="676">
        <f t="shared" si="34"/>
        <v>0</v>
      </c>
      <c r="AX37" s="676">
        <f t="shared" si="34"/>
        <v>956.47321951213132</v>
      </c>
      <c r="AY37" s="676">
        <f t="shared" si="34"/>
        <v>1195.5915243901641</v>
      </c>
      <c r="AZ37" s="676">
        <f t="shared" si="34"/>
        <v>0</v>
      </c>
      <c r="BA37" s="676">
        <f t="shared" si="34"/>
        <v>0</v>
      </c>
      <c r="BB37" s="676">
        <f t="shared" si="34"/>
        <v>237.35911190486357</v>
      </c>
      <c r="BC37" s="676">
        <f t="shared" si="34"/>
        <v>0</v>
      </c>
      <c r="BD37" s="676">
        <f t="shared" si="34"/>
        <v>949.43644761945427</v>
      </c>
      <c r="BE37" s="676">
        <f t="shared" si="34"/>
        <v>1186.7955595243177</v>
      </c>
      <c r="BF37" s="676">
        <f t="shared" si="34"/>
        <v>0</v>
      </c>
      <c r="BG37" s="676">
        <f t="shared" si="34"/>
        <v>0</v>
      </c>
      <c r="BH37" s="676">
        <f t="shared" si="34"/>
        <v>227.55161107944488</v>
      </c>
      <c r="BI37" s="676">
        <f t="shared" si="34"/>
        <v>0</v>
      </c>
      <c r="BJ37" s="676">
        <f t="shared" si="34"/>
        <v>910.20644431777953</v>
      </c>
      <c r="BK37" s="676">
        <f t="shared" si="34"/>
        <v>1137.7580553972243</v>
      </c>
      <c r="BL37" s="676">
        <f t="shared" si="34"/>
        <v>0</v>
      </c>
      <c r="BM37" s="676">
        <f t="shared" si="34"/>
        <v>0</v>
      </c>
      <c r="BN37" s="676">
        <f t="shared" si="34"/>
        <v>204.81404190123209</v>
      </c>
      <c r="BO37" s="676">
        <f t="shared" si="34"/>
        <v>0</v>
      </c>
      <c r="BP37" s="676">
        <f t="shared" si="34"/>
        <v>819.25616760492835</v>
      </c>
      <c r="BQ37" s="676">
        <f t="shared" si="34"/>
        <v>1024.0702095061604</v>
      </c>
      <c r="BR37" s="676">
        <f t="shared" si="34"/>
        <v>0</v>
      </c>
      <c r="BS37" s="676">
        <f t="shared" si="34"/>
        <v>0</v>
      </c>
      <c r="BT37" s="676">
        <f t="shared" si="34"/>
        <v>203.93444541464746</v>
      </c>
      <c r="BU37" s="676">
        <f t="shared" si="34"/>
        <v>0</v>
      </c>
      <c r="BV37" s="676">
        <f t="shared" si="34"/>
        <v>815.73778165858982</v>
      </c>
      <c r="BW37" s="676">
        <f t="shared" si="34"/>
        <v>1019.6722270732373</v>
      </c>
      <c r="BX37" s="129"/>
      <c r="BY37" s="676">
        <f t="shared" ref="BY37:CF37" si="36">SUM(BY6:BY36)</f>
        <v>0</v>
      </c>
      <c r="BZ37" s="676">
        <f t="shared" si="36"/>
        <v>0</v>
      </c>
      <c r="CA37" s="676">
        <f t="shared" si="36"/>
        <v>0</v>
      </c>
      <c r="CB37" s="676">
        <f t="shared" si="36"/>
        <v>3202.8309108840385</v>
      </c>
      <c r="CC37" s="676">
        <f t="shared" si="36"/>
        <v>3179.2676891743895</v>
      </c>
      <c r="CD37" s="676">
        <f t="shared" si="36"/>
        <v>3047.9027281430963</v>
      </c>
      <c r="CE37" s="676">
        <f t="shared" si="36"/>
        <v>2743.3480875458831</v>
      </c>
      <c r="CF37" s="676">
        <f t="shared" si="36"/>
        <v>2731.5664766910586</v>
      </c>
      <c r="CG37" s="129"/>
      <c r="CH37" s="676">
        <f t="shared" ref="CH37:CO37" si="37">SUM(CH6:CH36)</f>
        <v>0</v>
      </c>
      <c r="CI37" s="676">
        <f t="shared" si="37"/>
        <v>0</v>
      </c>
      <c r="CJ37" s="676">
        <f t="shared" si="37"/>
        <v>0</v>
      </c>
      <c r="CK37" s="676">
        <f t="shared" si="37"/>
        <v>495.65405659521235</v>
      </c>
      <c r="CL37" s="676">
        <f t="shared" si="37"/>
        <v>492.00753052130972</v>
      </c>
      <c r="CM37" s="676">
        <f t="shared" si="37"/>
        <v>471.67814765930268</v>
      </c>
      <c r="CN37" s="676">
        <f t="shared" si="37"/>
        <v>424.54679815411146</v>
      </c>
      <c r="CO37" s="676">
        <f t="shared" si="37"/>
        <v>422.72353511716017</v>
      </c>
      <c r="CP37" s="129"/>
      <c r="CQ37" s="676">
        <f t="shared" ref="CQ37:CX37" si="38">SUM(CQ6:CQ36)</f>
        <v>0</v>
      </c>
      <c r="CR37" s="676">
        <f t="shared" ref="CR37" si="39">SUM(CR6:CR36)</f>
        <v>0</v>
      </c>
      <c r="CS37" s="676">
        <f t="shared" si="38"/>
        <v>0</v>
      </c>
      <c r="CT37" s="676">
        <f t="shared" si="38"/>
        <v>5454.7532626625853</v>
      </c>
      <c r="CU37" s="676">
        <f t="shared" si="38"/>
        <v>5417.3836464724536</v>
      </c>
      <c r="CV37" s="676">
        <f t="shared" si="38"/>
        <v>5197.0334697609815</v>
      </c>
      <c r="CW37" s="676">
        <f t="shared" si="38"/>
        <v>4682.557822092358</v>
      </c>
      <c r="CX37" s="676">
        <f t="shared" si="38"/>
        <v>4668.8352203457825</v>
      </c>
    </row>
    <row r="38" spans="2:102">
      <c r="CQ38" s="84">
        <f t="shared" ref="CQ38:CX38" si="40">IF(ISERROR((CQ37-J37)/J37),0,(CQ37-J37)/J37)</f>
        <v>0</v>
      </c>
      <c r="CR38" s="84">
        <f t="shared" si="40"/>
        <v>0</v>
      </c>
      <c r="CS38" s="84">
        <f t="shared" si="40"/>
        <v>0</v>
      </c>
      <c r="CT38" s="84">
        <f t="shared" si="40"/>
        <v>3.265268100530671E-3</v>
      </c>
      <c r="CU38" s="84">
        <f t="shared" si="40"/>
        <v>3.7768475954147898E-3</v>
      </c>
      <c r="CV38" s="84">
        <f t="shared" si="40"/>
        <v>4.4517722769581488E-3</v>
      </c>
      <c r="CW38" s="84">
        <f t="shared" si="40"/>
        <v>5.4880442543178091E-3</v>
      </c>
      <c r="CX38" s="84">
        <f t="shared" si="40"/>
        <v>6.865477754104495E-3</v>
      </c>
    </row>
    <row r="39" spans="2:102">
      <c r="H39" s="1" t="s">
        <v>133</v>
      </c>
      <c r="M39" s="160"/>
      <c r="N39" s="160"/>
      <c r="O39" s="160"/>
      <c r="P39" s="160"/>
      <c r="Q39" s="160"/>
    </row>
    <row r="40" spans="2:102">
      <c r="M40" s="39"/>
      <c r="N40" s="39"/>
      <c r="O40" s="39"/>
      <c r="P40" s="39"/>
      <c r="Q40" s="39"/>
    </row>
  </sheetData>
  <mergeCells count="11">
    <mergeCell ref="M1:N1"/>
    <mergeCell ref="J3:Q3"/>
    <mergeCell ref="S3:Z3"/>
    <mergeCell ref="BY3:CF3"/>
    <mergeCell ref="CQ3:CX3"/>
    <mergeCell ref="CH3:CO3"/>
    <mergeCell ref="J4:Q4"/>
    <mergeCell ref="S4:Z4"/>
    <mergeCell ref="BY4:CF4"/>
    <mergeCell ref="CH4:CO4"/>
    <mergeCell ref="CQ4:CX4"/>
  </mergeCells>
  <hyperlinks>
    <hyperlink ref="B2" location="Contents!A1" display="Table of Contents" xr:uid="{00000000-0004-0000-10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xWindow="788" yWindow="547" count="5">
        <x14:dataValidation type="list" errorStyle="warning" showInputMessage="1" showErrorMessage="1" error="Invalid data entered" prompt="Select from drop down list" xr:uid="{00000000-0002-0000-1000-000000000000}">
          <x14:formula1>
            <xm:f>Lookups!$C$16:$C$27</xm:f>
          </x14:formula1>
          <xm:sqref>F6:F36</xm:sqref>
        </x14:dataValidation>
        <x14:dataValidation type="list" errorStyle="warning" showInputMessage="1" showErrorMessage="1" error="Invalid data entered" prompt="Select from drop down list" xr:uid="{00000000-0002-0000-1000-000001000000}">
          <x14:formula1>
            <xm:f>Lookups!$C$5:$C$13</xm:f>
          </x14:formula1>
          <xm:sqref>E6:E36</xm:sqref>
        </x14:dataValidation>
        <x14:dataValidation type="list" errorStyle="warning" allowBlank="1" showInputMessage="1" showErrorMessage="1" prompt="Select from drop down list" xr:uid="{00000000-0002-0000-1000-000002000000}">
          <x14:formula1>
            <xm:f>Lab_Mat!$C$62:$C$98</xm:f>
          </x14:formula1>
          <xm:sqref>I6:I36</xm:sqref>
        </x14:dataValidation>
        <x14:dataValidation type="list" errorStyle="warning" showInputMessage="1" showErrorMessage="1" error="Invalid data entered" prompt="Select from drop down list" xr:uid="{00000000-0002-0000-1000-000003000000}">
          <x14:formula1>
            <xm:f>Lookups!$I$5:$I$10</xm:f>
          </x14:formula1>
          <xm:sqref>G6:G36</xm:sqref>
        </x14:dataValidation>
        <x14:dataValidation type="list" errorStyle="warning" allowBlank="1" showInputMessage="1" showErrorMessage="1" prompt="Select from drop down list" xr:uid="{00000000-0002-0000-1000-000004000000}">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DT44"/>
  <sheetViews>
    <sheetView topLeftCell="A14" zoomScale="85" zoomScaleNormal="85" zoomScalePageLayoutView="125" workbookViewId="0">
      <pane xSplit="4" topLeftCell="K1" activePane="topRight" state="frozen"/>
      <selection activeCell="V33" sqref="V33"/>
      <selection pane="topRight" activeCell="AA38" sqref="AA38"/>
    </sheetView>
  </sheetViews>
  <sheetFormatPr defaultColWidth="8.85546875" defaultRowHeight="15" outlineLevelRow="1" outlineLevelCol="1"/>
  <cols>
    <col min="1" max="1" width="4" style="1" customWidth="1"/>
    <col min="2" max="2" width="12" style="1" customWidth="1"/>
    <col min="3" max="3" width="56.7109375" style="1" customWidth="1"/>
    <col min="4" max="4" width="17.28515625" style="1" customWidth="1"/>
    <col min="5" max="5" width="24.42578125" style="1" hidden="1" customWidth="1" outlineLevel="1"/>
    <col min="6" max="6" width="29.28515625" style="1" hidden="1" customWidth="1" outlineLevel="1"/>
    <col min="7" max="7" width="24.140625" style="1" hidden="1" customWidth="1" outlineLevel="1"/>
    <col min="8" max="8" width="23.42578125" style="1" hidden="1" customWidth="1" outlineLevel="1"/>
    <col min="9" max="9" width="28.42578125" style="1" hidden="1" customWidth="1" outlineLevel="1"/>
    <col min="10" max="10" width="8.7109375" style="1" customWidth="1" collapsed="1"/>
    <col min="11" max="17" width="8.7109375" style="1" customWidth="1"/>
    <col min="18" max="18" width="9.42578125" style="1" customWidth="1"/>
    <col min="19" max="19" width="3.140625" style="1" customWidth="1"/>
    <col min="20" max="27" width="8.42578125" style="1" customWidth="1"/>
    <col min="28" max="28" width="3.4257812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10.42578125"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11" width="8.85546875" style="1"/>
    <col min="112" max="112" width="11" style="1" bestFit="1" customWidth="1"/>
    <col min="113" max="16384" width="8.85546875" style="1"/>
  </cols>
  <sheetData>
    <row r="1" spans="2:124" ht="18.75">
      <c r="B1" s="10" t="s">
        <v>253</v>
      </c>
      <c r="M1" s="969" t="s">
        <v>737</v>
      </c>
      <c r="N1" s="969"/>
    </row>
    <row r="2" spans="2:124">
      <c r="B2" s="25" t="s">
        <v>6</v>
      </c>
    </row>
    <row r="3" spans="2:124">
      <c r="R3" s="66"/>
      <c r="T3" s="964"/>
      <c r="U3" s="964"/>
      <c r="V3" s="964"/>
      <c r="W3" s="964"/>
      <c r="X3" s="964"/>
      <c r="Y3" s="964"/>
      <c r="Z3" s="964"/>
      <c r="AA3" s="964"/>
      <c r="AH3" s="964"/>
      <c r="AI3" s="964"/>
      <c r="AJ3" s="964"/>
      <c r="AK3" s="964"/>
      <c r="AL3" s="964"/>
      <c r="AM3" s="964"/>
      <c r="AN3" s="964"/>
      <c r="AO3" s="964"/>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964"/>
      <c r="CO3" s="964"/>
      <c r="CP3" s="964"/>
      <c r="CQ3" s="964"/>
      <c r="CR3" s="964"/>
      <c r="CS3" s="964"/>
      <c r="CT3" s="964"/>
      <c r="CU3" s="964"/>
      <c r="CW3" s="964"/>
      <c r="CX3" s="964"/>
      <c r="CY3" s="964"/>
      <c r="CZ3" s="964"/>
      <c r="DA3" s="964"/>
      <c r="DB3" s="964"/>
      <c r="DC3" s="964"/>
      <c r="DD3" s="964"/>
      <c r="DF3" s="964"/>
      <c r="DG3" s="964"/>
      <c r="DH3" s="964"/>
      <c r="DI3" s="964"/>
      <c r="DJ3" s="964"/>
      <c r="DK3" s="964"/>
      <c r="DL3" s="964"/>
      <c r="DM3" s="964"/>
    </row>
    <row r="4" spans="2:124" hidden="1" outlineLevel="1">
      <c r="R4" s="66"/>
      <c r="T4" s="80"/>
      <c r="U4" s="221"/>
      <c r="V4" s="329"/>
      <c r="W4" s="80"/>
      <c r="X4" s="80"/>
      <c r="Y4" s="80"/>
      <c r="Z4" s="80"/>
      <c r="AA4" s="80"/>
      <c r="AC4" s="1" t="s">
        <v>174</v>
      </c>
      <c r="AD4" s="1" t="s">
        <v>173</v>
      </c>
      <c r="AE4" s="1" t="s">
        <v>297</v>
      </c>
      <c r="AF4" s="1" t="s">
        <v>175</v>
      </c>
      <c r="AH4" s="80"/>
      <c r="AI4" s="221"/>
      <c r="AJ4" s="329"/>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29"/>
      <c r="CQ4" s="80"/>
      <c r="CR4" s="80"/>
      <c r="CS4" s="80"/>
      <c r="CT4" s="80"/>
      <c r="CU4" s="80"/>
      <c r="CW4" s="93"/>
      <c r="CX4" s="221"/>
      <c r="CY4" s="329"/>
      <c r="CZ4" s="93"/>
      <c r="DA4" s="93"/>
      <c r="DB4" s="93"/>
      <c r="DC4" s="93"/>
      <c r="DD4" s="93"/>
      <c r="DF4" s="80"/>
      <c r="DG4" s="221"/>
      <c r="DH4" s="329"/>
      <c r="DI4" s="80"/>
      <c r="DJ4" s="80"/>
      <c r="DK4" s="80"/>
      <c r="DL4" s="80"/>
      <c r="DM4" s="80"/>
    </row>
    <row r="5" spans="2:124" ht="75" collapsed="1">
      <c r="B5" s="2" t="s">
        <v>287</v>
      </c>
      <c r="J5" s="961" t="s">
        <v>385</v>
      </c>
      <c r="K5" s="962"/>
      <c r="L5" s="962"/>
      <c r="M5" s="962"/>
      <c r="N5" s="962"/>
      <c r="O5" s="962"/>
      <c r="P5" s="962"/>
      <c r="Q5" s="963"/>
      <c r="R5" s="9" t="s">
        <v>377</v>
      </c>
      <c r="T5" s="961" t="s">
        <v>386</v>
      </c>
      <c r="U5" s="962"/>
      <c r="V5" s="962"/>
      <c r="W5" s="962"/>
      <c r="X5" s="962"/>
      <c r="Y5" s="962"/>
      <c r="Z5" s="962"/>
      <c r="AA5" s="963"/>
      <c r="AC5" s="9" t="s">
        <v>381</v>
      </c>
      <c r="AD5" s="9" t="s">
        <v>382</v>
      </c>
      <c r="AE5" s="9" t="s">
        <v>383</v>
      </c>
      <c r="AF5" s="9" t="s">
        <v>384</v>
      </c>
      <c r="AG5" s="57"/>
      <c r="AH5" s="961" t="s">
        <v>174</v>
      </c>
      <c r="AI5" s="962"/>
      <c r="AJ5" s="962"/>
      <c r="AK5" s="962"/>
      <c r="AL5" s="962"/>
      <c r="AM5" s="962"/>
      <c r="AN5" s="962"/>
      <c r="AO5" s="963"/>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961" t="s">
        <v>297</v>
      </c>
      <c r="CO5" s="962"/>
      <c r="CP5" s="962"/>
      <c r="CQ5" s="962"/>
      <c r="CR5" s="962"/>
      <c r="CS5" s="962"/>
      <c r="CT5" s="962"/>
      <c r="CU5" s="963"/>
      <c r="CV5" s="57"/>
      <c r="CW5" s="961" t="s">
        <v>175</v>
      </c>
      <c r="CX5" s="962"/>
      <c r="CY5" s="962"/>
      <c r="CZ5" s="962"/>
      <c r="DA5" s="962"/>
      <c r="DB5" s="962"/>
      <c r="DC5" s="962"/>
      <c r="DD5" s="963"/>
      <c r="DE5" s="57"/>
      <c r="DF5" s="961" t="s">
        <v>379</v>
      </c>
      <c r="DG5" s="962"/>
      <c r="DH5" s="962"/>
      <c r="DI5" s="962"/>
      <c r="DJ5" s="962"/>
      <c r="DK5" s="962"/>
      <c r="DL5" s="962"/>
      <c r="DM5" s="963"/>
    </row>
    <row r="6" spans="2:124">
      <c r="B6" s="8" t="s">
        <v>23</v>
      </c>
      <c r="C6" s="8" t="s">
        <v>24</v>
      </c>
      <c r="D6" s="17" t="s">
        <v>98</v>
      </c>
      <c r="E6" s="17" t="s">
        <v>76</v>
      </c>
      <c r="F6" s="17" t="s">
        <v>77</v>
      </c>
      <c r="G6" s="17" t="s">
        <v>322</v>
      </c>
      <c r="H6" s="17" t="s">
        <v>212</v>
      </c>
      <c r="I6" s="17" t="s">
        <v>177</v>
      </c>
      <c r="J6" s="331">
        <f>CP_Yr_4</f>
        <v>43800</v>
      </c>
      <c r="K6" s="331">
        <f>CP_Yr_5</f>
        <v>44166</v>
      </c>
      <c r="L6" s="331">
        <f>Stub</f>
        <v>44377</v>
      </c>
      <c r="M6" s="331">
        <f>Yr_1</f>
        <v>44742</v>
      </c>
      <c r="N6" s="331">
        <f>Yr_2</f>
        <v>45107</v>
      </c>
      <c r="O6" s="331">
        <f>Yr_3</f>
        <v>45473</v>
      </c>
      <c r="P6" s="331">
        <f>Yr_4</f>
        <v>45838</v>
      </c>
      <c r="Q6" s="331">
        <f>Yr_5</f>
        <v>46203</v>
      </c>
      <c r="R6" s="331"/>
      <c r="S6" s="332"/>
      <c r="T6" s="331">
        <f>CP_Yr_4</f>
        <v>43800</v>
      </c>
      <c r="U6" s="331">
        <f>CP_Yr_5</f>
        <v>44166</v>
      </c>
      <c r="V6" s="331">
        <f>Stub</f>
        <v>44377</v>
      </c>
      <c r="W6" s="331">
        <f>Yr_1</f>
        <v>44742</v>
      </c>
      <c r="X6" s="331">
        <f>Yr_2</f>
        <v>45107</v>
      </c>
      <c r="Y6" s="331">
        <f>Yr_3</f>
        <v>45473</v>
      </c>
      <c r="Z6" s="331">
        <f>Yr_4</f>
        <v>45838</v>
      </c>
      <c r="AA6" s="331">
        <f>Yr_5</f>
        <v>46203</v>
      </c>
      <c r="AB6" s="332"/>
      <c r="AC6" s="331"/>
      <c r="AD6" s="331"/>
      <c r="AE6" s="331"/>
      <c r="AF6" s="331"/>
      <c r="AG6" s="223"/>
      <c r="AH6" s="331">
        <f>CP_Yr_4</f>
        <v>43800</v>
      </c>
      <c r="AI6" s="331">
        <f>CP_Yr_5</f>
        <v>44166</v>
      </c>
      <c r="AJ6" s="331">
        <f>Stub</f>
        <v>44377</v>
      </c>
      <c r="AK6" s="331">
        <f>Yr_1</f>
        <v>44742</v>
      </c>
      <c r="AL6" s="331">
        <f>Yr_2</f>
        <v>45107</v>
      </c>
      <c r="AM6" s="331">
        <f>Yr_3</f>
        <v>45473</v>
      </c>
      <c r="AN6" s="331">
        <f>Yr_4</f>
        <v>45838</v>
      </c>
      <c r="AO6" s="331">
        <f>Yr_5</f>
        <v>46203</v>
      </c>
      <c r="AP6" s="332"/>
      <c r="AQ6" s="331">
        <f t="shared" ref="AQ6:AV6" si="0">CP_Yr_4</f>
        <v>43800</v>
      </c>
      <c r="AR6" s="331">
        <f t="shared" si="0"/>
        <v>43800</v>
      </c>
      <c r="AS6" s="331">
        <f t="shared" si="0"/>
        <v>43800</v>
      </c>
      <c r="AT6" s="331">
        <f t="shared" si="0"/>
        <v>43800</v>
      </c>
      <c r="AU6" s="331">
        <f t="shared" si="0"/>
        <v>43800</v>
      </c>
      <c r="AV6" s="331">
        <f t="shared" si="0"/>
        <v>43800</v>
      </c>
      <c r="AW6" s="331">
        <f t="shared" ref="AW6:BB6" si="1">CP_Yr_5</f>
        <v>44166</v>
      </c>
      <c r="AX6" s="331">
        <f t="shared" si="1"/>
        <v>44166</v>
      </c>
      <c r="AY6" s="331">
        <f t="shared" si="1"/>
        <v>44166</v>
      </c>
      <c r="AZ6" s="331">
        <f t="shared" si="1"/>
        <v>44166</v>
      </c>
      <c r="BA6" s="331">
        <f t="shared" si="1"/>
        <v>44166</v>
      </c>
      <c r="BB6" s="331">
        <f t="shared" si="1"/>
        <v>44166</v>
      </c>
      <c r="BC6" s="331">
        <f t="shared" ref="BC6:BH6" si="2">Stub</f>
        <v>44377</v>
      </c>
      <c r="BD6" s="331">
        <f t="shared" si="2"/>
        <v>44377</v>
      </c>
      <c r="BE6" s="331">
        <f t="shared" si="2"/>
        <v>44377</v>
      </c>
      <c r="BF6" s="331">
        <f t="shared" si="2"/>
        <v>44377</v>
      </c>
      <c r="BG6" s="331">
        <f t="shared" si="2"/>
        <v>44377</v>
      </c>
      <c r="BH6" s="331">
        <f t="shared" si="2"/>
        <v>44377</v>
      </c>
      <c r="BI6" s="331">
        <f t="shared" ref="BI6:BN6" si="3">Yr_1</f>
        <v>44742</v>
      </c>
      <c r="BJ6" s="331">
        <f t="shared" si="3"/>
        <v>44742</v>
      </c>
      <c r="BK6" s="331">
        <f t="shared" si="3"/>
        <v>44742</v>
      </c>
      <c r="BL6" s="331">
        <f t="shared" si="3"/>
        <v>44742</v>
      </c>
      <c r="BM6" s="331">
        <f t="shared" si="3"/>
        <v>44742</v>
      </c>
      <c r="BN6" s="331">
        <f t="shared" si="3"/>
        <v>44742</v>
      </c>
      <c r="BO6" s="331">
        <f t="shared" ref="BO6:BT6" si="4">Yr_2</f>
        <v>45107</v>
      </c>
      <c r="BP6" s="331">
        <f t="shared" si="4"/>
        <v>45107</v>
      </c>
      <c r="BQ6" s="331">
        <f t="shared" si="4"/>
        <v>45107</v>
      </c>
      <c r="BR6" s="331">
        <f t="shared" si="4"/>
        <v>45107</v>
      </c>
      <c r="BS6" s="331">
        <f t="shared" si="4"/>
        <v>45107</v>
      </c>
      <c r="BT6" s="331">
        <f t="shared" si="4"/>
        <v>45107</v>
      </c>
      <c r="BU6" s="331">
        <f t="shared" ref="BU6:BZ6" si="5">Yr_3</f>
        <v>45473</v>
      </c>
      <c r="BV6" s="331">
        <f t="shared" si="5"/>
        <v>45473</v>
      </c>
      <c r="BW6" s="331">
        <f t="shared" si="5"/>
        <v>45473</v>
      </c>
      <c r="BX6" s="331">
        <f t="shared" si="5"/>
        <v>45473</v>
      </c>
      <c r="BY6" s="331">
        <f t="shared" si="5"/>
        <v>45473</v>
      </c>
      <c r="BZ6" s="331">
        <f t="shared" si="5"/>
        <v>45473</v>
      </c>
      <c r="CA6" s="331">
        <f t="shared" ref="CA6:CF6" si="6">Yr_4</f>
        <v>45838</v>
      </c>
      <c r="CB6" s="331">
        <f t="shared" si="6"/>
        <v>45838</v>
      </c>
      <c r="CC6" s="331">
        <f t="shared" si="6"/>
        <v>45838</v>
      </c>
      <c r="CD6" s="331">
        <f t="shared" si="6"/>
        <v>45838</v>
      </c>
      <c r="CE6" s="331">
        <f t="shared" si="6"/>
        <v>45838</v>
      </c>
      <c r="CF6" s="331">
        <f t="shared" si="6"/>
        <v>45838</v>
      </c>
      <c r="CG6" s="331">
        <f t="shared" ref="CG6:CL6" si="7">Yr_5</f>
        <v>46203</v>
      </c>
      <c r="CH6" s="331">
        <f t="shared" si="7"/>
        <v>46203</v>
      </c>
      <c r="CI6" s="331">
        <f t="shared" si="7"/>
        <v>46203</v>
      </c>
      <c r="CJ6" s="331">
        <f t="shared" si="7"/>
        <v>46203</v>
      </c>
      <c r="CK6" s="331">
        <f t="shared" si="7"/>
        <v>46203</v>
      </c>
      <c r="CL6" s="331">
        <f t="shared" si="7"/>
        <v>46203</v>
      </c>
      <c r="CM6" s="332"/>
      <c r="CN6" s="331">
        <f>CP_Yr_4</f>
        <v>43800</v>
      </c>
      <c r="CO6" s="331">
        <f>CP_Yr_5</f>
        <v>44166</v>
      </c>
      <c r="CP6" s="331">
        <f>Stub</f>
        <v>44377</v>
      </c>
      <c r="CQ6" s="331">
        <f>Yr_1</f>
        <v>44742</v>
      </c>
      <c r="CR6" s="331">
        <f>Yr_2</f>
        <v>45107</v>
      </c>
      <c r="CS6" s="331">
        <f>Yr_3</f>
        <v>45473</v>
      </c>
      <c r="CT6" s="331">
        <f>Yr_4</f>
        <v>45838</v>
      </c>
      <c r="CU6" s="331">
        <f>Yr_5</f>
        <v>46203</v>
      </c>
      <c r="CV6" s="332"/>
      <c r="CW6" s="331">
        <f>CP_Yr_4</f>
        <v>43800</v>
      </c>
      <c r="CX6" s="331">
        <f>CP_Yr_5</f>
        <v>44166</v>
      </c>
      <c r="CY6" s="331">
        <f>Stub</f>
        <v>44377</v>
      </c>
      <c r="CZ6" s="331">
        <f>Yr_1</f>
        <v>44742</v>
      </c>
      <c r="DA6" s="331">
        <f>Yr_2</f>
        <v>45107</v>
      </c>
      <c r="DB6" s="331">
        <f>Yr_3</f>
        <v>45473</v>
      </c>
      <c r="DC6" s="331">
        <f>Yr_4</f>
        <v>45838</v>
      </c>
      <c r="DD6" s="331">
        <f>Yr_5</f>
        <v>46203</v>
      </c>
      <c r="DE6" s="332"/>
      <c r="DF6" s="331">
        <f>CP_Yr_4</f>
        <v>43800</v>
      </c>
      <c r="DG6" s="331">
        <f>CP_Yr_5</f>
        <v>44166</v>
      </c>
      <c r="DH6" s="331">
        <f>Stub</f>
        <v>44377</v>
      </c>
      <c r="DI6" s="331">
        <f>Yr_1</f>
        <v>44742</v>
      </c>
      <c r="DJ6" s="331">
        <f>Yr_2</f>
        <v>45107</v>
      </c>
      <c r="DK6" s="331">
        <f>Yr_3</f>
        <v>45473</v>
      </c>
      <c r="DL6" s="331">
        <f>Yr_4</f>
        <v>45838</v>
      </c>
      <c r="DM6" s="331">
        <f>Yr_5</f>
        <v>46203</v>
      </c>
    </row>
    <row r="7" spans="2:124">
      <c r="B7" s="7"/>
      <c r="C7" s="7" t="s">
        <v>113</v>
      </c>
      <c r="D7" s="7" t="s">
        <v>128</v>
      </c>
      <c r="E7" s="7" t="s">
        <v>45</v>
      </c>
      <c r="F7" s="7" t="s">
        <v>55</v>
      </c>
      <c r="G7" s="7" t="s">
        <v>150</v>
      </c>
      <c r="H7" s="7" t="s">
        <v>5</v>
      </c>
      <c r="I7" s="7" t="s">
        <v>209</v>
      </c>
      <c r="J7" s="45"/>
      <c r="K7" s="45"/>
      <c r="L7" s="45"/>
      <c r="M7" s="936"/>
      <c r="N7" s="936"/>
      <c r="O7" s="936"/>
      <c r="P7" s="936"/>
      <c r="Q7" s="936"/>
      <c r="R7" s="936"/>
      <c r="S7" s="867"/>
      <c r="T7" s="937"/>
      <c r="U7" s="937"/>
      <c r="V7" s="937"/>
      <c r="W7" s="937"/>
      <c r="X7" s="937"/>
      <c r="Y7" s="937"/>
      <c r="Z7" s="937"/>
      <c r="AA7" s="937"/>
      <c r="AB7" s="867"/>
      <c r="AC7" s="936"/>
      <c r="AD7" s="936"/>
      <c r="AE7" s="936"/>
      <c r="AF7" s="936"/>
      <c r="AG7" s="867"/>
      <c r="AH7" s="937"/>
      <c r="AI7" s="937"/>
      <c r="AJ7" s="937"/>
      <c r="AK7" s="937"/>
      <c r="AL7" s="937"/>
      <c r="AM7" s="937"/>
      <c r="AN7" s="937"/>
      <c r="AO7" s="937"/>
      <c r="AP7" s="86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867"/>
      <c r="CN7" s="937"/>
      <c r="CO7" s="937"/>
      <c r="CP7" s="937"/>
      <c r="CQ7" s="937"/>
      <c r="CR7" s="937"/>
      <c r="CS7" s="937"/>
      <c r="CT7" s="937"/>
      <c r="CU7" s="937"/>
      <c r="CV7" s="867"/>
      <c r="CW7" s="937"/>
      <c r="CX7" s="937"/>
      <c r="CY7" s="937"/>
      <c r="CZ7" s="937"/>
      <c r="DA7" s="937"/>
      <c r="DB7" s="937"/>
      <c r="DC7" s="937"/>
      <c r="DD7" s="937"/>
      <c r="DE7" s="867"/>
      <c r="DF7" s="937"/>
      <c r="DG7" s="937"/>
      <c r="DH7" s="937"/>
      <c r="DI7" s="937"/>
      <c r="DJ7" s="937"/>
      <c r="DK7" s="937"/>
      <c r="DL7" s="937"/>
      <c r="DM7" s="937"/>
      <c r="DO7" s="39"/>
      <c r="DP7" s="39"/>
      <c r="DQ7" s="39"/>
      <c r="DR7" s="39"/>
      <c r="DS7" s="39"/>
      <c r="DT7" s="39"/>
    </row>
    <row r="8" spans="2:124">
      <c r="B8" s="7"/>
      <c r="C8" s="7" t="s">
        <v>114</v>
      </c>
      <c r="D8" s="7" t="s">
        <v>128</v>
      </c>
      <c r="E8" s="7" t="s">
        <v>45</v>
      </c>
      <c r="F8" s="7" t="s">
        <v>55</v>
      </c>
      <c r="G8" s="7" t="s">
        <v>150</v>
      </c>
      <c r="H8" s="7" t="s">
        <v>5</v>
      </c>
      <c r="I8" s="7" t="s">
        <v>209</v>
      </c>
      <c r="J8" s="45"/>
      <c r="K8" s="45"/>
      <c r="L8" s="45"/>
      <c r="M8" s="936"/>
      <c r="N8" s="936"/>
      <c r="O8" s="936"/>
      <c r="P8" s="936"/>
      <c r="Q8" s="936"/>
      <c r="R8" s="936"/>
      <c r="S8" s="867"/>
      <c r="T8" s="937"/>
      <c r="U8" s="937"/>
      <c r="V8" s="937"/>
      <c r="W8" s="937"/>
      <c r="X8" s="937"/>
      <c r="Y8" s="937"/>
      <c r="Z8" s="937"/>
      <c r="AA8" s="937"/>
      <c r="AB8" s="867"/>
      <c r="AC8" s="936"/>
      <c r="AD8" s="936"/>
      <c r="AE8" s="936"/>
      <c r="AF8" s="936"/>
      <c r="AG8" s="867"/>
      <c r="AH8" s="937"/>
      <c r="AI8" s="937"/>
      <c r="AJ8" s="937"/>
      <c r="AK8" s="937"/>
      <c r="AL8" s="937"/>
      <c r="AM8" s="937"/>
      <c r="AN8" s="937"/>
      <c r="AO8" s="937"/>
      <c r="AP8" s="867"/>
      <c r="AQ8" s="937"/>
      <c r="AR8" s="937"/>
      <c r="AS8" s="937"/>
      <c r="AT8" s="937"/>
      <c r="AU8" s="937"/>
      <c r="AV8" s="937"/>
      <c r="AW8" s="937"/>
      <c r="AX8" s="937"/>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867"/>
      <c r="CN8" s="937"/>
      <c r="CO8" s="937"/>
      <c r="CP8" s="937"/>
      <c r="CQ8" s="937"/>
      <c r="CR8" s="937"/>
      <c r="CS8" s="937"/>
      <c r="CT8" s="937"/>
      <c r="CU8" s="937"/>
      <c r="CV8" s="867"/>
      <c r="CW8" s="937"/>
      <c r="CX8" s="937"/>
      <c r="CY8" s="937"/>
      <c r="CZ8" s="937"/>
      <c r="DA8" s="937"/>
      <c r="DB8" s="937"/>
      <c r="DC8" s="937"/>
      <c r="DD8" s="937"/>
      <c r="DE8" s="867"/>
      <c r="DF8" s="937"/>
      <c r="DG8" s="937"/>
      <c r="DH8" s="937"/>
      <c r="DI8" s="937"/>
      <c r="DJ8" s="937"/>
      <c r="DK8" s="937"/>
      <c r="DL8" s="937"/>
      <c r="DM8" s="937"/>
      <c r="DO8" s="39"/>
      <c r="DP8" s="39"/>
      <c r="DQ8" s="39"/>
      <c r="DR8" s="39"/>
      <c r="DS8" s="39"/>
      <c r="DT8" s="39"/>
    </row>
    <row r="9" spans="2:124">
      <c r="B9" s="7"/>
      <c r="C9" s="7" t="s">
        <v>115</v>
      </c>
      <c r="D9" s="7" t="s">
        <v>128</v>
      </c>
      <c r="E9" s="7" t="s">
        <v>45</v>
      </c>
      <c r="F9" s="7" t="s">
        <v>55</v>
      </c>
      <c r="G9" s="7" t="s">
        <v>150</v>
      </c>
      <c r="H9" s="7" t="s">
        <v>5</v>
      </c>
      <c r="I9" s="7" t="s">
        <v>209</v>
      </c>
      <c r="J9" s="45"/>
      <c r="K9" s="45"/>
      <c r="L9" s="45"/>
      <c r="M9" s="936"/>
      <c r="N9" s="936"/>
      <c r="O9" s="936"/>
      <c r="P9" s="936"/>
      <c r="Q9" s="936"/>
      <c r="R9" s="936"/>
      <c r="S9" s="867"/>
      <c r="T9" s="937"/>
      <c r="U9" s="937"/>
      <c r="V9" s="937"/>
      <c r="W9" s="937"/>
      <c r="X9" s="937"/>
      <c r="Y9" s="937"/>
      <c r="Z9" s="937"/>
      <c r="AA9" s="937"/>
      <c r="AB9" s="867"/>
      <c r="AC9" s="936"/>
      <c r="AD9" s="936"/>
      <c r="AE9" s="936"/>
      <c r="AF9" s="936"/>
      <c r="AG9" s="867"/>
      <c r="AH9" s="937"/>
      <c r="AI9" s="937"/>
      <c r="AJ9" s="937"/>
      <c r="AK9" s="937"/>
      <c r="AL9" s="937"/>
      <c r="AM9" s="937"/>
      <c r="AN9" s="937"/>
      <c r="AO9" s="937"/>
      <c r="AP9" s="86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c r="CA9" s="937"/>
      <c r="CB9" s="937"/>
      <c r="CC9" s="937"/>
      <c r="CD9" s="937"/>
      <c r="CE9" s="937"/>
      <c r="CF9" s="937"/>
      <c r="CG9" s="937"/>
      <c r="CH9" s="937"/>
      <c r="CI9" s="937"/>
      <c r="CJ9" s="937"/>
      <c r="CK9" s="937"/>
      <c r="CL9" s="937"/>
      <c r="CM9" s="867"/>
      <c r="CN9" s="937"/>
      <c r="CO9" s="937"/>
      <c r="CP9" s="937"/>
      <c r="CQ9" s="937"/>
      <c r="CR9" s="937"/>
      <c r="CS9" s="937"/>
      <c r="CT9" s="937"/>
      <c r="CU9" s="937"/>
      <c r="CV9" s="867"/>
      <c r="CW9" s="937"/>
      <c r="CX9" s="937"/>
      <c r="CY9" s="937"/>
      <c r="CZ9" s="937"/>
      <c r="DA9" s="937"/>
      <c r="DB9" s="937"/>
      <c r="DC9" s="937"/>
      <c r="DD9" s="937"/>
      <c r="DE9" s="867"/>
      <c r="DF9" s="937"/>
      <c r="DG9" s="937"/>
      <c r="DH9" s="937"/>
      <c r="DI9" s="937"/>
      <c r="DJ9" s="937"/>
      <c r="DK9" s="937"/>
      <c r="DL9" s="937"/>
      <c r="DM9" s="937"/>
      <c r="DO9" s="39"/>
      <c r="DP9" s="39"/>
      <c r="DQ9" s="39"/>
      <c r="DR9" s="39"/>
      <c r="DS9" s="39"/>
      <c r="DT9" s="39"/>
    </row>
    <row r="10" spans="2:124">
      <c r="B10" s="7"/>
      <c r="C10" s="7" t="s">
        <v>116</v>
      </c>
      <c r="D10" s="7" t="s">
        <v>128</v>
      </c>
      <c r="E10" s="7" t="s">
        <v>45</v>
      </c>
      <c r="F10" s="7" t="s">
        <v>55</v>
      </c>
      <c r="G10" s="7" t="s">
        <v>150</v>
      </c>
      <c r="H10" s="7" t="s">
        <v>5</v>
      </c>
      <c r="I10" s="7" t="s">
        <v>209</v>
      </c>
      <c r="J10" s="45"/>
      <c r="K10" s="45"/>
      <c r="L10" s="45"/>
      <c r="M10" s="936"/>
      <c r="N10" s="936"/>
      <c r="O10" s="936"/>
      <c r="P10" s="936"/>
      <c r="Q10" s="936"/>
      <c r="R10" s="936"/>
      <c r="S10" s="867"/>
      <c r="T10" s="937"/>
      <c r="U10" s="937"/>
      <c r="V10" s="937"/>
      <c r="W10" s="937"/>
      <c r="X10" s="937"/>
      <c r="Y10" s="937"/>
      <c r="Z10" s="937"/>
      <c r="AA10" s="937"/>
      <c r="AB10" s="867"/>
      <c r="AC10" s="936"/>
      <c r="AD10" s="936"/>
      <c r="AE10" s="936"/>
      <c r="AF10" s="936"/>
      <c r="AG10" s="867"/>
      <c r="AH10" s="937"/>
      <c r="AI10" s="937"/>
      <c r="AJ10" s="937"/>
      <c r="AK10" s="937"/>
      <c r="AL10" s="937"/>
      <c r="AM10" s="937"/>
      <c r="AN10" s="937"/>
      <c r="AO10" s="937"/>
      <c r="AP10" s="86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937"/>
      <c r="BY10" s="937"/>
      <c r="BZ10" s="937"/>
      <c r="CA10" s="937"/>
      <c r="CB10" s="937"/>
      <c r="CC10" s="937"/>
      <c r="CD10" s="937"/>
      <c r="CE10" s="937"/>
      <c r="CF10" s="937"/>
      <c r="CG10" s="937"/>
      <c r="CH10" s="937"/>
      <c r="CI10" s="937"/>
      <c r="CJ10" s="937"/>
      <c r="CK10" s="937"/>
      <c r="CL10" s="937"/>
      <c r="CM10" s="867"/>
      <c r="CN10" s="937"/>
      <c r="CO10" s="937"/>
      <c r="CP10" s="937"/>
      <c r="CQ10" s="937"/>
      <c r="CR10" s="937"/>
      <c r="CS10" s="937"/>
      <c r="CT10" s="937"/>
      <c r="CU10" s="937"/>
      <c r="CV10" s="867"/>
      <c r="CW10" s="937"/>
      <c r="CX10" s="937"/>
      <c r="CY10" s="937"/>
      <c r="CZ10" s="937"/>
      <c r="DA10" s="937"/>
      <c r="DB10" s="937"/>
      <c r="DC10" s="937"/>
      <c r="DD10" s="937"/>
      <c r="DE10" s="867"/>
      <c r="DF10" s="937"/>
      <c r="DG10" s="937"/>
      <c r="DH10" s="937"/>
      <c r="DI10" s="937"/>
      <c r="DJ10" s="937"/>
      <c r="DK10" s="937"/>
      <c r="DL10" s="937"/>
      <c r="DM10" s="937"/>
      <c r="DO10" s="39"/>
      <c r="DP10" s="39"/>
      <c r="DQ10" s="39"/>
      <c r="DR10" s="39"/>
      <c r="DS10" s="39"/>
      <c r="DT10" s="39"/>
    </row>
    <row r="11" spans="2:124">
      <c r="B11" s="7"/>
      <c r="C11" s="7"/>
      <c r="D11" s="7"/>
      <c r="E11" s="7"/>
      <c r="F11" s="7"/>
      <c r="G11" s="7"/>
      <c r="H11" s="7"/>
      <c r="I11" s="7"/>
      <c r="J11" s="45"/>
      <c r="K11" s="45"/>
      <c r="L11" s="45"/>
      <c r="M11" s="936"/>
      <c r="N11" s="936"/>
      <c r="O11" s="936"/>
      <c r="P11" s="936"/>
      <c r="Q11" s="936"/>
      <c r="R11" s="936"/>
      <c r="S11" s="867"/>
      <c r="T11" s="937"/>
      <c r="U11" s="937"/>
      <c r="V11" s="937"/>
      <c r="W11" s="937"/>
      <c r="X11" s="937"/>
      <c r="Y11" s="937"/>
      <c r="Z11" s="937"/>
      <c r="AA11" s="937"/>
      <c r="AB11" s="938"/>
      <c r="AC11" s="936"/>
      <c r="AD11" s="936"/>
      <c r="AE11" s="936"/>
      <c r="AF11" s="936"/>
      <c r="AG11" s="867"/>
      <c r="AH11" s="937"/>
      <c r="AI11" s="937"/>
      <c r="AJ11" s="937"/>
      <c r="AK11" s="937"/>
      <c r="AL11" s="937"/>
      <c r="AM11" s="937"/>
      <c r="AN11" s="937"/>
      <c r="AO11" s="937"/>
      <c r="AP11" s="86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G11" s="937"/>
      <c r="CH11" s="937"/>
      <c r="CI11" s="937"/>
      <c r="CJ11" s="937"/>
      <c r="CK11" s="937"/>
      <c r="CL11" s="937"/>
      <c r="CM11" s="867"/>
      <c r="CN11" s="937"/>
      <c r="CO11" s="937"/>
      <c r="CP11" s="937"/>
      <c r="CQ11" s="937"/>
      <c r="CR11" s="937"/>
      <c r="CS11" s="937"/>
      <c r="CT11" s="937"/>
      <c r="CU11" s="937"/>
      <c r="CV11" s="867"/>
      <c r="CW11" s="937"/>
      <c r="CX11" s="937"/>
      <c r="CY11" s="937"/>
      <c r="CZ11" s="937"/>
      <c r="DA11" s="937"/>
      <c r="DB11" s="937"/>
      <c r="DC11" s="937"/>
      <c r="DD11" s="937"/>
      <c r="DE11" s="867"/>
      <c r="DF11" s="937"/>
      <c r="DG11" s="937"/>
      <c r="DH11" s="937"/>
      <c r="DI11" s="937"/>
      <c r="DJ11" s="937"/>
      <c r="DK11" s="937"/>
      <c r="DL11" s="937"/>
      <c r="DM11" s="937"/>
      <c r="DO11" s="39"/>
      <c r="DP11" s="39"/>
      <c r="DQ11" s="39"/>
      <c r="DR11" s="39"/>
      <c r="DS11" s="39"/>
      <c r="DT11" s="39"/>
    </row>
    <row r="12" spans="2:124">
      <c r="B12" s="7"/>
      <c r="C12" s="7" t="s">
        <v>120</v>
      </c>
      <c r="D12" s="7" t="s">
        <v>58</v>
      </c>
      <c r="E12" s="7" t="s">
        <v>45</v>
      </c>
      <c r="F12" s="7" t="s">
        <v>55</v>
      </c>
      <c r="G12" s="7" t="s">
        <v>10</v>
      </c>
      <c r="H12" s="7" t="s">
        <v>164</v>
      </c>
      <c r="I12" s="7" t="s">
        <v>251</v>
      </c>
      <c r="J12" s="45"/>
      <c r="K12" s="45"/>
      <c r="L12" s="45"/>
      <c r="M12" s="936"/>
      <c r="N12" s="936"/>
      <c r="O12" s="936"/>
      <c r="P12" s="936"/>
      <c r="Q12" s="936"/>
      <c r="R12" s="936"/>
      <c r="S12" s="867"/>
      <c r="T12" s="937"/>
      <c r="U12" s="937"/>
      <c r="V12" s="937"/>
      <c r="W12" s="937"/>
      <c r="X12" s="937"/>
      <c r="Y12" s="937"/>
      <c r="Z12" s="937"/>
      <c r="AA12" s="937"/>
      <c r="AB12" s="938"/>
      <c r="AC12" s="936"/>
      <c r="AD12" s="936"/>
      <c r="AE12" s="936"/>
      <c r="AF12" s="936"/>
      <c r="AG12" s="867"/>
      <c r="AH12" s="937"/>
      <c r="AI12" s="937"/>
      <c r="AJ12" s="937"/>
      <c r="AK12" s="937"/>
      <c r="AL12" s="937"/>
      <c r="AM12" s="937"/>
      <c r="AN12" s="937"/>
      <c r="AO12" s="937"/>
      <c r="AP12" s="86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c r="CB12" s="937"/>
      <c r="CC12" s="937"/>
      <c r="CD12" s="937"/>
      <c r="CE12" s="937"/>
      <c r="CF12" s="937"/>
      <c r="CG12" s="937"/>
      <c r="CH12" s="937"/>
      <c r="CI12" s="937"/>
      <c r="CJ12" s="937"/>
      <c r="CK12" s="937"/>
      <c r="CL12" s="937"/>
      <c r="CM12" s="867"/>
      <c r="CN12" s="937"/>
      <c r="CO12" s="937"/>
      <c r="CP12" s="937"/>
      <c r="CQ12" s="937"/>
      <c r="CR12" s="937"/>
      <c r="CS12" s="937"/>
      <c r="CT12" s="937"/>
      <c r="CU12" s="937"/>
      <c r="CV12" s="867"/>
      <c r="CW12" s="937"/>
      <c r="CX12" s="937"/>
      <c r="CY12" s="937"/>
      <c r="CZ12" s="937"/>
      <c r="DA12" s="937"/>
      <c r="DB12" s="937"/>
      <c r="DC12" s="937"/>
      <c r="DD12" s="937"/>
      <c r="DE12" s="867"/>
      <c r="DF12" s="937"/>
      <c r="DG12" s="937"/>
      <c r="DH12" s="937"/>
      <c r="DI12" s="937"/>
      <c r="DJ12" s="937"/>
      <c r="DK12" s="937"/>
      <c r="DL12" s="937"/>
      <c r="DM12" s="937"/>
      <c r="DO12" s="39"/>
      <c r="DP12" s="39"/>
      <c r="DQ12" s="39"/>
      <c r="DR12" s="39"/>
      <c r="DS12" s="39"/>
      <c r="DT12" s="39"/>
    </row>
    <row r="13" spans="2:124">
      <c r="B13" s="7"/>
      <c r="C13" s="7" t="s">
        <v>121</v>
      </c>
      <c r="D13" s="7" t="s">
        <v>58</v>
      </c>
      <c r="E13" s="7" t="s">
        <v>45</v>
      </c>
      <c r="F13" s="7" t="s">
        <v>55</v>
      </c>
      <c r="G13" s="7" t="s">
        <v>10</v>
      </c>
      <c r="H13" s="7" t="s">
        <v>164</v>
      </c>
      <c r="I13" s="7" t="s">
        <v>238</v>
      </c>
      <c r="J13" s="45"/>
      <c r="K13" s="45"/>
      <c r="L13" s="45"/>
      <c r="M13" s="936"/>
      <c r="N13" s="936"/>
      <c r="O13" s="936"/>
      <c r="P13" s="936"/>
      <c r="Q13" s="936"/>
      <c r="R13" s="936"/>
      <c r="S13" s="867"/>
      <c r="T13" s="937"/>
      <c r="U13" s="937"/>
      <c r="V13" s="937"/>
      <c r="W13" s="937"/>
      <c r="X13" s="937"/>
      <c r="Y13" s="937"/>
      <c r="Z13" s="937"/>
      <c r="AA13" s="937"/>
      <c r="AB13" s="938"/>
      <c r="AC13" s="936"/>
      <c r="AD13" s="936"/>
      <c r="AE13" s="936"/>
      <c r="AF13" s="936"/>
      <c r="AG13" s="867"/>
      <c r="AH13" s="937"/>
      <c r="AI13" s="937"/>
      <c r="AJ13" s="937"/>
      <c r="AK13" s="937"/>
      <c r="AL13" s="937"/>
      <c r="AM13" s="937"/>
      <c r="AN13" s="937"/>
      <c r="AO13" s="937"/>
      <c r="AP13" s="86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c r="CB13" s="937"/>
      <c r="CC13" s="937"/>
      <c r="CD13" s="937"/>
      <c r="CE13" s="937"/>
      <c r="CF13" s="937"/>
      <c r="CG13" s="937"/>
      <c r="CH13" s="937"/>
      <c r="CI13" s="937"/>
      <c r="CJ13" s="937"/>
      <c r="CK13" s="937"/>
      <c r="CL13" s="937"/>
      <c r="CM13" s="867"/>
      <c r="CN13" s="937"/>
      <c r="CO13" s="937"/>
      <c r="CP13" s="937"/>
      <c r="CQ13" s="937"/>
      <c r="CR13" s="937"/>
      <c r="CS13" s="937"/>
      <c r="CT13" s="937"/>
      <c r="CU13" s="937"/>
      <c r="CV13" s="867"/>
      <c r="CW13" s="937"/>
      <c r="CX13" s="937"/>
      <c r="CY13" s="937"/>
      <c r="CZ13" s="937"/>
      <c r="DA13" s="937"/>
      <c r="DB13" s="937"/>
      <c r="DC13" s="937"/>
      <c r="DD13" s="937"/>
      <c r="DE13" s="867"/>
      <c r="DF13" s="937"/>
      <c r="DG13" s="937"/>
      <c r="DH13" s="937"/>
      <c r="DI13" s="937"/>
      <c r="DJ13" s="937"/>
      <c r="DK13" s="937"/>
      <c r="DL13" s="937"/>
      <c r="DM13" s="937"/>
      <c r="DO13" s="39"/>
      <c r="DP13" s="39"/>
      <c r="DQ13" s="39"/>
      <c r="DR13" s="39"/>
      <c r="DS13" s="39"/>
      <c r="DT13" s="39"/>
    </row>
    <row r="14" spans="2:124">
      <c r="B14" s="7"/>
      <c r="C14" s="7" t="s">
        <v>122</v>
      </c>
      <c r="D14" s="7" t="s">
        <v>58</v>
      </c>
      <c r="E14" s="7" t="s">
        <v>45</v>
      </c>
      <c r="F14" s="7" t="s">
        <v>55</v>
      </c>
      <c r="G14" s="7" t="s">
        <v>150</v>
      </c>
      <c r="H14" s="7" t="s">
        <v>5</v>
      </c>
      <c r="I14" s="7" t="s">
        <v>202</v>
      </c>
      <c r="J14" s="45"/>
      <c r="K14" s="45"/>
      <c r="L14" s="45"/>
      <c r="M14" s="936"/>
      <c r="N14" s="936"/>
      <c r="O14" s="936"/>
      <c r="P14" s="936"/>
      <c r="Q14" s="936"/>
      <c r="R14" s="936"/>
      <c r="S14" s="867"/>
      <c r="T14" s="937"/>
      <c r="U14" s="937"/>
      <c r="V14" s="937"/>
      <c r="W14" s="937"/>
      <c r="X14" s="937"/>
      <c r="Y14" s="937"/>
      <c r="Z14" s="937"/>
      <c r="AA14" s="937"/>
      <c r="AB14" s="938"/>
      <c r="AC14" s="936"/>
      <c r="AD14" s="936"/>
      <c r="AE14" s="936"/>
      <c r="AF14" s="936"/>
      <c r="AG14" s="867"/>
      <c r="AH14" s="937"/>
      <c r="AI14" s="937"/>
      <c r="AJ14" s="937"/>
      <c r="AK14" s="937"/>
      <c r="AL14" s="937"/>
      <c r="AM14" s="937"/>
      <c r="AN14" s="937"/>
      <c r="AO14" s="937"/>
      <c r="AP14" s="86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c r="CB14" s="937"/>
      <c r="CC14" s="937"/>
      <c r="CD14" s="937"/>
      <c r="CE14" s="937"/>
      <c r="CF14" s="937"/>
      <c r="CG14" s="937"/>
      <c r="CH14" s="937"/>
      <c r="CI14" s="937"/>
      <c r="CJ14" s="937"/>
      <c r="CK14" s="937"/>
      <c r="CL14" s="937"/>
      <c r="CM14" s="867"/>
      <c r="CN14" s="937"/>
      <c r="CO14" s="937"/>
      <c r="CP14" s="937"/>
      <c r="CQ14" s="937"/>
      <c r="CR14" s="937"/>
      <c r="CS14" s="937"/>
      <c r="CT14" s="937"/>
      <c r="CU14" s="937"/>
      <c r="CV14" s="867"/>
      <c r="CW14" s="937"/>
      <c r="CX14" s="937"/>
      <c r="CY14" s="937"/>
      <c r="CZ14" s="937"/>
      <c r="DA14" s="937"/>
      <c r="DB14" s="937"/>
      <c r="DC14" s="937"/>
      <c r="DD14" s="937"/>
      <c r="DE14" s="867"/>
      <c r="DF14" s="937"/>
      <c r="DG14" s="937"/>
      <c r="DH14" s="937"/>
      <c r="DI14" s="937"/>
      <c r="DJ14" s="937"/>
      <c r="DK14" s="937"/>
      <c r="DL14" s="937"/>
      <c r="DM14" s="937"/>
      <c r="DO14" s="39"/>
      <c r="DP14" s="39"/>
      <c r="DQ14" s="39"/>
      <c r="DR14" s="39"/>
      <c r="DS14" s="39"/>
      <c r="DT14" s="39"/>
    </row>
    <row r="15" spans="2:124">
      <c r="B15" s="7"/>
      <c r="C15" s="7" t="s">
        <v>350</v>
      </c>
      <c r="D15" s="7" t="s">
        <v>58</v>
      </c>
      <c r="E15" s="7" t="s">
        <v>45</v>
      </c>
      <c r="F15" s="7" t="s">
        <v>55</v>
      </c>
      <c r="G15" s="7" t="s">
        <v>150</v>
      </c>
      <c r="H15" s="7" t="s">
        <v>102</v>
      </c>
      <c r="I15" s="7" t="s">
        <v>190</v>
      </c>
      <c r="J15" s="45"/>
      <c r="K15" s="45"/>
      <c r="L15" s="45"/>
      <c r="M15" s="936"/>
      <c r="N15" s="936"/>
      <c r="O15" s="936"/>
      <c r="P15" s="936"/>
      <c r="Q15" s="936"/>
      <c r="R15" s="936"/>
      <c r="S15" s="867"/>
      <c r="T15" s="937"/>
      <c r="U15" s="937"/>
      <c r="V15" s="937"/>
      <c r="W15" s="937"/>
      <c r="X15" s="937"/>
      <c r="Y15" s="937"/>
      <c r="Z15" s="937"/>
      <c r="AA15" s="937"/>
      <c r="AB15" s="938"/>
      <c r="AC15" s="936"/>
      <c r="AD15" s="936"/>
      <c r="AE15" s="936"/>
      <c r="AF15" s="936"/>
      <c r="AG15" s="867"/>
      <c r="AH15" s="937"/>
      <c r="AI15" s="937"/>
      <c r="AJ15" s="937"/>
      <c r="AK15" s="937"/>
      <c r="AL15" s="937"/>
      <c r="AM15" s="937"/>
      <c r="AN15" s="937"/>
      <c r="AO15" s="937"/>
      <c r="AP15" s="86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c r="CB15" s="937"/>
      <c r="CC15" s="937"/>
      <c r="CD15" s="937"/>
      <c r="CE15" s="937"/>
      <c r="CF15" s="937"/>
      <c r="CG15" s="937"/>
      <c r="CH15" s="937"/>
      <c r="CI15" s="937"/>
      <c r="CJ15" s="937"/>
      <c r="CK15" s="937"/>
      <c r="CL15" s="937"/>
      <c r="CM15" s="867"/>
      <c r="CN15" s="937"/>
      <c r="CO15" s="937"/>
      <c r="CP15" s="937"/>
      <c r="CQ15" s="937"/>
      <c r="CR15" s="937"/>
      <c r="CS15" s="937"/>
      <c r="CT15" s="937"/>
      <c r="CU15" s="937"/>
      <c r="CV15" s="867"/>
      <c r="CW15" s="937"/>
      <c r="CX15" s="937"/>
      <c r="CY15" s="937"/>
      <c r="CZ15" s="937"/>
      <c r="DA15" s="937"/>
      <c r="DB15" s="937"/>
      <c r="DC15" s="937"/>
      <c r="DD15" s="937"/>
      <c r="DE15" s="867"/>
      <c r="DF15" s="937"/>
      <c r="DG15" s="937"/>
      <c r="DH15" s="937"/>
      <c r="DI15" s="937"/>
      <c r="DJ15" s="937"/>
      <c r="DK15" s="937"/>
      <c r="DL15" s="937"/>
      <c r="DM15" s="937"/>
      <c r="DO15" s="39"/>
      <c r="DP15" s="39"/>
      <c r="DQ15" s="39"/>
      <c r="DR15" s="39"/>
      <c r="DS15" s="39"/>
      <c r="DT15" s="39"/>
    </row>
    <row r="16" spans="2:124">
      <c r="B16" s="7"/>
      <c r="C16" s="7" t="s">
        <v>123</v>
      </c>
      <c r="D16" s="7" t="s">
        <v>58</v>
      </c>
      <c r="E16" s="7" t="s">
        <v>45</v>
      </c>
      <c r="F16" s="7" t="s">
        <v>55</v>
      </c>
      <c r="G16" s="7" t="s">
        <v>150</v>
      </c>
      <c r="H16" s="7" t="s">
        <v>102</v>
      </c>
      <c r="I16" s="7" t="s">
        <v>190</v>
      </c>
      <c r="J16" s="45"/>
      <c r="K16" s="45"/>
      <c r="L16" s="45"/>
      <c r="M16" s="936"/>
      <c r="N16" s="936"/>
      <c r="O16" s="936"/>
      <c r="P16" s="936"/>
      <c r="Q16" s="936"/>
      <c r="R16" s="936"/>
      <c r="S16" s="867"/>
      <c r="T16" s="937"/>
      <c r="U16" s="937"/>
      <c r="V16" s="937"/>
      <c r="W16" s="937"/>
      <c r="X16" s="937"/>
      <c r="Y16" s="937"/>
      <c r="Z16" s="937"/>
      <c r="AA16" s="937"/>
      <c r="AB16" s="867"/>
      <c r="AC16" s="936"/>
      <c r="AD16" s="936"/>
      <c r="AE16" s="936"/>
      <c r="AF16" s="936"/>
      <c r="AG16" s="867"/>
      <c r="AH16" s="937"/>
      <c r="AI16" s="937"/>
      <c r="AJ16" s="937"/>
      <c r="AK16" s="937"/>
      <c r="AL16" s="937"/>
      <c r="AM16" s="937"/>
      <c r="AN16" s="937"/>
      <c r="AO16" s="937"/>
      <c r="AP16" s="86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c r="CB16" s="937"/>
      <c r="CC16" s="937"/>
      <c r="CD16" s="937"/>
      <c r="CE16" s="937"/>
      <c r="CF16" s="937"/>
      <c r="CG16" s="937"/>
      <c r="CH16" s="937"/>
      <c r="CI16" s="937"/>
      <c r="CJ16" s="937"/>
      <c r="CK16" s="937"/>
      <c r="CL16" s="937"/>
      <c r="CM16" s="867"/>
      <c r="CN16" s="937"/>
      <c r="CO16" s="937"/>
      <c r="CP16" s="937"/>
      <c r="CQ16" s="937"/>
      <c r="CR16" s="937"/>
      <c r="CS16" s="937"/>
      <c r="CT16" s="937"/>
      <c r="CU16" s="937"/>
      <c r="CV16" s="867"/>
      <c r="CW16" s="937"/>
      <c r="CX16" s="937"/>
      <c r="CY16" s="937"/>
      <c r="CZ16" s="937"/>
      <c r="DA16" s="937"/>
      <c r="DB16" s="937"/>
      <c r="DC16" s="937"/>
      <c r="DD16" s="937"/>
      <c r="DE16" s="867"/>
      <c r="DF16" s="937"/>
      <c r="DG16" s="937"/>
      <c r="DH16" s="937"/>
      <c r="DI16" s="937"/>
      <c r="DJ16" s="937"/>
      <c r="DK16" s="937"/>
      <c r="DL16" s="937"/>
      <c r="DM16" s="937"/>
      <c r="DO16" s="39"/>
      <c r="DP16" s="39"/>
      <c r="DQ16" s="39"/>
      <c r="DR16" s="39"/>
      <c r="DS16" s="39"/>
      <c r="DT16" s="39"/>
    </row>
    <row r="17" spans="2:124">
      <c r="B17" s="7"/>
      <c r="C17" s="7" t="s">
        <v>124</v>
      </c>
      <c r="D17" s="7" t="s">
        <v>58</v>
      </c>
      <c r="E17" s="7" t="s">
        <v>45</v>
      </c>
      <c r="F17" s="7" t="s">
        <v>55</v>
      </c>
      <c r="G17" s="7" t="s">
        <v>10</v>
      </c>
      <c r="H17" s="7" t="s">
        <v>164</v>
      </c>
      <c r="I17" s="7" t="s">
        <v>246</v>
      </c>
      <c r="J17" s="45"/>
      <c r="K17" s="45"/>
      <c r="L17" s="45"/>
      <c r="M17" s="936"/>
      <c r="N17" s="936"/>
      <c r="O17" s="936"/>
      <c r="P17" s="936"/>
      <c r="Q17" s="936"/>
      <c r="R17" s="936"/>
      <c r="S17" s="867"/>
      <c r="T17" s="937"/>
      <c r="U17" s="937"/>
      <c r="V17" s="937"/>
      <c r="W17" s="937"/>
      <c r="X17" s="937"/>
      <c r="Y17" s="937"/>
      <c r="Z17" s="937"/>
      <c r="AA17" s="937"/>
      <c r="AB17" s="867"/>
      <c r="AC17" s="936"/>
      <c r="AD17" s="936"/>
      <c r="AE17" s="936"/>
      <c r="AF17" s="936"/>
      <c r="AG17" s="867"/>
      <c r="AH17" s="937"/>
      <c r="AI17" s="937"/>
      <c r="AJ17" s="937"/>
      <c r="AK17" s="937"/>
      <c r="AL17" s="937"/>
      <c r="AM17" s="937"/>
      <c r="AN17" s="937"/>
      <c r="AO17" s="937"/>
      <c r="AP17" s="86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c r="CB17" s="937"/>
      <c r="CC17" s="937"/>
      <c r="CD17" s="937"/>
      <c r="CE17" s="937"/>
      <c r="CF17" s="937"/>
      <c r="CG17" s="937"/>
      <c r="CH17" s="937"/>
      <c r="CI17" s="937"/>
      <c r="CJ17" s="937"/>
      <c r="CK17" s="937"/>
      <c r="CL17" s="937"/>
      <c r="CM17" s="867"/>
      <c r="CN17" s="937"/>
      <c r="CO17" s="937"/>
      <c r="CP17" s="937"/>
      <c r="CQ17" s="937"/>
      <c r="CR17" s="937"/>
      <c r="CS17" s="937"/>
      <c r="CT17" s="937"/>
      <c r="CU17" s="937"/>
      <c r="CV17" s="867"/>
      <c r="CW17" s="937"/>
      <c r="CX17" s="937"/>
      <c r="CY17" s="937"/>
      <c r="CZ17" s="937"/>
      <c r="DA17" s="937"/>
      <c r="DB17" s="937"/>
      <c r="DC17" s="937"/>
      <c r="DD17" s="937"/>
      <c r="DE17" s="867"/>
      <c r="DF17" s="937"/>
      <c r="DG17" s="937"/>
      <c r="DH17" s="937"/>
      <c r="DI17" s="937"/>
      <c r="DJ17" s="937"/>
      <c r="DK17" s="937"/>
      <c r="DL17" s="937"/>
      <c r="DM17" s="937"/>
      <c r="DO17" s="39"/>
      <c r="DP17" s="39"/>
      <c r="DQ17" s="39"/>
      <c r="DR17" s="39"/>
      <c r="DS17" s="39"/>
      <c r="DT17" s="39"/>
    </row>
    <row r="18" spans="2:124">
      <c r="B18" s="7"/>
      <c r="C18" s="7" t="s">
        <v>125</v>
      </c>
      <c r="D18" s="7" t="s">
        <v>58</v>
      </c>
      <c r="E18" s="7" t="s">
        <v>44</v>
      </c>
      <c r="F18" s="7" t="s">
        <v>55</v>
      </c>
      <c r="G18" s="7" t="s">
        <v>10</v>
      </c>
      <c r="H18" s="7" t="s">
        <v>153</v>
      </c>
      <c r="I18" s="7" t="s">
        <v>252</v>
      </c>
      <c r="J18" s="45"/>
      <c r="K18" s="45"/>
      <c r="L18" s="45"/>
      <c r="M18" s="937"/>
      <c r="N18" s="937"/>
      <c r="O18" s="937"/>
      <c r="P18" s="937"/>
      <c r="Q18" s="937"/>
      <c r="R18" s="936"/>
      <c r="S18" s="867"/>
      <c r="T18" s="937"/>
      <c r="U18" s="937"/>
      <c r="V18" s="937"/>
      <c r="W18" s="937"/>
      <c r="X18" s="937"/>
      <c r="Y18" s="937"/>
      <c r="Z18" s="937"/>
      <c r="AA18" s="937"/>
      <c r="AB18" s="867"/>
      <c r="AC18" s="936"/>
      <c r="AD18" s="936"/>
      <c r="AE18" s="936"/>
      <c r="AF18" s="936"/>
      <c r="AG18" s="867"/>
      <c r="AH18" s="937"/>
      <c r="AI18" s="937"/>
      <c r="AJ18" s="937"/>
      <c r="AK18" s="937"/>
      <c r="AL18" s="937"/>
      <c r="AM18" s="937"/>
      <c r="AN18" s="937"/>
      <c r="AO18" s="937"/>
      <c r="AP18" s="86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937"/>
      <c r="BT18" s="937"/>
      <c r="BU18" s="937"/>
      <c r="BV18" s="937"/>
      <c r="BW18" s="937"/>
      <c r="BX18" s="937"/>
      <c r="BY18" s="937"/>
      <c r="BZ18" s="937"/>
      <c r="CA18" s="937"/>
      <c r="CB18" s="937"/>
      <c r="CC18" s="937"/>
      <c r="CD18" s="937"/>
      <c r="CE18" s="937"/>
      <c r="CF18" s="937"/>
      <c r="CG18" s="937"/>
      <c r="CH18" s="937"/>
      <c r="CI18" s="937"/>
      <c r="CJ18" s="937"/>
      <c r="CK18" s="937"/>
      <c r="CL18" s="937"/>
      <c r="CM18" s="867"/>
      <c r="CN18" s="937"/>
      <c r="CO18" s="937"/>
      <c r="CP18" s="937"/>
      <c r="CQ18" s="937"/>
      <c r="CR18" s="937"/>
      <c r="CS18" s="937"/>
      <c r="CT18" s="937"/>
      <c r="CU18" s="937"/>
      <c r="CV18" s="867"/>
      <c r="CW18" s="937"/>
      <c r="CX18" s="937"/>
      <c r="CY18" s="937"/>
      <c r="CZ18" s="937"/>
      <c r="DA18" s="937"/>
      <c r="DB18" s="937"/>
      <c r="DC18" s="937"/>
      <c r="DD18" s="937"/>
      <c r="DE18" s="867"/>
      <c r="DF18" s="937"/>
      <c r="DG18" s="937"/>
      <c r="DH18" s="937"/>
      <c r="DI18" s="937"/>
      <c r="DJ18" s="937"/>
      <c r="DK18" s="937"/>
      <c r="DL18" s="937"/>
      <c r="DM18" s="937"/>
      <c r="DO18" s="39"/>
      <c r="DP18" s="39"/>
      <c r="DQ18" s="39"/>
      <c r="DR18" s="39"/>
      <c r="DS18" s="39"/>
      <c r="DT18" s="39"/>
    </row>
    <row r="19" spans="2:124">
      <c r="B19" s="7"/>
      <c r="C19" s="7" t="s">
        <v>126</v>
      </c>
      <c r="D19" s="7" t="s">
        <v>58</v>
      </c>
      <c r="E19" s="7" t="s">
        <v>45</v>
      </c>
      <c r="F19" s="7" t="s">
        <v>55</v>
      </c>
      <c r="G19" s="7" t="s">
        <v>150</v>
      </c>
      <c r="H19" s="7" t="s">
        <v>160</v>
      </c>
      <c r="I19" s="7" t="s">
        <v>187</v>
      </c>
      <c r="J19" s="45"/>
      <c r="K19" s="45"/>
      <c r="L19" s="45"/>
      <c r="M19" s="937"/>
      <c r="N19" s="937"/>
      <c r="O19" s="937"/>
      <c r="P19" s="937"/>
      <c r="Q19" s="937"/>
      <c r="R19" s="936"/>
      <c r="S19" s="867"/>
      <c r="T19" s="937"/>
      <c r="U19" s="937"/>
      <c r="V19" s="937"/>
      <c r="W19" s="937"/>
      <c r="X19" s="937"/>
      <c r="Y19" s="937"/>
      <c r="Z19" s="937"/>
      <c r="AA19" s="937"/>
      <c r="AB19" s="867"/>
      <c r="AC19" s="936"/>
      <c r="AD19" s="936"/>
      <c r="AE19" s="936"/>
      <c r="AF19" s="936"/>
      <c r="AG19" s="867"/>
      <c r="AH19" s="937"/>
      <c r="AI19" s="937"/>
      <c r="AJ19" s="937"/>
      <c r="AK19" s="937"/>
      <c r="AL19" s="937"/>
      <c r="AM19" s="937"/>
      <c r="AN19" s="937"/>
      <c r="AO19" s="937"/>
      <c r="AP19" s="86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937"/>
      <c r="BT19" s="937"/>
      <c r="BU19" s="937"/>
      <c r="BV19" s="937"/>
      <c r="BW19" s="937"/>
      <c r="BX19" s="937"/>
      <c r="BY19" s="937"/>
      <c r="BZ19" s="937"/>
      <c r="CA19" s="937"/>
      <c r="CB19" s="937"/>
      <c r="CC19" s="937"/>
      <c r="CD19" s="937"/>
      <c r="CE19" s="937"/>
      <c r="CF19" s="937"/>
      <c r="CG19" s="937"/>
      <c r="CH19" s="937"/>
      <c r="CI19" s="937"/>
      <c r="CJ19" s="937"/>
      <c r="CK19" s="937"/>
      <c r="CL19" s="937"/>
      <c r="CM19" s="867"/>
      <c r="CN19" s="937"/>
      <c r="CO19" s="937"/>
      <c r="CP19" s="937"/>
      <c r="CQ19" s="937"/>
      <c r="CR19" s="937"/>
      <c r="CS19" s="937"/>
      <c r="CT19" s="937"/>
      <c r="CU19" s="937"/>
      <c r="CV19" s="867"/>
      <c r="CW19" s="937"/>
      <c r="CX19" s="937"/>
      <c r="CY19" s="937"/>
      <c r="CZ19" s="937"/>
      <c r="DA19" s="937"/>
      <c r="DB19" s="937"/>
      <c r="DC19" s="937"/>
      <c r="DD19" s="937"/>
      <c r="DE19" s="867"/>
      <c r="DF19" s="937"/>
      <c r="DG19" s="937"/>
      <c r="DH19" s="937"/>
      <c r="DI19" s="937"/>
      <c r="DJ19" s="937"/>
      <c r="DK19" s="937"/>
      <c r="DL19" s="937"/>
      <c r="DM19" s="937"/>
      <c r="DO19" s="39"/>
      <c r="DP19" s="39"/>
      <c r="DQ19" s="39"/>
      <c r="DR19" s="39"/>
      <c r="DS19" s="39"/>
      <c r="DT19" s="39"/>
    </row>
    <row r="20" spans="2:124">
      <c r="B20" s="7"/>
      <c r="C20" s="7" t="s">
        <v>127</v>
      </c>
      <c r="D20" s="7" t="s">
        <v>58</v>
      </c>
      <c r="E20" s="7" t="s">
        <v>45</v>
      </c>
      <c r="F20" s="7" t="s">
        <v>55</v>
      </c>
      <c r="G20" s="7" t="s">
        <v>150</v>
      </c>
      <c r="H20" s="7" t="s">
        <v>160</v>
      </c>
      <c r="I20" s="7" t="s">
        <v>187</v>
      </c>
      <c r="J20" s="45"/>
      <c r="K20" s="45"/>
      <c r="L20" s="45"/>
      <c r="M20" s="937"/>
      <c r="N20" s="937"/>
      <c r="O20" s="937"/>
      <c r="P20" s="937"/>
      <c r="Q20" s="937"/>
      <c r="R20" s="936"/>
      <c r="S20" s="867"/>
      <c r="T20" s="937"/>
      <c r="U20" s="937"/>
      <c r="V20" s="937"/>
      <c r="W20" s="937"/>
      <c r="X20" s="937"/>
      <c r="Y20" s="937"/>
      <c r="Z20" s="937"/>
      <c r="AA20" s="937"/>
      <c r="AB20" s="867"/>
      <c r="AC20" s="936"/>
      <c r="AD20" s="936"/>
      <c r="AE20" s="936"/>
      <c r="AF20" s="936"/>
      <c r="AG20" s="867"/>
      <c r="AH20" s="937"/>
      <c r="AI20" s="937"/>
      <c r="AJ20" s="937"/>
      <c r="AK20" s="937"/>
      <c r="AL20" s="937"/>
      <c r="AM20" s="937"/>
      <c r="AN20" s="937"/>
      <c r="AO20" s="937"/>
      <c r="AP20" s="86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7"/>
      <c r="BO20" s="937"/>
      <c r="BP20" s="937"/>
      <c r="BQ20" s="937"/>
      <c r="BR20" s="937"/>
      <c r="BS20" s="937"/>
      <c r="BT20" s="937"/>
      <c r="BU20" s="937"/>
      <c r="BV20" s="937"/>
      <c r="BW20" s="937"/>
      <c r="BX20" s="937"/>
      <c r="BY20" s="937"/>
      <c r="BZ20" s="937"/>
      <c r="CA20" s="937"/>
      <c r="CB20" s="937"/>
      <c r="CC20" s="937"/>
      <c r="CD20" s="937"/>
      <c r="CE20" s="937"/>
      <c r="CF20" s="937"/>
      <c r="CG20" s="937"/>
      <c r="CH20" s="937"/>
      <c r="CI20" s="937"/>
      <c r="CJ20" s="937"/>
      <c r="CK20" s="937"/>
      <c r="CL20" s="937"/>
      <c r="CM20" s="867"/>
      <c r="CN20" s="937"/>
      <c r="CO20" s="937"/>
      <c r="CP20" s="937"/>
      <c r="CQ20" s="937"/>
      <c r="CR20" s="937"/>
      <c r="CS20" s="937"/>
      <c r="CT20" s="937"/>
      <c r="CU20" s="937"/>
      <c r="CV20" s="867"/>
      <c r="CW20" s="937"/>
      <c r="CX20" s="937"/>
      <c r="CY20" s="937"/>
      <c r="CZ20" s="937"/>
      <c r="DA20" s="937"/>
      <c r="DB20" s="937"/>
      <c r="DC20" s="937"/>
      <c r="DD20" s="937"/>
      <c r="DE20" s="867"/>
      <c r="DF20" s="937"/>
      <c r="DG20" s="937"/>
      <c r="DH20" s="937"/>
      <c r="DI20" s="937"/>
      <c r="DJ20" s="937"/>
      <c r="DK20" s="937"/>
      <c r="DL20" s="937"/>
      <c r="DM20" s="937"/>
      <c r="DO20" s="39"/>
      <c r="DP20" s="39"/>
      <c r="DQ20" s="39"/>
      <c r="DR20" s="39"/>
      <c r="DS20" s="39"/>
      <c r="DT20" s="39"/>
    </row>
    <row r="21" spans="2:124">
      <c r="B21" s="7"/>
      <c r="C21" s="7" t="s">
        <v>276</v>
      </c>
      <c r="D21" s="7" t="s">
        <v>58</v>
      </c>
      <c r="E21" s="7" t="s">
        <v>45</v>
      </c>
      <c r="F21" s="7" t="s">
        <v>55</v>
      </c>
      <c r="G21" s="7" t="s">
        <v>150</v>
      </c>
      <c r="H21" s="7" t="s">
        <v>157</v>
      </c>
      <c r="I21" s="7" t="s">
        <v>197</v>
      </c>
      <c r="J21" s="45"/>
      <c r="K21" s="45"/>
      <c r="L21" s="45"/>
      <c r="M21" s="937"/>
      <c r="N21" s="937"/>
      <c r="O21" s="937"/>
      <c r="P21" s="937"/>
      <c r="Q21" s="937"/>
      <c r="R21" s="936"/>
      <c r="S21" s="867"/>
      <c r="T21" s="937"/>
      <c r="U21" s="937"/>
      <c r="V21" s="937"/>
      <c r="W21" s="937"/>
      <c r="X21" s="937"/>
      <c r="Y21" s="937"/>
      <c r="Z21" s="937"/>
      <c r="AA21" s="937"/>
      <c r="AB21" s="867"/>
      <c r="AC21" s="936"/>
      <c r="AD21" s="936"/>
      <c r="AE21" s="936"/>
      <c r="AF21" s="936"/>
      <c r="AG21" s="867"/>
      <c r="AH21" s="937"/>
      <c r="AI21" s="937"/>
      <c r="AJ21" s="937"/>
      <c r="AK21" s="937"/>
      <c r="AL21" s="937"/>
      <c r="AM21" s="937"/>
      <c r="AN21" s="937"/>
      <c r="AO21" s="937"/>
      <c r="AP21" s="867"/>
      <c r="AQ21" s="939"/>
      <c r="AR21" s="939"/>
      <c r="AS21" s="939"/>
      <c r="AT21" s="939"/>
      <c r="AU21" s="939"/>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c r="CF21" s="937"/>
      <c r="CG21" s="937"/>
      <c r="CH21" s="937"/>
      <c r="CI21" s="937"/>
      <c r="CJ21" s="937"/>
      <c r="CK21" s="937"/>
      <c r="CL21" s="937"/>
      <c r="CM21" s="867"/>
      <c r="CN21" s="937"/>
      <c r="CO21" s="937"/>
      <c r="CP21" s="937"/>
      <c r="CQ21" s="937"/>
      <c r="CR21" s="937"/>
      <c r="CS21" s="937"/>
      <c r="CT21" s="937"/>
      <c r="CU21" s="937"/>
      <c r="CV21" s="867"/>
      <c r="CW21" s="937"/>
      <c r="CX21" s="937"/>
      <c r="CY21" s="937"/>
      <c r="CZ21" s="937"/>
      <c r="DA21" s="937"/>
      <c r="DB21" s="937"/>
      <c r="DC21" s="937"/>
      <c r="DD21" s="937"/>
      <c r="DE21" s="867"/>
      <c r="DF21" s="937"/>
      <c r="DG21" s="937"/>
      <c r="DH21" s="937"/>
      <c r="DI21" s="937"/>
      <c r="DJ21" s="937"/>
      <c r="DK21" s="937"/>
      <c r="DL21" s="937"/>
      <c r="DM21" s="937"/>
      <c r="DO21" s="39"/>
    </row>
    <row r="22" spans="2:124">
      <c r="B22" s="7"/>
      <c r="C22" s="7" t="s">
        <v>277</v>
      </c>
      <c r="D22" s="7" t="s">
        <v>58</v>
      </c>
      <c r="E22" s="7" t="s">
        <v>45</v>
      </c>
      <c r="F22" s="7" t="s">
        <v>55</v>
      </c>
      <c r="G22" s="7" t="s">
        <v>150</v>
      </c>
      <c r="H22" s="7" t="s">
        <v>157</v>
      </c>
      <c r="I22" s="7" t="s">
        <v>270</v>
      </c>
      <c r="J22" s="45"/>
      <c r="K22" s="45"/>
      <c r="L22" s="45"/>
      <c r="M22" s="937"/>
      <c r="N22" s="937"/>
      <c r="O22" s="937"/>
      <c r="P22" s="937"/>
      <c r="Q22" s="937"/>
      <c r="R22" s="936"/>
      <c r="S22" s="867"/>
      <c r="T22" s="937"/>
      <c r="U22" s="937"/>
      <c r="V22" s="937"/>
      <c r="W22" s="937"/>
      <c r="X22" s="937"/>
      <c r="Y22" s="937"/>
      <c r="Z22" s="937"/>
      <c r="AA22" s="937"/>
      <c r="AB22" s="867"/>
      <c r="AC22" s="936"/>
      <c r="AD22" s="936"/>
      <c r="AE22" s="936"/>
      <c r="AF22" s="936"/>
      <c r="AG22" s="867"/>
      <c r="AH22" s="937"/>
      <c r="AI22" s="937"/>
      <c r="AJ22" s="937"/>
      <c r="AK22" s="937"/>
      <c r="AL22" s="937"/>
      <c r="AM22" s="937"/>
      <c r="AN22" s="937"/>
      <c r="AO22" s="937"/>
      <c r="AP22" s="867"/>
      <c r="AQ22" s="939"/>
      <c r="AR22" s="939"/>
      <c r="AS22" s="939"/>
      <c r="AT22" s="939"/>
      <c r="AU22" s="939"/>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c r="CB22" s="937"/>
      <c r="CC22" s="937"/>
      <c r="CD22" s="937"/>
      <c r="CE22" s="937"/>
      <c r="CF22" s="937"/>
      <c r="CG22" s="937"/>
      <c r="CH22" s="937"/>
      <c r="CI22" s="937"/>
      <c r="CJ22" s="937"/>
      <c r="CK22" s="937"/>
      <c r="CL22" s="937"/>
      <c r="CM22" s="867"/>
      <c r="CN22" s="937"/>
      <c r="CO22" s="937"/>
      <c r="CP22" s="937"/>
      <c r="CQ22" s="937"/>
      <c r="CR22" s="937"/>
      <c r="CS22" s="937"/>
      <c r="CT22" s="937"/>
      <c r="CU22" s="937"/>
      <c r="CV22" s="867"/>
      <c r="CW22" s="937"/>
      <c r="CX22" s="937"/>
      <c r="CY22" s="937"/>
      <c r="CZ22" s="937"/>
      <c r="DA22" s="937"/>
      <c r="DB22" s="937"/>
      <c r="DC22" s="937"/>
      <c r="DD22" s="937"/>
      <c r="DE22" s="867"/>
      <c r="DF22" s="937"/>
      <c r="DG22" s="937"/>
      <c r="DH22" s="937"/>
      <c r="DI22" s="937"/>
      <c r="DJ22" s="937"/>
      <c r="DK22" s="937"/>
      <c r="DL22" s="937"/>
      <c r="DM22" s="937"/>
      <c r="DO22" s="39"/>
    </row>
    <row r="23" spans="2:124">
      <c r="B23" s="7"/>
      <c r="C23" s="7" t="s">
        <v>278</v>
      </c>
      <c r="D23" s="7" t="s">
        <v>58</v>
      </c>
      <c r="E23" s="7" t="s">
        <v>45</v>
      </c>
      <c r="F23" s="7" t="s">
        <v>55</v>
      </c>
      <c r="G23" s="7" t="s">
        <v>150</v>
      </c>
      <c r="H23" s="7" t="s">
        <v>157</v>
      </c>
      <c r="I23" s="7" t="s">
        <v>272</v>
      </c>
      <c r="J23" s="45"/>
      <c r="K23" s="45"/>
      <c r="L23" s="45"/>
      <c r="M23" s="937"/>
      <c r="N23" s="937"/>
      <c r="O23" s="937"/>
      <c r="P23" s="937"/>
      <c r="Q23" s="937"/>
      <c r="R23" s="936"/>
      <c r="S23" s="867"/>
      <c r="T23" s="937"/>
      <c r="U23" s="937"/>
      <c r="V23" s="937"/>
      <c r="W23" s="937"/>
      <c r="X23" s="937"/>
      <c r="Y23" s="937"/>
      <c r="Z23" s="937"/>
      <c r="AA23" s="937"/>
      <c r="AB23" s="867"/>
      <c r="AC23" s="936"/>
      <c r="AD23" s="936"/>
      <c r="AE23" s="936"/>
      <c r="AF23" s="936"/>
      <c r="AG23" s="867"/>
      <c r="AH23" s="937"/>
      <c r="AI23" s="937"/>
      <c r="AJ23" s="937"/>
      <c r="AK23" s="937"/>
      <c r="AL23" s="937"/>
      <c r="AM23" s="937"/>
      <c r="AN23" s="937"/>
      <c r="AO23" s="937"/>
      <c r="AP23" s="867"/>
      <c r="AQ23" s="939"/>
      <c r="AR23" s="939"/>
      <c r="AS23" s="939"/>
      <c r="AT23" s="939"/>
      <c r="AU23" s="939"/>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c r="CB23" s="937"/>
      <c r="CC23" s="937"/>
      <c r="CD23" s="937"/>
      <c r="CE23" s="937"/>
      <c r="CF23" s="937"/>
      <c r="CG23" s="937"/>
      <c r="CH23" s="937"/>
      <c r="CI23" s="937"/>
      <c r="CJ23" s="937"/>
      <c r="CK23" s="937"/>
      <c r="CL23" s="937"/>
      <c r="CM23" s="867"/>
      <c r="CN23" s="937"/>
      <c r="CO23" s="937"/>
      <c r="CP23" s="937"/>
      <c r="CQ23" s="937"/>
      <c r="CR23" s="937"/>
      <c r="CS23" s="937"/>
      <c r="CT23" s="937"/>
      <c r="CU23" s="937"/>
      <c r="CV23" s="867"/>
      <c r="CW23" s="937"/>
      <c r="CX23" s="937"/>
      <c r="CY23" s="937"/>
      <c r="CZ23" s="937"/>
      <c r="DA23" s="937"/>
      <c r="DB23" s="937"/>
      <c r="DC23" s="937"/>
      <c r="DD23" s="937"/>
      <c r="DE23" s="867"/>
      <c r="DF23" s="937"/>
      <c r="DG23" s="937"/>
      <c r="DH23" s="937"/>
      <c r="DI23" s="937"/>
      <c r="DJ23" s="937"/>
      <c r="DK23" s="937"/>
      <c r="DL23" s="937"/>
      <c r="DM23" s="937"/>
      <c r="DO23" s="39"/>
    </row>
    <row r="24" spans="2:124">
      <c r="B24" s="7"/>
      <c r="C24" s="7" t="s">
        <v>279</v>
      </c>
      <c r="D24" s="7" t="s">
        <v>58</v>
      </c>
      <c r="E24" s="7" t="s">
        <v>45</v>
      </c>
      <c r="F24" s="7" t="s">
        <v>55</v>
      </c>
      <c r="G24" s="7" t="s">
        <v>150</v>
      </c>
      <c r="H24" s="7" t="s">
        <v>157</v>
      </c>
      <c r="I24" s="7" t="s">
        <v>192</v>
      </c>
      <c r="J24" s="45"/>
      <c r="K24" s="45"/>
      <c r="L24" s="45"/>
      <c r="M24" s="937"/>
      <c r="N24" s="937"/>
      <c r="O24" s="937"/>
      <c r="P24" s="937"/>
      <c r="Q24" s="937"/>
      <c r="R24" s="936"/>
      <c r="S24" s="867"/>
      <c r="T24" s="937"/>
      <c r="U24" s="937"/>
      <c r="V24" s="937"/>
      <c r="W24" s="937"/>
      <c r="X24" s="937"/>
      <c r="Y24" s="937"/>
      <c r="Z24" s="937"/>
      <c r="AA24" s="937"/>
      <c r="AB24" s="867"/>
      <c r="AC24" s="936"/>
      <c r="AD24" s="936"/>
      <c r="AE24" s="936"/>
      <c r="AF24" s="936"/>
      <c r="AG24" s="867"/>
      <c r="AH24" s="937"/>
      <c r="AI24" s="937"/>
      <c r="AJ24" s="937"/>
      <c r="AK24" s="937"/>
      <c r="AL24" s="937"/>
      <c r="AM24" s="937"/>
      <c r="AN24" s="937"/>
      <c r="AO24" s="937"/>
      <c r="AP24" s="867"/>
      <c r="AQ24" s="939"/>
      <c r="AR24" s="939"/>
      <c r="AS24" s="939"/>
      <c r="AT24" s="939"/>
      <c r="AU24" s="939"/>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c r="CB24" s="937"/>
      <c r="CC24" s="937"/>
      <c r="CD24" s="937"/>
      <c r="CE24" s="937"/>
      <c r="CF24" s="937"/>
      <c r="CG24" s="937"/>
      <c r="CH24" s="937"/>
      <c r="CI24" s="937"/>
      <c r="CJ24" s="937"/>
      <c r="CK24" s="937"/>
      <c r="CL24" s="937"/>
      <c r="CM24" s="867"/>
      <c r="CN24" s="937"/>
      <c r="CO24" s="937"/>
      <c r="CP24" s="937"/>
      <c r="CQ24" s="937"/>
      <c r="CR24" s="937"/>
      <c r="CS24" s="937"/>
      <c r="CT24" s="937"/>
      <c r="CU24" s="937"/>
      <c r="CV24" s="867"/>
      <c r="CW24" s="937"/>
      <c r="CX24" s="937"/>
      <c r="CY24" s="937"/>
      <c r="CZ24" s="937"/>
      <c r="DA24" s="937"/>
      <c r="DB24" s="937"/>
      <c r="DC24" s="937"/>
      <c r="DD24" s="937"/>
      <c r="DE24" s="867"/>
      <c r="DF24" s="937"/>
      <c r="DG24" s="937"/>
      <c r="DH24" s="937"/>
      <c r="DI24" s="937"/>
      <c r="DJ24" s="937"/>
      <c r="DK24" s="937"/>
      <c r="DL24" s="937"/>
      <c r="DM24" s="937"/>
      <c r="DO24" s="39"/>
    </row>
    <row r="25" spans="2:124">
      <c r="B25" s="7"/>
      <c r="C25" s="7" t="s">
        <v>447</v>
      </c>
      <c r="D25" s="7" t="s">
        <v>58</v>
      </c>
      <c r="E25" s="7" t="s">
        <v>45</v>
      </c>
      <c r="F25" s="7" t="s">
        <v>55</v>
      </c>
      <c r="G25" s="7" t="s">
        <v>150</v>
      </c>
      <c r="H25" s="7" t="s">
        <v>157</v>
      </c>
      <c r="I25" s="7" t="s">
        <v>192</v>
      </c>
      <c r="J25" s="7"/>
      <c r="K25" s="7"/>
      <c r="L25" s="7"/>
      <c r="M25" s="939"/>
      <c r="N25" s="939"/>
      <c r="O25" s="939"/>
      <c r="P25" s="939"/>
      <c r="Q25" s="939"/>
      <c r="R25" s="936"/>
      <c r="S25" s="867"/>
      <c r="T25" s="937"/>
      <c r="U25" s="937"/>
      <c r="V25" s="937"/>
      <c r="W25" s="937"/>
      <c r="X25" s="937"/>
      <c r="Y25" s="937"/>
      <c r="Z25" s="937"/>
      <c r="AA25" s="937"/>
      <c r="AB25" s="867"/>
      <c r="AC25" s="936"/>
      <c r="AD25" s="936"/>
      <c r="AE25" s="936"/>
      <c r="AF25" s="936"/>
      <c r="AG25" s="867"/>
      <c r="AH25" s="937"/>
      <c r="AI25" s="937"/>
      <c r="AJ25" s="937"/>
      <c r="AK25" s="937"/>
      <c r="AL25" s="937"/>
      <c r="AM25" s="937"/>
      <c r="AN25" s="937"/>
      <c r="AO25" s="937"/>
      <c r="AP25" s="867"/>
      <c r="AQ25" s="939"/>
      <c r="AR25" s="939"/>
      <c r="AS25" s="939"/>
      <c r="AT25" s="939"/>
      <c r="AU25" s="939"/>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c r="CB25" s="937"/>
      <c r="CC25" s="937"/>
      <c r="CD25" s="937"/>
      <c r="CE25" s="937"/>
      <c r="CF25" s="937"/>
      <c r="CG25" s="937"/>
      <c r="CH25" s="937"/>
      <c r="CI25" s="937"/>
      <c r="CJ25" s="937"/>
      <c r="CK25" s="937"/>
      <c r="CL25" s="937"/>
      <c r="CM25" s="867"/>
      <c r="CN25" s="937"/>
      <c r="CO25" s="937"/>
      <c r="CP25" s="937"/>
      <c r="CQ25" s="937"/>
      <c r="CR25" s="937"/>
      <c r="CS25" s="937"/>
      <c r="CT25" s="937"/>
      <c r="CU25" s="937"/>
      <c r="CV25" s="867"/>
      <c r="CW25" s="937"/>
      <c r="CX25" s="937"/>
      <c r="CY25" s="937"/>
      <c r="CZ25" s="937"/>
      <c r="DA25" s="937"/>
      <c r="DB25" s="937"/>
      <c r="DC25" s="937"/>
      <c r="DD25" s="937"/>
      <c r="DE25" s="867"/>
      <c r="DF25" s="937"/>
      <c r="DG25" s="937"/>
      <c r="DH25" s="937"/>
      <c r="DI25" s="937"/>
      <c r="DJ25" s="937"/>
      <c r="DK25" s="937"/>
      <c r="DL25" s="937"/>
      <c r="DM25" s="937"/>
      <c r="DO25" s="39"/>
    </row>
    <row r="26" spans="2:124">
      <c r="B26" s="7"/>
      <c r="C26" s="7" t="s">
        <v>448</v>
      </c>
      <c r="D26" s="7" t="s">
        <v>58</v>
      </c>
      <c r="E26" s="7" t="s">
        <v>45</v>
      </c>
      <c r="F26" s="7" t="s">
        <v>55</v>
      </c>
      <c r="G26" s="7" t="s">
        <v>150</v>
      </c>
      <c r="H26" s="7" t="s">
        <v>157</v>
      </c>
      <c r="I26" s="7" t="s">
        <v>197</v>
      </c>
      <c r="J26" s="7"/>
      <c r="K26" s="7"/>
      <c r="L26" s="351"/>
      <c r="M26" s="940"/>
      <c r="N26" s="940"/>
      <c r="O26" s="940"/>
      <c r="P26" s="940"/>
      <c r="Q26" s="940"/>
      <c r="R26" s="936"/>
      <c r="S26" s="867"/>
      <c r="T26" s="937"/>
      <c r="U26" s="937"/>
      <c r="V26" s="937"/>
      <c r="W26" s="937"/>
      <c r="X26" s="937"/>
      <c r="Y26" s="937"/>
      <c r="Z26" s="937"/>
      <c r="AA26" s="937"/>
      <c r="AB26" s="867"/>
      <c r="AC26" s="936"/>
      <c r="AD26" s="936"/>
      <c r="AE26" s="936"/>
      <c r="AF26" s="936"/>
      <c r="AG26" s="867"/>
      <c r="AH26" s="937"/>
      <c r="AI26" s="937"/>
      <c r="AJ26" s="937"/>
      <c r="AK26" s="937"/>
      <c r="AL26" s="937"/>
      <c r="AM26" s="937"/>
      <c r="AN26" s="937"/>
      <c r="AO26" s="937"/>
      <c r="AP26" s="867"/>
      <c r="AQ26" s="939"/>
      <c r="AR26" s="939"/>
      <c r="AS26" s="939"/>
      <c r="AT26" s="939"/>
      <c r="AU26" s="939"/>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c r="CB26" s="937"/>
      <c r="CC26" s="937"/>
      <c r="CD26" s="937"/>
      <c r="CE26" s="937"/>
      <c r="CF26" s="937"/>
      <c r="CG26" s="937"/>
      <c r="CH26" s="937"/>
      <c r="CI26" s="937"/>
      <c r="CJ26" s="937"/>
      <c r="CK26" s="937"/>
      <c r="CL26" s="937"/>
      <c r="CM26" s="867"/>
      <c r="CN26" s="937"/>
      <c r="CO26" s="937"/>
      <c r="CP26" s="937"/>
      <c r="CQ26" s="937"/>
      <c r="CR26" s="937"/>
      <c r="CS26" s="937"/>
      <c r="CT26" s="937"/>
      <c r="CU26" s="937"/>
      <c r="CV26" s="867"/>
      <c r="CW26" s="937"/>
      <c r="CX26" s="937"/>
      <c r="CY26" s="937"/>
      <c r="CZ26" s="937"/>
      <c r="DA26" s="937"/>
      <c r="DB26" s="937"/>
      <c r="DC26" s="937"/>
      <c r="DD26" s="937"/>
      <c r="DE26" s="867"/>
      <c r="DF26" s="937"/>
      <c r="DG26" s="937"/>
      <c r="DH26" s="937"/>
      <c r="DI26" s="937"/>
      <c r="DJ26" s="937"/>
      <c r="DK26" s="937"/>
      <c r="DL26" s="937"/>
      <c r="DM26" s="937"/>
      <c r="DO26" s="39"/>
    </row>
    <row r="27" spans="2:124">
      <c r="B27" s="7"/>
      <c r="C27" s="7" t="s">
        <v>569</v>
      </c>
      <c r="D27" s="7" t="s">
        <v>58</v>
      </c>
      <c r="E27" s="7" t="s">
        <v>45</v>
      </c>
      <c r="F27" s="7" t="s">
        <v>55</v>
      </c>
      <c r="G27" s="7" t="s">
        <v>150</v>
      </c>
      <c r="H27" s="7" t="s">
        <v>157</v>
      </c>
      <c r="I27" s="7" t="s">
        <v>197</v>
      </c>
      <c r="J27" s="7"/>
      <c r="K27" s="7"/>
      <c r="L27" s="7"/>
      <c r="M27" s="939"/>
      <c r="N27" s="939"/>
      <c r="O27" s="939"/>
      <c r="P27" s="939"/>
      <c r="Q27" s="939"/>
      <c r="R27" s="936"/>
      <c r="S27" s="867"/>
      <c r="T27" s="937"/>
      <c r="U27" s="937"/>
      <c r="V27" s="937"/>
      <c r="W27" s="937"/>
      <c r="X27" s="937"/>
      <c r="Y27" s="937"/>
      <c r="Z27" s="937"/>
      <c r="AA27" s="937"/>
      <c r="AB27" s="867"/>
      <c r="AC27" s="936"/>
      <c r="AD27" s="936"/>
      <c r="AE27" s="936"/>
      <c r="AF27" s="936"/>
      <c r="AG27" s="867"/>
      <c r="AH27" s="937"/>
      <c r="AI27" s="937"/>
      <c r="AJ27" s="937"/>
      <c r="AK27" s="937"/>
      <c r="AL27" s="937"/>
      <c r="AM27" s="937"/>
      <c r="AN27" s="937"/>
      <c r="AO27" s="937"/>
      <c r="AP27" s="867"/>
      <c r="AQ27" s="939"/>
      <c r="AR27" s="939"/>
      <c r="AS27" s="939"/>
      <c r="AT27" s="939"/>
      <c r="AU27" s="939"/>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c r="CB27" s="937"/>
      <c r="CC27" s="937"/>
      <c r="CD27" s="937"/>
      <c r="CE27" s="937"/>
      <c r="CF27" s="937"/>
      <c r="CG27" s="937"/>
      <c r="CH27" s="937"/>
      <c r="CI27" s="937"/>
      <c r="CJ27" s="937"/>
      <c r="CK27" s="937"/>
      <c r="CL27" s="937"/>
      <c r="CM27" s="867"/>
      <c r="CN27" s="937"/>
      <c r="CO27" s="937"/>
      <c r="CP27" s="937"/>
      <c r="CQ27" s="937"/>
      <c r="CR27" s="937"/>
      <c r="CS27" s="937"/>
      <c r="CT27" s="937"/>
      <c r="CU27" s="937"/>
      <c r="CV27" s="867"/>
      <c r="CW27" s="937"/>
      <c r="CX27" s="937"/>
      <c r="CY27" s="937"/>
      <c r="CZ27" s="937"/>
      <c r="DA27" s="937"/>
      <c r="DB27" s="937"/>
      <c r="DC27" s="937"/>
      <c r="DD27" s="937"/>
      <c r="DE27" s="867"/>
      <c r="DF27" s="937"/>
      <c r="DG27" s="937"/>
      <c r="DH27" s="937"/>
      <c r="DI27" s="937"/>
      <c r="DJ27" s="937"/>
      <c r="DK27" s="937"/>
      <c r="DL27" s="937"/>
      <c r="DM27" s="937"/>
      <c r="DO27" s="39"/>
    </row>
    <row r="28" spans="2:124">
      <c r="B28" s="7"/>
      <c r="C28" s="7" t="s">
        <v>570</v>
      </c>
      <c r="D28" s="7" t="s">
        <v>58</v>
      </c>
      <c r="E28" s="7" t="s">
        <v>45</v>
      </c>
      <c r="F28" s="7" t="s">
        <v>55</v>
      </c>
      <c r="G28" s="7" t="s">
        <v>150</v>
      </c>
      <c r="H28" s="7" t="s">
        <v>157</v>
      </c>
      <c r="I28" s="7" t="s">
        <v>197</v>
      </c>
      <c r="J28" s="7"/>
      <c r="K28" s="7"/>
      <c r="L28" s="7"/>
      <c r="M28" s="939"/>
      <c r="N28" s="939"/>
      <c r="O28" s="939"/>
      <c r="P28" s="939"/>
      <c r="Q28" s="939"/>
      <c r="R28" s="936"/>
      <c r="S28" s="867"/>
      <c r="T28" s="937"/>
      <c r="U28" s="937"/>
      <c r="V28" s="937"/>
      <c r="W28" s="937"/>
      <c r="X28" s="937"/>
      <c r="Y28" s="937"/>
      <c r="Z28" s="937"/>
      <c r="AA28" s="937"/>
      <c r="AB28" s="867"/>
      <c r="AC28" s="936"/>
      <c r="AD28" s="936"/>
      <c r="AE28" s="936"/>
      <c r="AF28" s="936"/>
      <c r="AG28" s="867"/>
      <c r="AH28" s="937"/>
      <c r="AI28" s="937"/>
      <c r="AJ28" s="937"/>
      <c r="AK28" s="937"/>
      <c r="AL28" s="937"/>
      <c r="AM28" s="937"/>
      <c r="AN28" s="937"/>
      <c r="AO28" s="937"/>
      <c r="AP28" s="867"/>
      <c r="AQ28" s="939"/>
      <c r="AR28" s="939"/>
      <c r="AS28" s="939"/>
      <c r="AT28" s="939"/>
      <c r="AU28" s="939"/>
      <c r="AV28" s="937"/>
      <c r="AW28" s="937"/>
      <c r="AX28" s="937"/>
      <c r="AY28" s="937"/>
      <c r="AZ28" s="937"/>
      <c r="BA28" s="937"/>
      <c r="BB28" s="937"/>
      <c r="BC28" s="937"/>
      <c r="BD28" s="937"/>
      <c r="BE28" s="937"/>
      <c r="BF28" s="937"/>
      <c r="BG28" s="937"/>
      <c r="BH28" s="937"/>
      <c r="BI28" s="937"/>
      <c r="BJ28" s="937"/>
      <c r="BK28" s="937"/>
      <c r="BL28" s="937"/>
      <c r="BM28" s="937"/>
      <c r="BN28" s="937"/>
      <c r="BO28" s="937"/>
      <c r="BP28" s="937"/>
      <c r="BQ28" s="937"/>
      <c r="BR28" s="937"/>
      <c r="BS28" s="937"/>
      <c r="BT28" s="937"/>
      <c r="BU28" s="937"/>
      <c r="BV28" s="937"/>
      <c r="BW28" s="937"/>
      <c r="BX28" s="937"/>
      <c r="BY28" s="937"/>
      <c r="BZ28" s="937"/>
      <c r="CA28" s="937"/>
      <c r="CB28" s="937"/>
      <c r="CC28" s="937"/>
      <c r="CD28" s="937"/>
      <c r="CE28" s="937"/>
      <c r="CF28" s="937"/>
      <c r="CG28" s="937"/>
      <c r="CH28" s="937"/>
      <c r="CI28" s="937"/>
      <c r="CJ28" s="937"/>
      <c r="CK28" s="937"/>
      <c r="CL28" s="937"/>
      <c r="CM28" s="867"/>
      <c r="CN28" s="937"/>
      <c r="CO28" s="937"/>
      <c r="CP28" s="937"/>
      <c r="CQ28" s="937"/>
      <c r="CR28" s="937"/>
      <c r="CS28" s="937"/>
      <c r="CT28" s="937"/>
      <c r="CU28" s="937"/>
      <c r="CV28" s="867"/>
      <c r="CW28" s="937"/>
      <c r="CX28" s="937"/>
      <c r="CY28" s="937"/>
      <c r="CZ28" s="937"/>
      <c r="DA28" s="937"/>
      <c r="DB28" s="937"/>
      <c r="DC28" s="937"/>
      <c r="DD28" s="937"/>
      <c r="DE28" s="867"/>
      <c r="DF28" s="937"/>
      <c r="DG28" s="937"/>
      <c r="DH28" s="937"/>
      <c r="DI28" s="937"/>
      <c r="DJ28" s="937"/>
      <c r="DK28" s="937"/>
      <c r="DL28" s="937"/>
      <c r="DM28" s="937"/>
      <c r="DO28" s="39"/>
    </row>
    <row r="29" spans="2:124">
      <c r="B29" s="7"/>
      <c r="C29" s="7"/>
      <c r="D29" s="7"/>
      <c r="E29" s="7"/>
      <c r="F29" s="7"/>
      <c r="G29" s="7"/>
      <c r="H29" s="7"/>
      <c r="I29" s="7"/>
      <c r="J29" s="7"/>
      <c r="K29" s="7"/>
      <c r="L29" s="7"/>
      <c r="M29" s="7"/>
      <c r="N29" s="7"/>
      <c r="O29" s="7"/>
      <c r="P29" s="7"/>
      <c r="Q29" s="7"/>
      <c r="R29" s="46"/>
      <c r="T29" s="47">
        <f t="shared" ref="T29:T37" si="8">J29*$R29</f>
        <v>0</v>
      </c>
      <c r="U29" s="47">
        <f t="shared" ref="U29:U37" si="9">K29*$R29</f>
        <v>0</v>
      </c>
      <c r="V29" s="47">
        <f t="shared" ref="V29:V37" si="10">L29*$R29</f>
        <v>0</v>
      </c>
      <c r="W29" s="47">
        <f t="shared" ref="W29:W37" si="11">M29*$R29</f>
        <v>0</v>
      </c>
      <c r="X29" s="47">
        <f t="shared" ref="X29:X37" si="12">N29*$R29</f>
        <v>0</v>
      </c>
      <c r="Y29" s="47">
        <f t="shared" ref="Y29:Y37" si="13">O29*$R29</f>
        <v>0</v>
      </c>
      <c r="Z29" s="47">
        <f t="shared" ref="Z29:Z37" si="14">P29*$R29</f>
        <v>0</v>
      </c>
      <c r="AA29" s="47">
        <f t="shared" ref="AA29:AA37" si="15">Q29*$R29</f>
        <v>0</v>
      </c>
      <c r="AC29" s="82">
        <f t="shared" ref="AC29:AF37" si="16">IF($R29="",0,INDEX(Direct_Cost_Splits_Network,MATCH($H29,RIN_Asset_Cat_Network,0),MATCH(AC$4,Direct_Cost_Type,0))*$R29)</f>
        <v>0</v>
      </c>
      <c r="AD29" s="82">
        <f t="shared" si="16"/>
        <v>0</v>
      </c>
      <c r="AE29" s="82">
        <f t="shared" si="16"/>
        <v>0</v>
      </c>
      <c r="AF29" s="82">
        <f t="shared" si="16"/>
        <v>0</v>
      </c>
      <c r="AH29" s="47">
        <f>IF($R29="",0,J29*$AC29*HLOOKUP(AH$6,Escalators!$I$25:$U$30,3,FALSE))</f>
        <v>0</v>
      </c>
      <c r="AI29" s="47">
        <f>IF($R29="",0,K29*$AC29*HLOOKUP(AI$6,Escalators!$I$25:$U$30,3,FALSE))</f>
        <v>0</v>
      </c>
      <c r="AJ29" s="47">
        <f>IF($R29="",0,L29*$AC29*HLOOKUP(AJ$6,Escalators!$I$25:$U$30,3,FALSE))</f>
        <v>0</v>
      </c>
      <c r="AK29" s="47">
        <f>IF($R29="",0,M29*$AC29*HLOOKUP(AK$6,Escalators!$I$25:$U$30,3,FALSE))</f>
        <v>0</v>
      </c>
      <c r="AL29" s="47">
        <f>IF($R29="",0,N29*$AC29*HLOOKUP(AL$6,Escalators!$I$25:$U$30,3,FALSE))</f>
        <v>0</v>
      </c>
      <c r="AM29" s="47">
        <f>IF($R29="",0,O29*$AC29*HLOOKUP(AM$6,Escalators!$I$25:$U$30,3,FALSE))</f>
        <v>0</v>
      </c>
      <c r="AN29" s="47">
        <f>IF($R29="",0,P29*$AC29*HLOOKUP(AN$6,Escalators!$I$25:$U$30,3,FALSE))</f>
        <v>0</v>
      </c>
      <c r="AO29" s="47">
        <f>IF($R29="",0,Q29*$AC29*HLOOKUP(AO$6,Escalators!$I$25:$U$30,3,FALSE))</f>
        <v>0</v>
      </c>
      <c r="AQ29" s="6">
        <f>IF($R29="",0,$J29*$AD29*INDEX(Act_Type_Repex_Splits,MATCH($I29,Act_Type_Repex,0),MATCH(AQ$5,Mat_Type,0))*INDEX(Escalators!$I$44:$Q$49,MATCH(AQ$5,Escalators!$C$44:$C$49,0),MATCH(AQ$6,Escalators!$I$43:$Q$43,0)))</f>
        <v>0</v>
      </c>
      <c r="AR29" s="6">
        <f>IF($R29="",0,$J29*$AD29*INDEX(Act_Type_Repex_Splits,MATCH($I29,Act_Type_Repex,0),MATCH(AR$5,Mat_Type,0))*INDEX(Escalators!$I$44:$Q$49,MATCH(AR$5,Escalators!$C$44:$C$49,0),MATCH(AR$6,Escalators!$I$43:$Q$43,0)))</f>
        <v>0</v>
      </c>
      <c r="AS29" s="6">
        <f>IF($R29="",0,$J29*$AD29*INDEX(Act_Type_Repex_Splits,MATCH($I29,Act_Type_Repex,0),MATCH(AS$5,Mat_Type,0))*INDEX(Escalators!$I$44:$Q$49,MATCH(AS$5,Escalators!$C$44:$C$49,0),MATCH(AS$6,Escalators!$I$43:$Q$43,0)))</f>
        <v>0</v>
      </c>
      <c r="AT29" s="6">
        <f>IF($R29="",0,$J29*$AD29*INDEX(Act_Type_Repex_Splits,MATCH($I29,Act_Type_Repex,0),MATCH(AT$5,Mat_Type,0))*INDEX(Escalators!$I$44:$Q$49,MATCH(AT$5,Escalators!$C$44:$C$49,0),MATCH(AT$6,Escalators!$I$43:$Q$43,0)))</f>
        <v>0</v>
      </c>
      <c r="AU29" s="6">
        <f>IF($R29="",0,$J29*$AD29*INDEX(Act_Type_Repex_Splits,MATCH($I29,Act_Type_Repex,0),MATCH(AU$5,Mat_Type,0))*INDEX(Escalators!$I$44:$Q$49,MATCH(AU$5,Escalators!$C$44:$C$49,0),MATCH(AU$6,Escalators!$I$43:$Q$43,0)))</f>
        <v>0</v>
      </c>
      <c r="AV29" s="47">
        <f t="shared" ref="AV29:AV37" si="17">SUM(AQ29:AU29)</f>
        <v>0</v>
      </c>
      <c r="AW29" s="47">
        <f>IF($R29="",0,$K29*$AD29*INDEX(Act_Type_Repex_Splits,MATCH($I29,Act_Type_Repex,0),MATCH(AW$5,Mat_Type,0))*INDEX(Escalators!$I$44:$U$49,MATCH(AW$5,Escalators!$C$44:$C$49,0),MATCH(AW$6,Escalators!$I$43:$U$43,0)))</f>
        <v>0</v>
      </c>
      <c r="AX29" s="47">
        <f>IF($R29="",0,$K29*$AD29*INDEX(Act_Type_Repex_Splits,MATCH($I29,Act_Type_Repex,0),MATCH(AX$5,Mat_Type,0))*INDEX(Escalators!$I$44:$U$49,MATCH(AX$5,Escalators!$C$44:$C$49,0),MATCH(AX$6,Escalators!$I$43:$U$43,0)))</f>
        <v>0</v>
      </c>
      <c r="AY29" s="47">
        <f>IF($R29="",0,$K29*$AD29*INDEX(Act_Type_Repex_Splits,MATCH($I29,Act_Type_Repex,0),MATCH(AY$5,Mat_Type,0))*INDEX(Escalators!$I$44:$U$49,MATCH(AY$5,Escalators!$C$44:$C$49,0),MATCH(AY$6,Escalators!$I$43:$U$43,0)))</f>
        <v>0</v>
      </c>
      <c r="AZ29" s="47">
        <f>IF($R29="",0,$K29*$AD29*INDEX(Act_Type_Repex_Splits,MATCH($I29,Act_Type_Repex,0),MATCH(AZ$5,Mat_Type,0))*INDEX(Escalators!$I$44:$U$49,MATCH(AZ$5,Escalators!$C$44:$C$49,0),MATCH(AZ$6,Escalators!$I$43:$U$43,0)))</f>
        <v>0</v>
      </c>
      <c r="BA29" s="47">
        <f>IF($R29="",0,$K29*$AD29*INDEX(Act_Type_Repex_Splits,MATCH($I29,Act_Type_Repex,0),MATCH(BA$5,Mat_Type,0))*INDEX(Escalators!$I$44:$U$49,MATCH(BA$5,Escalators!$C$44:$C$49,0),MATCH(BA$6,Escalators!$I$43:$U$43,0)))</f>
        <v>0</v>
      </c>
      <c r="BB29" s="47">
        <f t="shared" ref="BB29:BB37" si="18">SUM(AW29:BA29)</f>
        <v>0</v>
      </c>
      <c r="BC29" s="47">
        <f>IF($R29="",0,$L29*$AD29*INDEX(Act_Type_Repex_Splits,MATCH($I29,Act_Type_Repex,0),MATCH(BC$5,Mat_Type,0))*INDEX(Escalators!$I$44:$U$49,MATCH(BC$5,Escalators!$C$44:$C$49,0),MATCH(BC$6,Escalators!$I$43:$U$43,0)))</f>
        <v>0</v>
      </c>
      <c r="BD29" s="47">
        <f>IF($R29="",0,$L29*$AD29*INDEX(Act_Type_Repex_Splits,MATCH($I29,Act_Type_Repex,0),MATCH(BD$5,Mat_Type,0))*INDEX(Escalators!$I$44:$U$49,MATCH(BD$5,Escalators!$C$44:$C$49,0),MATCH(BD$6,Escalators!$I$43:$U$43,0)))</f>
        <v>0</v>
      </c>
      <c r="BE29" s="47">
        <f>IF($R29="",0,$L29*$AD29*INDEX(Act_Type_Repex_Splits,MATCH($I29,Act_Type_Repex,0),MATCH(BE$5,Mat_Type,0))*INDEX(Escalators!$I$44:$U$49,MATCH(BE$5,Escalators!$C$44:$C$49,0),MATCH(BE$6,Escalators!$I$43:$U$43,0)))</f>
        <v>0</v>
      </c>
      <c r="BF29" s="47">
        <f>IF($R29="",0,$L29*$AD29*INDEX(Act_Type_Repex_Splits,MATCH($I29,Act_Type_Repex,0),MATCH(BF$5,Mat_Type,0))*INDEX(Escalators!$I$44:$U$49,MATCH(BF$5,Escalators!$C$44:$C$49,0),MATCH(BF$6,Escalators!$I$43:$U$43,0)))</f>
        <v>0</v>
      </c>
      <c r="BG29" s="47">
        <f>IF($R29="",0,$L29*$AD29*INDEX(Act_Type_Repex_Splits,MATCH($I29,Act_Type_Repex,0),MATCH(BG$5,Mat_Type,0))*INDEX(Escalators!$I$44:$U$49,MATCH(BG$5,Escalators!$C$44:$C$49,0),MATCH(BG$6,Escalators!$I$43:$U$43,0)))</f>
        <v>0</v>
      </c>
      <c r="BH29" s="47">
        <f t="shared" ref="BH29:BH37" si="19">SUM(BC29:BG29)</f>
        <v>0</v>
      </c>
      <c r="BI29" s="47">
        <f>IF($R29="",0,$M29*$AD29*INDEX(Act_Type_Repex_Splits,MATCH($I29,Act_Type_Repex,0),MATCH(BI$5,Mat_Type,0))*INDEX(Escalators!$I$44:$U$49,MATCH(BI$5,Escalators!$C$44:$C$49,0),MATCH(BI$6,Escalators!$I$43:$U$43,0)))</f>
        <v>0</v>
      </c>
      <c r="BJ29" s="47">
        <f>IF($R29="",0,$M29*$AD29*INDEX(Act_Type_Repex_Splits,MATCH($I29,Act_Type_Repex,0),MATCH(BJ$5,Mat_Type,0))*INDEX(Escalators!$I$44:$U$49,MATCH(BJ$5,Escalators!$C$44:$C$49,0),MATCH(BJ$6,Escalators!$I$43:$U$43,0)))</f>
        <v>0</v>
      </c>
      <c r="BK29" s="47">
        <f>IF($R29="",0,$M29*$AD29*INDEX(Act_Type_Repex_Splits,MATCH($I29,Act_Type_Repex,0),MATCH(BK$5,Mat_Type,0))*INDEX(Escalators!$I$44:$U$49,MATCH(BK$5,Escalators!$C$44:$C$49,0),MATCH(BK$6,Escalators!$I$43:$U$43,0)))</f>
        <v>0</v>
      </c>
      <c r="BL29" s="47">
        <f>IF($R29="",0,$M29*$AD29*INDEX(Act_Type_Repex_Splits,MATCH($I29,Act_Type_Repex,0),MATCH(BL$5,Mat_Type,0))*INDEX(Escalators!$I$44:$U$49,MATCH(BL$5,Escalators!$C$44:$C$49,0),MATCH(BL$6,Escalators!$I$43:$U$43,0)))</f>
        <v>0</v>
      </c>
      <c r="BM29" s="47">
        <f>IF($R29="",0,$M29*$AD29*INDEX(Act_Type_Repex_Splits,MATCH($I29,Act_Type_Repex,0),MATCH(BM$5,Mat_Type,0))*INDEX(Escalators!$I$44:$U$49,MATCH(BM$5,Escalators!$C$44:$C$49,0),MATCH(BM$6,Escalators!$I$43:$U$43,0)))</f>
        <v>0</v>
      </c>
      <c r="BN29" s="47">
        <f t="shared" ref="BN29:BN37" si="20">SUM(BI29:BM29)</f>
        <v>0</v>
      </c>
      <c r="BO29" s="47">
        <f>IF($R29="",0,$N29*$AD29*INDEX(Act_Type_Repex_Splits,MATCH($I29,Act_Type_Repex,0),MATCH(BO$5,Mat_Type,0))*INDEX(Escalators!$I$44:$U$49,MATCH(BO$5,Escalators!$C$44:$C$49,0),MATCH(BO$6,Escalators!$I$43:$U$43,0)))</f>
        <v>0</v>
      </c>
      <c r="BP29" s="47">
        <f>IF($R29="",0,$N29*$AD29*INDEX(Act_Type_Repex_Splits,MATCH($I29,Act_Type_Repex,0),MATCH(BP$5,Mat_Type,0))*INDEX(Escalators!$I$44:$U$49,MATCH(BP$5,Escalators!$C$44:$C$49,0),MATCH(BP$6,Escalators!$I$43:$U$43,0)))</f>
        <v>0</v>
      </c>
      <c r="BQ29" s="47">
        <f>IF($R29="",0,$N29*$AD29*INDEX(Act_Type_Repex_Splits,MATCH($I29,Act_Type_Repex,0),MATCH(BQ$5,Mat_Type,0))*INDEX(Escalators!$I$44:$U$49,MATCH(BQ$5,Escalators!$C$44:$C$49,0),MATCH(BQ$6,Escalators!$I$43:$U$43,0)))</f>
        <v>0</v>
      </c>
      <c r="BR29" s="47">
        <f>IF($R29="",0,$N29*$AD29*INDEX(Act_Type_Repex_Splits,MATCH($I29,Act_Type_Repex,0),MATCH(BR$5,Mat_Type,0))*INDEX(Escalators!$I$44:$U$49,MATCH(BR$5,Escalators!$C$44:$C$49,0),MATCH(BR$6,Escalators!$I$43:$U$43,0)))</f>
        <v>0</v>
      </c>
      <c r="BS29" s="47">
        <f>IF($R29="",0,$N29*$AD29*INDEX(Act_Type_Repex_Splits,MATCH($I29,Act_Type_Repex,0),MATCH(BS$5,Mat_Type,0))*INDEX(Escalators!$I$44:$U$49,MATCH(BS$5,Escalators!$C$44:$C$49,0),MATCH(BS$6,Escalators!$I$43:$U$43,0)))</f>
        <v>0</v>
      </c>
      <c r="BT29" s="47">
        <f t="shared" ref="BT29:BT37" si="21">SUM(BO29:BS29)</f>
        <v>0</v>
      </c>
      <c r="BU29" s="47">
        <f>IF($R29="",0,$O29*$AD29*INDEX(Act_Type_Repex_Splits,MATCH($I29,Act_Type_Repex,0),MATCH(BU$5,Mat_Type,0))*INDEX(Escalators!$I$44:$U$49,MATCH(BU$5,Escalators!$C$44:$C$49,0),MATCH(BU$6,Escalators!$I$43:$U$43,0)))</f>
        <v>0</v>
      </c>
      <c r="BV29" s="47">
        <f>IF($R29="",0,$O29*$AD29*INDEX(Act_Type_Repex_Splits,MATCH($I29,Act_Type_Repex,0),MATCH(BV$5,Mat_Type,0))*INDEX(Escalators!$I$44:$U$49,MATCH(BV$5,Escalators!$C$44:$C$49,0),MATCH(BV$6,Escalators!$I$43:$U$43,0)))</f>
        <v>0</v>
      </c>
      <c r="BW29" s="47">
        <f>IF($R29="",0,$O29*$AD29*INDEX(Act_Type_Repex_Splits,MATCH($I29,Act_Type_Repex,0),MATCH(BW$5,Mat_Type,0))*INDEX(Escalators!$I$44:$U$49,MATCH(BW$5,Escalators!$C$44:$C$49,0),MATCH(BW$6,Escalators!$I$43:$U$43,0)))</f>
        <v>0</v>
      </c>
      <c r="BX29" s="47">
        <f>IF($R29="",0,$O29*$AD29*INDEX(Act_Type_Repex_Splits,MATCH($I29,Act_Type_Repex,0),MATCH(BX$5,Mat_Type,0))*INDEX(Escalators!$I$44:$U$49,MATCH(BX$5,Escalators!$C$44:$C$49,0),MATCH(BX$6,Escalators!$I$43:$U$43,0)))</f>
        <v>0</v>
      </c>
      <c r="BY29" s="47">
        <f>IF($R29="",0,$O29*$AD29*INDEX(Act_Type_Repex_Splits,MATCH($I29,Act_Type_Repex,0),MATCH(BY$5,Mat_Type,0))*INDEX(Escalators!$I$44:$U$49,MATCH(BY$5,Escalators!$C$44:$C$49,0),MATCH(BY$6,Escalators!$I$43:$U$43,0)))</f>
        <v>0</v>
      </c>
      <c r="BZ29" s="47">
        <f t="shared" ref="BZ29:BZ37" si="22">SUM(BU29:BY29)</f>
        <v>0</v>
      </c>
      <c r="CA29" s="47">
        <f>IF($R29="",0,$P29*$AD29*INDEX(Act_Type_Repex_Splits,MATCH($I29,Act_Type_Repex,0),MATCH(CA$5,Mat_Type,0))*INDEX(Escalators!$I$44:$U$49,MATCH(CA$5,Escalators!$C$44:$C$49,0),MATCH(CA$6,Escalators!$I$43:$U$43,0)))</f>
        <v>0</v>
      </c>
      <c r="CB29" s="47">
        <f>IF($R29="",0,$P29*$AD29*INDEX(Act_Type_Repex_Splits,MATCH($I29,Act_Type_Repex,0),MATCH(CB$5,Mat_Type,0))*INDEX(Escalators!$I$44:$U$49,MATCH(CB$5,Escalators!$C$44:$C$49,0),MATCH(CB$6,Escalators!$I$43:$U$43,0)))</f>
        <v>0</v>
      </c>
      <c r="CC29" s="47">
        <f>IF($R29="",0,$P29*$AD29*INDEX(Act_Type_Repex_Splits,MATCH($I29,Act_Type_Repex,0),MATCH(CC$5,Mat_Type,0))*INDEX(Escalators!$I$44:$U$49,MATCH(CC$5,Escalators!$C$44:$C$49,0),MATCH(CC$6,Escalators!$I$43:$U$43,0)))</f>
        <v>0</v>
      </c>
      <c r="CD29" s="47">
        <f>IF($R29="",0,$P29*$AD29*INDEX(Act_Type_Repex_Splits,MATCH($I29,Act_Type_Repex,0),MATCH(CD$5,Mat_Type,0))*INDEX(Escalators!$I$44:$U$49,MATCH(CD$5,Escalators!$C$44:$C$49,0),MATCH(CD$6,Escalators!$I$43:$U$43,0)))</f>
        <v>0</v>
      </c>
      <c r="CE29" s="47">
        <f>IF($R29="",0,$P29*$AD29*INDEX(Act_Type_Repex_Splits,MATCH($I29,Act_Type_Repex,0),MATCH(CE$5,Mat_Type,0))*INDEX(Escalators!$I$44:$U$49,MATCH(CE$5,Escalators!$C$44:$C$49,0),MATCH(CE$6,Escalators!$I$43:$U$43,0)))</f>
        <v>0</v>
      </c>
      <c r="CF29" s="47">
        <f t="shared" ref="CF29:CF37" si="23">SUM(CA29:CE29)</f>
        <v>0</v>
      </c>
      <c r="CG29" s="47">
        <f>IF($R29="",0,$Q29*$AD29*INDEX(Act_Type_Repex_Splits,MATCH($I29,Act_Type_Repex,0),MATCH(CG$5,Mat_Type,0))*INDEX(Escalators!$I$44:$U$49,MATCH(CG$5,Escalators!$C$44:$C$49,0),MATCH(CG$6,Escalators!$I$43:$U$43,0)))</f>
        <v>0</v>
      </c>
      <c r="CH29" s="47">
        <f>IF($R29="",0,$Q29*$AD29*INDEX(Act_Type_Repex_Splits,MATCH($I29,Act_Type_Repex,0),MATCH(CH$5,Mat_Type,0))*INDEX(Escalators!$I$44:$U$49,MATCH(CH$5,Escalators!$C$44:$C$49,0),MATCH(CH$6,Escalators!$I$43:$U$43,0)))</f>
        <v>0</v>
      </c>
      <c r="CI29" s="47">
        <f>IF($R29="",0,$Q29*$AD29*INDEX(Act_Type_Repex_Splits,MATCH($I29,Act_Type_Repex,0),MATCH(CI$5,Mat_Type,0))*INDEX(Escalators!$I$44:$U$49,MATCH(CI$5,Escalators!$C$44:$C$49,0),MATCH(CI$6,Escalators!$I$43:$U$43,0)))</f>
        <v>0</v>
      </c>
      <c r="CJ29" s="47">
        <f>IF($R29="",0,$Q29*$AD29*INDEX(Act_Type_Repex_Splits,MATCH($I29,Act_Type_Repex,0),MATCH(CJ$5,Mat_Type,0))*INDEX(Escalators!$I$44:$U$49,MATCH(CJ$5,Escalators!$C$44:$C$49,0),MATCH(CJ$6,Escalators!$I$43:$U$43,0)))</f>
        <v>0</v>
      </c>
      <c r="CK29" s="47">
        <f>IF($R29="",0,$Q29*$AD29*INDEX(Act_Type_Repex_Splits,MATCH($I29,Act_Type_Repex,0),MATCH(CK$5,Mat_Type,0))*INDEX(Escalators!$I$44:$U$49,MATCH(CK$5,Escalators!$C$44:$C$49,0),MATCH(CK$6,Escalators!$I$43:$U$43,0)))</f>
        <v>0</v>
      </c>
      <c r="CL29" s="47">
        <f t="shared" ref="CL29:CL37" si="24">SUM(CG29:CK29)</f>
        <v>0</v>
      </c>
      <c r="CN29" s="47">
        <f>IF($R29="",0,J29*$AE29*HLOOKUP(CN$6,Escalators!$I$25:$U$30,6,FALSE))</f>
        <v>0</v>
      </c>
      <c r="CO29" s="47">
        <f>IF($R29="",0,K29*$AE29*HLOOKUP(CO$6,Escalators!$I$25:$U$30,6,FALSE))</f>
        <v>0</v>
      </c>
      <c r="CP29" s="47">
        <f>IF($R29="",0,L29*$AE29*HLOOKUP(CP$6,Escalators!$I$25:$U$30,6,FALSE))</f>
        <v>0</v>
      </c>
      <c r="CQ29" s="47">
        <f>IF($R29="",0,M29*$AE29*HLOOKUP(CQ$6,Escalators!$I$25:$U$30,6,FALSE))</f>
        <v>0</v>
      </c>
      <c r="CR29" s="47">
        <f>IF($R29="",0,N29*$AE29*HLOOKUP(CR$6,Escalators!$I$25:$U$30,6,FALSE))</f>
        <v>0</v>
      </c>
      <c r="CS29" s="47">
        <f>IF($R29="",0,O29*$AE29*HLOOKUP(CS$6,Escalators!$I$25:$U$30,6,FALSE))</f>
        <v>0</v>
      </c>
      <c r="CT29" s="47">
        <f>IF($R29="",0,P29*$AE29*HLOOKUP(CT$6,Escalators!$I$25:$U$30,6,FALSE))</f>
        <v>0</v>
      </c>
      <c r="CU29" s="47">
        <f>IF($R29="",0,Q29*$AE29*HLOOKUP(CU$6,Escalators!$I$25:$U$30,6,FALSE))</f>
        <v>0</v>
      </c>
      <c r="CW29" s="47">
        <f t="shared" ref="CW29:CW37" si="25">IF($R29="",0,J29*$AF29)</f>
        <v>0</v>
      </c>
      <c r="CX29" s="47">
        <f t="shared" ref="CX29:CX37" si="26">IF($R29="",0,K29*$AF29)</f>
        <v>0</v>
      </c>
      <c r="CY29" s="47">
        <f t="shared" ref="CY29:CY37" si="27">IF($R29="",0,L29*$AF29)</f>
        <v>0</v>
      </c>
      <c r="CZ29" s="47">
        <f t="shared" ref="CZ29:CZ37" si="28">IF($R29="",0,M29*$AF29)</f>
        <v>0</v>
      </c>
      <c r="DA29" s="47">
        <f t="shared" ref="DA29:DA37" si="29">IF($R29="",0,N29*$AF29)</f>
        <v>0</v>
      </c>
      <c r="DB29" s="47">
        <f t="shared" ref="DB29:DB37" si="30">IF($R29="",0,O29*$AF29)</f>
        <v>0</v>
      </c>
      <c r="DC29" s="47">
        <f t="shared" ref="DC29:DC37" si="31">IF($R29="",0,P29*$AF29)</f>
        <v>0</v>
      </c>
      <c r="DD29" s="47">
        <f t="shared" ref="DD29:DD37" si="32">IF($R29="",0,Q29*$AF29)</f>
        <v>0</v>
      </c>
      <c r="DF29" s="47">
        <f t="shared" ref="DF29:DF37" si="33">AH29+AV29+CN29+CW29</f>
        <v>0</v>
      </c>
      <c r="DG29" s="47">
        <f t="shared" ref="DG29:DG37" si="34">AI29+BB29+CO29+CX29</f>
        <v>0</v>
      </c>
      <c r="DH29" s="47">
        <f t="shared" ref="DH29:DH37" si="35">AJ29+BH29+CP29+CY29</f>
        <v>0</v>
      </c>
      <c r="DI29" s="47">
        <f t="shared" ref="DI29:DI37" si="36">AK29+BN29+CQ29+CZ29</f>
        <v>0</v>
      </c>
      <c r="DJ29" s="47">
        <f t="shared" ref="DJ29:DJ37" si="37">AL29+BT29+CR29+DA29</f>
        <v>0</v>
      </c>
      <c r="DK29" s="47">
        <f t="shared" ref="DK29:DK37" si="38">AM29+BZ29+CS29+DB29</f>
        <v>0</v>
      </c>
      <c r="DL29" s="47">
        <f t="shared" ref="DL29:DL37" si="39">AN29+CF29+CT29+DC29</f>
        <v>0</v>
      </c>
      <c r="DM29" s="47">
        <f t="shared" ref="DM29:DM37" si="40">AO29+CL29+CU29+DD29</f>
        <v>0</v>
      </c>
      <c r="DO29" s="39"/>
    </row>
    <row r="30" spans="2:124">
      <c r="B30" s="7"/>
      <c r="C30" s="7"/>
      <c r="D30" s="7"/>
      <c r="E30" s="7"/>
      <c r="F30" s="7"/>
      <c r="G30" s="7"/>
      <c r="H30" s="7"/>
      <c r="I30" s="7"/>
      <c r="J30" s="7"/>
      <c r="K30" s="7"/>
      <c r="L30" s="7"/>
      <c r="M30" s="7"/>
      <c r="N30" s="7"/>
      <c r="O30" s="7"/>
      <c r="P30" s="7"/>
      <c r="Q30" s="7"/>
      <c r="R30" s="46"/>
      <c r="T30" s="47">
        <f t="shared" si="8"/>
        <v>0</v>
      </c>
      <c r="U30" s="47">
        <f t="shared" si="9"/>
        <v>0</v>
      </c>
      <c r="V30" s="47">
        <f t="shared" si="10"/>
        <v>0</v>
      </c>
      <c r="W30" s="47">
        <f t="shared" si="11"/>
        <v>0</v>
      </c>
      <c r="X30" s="47">
        <f t="shared" si="12"/>
        <v>0</v>
      </c>
      <c r="Y30" s="47">
        <f t="shared" si="13"/>
        <v>0</v>
      </c>
      <c r="Z30" s="47">
        <f t="shared" si="14"/>
        <v>0</v>
      </c>
      <c r="AA30" s="47">
        <f t="shared" si="15"/>
        <v>0</v>
      </c>
      <c r="AC30" s="82">
        <f t="shared" si="16"/>
        <v>0</v>
      </c>
      <c r="AD30" s="82">
        <f t="shared" si="16"/>
        <v>0</v>
      </c>
      <c r="AE30" s="82">
        <f t="shared" si="16"/>
        <v>0</v>
      </c>
      <c r="AF30" s="82">
        <f t="shared" si="16"/>
        <v>0</v>
      </c>
      <c r="AH30" s="47">
        <f>IF($R30="",0,J30*$AC30*HLOOKUP(AH$6,Escalators!$I$25:$U$30,3,FALSE))</f>
        <v>0</v>
      </c>
      <c r="AI30" s="47">
        <f>IF($R30="",0,K30*$AC30*HLOOKUP(AI$6,Escalators!$I$25:$U$30,3,FALSE))</f>
        <v>0</v>
      </c>
      <c r="AJ30" s="47">
        <f>IF($R30="",0,L30*$AC30*HLOOKUP(AJ$6,Escalators!$I$25:$U$30,3,FALSE))</f>
        <v>0</v>
      </c>
      <c r="AK30" s="47">
        <f>IF($R30="",0,M30*$AC30*HLOOKUP(AK$6,Escalators!$I$25:$U$30,3,FALSE))</f>
        <v>0</v>
      </c>
      <c r="AL30" s="47">
        <f>IF($R30="",0,N30*$AC30*HLOOKUP(AL$6,Escalators!$I$25:$U$30,3,FALSE))</f>
        <v>0</v>
      </c>
      <c r="AM30" s="47">
        <f>IF($R30="",0,O30*$AC30*HLOOKUP(AM$6,Escalators!$I$25:$U$30,3,FALSE))</f>
        <v>0</v>
      </c>
      <c r="AN30" s="47">
        <f>IF($R30="",0,P30*$AC30*HLOOKUP(AN$6,Escalators!$I$25:$U$30,3,FALSE))</f>
        <v>0</v>
      </c>
      <c r="AO30" s="47">
        <f>IF($R30="",0,Q30*$AC30*HLOOKUP(AO$6,Escalators!$I$25:$U$30,3,FALSE))</f>
        <v>0</v>
      </c>
      <c r="AQ30" s="6">
        <f>IF($R30="",0,$J30*$AD30*INDEX(Act_Type_Repex_Splits,MATCH($I30,Act_Type_Repex,0),MATCH(AQ$5,Mat_Type,0))*INDEX(Escalators!$I$44:$Q$49,MATCH(AQ$5,Escalators!$C$44:$C$49,0),MATCH(AQ$6,Escalators!$I$43:$Q$43,0)))</f>
        <v>0</v>
      </c>
      <c r="AR30" s="6">
        <f>IF($R30="",0,$J30*$AD30*INDEX(Act_Type_Repex_Splits,MATCH($I30,Act_Type_Repex,0),MATCH(AR$5,Mat_Type,0))*INDEX(Escalators!$I$44:$Q$49,MATCH(AR$5,Escalators!$C$44:$C$49,0),MATCH(AR$6,Escalators!$I$43:$Q$43,0)))</f>
        <v>0</v>
      </c>
      <c r="AS30" s="6">
        <f>IF($R30="",0,$J30*$AD30*INDEX(Act_Type_Repex_Splits,MATCH($I30,Act_Type_Repex,0),MATCH(AS$5,Mat_Type,0))*INDEX(Escalators!$I$44:$Q$49,MATCH(AS$5,Escalators!$C$44:$C$49,0),MATCH(AS$6,Escalators!$I$43:$Q$43,0)))</f>
        <v>0</v>
      </c>
      <c r="AT30" s="6">
        <f>IF($R30="",0,$J30*$AD30*INDEX(Act_Type_Repex_Splits,MATCH($I30,Act_Type_Repex,0),MATCH(AT$5,Mat_Type,0))*INDEX(Escalators!$I$44:$Q$49,MATCH(AT$5,Escalators!$C$44:$C$49,0),MATCH(AT$6,Escalators!$I$43:$Q$43,0)))</f>
        <v>0</v>
      </c>
      <c r="AU30" s="6">
        <f>IF($R30="",0,$J30*$AD30*INDEX(Act_Type_Repex_Splits,MATCH($I30,Act_Type_Repex,0),MATCH(AU$5,Mat_Type,0))*INDEX(Escalators!$I$44:$Q$49,MATCH(AU$5,Escalators!$C$44:$C$49,0),MATCH(AU$6,Escalators!$I$43:$Q$43,0)))</f>
        <v>0</v>
      </c>
      <c r="AV30" s="47">
        <f t="shared" si="17"/>
        <v>0</v>
      </c>
      <c r="AW30" s="47">
        <f>IF($R30="",0,$K30*$AD30*INDEX(Act_Type_Repex_Splits,MATCH($I30,Act_Type_Repex,0),MATCH(AW$5,Mat_Type,0))*INDEX(Escalators!$I$44:$U$49,MATCH(AW$5,Escalators!$C$44:$C$49,0),MATCH(AW$6,Escalators!$I$43:$U$43,0)))</f>
        <v>0</v>
      </c>
      <c r="AX30" s="47">
        <f>IF($R30="",0,$K30*$AD30*INDEX(Act_Type_Repex_Splits,MATCH($I30,Act_Type_Repex,0),MATCH(AX$5,Mat_Type,0))*INDEX(Escalators!$I$44:$U$49,MATCH(AX$5,Escalators!$C$44:$C$49,0),MATCH(AX$6,Escalators!$I$43:$U$43,0)))</f>
        <v>0</v>
      </c>
      <c r="AY30" s="47">
        <f>IF($R30="",0,$K30*$AD30*INDEX(Act_Type_Repex_Splits,MATCH($I30,Act_Type_Repex,0),MATCH(AY$5,Mat_Type,0))*INDEX(Escalators!$I$44:$U$49,MATCH(AY$5,Escalators!$C$44:$C$49,0),MATCH(AY$6,Escalators!$I$43:$U$43,0)))</f>
        <v>0</v>
      </c>
      <c r="AZ30" s="47">
        <f>IF($R30="",0,$K30*$AD30*INDEX(Act_Type_Repex_Splits,MATCH($I30,Act_Type_Repex,0),MATCH(AZ$5,Mat_Type,0))*INDEX(Escalators!$I$44:$U$49,MATCH(AZ$5,Escalators!$C$44:$C$49,0),MATCH(AZ$6,Escalators!$I$43:$U$43,0)))</f>
        <v>0</v>
      </c>
      <c r="BA30" s="47">
        <f>IF($R30="",0,$K30*$AD30*INDEX(Act_Type_Repex_Splits,MATCH($I30,Act_Type_Repex,0),MATCH(BA$5,Mat_Type,0))*INDEX(Escalators!$I$44:$U$49,MATCH(BA$5,Escalators!$C$44:$C$49,0),MATCH(BA$6,Escalators!$I$43:$U$43,0)))</f>
        <v>0</v>
      </c>
      <c r="BB30" s="47">
        <f t="shared" si="18"/>
        <v>0</v>
      </c>
      <c r="BC30" s="47">
        <f>IF($R30="",0,$L30*$AD30*INDEX(Act_Type_Repex_Splits,MATCH($I30,Act_Type_Repex,0),MATCH(BC$5,Mat_Type,0))*INDEX(Escalators!$I$44:$U$49,MATCH(BC$5,Escalators!$C$44:$C$49,0),MATCH(BC$6,Escalators!$I$43:$U$43,0)))</f>
        <v>0</v>
      </c>
      <c r="BD30" s="47">
        <f>IF($R30="",0,$L30*$AD30*INDEX(Act_Type_Repex_Splits,MATCH($I30,Act_Type_Repex,0),MATCH(BD$5,Mat_Type,0))*INDEX(Escalators!$I$44:$U$49,MATCH(BD$5,Escalators!$C$44:$C$49,0),MATCH(BD$6,Escalators!$I$43:$U$43,0)))</f>
        <v>0</v>
      </c>
      <c r="BE30" s="47">
        <f>IF($R30="",0,$L30*$AD30*INDEX(Act_Type_Repex_Splits,MATCH($I30,Act_Type_Repex,0),MATCH(BE$5,Mat_Type,0))*INDEX(Escalators!$I$44:$U$49,MATCH(BE$5,Escalators!$C$44:$C$49,0),MATCH(BE$6,Escalators!$I$43:$U$43,0)))</f>
        <v>0</v>
      </c>
      <c r="BF30" s="47">
        <f>IF($R30="",0,$L30*$AD30*INDEX(Act_Type_Repex_Splits,MATCH($I30,Act_Type_Repex,0),MATCH(BF$5,Mat_Type,0))*INDEX(Escalators!$I$44:$U$49,MATCH(BF$5,Escalators!$C$44:$C$49,0),MATCH(BF$6,Escalators!$I$43:$U$43,0)))</f>
        <v>0</v>
      </c>
      <c r="BG30" s="47">
        <f>IF($R30="",0,$L30*$AD30*INDEX(Act_Type_Repex_Splits,MATCH($I30,Act_Type_Repex,0),MATCH(BG$5,Mat_Type,0))*INDEX(Escalators!$I$44:$U$49,MATCH(BG$5,Escalators!$C$44:$C$49,0),MATCH(BG$6,Escalators!$I$43:$U$43,0)))</f>
        <v>0</v>
      </c>
      <c r="BH30" s="47">
        <f t="shared" si="19"/>
        <v>0</v>
      </c>
      <c r="BI30" s="47">
        <f>IF($R30="",0,$M30*$AD30*INDEX(Act_Type_Repex_Splits,MATCH($I30,Act_Type_Repex,0),MATCH(BI$5,Mat_Type,0))*INDEX(Escalators!$I$44:$U$49,MATCH(BI$5,Escalators!$C$44:$C$49,0),MATCH(BI$6,Escalators!$I$43:$U$43,0)))</f>
        <v>0</v>
      </c>
      <c r="BJ30" s="47">
        <f>IF($R30="",0,$M30*$AD30*INDEX(Act_Type_Repex_Splits,MATCH($I30,Act_Type_Repex,0),MATCH(BJ$5,Mat_Type,0))*INDEX(Escalators!$I$44:$U$49,MATCH(BJ$5,Escalators!$C$44:$C$49,0),MATCH(BJ$6,Escalators!$I$43:$U$43,0)))</f>
        <v>0</v>
      </c>
      <c r="BK30" s="47">
        <f>IF($R30="",0,$M30*$AD30*INDEX(Act_Type_Repex_Splits,MATCH($I30,Act_Type_Repex,0),MATCH(BK$5,Mat_Type,0))*INDEX(Escalators!$I$44:$U$49,MATCH(BK$5,Escalators!$C$44:$C$49,0),MATCH(BK$6,Escalators!$I$43:$U$43,0)))</f>
        <v>0</v>
      </c>
      <c r="BL30" s="47">
        <f>IF($R30="",0,$M30*$AD30*INDEX(Act_Type_Repex_Splits,MATCH($I30,Act_Type_Repex,0),MATCH(BL$5,Mat_Type,0))*INDEX(Escalators!$I$44:$U$49,MATCH(BL$5,Escalators!$C$44:$C$49,0),MATCH(BL$6,Escalators!$I$43:$U$43,0)))</f>
        <v>0</v>
      </c>
      <c r="BM30" s="47">
        <f>IF($R30="",0,$M30*$AD30*INDEX(Act_Type_Repex_Splits,MATCH($I30,Act_Type_Repex,0),MATCH(BM$5,Mat_Type,0))*INDEX(Escalators!$I$44:$U$49,MATCH(BM$5,Escalators!$C$44:$C$49,0),MATCH(BM$6,Escalators!$I$43:$U$43,0)))</f>
        <v>0</v>
      </c>
      <c r="BN30" s="47">
        <f t="shared" si="20"/>
        <v>0</v>
      </c>
      <c r="BO30" s="47">
        <f>IF($R30="",0,$N30*$AD30*INDEX(Act_Type_Repex_Splits,MATCH($I30,Act_Type_Repex,0),MATCH(BO$5,Mat_Type,0))*INDEX(Escalators!$I$44:$U$49,MATCH(BO$5,Escalators!$C$44:$C$49,0),MATCH(BO$6,Escalators!$I$43:$U$43,0)))</f>
        <v>0</v>
      </c>
      <c r="BP30" s="47">
        <f>IF($R30="",0,$N30*$AD30*INDEX(Act_Type_Repex_Splits,MATCH($I30,Act_Type_Repex,0),MATCH(BP$5,Mat_Type,0))*INDEX(Escalators!$I$44:$U$49,MATCH(BP$5,Escalators!$C$44:$C$49,0),MATCH(BP$6,Escalators!$I$43:$U$43,0)))</f>
        <v>0</v>
      </c>
      <c r="BQ30" s="47">
        <f>IF($R30="",0,$N30*$AD30*INDEX(Act_Type_Repex_Splits,MATCH($I30,Act_Type_Repex,0),MATCH(BQ$5,Mat_Type,0))*INDEX(Escalators!$I$44:$U$49,MATCH(BQ$5,Escalators!$C$44:$C$49,0),MATCH(BQ$6,Escalators!$I$43:$U$43,0)))</f>
        <v>0</v>
      </c>
      <c r="BR30" s="47">
        <f>IF($R30="",0,$N30*$AD30*INDEX(Act_Type_Repex_Splits,MATCH($I30,Act_Type_Repex,0),MATCH(BR$5,Mat_Type,0))*INDEX(Escalators!$I$44:$U$49,MATCH(BR$5,Escalators!$C$44:$C$49,0),MATCH(BR$6,Escalators!$I$43:$U$43,0)))</f>
        <v>0</v>
      </c>
      <c r="BS30" s="47">
        <f>IF($R30="",0,$N30*$AD30*INDEX(Act_Type_Repex_Splits,MATCH($I30,Act_Type_Repex,0),MATCH(BS$5,Mat_Type,0))*INDEX(Escalators!$I$44:$U$49,MATCH(BS$5,Escalators!$C$44:$C$49,0),MATCH(BS$6,Escalators!$I$43:$U$43,0)))</f>
        <v>0</v>
      </c>
      <c r="BT30" s="47">
        <f t="shared" si="21"/>
        <v>0</v>
      </c>
      <c r="BU30" s="47">
        <f>IF($R30="",0,$O30*$AD30*INDEX(Act_Type_Repex_Splits,MATCH($I30,Act_Type_Repex,0),MATCH(BU$5,Mat_Type,0))*INDEX(Escalators!$I$44:$U$49,MATCH(BU$5,Escalators!$C$44:$C$49,0),MATCH(BU$6,Escalators!$I$43:$U$43,0)))</f>
        <v>0</v>
      </c>
      <c r="BV30" s="47">
        <f>IF($R30="",0,$O30*$AD30*INDEX(Act_Type_Repex_Splits,MATCH($I30,Act_Type_Repex,0),MATCH(BV$5,Mat_Type,0))*INDEX(Escalators!$I$44:$U$49,MATCH(BV$5,Escalators!$C$44:$C$49,0),MATCH(BV$6,Escalators!$I$43:$U$43,0)))</f>
        <v>0</v>
      </c>
      <c r="BW30" s="47">
        <f>IF($R30="",0,$O30*$AD30*INDEX(Act_Type_Repex_Splits,MATCH($I30,Act_Type_Repex,0),MATCH(BW$5,Mat_Type,0))*INDEX(Escalators!$I$44:$U$49,MATCH(BW$5,Escalators!$C$44:$C$49,0),MATCH(BW$6,Escalators!$I$43:$U$43,0)))</f>
        <v>0</v>
      </c>
      <c r="BX30" s="47">
        <f>IF($R30="",0,$O30*$AD30*INDEX(Act_Type_Repex_Splits,MATCH($I30,Act_Type_Repex,0),MATCH(BX$5,Mat_Type,0))*INDEX(Escalators!$I$44:$U$49,MATCH(BX$5,Escalators!$C$44:$C$49,0),MATCH(BX$6,Escalators!$I$43:$U$43,0)))</f>
        <v>0</v>
      </c>
      <c r="BY30" s="47">
        <f>IF($R30="",0,$O30*$AD30*INDEX(Act_Type_Repex_Splits,MATCH($I30,Act_Type_Repex,0),MATCH(BY$5,Mat_Type,0))*INDEX(Escalators!$I$44:$U$49,MATCH(BY$5,Escalators!$C$44:$C$49,0),MATCH(BY$6,Escalators!$I$43:$U$43,0)))</f>
        <v>0</v>
      </c>
      <c r="BZ30" s="47">
        <f t="shared" si="22"/>
        <v>0</v>
      </c>
      <c r="CA30" s="47">
        <f>IF($R30="",0,$P30*$AD30*INDEX(Act_Type_Repex_Splits,MATCH($I30,Act_Type_Repex,0),MATCH(CA$5,Mat_Type,0))*INDEX(Escalators!$I$44:$U$49,MATCH(CA$5,Escalators!$C$44:$C$49,0),MATCH(CA$6,Escalators!$I$43:$U$43,0)))</f>
        <v>0</v>
      </c>
      <c r="CB30" s="47">
        <f>IF($R30="",0,$P30*$AD30*INDEX(Act_Type_Repex_Splits,MATCH($I30,Act_Type_Repex,0),MATCH(CB$5,Mat_Type,0))*INDEX(Escalators!$I$44:$U$49,MATCH(CB$5,Escalators!$C$44:$C$49,0),MATCH(CB$6,Escalators!$I$43:$U$43,0)))</f>
        <v>0</v>
      </c>
      <c r="CC30" s="47">
        <f>IF($R30="",0,$P30*$AD30*INDEX(Act_Type_Repex_Splits,MATCH($I30,Act_Type_Repex,0),MATCH(CC$5,Mat_Type,0))*INDEX(Escalators!$I$44:$U$49,MATCH(CC$5,Escalators!$C$44:$C$49,0),MATCH(CC$6,Escalators!$I$43:$U$43,0)))</f>
        <v>0</v>
      </c>
      <c r="CD30" s="47">
        <f>IF($R30="",0,$P30*$AD30*INDEX(Act_Type_Repex_Splits,MATCH($I30,Act_Type_Repex,0),MATCH(CD$5,Mat_Type,0))*INDEX(Escalators!$I$44:$U$49,MATCH(CD$5,Escalators!$C$44:$C$49,0),MATCH(CD$6,Escalators!$I$43:$U$43,0)))</f>
        <v>0</v>
      </c>
      <c r="CE30" s="47">
        <f>IF($R30="",0,$P30*$AD30*INDEX(Act_Type_Repex_Splits,MATCH($I30,Act_Type_Repex,0),MATCH(CE$5,Mat_Type,0))*INDEX(Escalators!$I$44:$U$49,MATCH(CE$5,Escalators!$C$44:$C$49,0),MATCH(CE$6,Escalators!$I$43:$U$43,0)))</f>
        <v>0</v>
      </c>
      <c r="CF30" s="47">
        <f t="shared" si="23"/>
        <v>0</v>
      </c>
      <c r="CG30" s="47">
        <f>IF($R30="",0,$Q30*$AD30*INDEX(Act_Type_Repex_Splits,MATCH($I30,Act_Type_Repex,0),MATCH(CG$5,Mat_Type,0))*INDEX(Escalators!$I$44:$U$49,MATCH(CG$5,Escalators!$C$44:$C$49,0),MATCH(CG$6,Escalators!$I$43:$U$43,0)))</f>
        <v>0</v>
      </c>
      <c r="CH30" s="47">
        <f>IF($R30="",0,$Q30*$AD30*INDEX(Act_Type_Repex_Splits,MATCH($I30,Act_Type_Repex,0),MATCH(CH$5,Mat_Type,0))*INDEX(Escalators!$I$44:$U$49,MATCH(CH$5,Escalators!$C$44:$C$49,0),MATCH(CH$6,Escalators!$I$43:$U$43,0)))</f>
        <v>0</v>
      </c>
      <c r="CI30" s="47">
        <f>IF($R30="",0,$Q30*$AD30*INDEX(Act_Type_Repex_Splits,MATCH($I30,Act_Type_Repex,0),MATCH(CI$5,Mat_Type,0))*INDEX(Escalators!$I$44:$U$49,MATCH(CI$5,Escalators!$C$44:$C$49,0),MATCH(CI$6,Escalators!$I$43:$U$43,0)))</f>
        <v>0</v>
      </c>
      <c r="CJ30" s="47">
        <f>IF($R30="",0,$Q30*$AD30*INDEX(Act_Type_Repex_Splits,MATCH($I30,Act_Type_Repex,0),MATCH(CJ$5,Mat_Type,0))*INDEX(Escalators!$I$44:$U$49,MATCH(CJ$5,Escalators!$C$44:$C$49,0),MATCH(CJ$6,Escalators!$I$43:$U$43,0)))</f>
        <v>0</v>
      </c>
      <c r="CK30" s="47">
        <f>IF($R30="",0,$Q30*$AD30*INDEX(Act_Type_Repex_Splits,MATCH($I30,Act_Type_Repex,0),MATCH(CK$5,Mat_Type,0))*INDEX(Escalators!$I$44:$U$49,MATCH(CK$5,Escalators!$C$44:$C$49,0),MATCH(CK$6,Escalators!$I$43:$U$43,0)))</f>
        <v>0</v>
      </c>
      <c r="CL30" s="47">
        <f t="shared" si="24"/>
        <v>0</v>
      </c>
      <c r="CN30" s="47">
        <f>IF($R30="",0,J30*$AE30*HLOOKUP(CN$6,Escalators!$I$25:$U$30,6,FALSE))</f>
        <v>0</v>
      </c>
      <c r="CO30" s="47">
        <f>IF($R30="",0,K30*$AE30*HLOOKUP(CO$6,Escalators!$I$25:$U$30,6,FALSE))</f>
        <v>0</v>
      </c>
      <c r="CP30" s="47">
        <f>IF($R30="",0,L30*$AE30*HLOOKUP(CP$6,Escalators!$I$25:$U$30,6,FALSE))</f>
        <v>0</v>
      </c>
      <c r="CQ30" s="47">
        <f>IF($R30="",0,M30*$AE30*HLOOKUP(CQ$6,Escalators!$I$25:$U$30,6,FALSE))</f>
        <v>0</v>
      </c>
      <c r="CR30" s="47">
        <f>IF($R30="",0,N30*$AE30*HLOOKUP(CR$6,Escalators!$I$25:$U$30,6,FALSE))</f>
        <v>0</v>
      </c>
      <c r="CS30" s="47">
        <f>IF($R30="",0,O30*$AE30*HLOOKUP(CS$6,Escalators!$I$25:$U$30,6,FALSE))</f>
        <v>0</v>
      </c>
      <c r="CT30" s="47">
        <f>IF($R30="",0,P30*$AE30*HLOOKUP(CT$6,Escalators!$I$25:$U$30,6,FALSE))</f>
        <v>0</v>
      </c>
      <c r="CU30" s="47">
        <f>IF($R30="",0,Q30*$AE30*HLOOKUP(CU$6,Escalators!$I$25:$U$30,6,FALSE))</f>
        <v>0</v>
      </c>
      <c r="CW30" s="47">
        <f t="shared" si="25"/>
        <v>0</v>
      </c>
      <c r="CX30" s="47">
        <f t="shared" si="26"/>
        <v>0</v>
      </c>
      <c r="CY30" s="47">
        <f t="shared" si="27"/>
        <v>0</v>
      </c>
      <c r="CZ30" s="47">
        <f t="shared" si="28"/>
        <v>0</v>
      </c>
      <c r="DA30" s="47">
        <f t="shared" si="29"/>
        <v>0</v>
      </c>
      <c r="DB30" s="47">
        <f t="shared" si="30"/>
        <v>0</v>
      </c>
      <c r="DC30" s="47">
        <f t="shared" si="31"/>
        <v>0</v>
      </c>
      <c r="DD30" s="47">
        <f t="shared" si="32"/>
        <v>0</v>
      </c>
      <c r="DF30" s="47">
        <f t="shared" si="33"/>
        <v>0</v>
      </c>
      <c r="DG30" s="47">
        <f t="shared" si="34"/>
        <v>0</v>
      </c>
      <c r="DH30" s="47">
        <f t="shared" si="35"/>
        <v>0</v>
      </c>
      <c r="DI30" s="47">
        <f t="shared" si="36"/>
        <v>0</v>
      </c>
      <c r="DJ30" s="47">
        <f t="shared" si="37"/>
        <v>0</v>
      </c>
      <c r="DK30" s="47">
        <f t="shared" si="38"/>
        <v>0</v>
      </c>
      <c r="DL30" s="47">
        <f t="shared" si="39"/>
        <v>0</v>
      </c>
      <c r="DM30" s="47">
        <f t="shared" si="40"/>
        <v>0</v>
      </c>
      <c r="DO30" s="39"/>
    </row>
    <row r="31" spans="2:124">
      <c r="B31" s="7"/>
      <c r="C31" s="7"/>
      <c r="D31" s="7"/>
      <c r="E31" s="7"/>
      <c r="F31" s="7"/>
      <c r="G31" s="7"/>
      <c r="H31" s="7"/>
      <c r="I31" s="7"/>
      <c r="J31" s="7"/>
      <c r="K31" s="7"/>
      <c r="L31" s="7"/>
      <c r="M31" s="7"/>
      <c r="N31" s="7"/>
      <c r="O31" s="7"/>
      <c r="P31" s="7"/>
      <c r="Q31" s="7"/>
      <c r="R31" s="46"/>
      <c r="T31" s="47">
        <f t="shared" si="8"/>
        <v>0</v>
      </c>
      <c r="U31" s="47">
        <f t="shared" si="9"/>
        <v>0</v>
      </c>
      <c r="V31" s="47">
        <f t="shared" si="10"/>
        <v>0</v>
      </c>
      <c r="W31" s="47">
        <f t="shared" si="11"/>
        <v>0</v>
      </c>
      <c r="X31" s="47">
        <f t="shared" si="12"/>
        <v>0</v>
      </c>
      <c r="Y31" s="47">
        <f t="shared" si="13"/>
        <v>0</v>
      </c>
      <c r="Z31" s="47">
        <f t="shared" si="14"/>
        <v>0</v>
      </c>
      <c r="AA31" s="47">
        <f t="shared" si="15"/>
        <v>0</v>
      </c>
      <c r="AC31" s="82">
        <f t="shared" si="16"/>
        <v>0</v>
      </c>
      <c r="AD31" s="82">
        <f t="shared" si="16"/>
        <v>0</v>
      </c>
      <c r="AE31" s="82">
        <f t="shared" si="16"/>
        <v>0</v>
      </c>
      <c r="AF31" s="82">
        <f t="shared" si="16"/>
        <v>0</v>
      </c>
      <c r="AH31" s="47">
        <f>IF($R31="",0,J31*$AC31*HLOOKUP(AH$6,Escalators!$I$25:$U$30,3,FALSE))</f>
        <v>0</v>
      </c>
      <c r="AI31" s="47">
        <f>IF($R31="",0,K31*$AC31*HLOOKUP(AI$6,Escalators!$I$25:$U$30,3,FALSE))</f>
        <v>0</v>
      </c>
      <c r="AJ31" s="47">
        <f>IF($R31="",0,L31*$AC31*HLOOKUP(AJ$6,Escalators!$I$25:$U$30,3,FALSE))</f>
        <v>0</v>
      </c>
      <c r="AK31" s="47">
        <f>IF($R31="",0,M31*$AC31*HLOOKUP(AK$6,Escalators!$I$25:$U$30,3,FALSE))</f>
        <v>0</v>
      </c>
      <c r="AL31" s="47">
        <f>IF($R31="",0,N31*$AC31*HLOOKUP(AL$6,Escalators!$I$25:$U$30,3,FALSE))</f>
        <v>0</v>
      </c>
      <c r="AM31" s="47">
        <f>IF($R31="",0,O31*$AC31*HLOOKUP(AM$6,Escalators!$I$25:$U$30,3,FALSE))</f>
        <v>0</v>
      </c>
      <c r="AN31" s="47">
        <f>IF($R31="",0,P31*$AC31*HLOOKUP(AN$6,Escalators!$I$25:$U$30,3,FALSE))</f>
        <v>0</v>
      </c>
      <c r="AO31" s="47">
        <f>IF($R31="",0,Q31*$AC31*HLOOKUP(AO$6,Escalators!$I$25:$U$30,3,FALSE))</f>
        <v>0</v>
      </c>
      <c r="AQ31" s="6">
        <f>IF($R31="",0,$J31*$AD31*INDEX(Act_Type_Repex_Splits,MATCH($I31,Act_Type_Repex,0),MATCH(AQ$5,Mat_Type,0))*INDEX(Escalators!$I$44:$Q$49,MATCH(AQ$5,Escalators!$C$44:$C$49,0),MATCH(AQ$6,Escalators!$I$43:$Q$43,0)))</f>
        <v>0</v>
      </c>
      <c r="AR31" s="6">
        <f>IF($R31="",0,$J31*$AD31*INDEX(Act_Type_Repex_Splits,MATCH($I31,Act_Type_Repex,0),MATCH(AR$5,Mat_Type,0))*INDEX(Escalators!$I$44:$Q$49,MATCH(AR$5,Escalators!$C$44:$C$49,0),MATCH(AR$6,Escalators!$I$43:$Q$43,0)))</f>
        <v>0</v>
      </c>
      <c r="AS31" s="6">
        <f>IF($R31="",0,$J31*$AD31*INDEX(Act_Type_Repex_Splits,MATCH($I31,Act_Type_Repex,0),MATCH(AS$5,Mat_Type,0))*INDEX(Escalators!$I$44:$Q$49,MATCH(AS$5,Escalators!$C$44:$C$49,0),MATCH(AS$6,Escalators!$I$43:$Q$43,0)))</f>
        <v>0</v>
      </c>
      <c r="AT31" s="6">
        <f>IF($R31="",0,$J31*$AD31*INDEX(Act_Type_Repex_Splits,MATCH($I31,Act_Type_Repex,0),MATCH(AT$5,Mat_Type,0))*INDEX(Escalators!$I$44:$Q$49,MATCH(AT$5,Escalators!$C$44:$C$49,0),MATCH(AT$6,Escalators!$I$43:$Q$43,0)))</f>
        <v>0</v>
      </c>
      <c r="AU31" s="6">
        <f>IF($R31="",0,$J31*$AD31*INDEX(Act_Type_Repex_Splits,MATCH($I31,Act_Type_Repex,0),MATCH(AU$5,Mat_Type,0))*INDEX(Escalators!$I$44:$Q$49,MATCH(AU$5,Escalators!$C$44:$C$49,0),MATCH(AU$6,Escalators!$I$43:$Q$43,0)))</f>
        <v>0</v>
      </c>
      <c r="AV31" s="47">
        <f t="shared" si="17"/>
        <v>0</v>
      </c>
      <c r="AW31" s="47">
        <f>IF($R31="",0,$K31*$AD31*INDEX(Act_Type_Repex_Splits,MATCH($I31,Act_Type_Repex,0),MATCH(AW$5,Mat_Type,0))*INDEX(Escalators!$I$44:$U$49,MATCH(AW$5,Escalators!$C$44:$C$49,0),MATCH(AW$6,Escalators!$I$43:$U$43,0)))</f>
        <v>0</v>
      </c>
      <c r="AX31" s="47">
        <f>IF($R31="",0,$K31*$AD31*INDEX(Act_Type_Repex_Splits,MATCH($I31,Act_Type_Repex,0),MATCH(AX$5,Mat_Type,0))*INDEX(Escalators!$I$44:$U$49,MATCH(AX$5,Escalators!$C$44:$C$49,0),MATCH(AX$6,Escalators!$I$43:$U$43,0)))</f>
        <v>0</v>
      </c>
      <c r="AY31" s="47">
        <f>IF($R31="",0,$K31*$AD31*INDEX(Act_Type_Repex_Splits,MATCH($I31,Act_Type_Repex,0),MATCH(AY$5,Mat_Type,0))*INDEX(Escalators!$I$44:$U$49,MATCH(AY$5,Escalators!$C$44:$C$49,0),MATCH(AY$6,Escalators!$I$43:$U$43,0)))</f>
        <v>0</v>
      </c>
      <c r="AZ31" s="47">
        <f>IF($R31="",0,$K31*$AD31*INDEX(Act_Type_Repex_Splits,MATCH($I31,Act_Type_Repex,0),MATCH(AZ$5,Mat_Type,0))*INDEX(Escalators!$I$44:$U$49,MATCH(AZ$5,Escalators!$C$44:$C$49,0),MATCH(AZ$6,Escalators!$I$43:$U$43,0)))</f>
        <v>0</v>
      </c>
      <c r="BA31" s="47">
        <f>IF($R31="",0,$K31*$AD31*INDEX(Act_Type_Repex_Splits,MATCH($I31,Act_Type_Repex,0),MATCH(BA$5,Mat_Type,0))*INDEX(Escalators!$I$44:$U$49,MATCH(BA$5,Escalators!$C$44:$C$49,0),MATCH(BA$6,Escalators!$I$43:$U$43,0)))</f>
        <v>0</v>
      </c>
      <c r="BB31" s="47">
        <f t="shared" si="18"/>
        <v>0</v>
      </c>
      <c r="BC31" s="47">
        <f>IF($R31="",0,$L31*$AD31*INDEX(Act_Type_Repex_Splits,MATCH($I31,Act_Type_Repex,0),MATCH(BC$5,Mat_Type,0))*INDEX(Escalators!$I$44:$U$49,MATCH(BC$5,Escalators!$C$44:$C$49,0),MATCH(BC$6,Escalators!$I$43:$U$43,0)))</f>
        <v>0</v>
      </c>
      <c r="BD31" s="47">
        <f>IF($R31="",0,$L31*$AD31*INDEX(Act_Type_Repex_Splits,MATCH($I31,Act_Type_Repex,0),MATCH(BD$5,Mat_Type,0))*INDEX(Escalators!$I$44:$U$49,MATCH(BD$5,Escalators!$C$44:$C$49,0),MATCH(BD$6,Escalators!$I$43:$U$43,0)))</f>
        <v>0</v>
      </c>
      <c r="BE31" s="47">
        <f>IF($R31="",0,$L31*$AD31*INDEX(Act_Type_Repex_Splits,MATCH($I31,Act_Type_Repex,0),MATCH(BE$5,Mat_Type,0))*INDEX(Escalators!$I$44:$U$49,MATCH(BE$5,Escalators!$C$44:$C$49,0),MATCH(BE$6,Escalators!$I$43:$U$43,0)))</f>
        <v>0</v>
      </c>
      <c r="BF31" s="47">
        <f>IF($R31="",0,$L31*$AD31*INDEX(Act_Type_Repex_Splits,MATCH($I31,Act_Type_Repex,0),MATCH(BF$5,Mat_Type,0))*INDEX(Escalators!$I$44:$U$49,MATCH(BF$5,Escalators!$C$44:$C$49,0),MATCH(BF$6,Escalators!$I$43:$U$43,0)))</f>
        <v>0</v>
      </c>
      <c r="BG31" s="47">
        <f>IF($R31="",0,$L31*$AD31*INDEX(Act_Type_Repex_Splits,MATCH($I31,Act_Type_Repex,0),MATCH(BG$5,Mat_Type,0))*INDEX(Escalators!$I$44:$U$49,MATCH(BG$5,Escalators!$C$44:$C$49,0),MATCH(BG$6,Escalators!$I$43:$U$43,0)))</f>
        <v>0</v>
      </c>
      <c r="BH31" s="47">
        <f t="shared" si="19"/>
        <v>0</v>
      </c>
      <c r="BI31" s="47">
        <f>IF($R31="",0,$M31*$AD31*INDEX(Act_Type_Repex_Splits,MATCH($I31,Act_Type_Repex,0),MATCH(BI$5,Mat_Type,0))*INDEX(Escalators!$I$44:$U$49,MATCH(BI$5,Escalators!$C$44:$C$49,0),MATCH(BI$6,Escalators!$I$43:$U$43,0)))</f>
        <v>0</v>
      </c>
      <c r="BJ31" s="47">
        <f>IF($R31="",0,$M31*$AD31*INDEX(Act_Type_Repex_Splits,MATCH($I31,Act_Type_Repex,0),MATCH(BJ$5,Mat_Type,0))*INDEX(Escalators!$I$44:$U$49,MATCH(BJ$5,Escalators!$C$44:$C$49,0),MATCH(BJ$6,Escalators!$I$43:$U$43,0)))</f>
        <v>0</v>
      </c>
      <c r="BK31" s="47">
        <f>IF($R31="",0,$M31*$AD31*INDEX(Act_Type_Repex_Splits,MATCH($I31,Act_Type_Repex,0),MATCH(BK$5,Mat_Type,0))*INDEX(Escalators!$I$44:$U$49,MATCH(BK$5,Escalators!$C$44:$C$49,0),MATCH(BK$6,Escalators!$I$43:$U$43,0)))</f>
        <v>0</v>
      </c>
      <c r="BL31" s="47">
        <f>IF($R31="",0,$M31*$AD31*INDEX(Act_Type_Repex_Splits,MATCH($I31,Act_Type_Repex,0),MATCH(BL$5,Mat_Type,0))*INDEX(Escalators!$I$44:$U$49,MATCH(BL$5,Escalators!$C$44:$C$49,0),MATCH(BL$6,Escalators!$I$43:$U$43,0)))</f>
        <v>0</v>
      </c>
      <c r="BM31" s="47">
        <f>IF($R31="",0,$M31*$AD31*INDEX(Act_Type_Repex_Splits,MATCH($I31,Act_Type_Repex,0),MATCH(BM$5,Mat_Type,0))*INDEX(Escalators!$I$44:$U$49,MATCH(BM$5,Escalators!$C$44:$C$49,0),MATCH(BM$6,Escalators!$I$43:$U$43,0)))</f>
        <v>0</v>
      </c>
      <c r="BN31" s="47">
        <f t="shared" si="20"/>
        <v>0</v>
      </c>
      <c r="BO31" s="47">
        <f>IF($R31="",0,$N31*$AD31*INDEX(Act_Type_Repex_Splits,MATCH($I31,Act_Type_Repex,0),MATCH(BO$5,Mat_Type,0))*INDEX(Escalators!$I$44:$U$49,MATCH(BO$5,Escalators!$C$44:$C$49,0),MATCH(BO$6,Escalators!$I$43:$U$43,0)))</f>
        <v>0</v>
      </c>
      <c r="BP31" s="47">
        <f>IF($R31="",0,$N31*$AD31*INDEX(Act_Type_Repex_Splits,MATCH($I31,Act_Type_Repex,0),MATCH(BP$5,Mat_Type,0))*INDEX(Escalators!$I$44:$U$49,MATCH(BP$5,Escalators!$C$44:$C$49,0),MATCH(BP$6,Escalators!$I$43:$U$43,0)))</f>
        <v>0</v>
      </c>
      <c r="BQ31" s="47">
        <f>IF($R31="",0,$N31*$AD31*INDEX(Act_Type_Repex_Splits,MATCH($I31,Act_Type_Repex,0),MATCH(BQ$5,Mat_Type,0))*INDEX(Escalators!$I$44:$U$49,MATCH(BQ$5,Escalators!$C$44:$C$49,0),MATCH(BQ$6,Escalators!$I$43:$U$43,0)))</f>
        <v>0</v>
      </c>
      <c r="BR31" s="47">
        <f>IF($R31="",0,$N31*$AD31*INDEX(Act_Type_Repex_Splits,MATCH($I31,Act_Type_Repex,0),MATCH(BR$5,Mat_Type,0))*INDEX(Escalators!$I$44:$U$49,MATCH(BR$5,Escalators!$C$44:$C$49,0),MATCH(BR$6,Escalators!$I$43:$U$43,0)))</f>
        <v>0</v>
      </c>
      <c r="BS31" s="47">
        <f>IF($R31="",0,$N31*$AD31*INDEX(Act_Type_Repex_Splits,MATCH($I31,Act_Type_Repex,0),MATCH(BS$5,Mat_Type,0))*INDEX(Escalators!$I$44:$U$49,MATCH(BS$5,Escalators!$C$44:$C$49,0),MATCH(BS$6,Escalators!$I$43:$U$43,0)))</f>
        <v>0</v>
      </c>
      <c r="BT31" s="47">
        <f t="shared" si="21"/>
        <v>0</v>
      </c>
      <c r="BU31" s="47">
        <f>IF($R31="",0,$O31*$AD31*INDEX(Act_Type_Repex_Splits,MATCH($I31,Act_Type_Repex,0),MATCH(BU$5,Mat_Type,0))*INDEX(Escalators!$I$44:$U$49,MATCH(BU$5,Escalators!$C$44:$C$49,0),MATCH(BU$6,Escalators!$I$43:$U$43,0)))</f>
        <v>0</v>
      </c>
      <c r="BV31" s="47">
        <f>IF($R31="",0,$O31*$AD31*INDEX(Act_Type_Repex_Splits,MATCH($I31,Act_Type_Repex,0),MATCH(BV$5,Mat_Type,0))*INDEX(Escalators!$I$44:$U$49,MATCH(BV$5,Escalators!$C$44:$C$49,0),MATCH(BV$6,Escalators!$I$43:$U$43,0)))</f>
        <v>0</v>
      </c>
      <c r="BW31" s="47">
        <f>IF($R31="",0,$O31*$AD31*INDEX(Act_Type_Repex_Splits,MATCH($I31,Act_Type_Repex,0),MATCH(BW$5,Mat_Type,0))*INDEX(Escalators!$I$44:$U$49,MATCH(BW$5,Escalators!$C$44:$C$49,0),MATCH(BW$6,Escalators!$I$43:$U$43,0)))</f>
        <v>0</v>
      </c>
      <c r="BX31" s="47">
        <f>IF($R31="",0,$O31*$AD31*INDEX(Act_Type_Repex_Splits,MATCH($I31,Act_Type_Repex,0),MATCH(BX$5,Mat_Type,0))*INDEX(Escalators!$I$44:$U$49,MATCH(BX$5,Escalators!$C$44:$C$49,0),MATCH(BX$6,Escalators!$I$43:$U$43,0)))</f>
        <v>0</v>
      </c>
      <c r="BY31" s="47">
        <f>IF($R31="",0,$O31*$AD31*INDEX(Act_Type_Repex_Splits,MATCH($I31,Act_Type_Repex,0),MATCH(BY$5,Mat_Type,0))*INDEX(Escalators!$I$44:$U$49,MATCH(BY$5,Escalators!$C$44:$C$49,0),MATCH(BY$6,Escalators!$I$43:$U$43,0)))</f>
        <v>0</v>
      </c>
      <c r="BZ31" s="47">
        <f t="shared" si="22"/>
        <v>0</v>
      </c>
      <c r="CA31" s="47">
        <f>IF($R31="",0,$P31*$AD31*INDEX(Act_Type_Repex_Splits,MATCH($I31,Act_Type_Repex,0),MATCH(CA$5,Mat_Type,0))*INDEX(Escalators!$I$44:$U$49,MATCH(CA$5,Escalators!$C$44:$C$49,0),MATCH(CA$6,Escalators!$I$43:$U$43,0)))</f>
        <v>0</v>
      </c>
      <c r="CB31" s="47">
        <f>IF($R31="",0,$P31*$AD31*INDEX(Act_Type_Repex_Splits,MATCH($I31,Act_Type_Repex,0),MATCH(CB$5,Mat_Type,0))*INDEX(Escalators!$I$44:$U$49,MATCH(CB$5,Escalators!$C$44:$C$49,0),MATCH(CB$6,Escalators!$I$43:$U$43,0)))</f>
        <v>0</v>
      </c>
      <c r="CC31" s="47">
        <f>IF($R31="",0,$P31*$AD31*INDEX(Act_Type_Repex_Splits,MATCH($I31,Act_Type_Repex,0),MATCH(CC$5,Mat_Type,0))*INDEX(Escalators!$I$44:$U$49,MATCH(CC$5,Escalators!$C$44:$C$49,0),MATCH(CC$6,Escalators!$I$43:$U$43,0)))</f>
        <v>0</v>
      </c>
      <c r="CD31" s="47">
        <f>IF($R31="",0,$P31*$AD31*INDEX(Act_Type_Repex_Splits,MATCH($I31,Act_Type_Repex,0),MATCH(CD$5,Mat_Type,0))*INDEX(Escalators!$I$44:$U$49,MATCH(CD$5,Escalators!$C$44:$C$49,0),MATCH(CD$6,Escalators!$I$43:$U$43,0)))</f>
        <v>0</v>
      </c>
      <c r="CE31" s="47">
        <f>IF($R31="",0,$P31*$AD31*INDEX(Act_Type_Repex_Splits,MATCH($I31,Act_Type_Repex,0),MATCH(CE$5,Mat_Type,0))*INDEX(Escalators!$I$44:$U$49,MATCH(CE$5,Escalators!$C$44:$C$49,0),MATCH(CE$6,Escalators!$I$43:$U$43,0)))</f>
        <v>0</v>
      </c>
      <c r="CF31" s="47">
        <f t="shared" si="23"/>
        <v>0</v>
      </c>
      <c r="CG31" s="47">
        <f>IF($R31="",0,$Q31*$AD31*INDEX(Act_Type_Repex_Splits,MATCH($I31,Act_Type_Repex,0),MATCH(CG$5,Mat_Type,0))*INDEX(Escalators!$I$44:$U$49,MATCH(CG$5,Escalators!$C$44:$C$49,0),MATCH(CG$6,Escalators!$I$43:$U$43,0)))</f>
        <v>0</v>
      </c>
      <c r="CH31" s="47">
        <f>IF($R31="",0,$Q31*$AD31*INDEX(Act_Type_Repex_Splits,MATCH($I31,Act_Type_Repex,0),MATCH(CH$5,Mat_Type,0))*INDEX(Escalators!$I$44:$U$49,MATCH(CH$5,Escalators!$C$44:$C$49,0),MATCH(CH$6,Escalators!$I$43:$U$43,0)))</f>
        <v>0</v>
      </c>
      <c r="CI31" s="47">
        <f>IF($R31="",0,$Q31*$AD31*INDEX(Act_Type_Repex_Splits,MATCH($I31,Act_Type_Repex,0),MATCH(CI$5,Mat_Type,0))*INDEX(Escalators!$I$44:$U$49,MATCH(CI$5,Escalators!$C$44:$C$49,0),MATCH(CI$6,Escalators!$I$43:$U$43,0)))</f>
        <v>0</v>
      </c>
      <c r="CJ31" s="47">
        <f>IF($R31="",0,$Q31*$AD31*INDEX(Act_Type_Repex_Splits,MATCH($I31,Act_Type_Repex,0),MATCH(CJ$5,Mat_Type,0))*INDEX(Escalators!$I$44:$U$49,MATCH(CJ$5,Escalators!$C$44:$C$49,0),MATCH(CJ$6,Escalators!$I$43:$U$43,0)))</f>
        <v>0</v>
      </c>
      <c r="CK31" s="47">
        <f>IF($R31="",0,$Q31*$AD31*INDEX(Act_Type_Repex_Splits,MATCH($I31,Act_Type_Repex,0),MATCH(CK$5,Mat_Type,0))*INDEX(Escalators!$I$44:$U$49,MATCH(CK$5,Escalators!$C$44:$C$49,0),MATCH(CK$6,Escalators!$I$43:$U$43,0)))</f>
        <v>0</v>
      </c>
      <c r="CL31" s="47">
        <f t="shared" si="24"/>
        <v>0</v>
      </c>
      <c r="CN31" s="47">
        <f>IF($R31="",0,J31*$AE31*HLOOKUP(CN$6,Escalators!$I$25:$U$30,6,FALSE))</f>
        <v>0</v>
      </c>
      <c r="CO31" s="47">
        <f>IF($R31="",0,K31*$AE31*HLOOKUP(CO$6,Escalators!$I$25:$U$30,6,FALSE))</f>
        <v>0</v>
      </c>
      <c r="CP31" s="47">
        <f>IF($R31="",0,L31*$AE31*HLOOKUP(CP$6,Escalators!$I$25:$U$30,6,FALSE))</f>
        <v>0</v>
      </c>
      <c r="CQ31" s="47">
        <f>IF($R31="",0,M31*$AE31*HLOOKUP(CQ$6,Escalators!$I$25:$U$30,6,FALSE))</f>
        <v>0</v>
      </c>
      <c r="CR31" s="47">
        <f>IF($R31="",0,N31*$AE31*HLOOKUP(CR$6,Escalators!$I$25:$U$30,6,FALSE))</f>
        <v>0</v>
      </c>
      <c r="CS31" s="47">
        <f>IF($R31="",0,O31*$AE31*HLOOKUP(CS$6,Escalators!$I$25:$U$30,6,FALSE))</f>
        <v>0</v>
      </c>
      <c r="CT31" s="47">
        <f>IF($R31="",0,P31*$AE31*HLOOKUP(CT$6,Escalators!$I$25:$U$30,6,FALSE))</f>
        <v>0</v>
      </c>
      <c r="CU31" s="47">
        <f>IF($R31="",0,Q31*$AE31*HLOOKUP(CU$6,Escalators!$I$25:$U$30,6,FALSE))</f>
        <v>0</v>
      </c>
      <c r="CW31" s="47">
        <f t="shared" si="25"/>
        <v>0</v>
      </c>
      <c r="CX31" s="47">
        <f t="shared" si="26"/>
        <v>0</v>
      </c>
      <c r="CY31" s="47">
        <f t="shared" si="27"/>
        <v>0</v>
      </c>
      <c r="CZ31" s="47">
        <f t="shared" si="28"/>
        <v>0</v>
      </c>
      <c r="DA31" s="47">
        <f t="shared" si="29"/>
        <v>0</v>
      </c>
      <c r="DB31" s="47">
        <f t="shared" si="30"/>
        <v>0</v>
      </c>
      <c r="DC31" s="47">
        <f t="shared" si="31"/>
        <v>0</v>
      </c>
      <c r="DD31" s="47">
        <f t="shared" si="32"/>
        <v>0</v>
      </c>
      <c r="DF31" s="47">
        <f t="shared" si="33"/>
        <v>0</v>
      </c>
      <c r="DG31" s="47">
        <f t="shared" si="34"/>
        <v>0</v>
      </c>
      <c r="DH31" s="47">
        <f t="shared" si="35"/>
        <v>0</v>
      </c>
      <c r="DI31" s="47">
        <f t="shared" si="36"/>
        <v>0</v>
      </c>
      <c r="DJ31" s="47">
        <f t="shared" si="37"/>
        <v>0</v>
      </c>
      <c r="DK31" s="47">
        <f t="shared" si="38"/>
        <v>0</v>
      </c>
      <c r="DL31" s="47">
        <f t="shared" si="39"/>
        <v>0</v>
      </c>
      <c r="DM31" s="47">
        <f t="shared" si="40"/>
        <v>0</v>
      </c>
      <c r="DO31" s="39"/>
    </row>
    <row r="32" spans="2:124">
      <c r="B32" s="7"/>
      <c r="C32" s="7"/>
      <c r="D32" s="7"/>
      <c r="E32" s="7"/>
      <c r="F32" s="7"/>
      <c r="G32" s="7"/>
      <c r="H32" s="7"/>
      <c r="I32" s="7"/>
      <c r="J32" s="7"/>
      <c r="K32" s="7"/>
      <c r="L32" s="7"/>
      <c r="M32" s="7"/>
      <c r="N32" s="7"/>
      <c r="O32" s="7"/>
      <c r="P32" s="7"/>
      <c r="Q32" s="7"/>
      <c r="R32" s="46"/>
      <c r="T32" s="47">
        <f t="shared" si="8"/>
        <v>0</v>
      </c>
      <c r="U32" s="47">
        <f t="shared" si="9"/>
        <v>0</v>
      </c>
      <c r="V32" s="47">
        <f t="shared" si="10"/>
        <v>0</v>
      </c>
      <c r="W32" s="47">
        <f t="shared" si="11"/>
        <v>0</v>
      </c>
      <c r="X32" s="47">
        <f t="shared" si="12"/>
        <v>0</v>
      </c>
      <c r="Y32" s="47">
        <f t="shared" si="13"/>
        <v>0</v>
      </c>
      <c r="Z32" s="47">
        <f t="shared" si="14"/>
        <v>0</v>
      </c>
      <c r="AA32" s="47">
        <f t="shared" si="15"/>
        <v>0</v>
      </c>
      <c r="AC32" s="82">
        <f t="shared" si="16"/>
        <v>0</v>
      </c>
      <c r="AD32" s="82">
        <f t="shared" si="16"/>
        <v>0</v>
      </c>
      <c r="AE32" s="82">
        <f t="shared" si="16"/>
        <v>0</v>
      </c>
      <c r="AF32" s="82">
        <f t="shared" si="16"/>
        <v>0</v>
      </c>
      <c r="AH32" s="47">
        <f>IF($R32="",0,J32*$AC32*HLOOKUP(AH$6,Escalators!$I$25:$U$30,3,FALSE))</f>
        <v>0</v>
      </c>
      <c r="AI32" s="47">
        <f>IF($R32="",0,K32*$AC32*HLOOKUP(AI$6,Escalators!$I$25:$U$30,3,FALSE))</f>
        <v>0</v>
      </c>
      <c r="AJ32" s="47">
        <f>IF($R32="",0,L32*$AC32*HLOOKUP(AJ$6,Escalators!$I$25:$U$30,3,FALSE))</f>
        <v>0</v>
      </c>
      <c r="AK32" s="47">
        <f>IF($R32="",0,M32*$AC32*HLOOKUP(AK$6,Escalators!$I$25:$U$30,3,FALSE))</f>
        <v>0</v>
      </c>
      <c r="AL32" s="47">
        <f>IF($R32="",0,N32*$AC32*HLOOKUP(AL$6,Escalators!$I$25:$U$30,3,FALSE))</f>
        <v>0</v>
      </c>
      <c r="AM32" s="47">
        <f>IF($R32="",0,O32*$AC32*HLOOKUP(AM$6,Escalators!$I$25:$U$30,3,FALSE))</f>
        <v>0</v>
      </c>
      <c r="AN32" s="47">
        <f>IF($R32="",0,P32*$AC32*HLOOKUP(AN$6,Escalators!$I$25:$U$30,3,FALSE))</f>
        <v>0</v>
      </c>
      <c r="AO32" s="47">
        <f>IF($R32="",0,Q32*$AC32*HLOOKUP(AO$6,Escalators!$I$25:$U$30,3,FALSE))</f>
        <v>0</v>
      </c>
      <c r="AQ32" s="6">
        <f>IF($R32="",0,$J32*$AD32*INDEX(Act_Type_Repex_Splits,MATCH($I32,Act_Type_Repex,0),MATCH(AQ$5,Mat_Type,0))*INDEX(Escalators!$I$44:$Q$49,MATCH(AQ$5,Escalators!$C$44:$C$49,0),MATCH(AQ$6,Escalators!$I$43:$Q$43,0)))</f>
        <v>0</v>
      </c>
      <c r="AR32" s="6">
        <f>IF($R32="",0,$J32*$AD32*INDEX(Act_Type_Repex_Splits,MATCH($I32,Act_Type_Repex,0),MATCH(AR$5,Mat_Type,0))*INDEX(Escalators!$I$44:$Q$49,MATCH(AR$5,Escalators!$C$44:$C$49,0),MATCH(AR$6,Escalators!$I$43:$Q$43,0)))</f>
        <v>0</v>
      </c>
      <c r="AS32" s="6">
        <f>IF($R32="",0,$J32*$AD32*INDEX(Act_Type_Repex_Splits,MATCH($I32,Act_Type_Repex,0),MATCH(AS$5,Mat_Type,0))*INDEX(Escalators!$I$44:$Q$49,MATCH(AS$5,Escalators!$C$44:$C$49,0),MATCH(AS$6,Escalators!$I$43:$Q$43,0)))</f>
        <v>0</v>
      </c>
      <c r="AT32" s="6">
        <f>IF($R32="",0,$J32*$AD32*INDEX(Act_Type_Repex_Splits,MATCH($I32,Act_Type_Repex,0),MATCH(AT$5,Mat_Type,0))*INDEX(Escalators!$I$44:$Q$49,MATCH(AT$5,Escalators!$C$44:$C$49,0),MATCH(AT$6,Escalators!$I$43:$Q$43,0)))</f>
        <v>0</v>
      </c>
      <c r="AU32" s="6">
        <f>IF($R32="",0,$J32*$AD32*INDEX(Act_Type_Repex_Splits,MATCH($I32,Act_Type_Repex,0),MATCH(AU$5,Mat_Type,0))*INDEX(Escalators!$I$44:$Q$49,MATCH(AU$5,Escalators!$C$44:$C$49,0),MATCH(AU$6,Escalators!$I$43:$Q$43,0)))</f>
        <v>0</v>
      </c>
      <c r="AV32" s="47">
        <f t="shared" si="17"/>
        <v>0</v>
      </c>
      <c r="AW32" s="47">
        <f>IF($R32="",0,$K32*$AD32*INDEX(Act_Type_Repex_Splits,MATCH($I32,Act_Type_Repex,0),MATCH(AW$5,Mat_Type,0))*INDEX(Escalators!$I$44:$U$49,MATCH(AW$5,Escalators!$C$44:$C$49,0),MATCH(AW$6,Escalators!$I$43:$U$43,0)))</f>
        <v>0</v>
      </c>
      <c r="AX32" s="47">
        <f>IF($R32="",0,$K32*$AD32*INDEX(Act_Type_Repex_Splits,MATCH($I32,Act_Type_Repex,0),MATCH(AX$5,Mat_Type,0))*INDEX(Escalators!$I$44:$U$49,MATCH(AX$5,Escalators!$C$44:$C$49,0),MATCH(AX$6,Escalators!$I$43:$U$43,0)))</f>
        <v>0</v>
      </c>
      <c r="AY32" s="47">
        <f>IF($R32="",0,$K32*$AD32*INDEX(Act_Type_Repex_Splits,MATCH($I32,Act_Type_Repex,0),MATCH(AY$5,Mat_Type,0))*INDEX(Escalators!$I$44:$U$49,MATCH(AY$5,Escalators!$C$44:$C$49,0),MATCH(AY$6,Escalators!$I$43:$U$43,0)))</f>
        <v>0</v>
      </c>
      <c r="AZ32" s="47">
        <f>IF($R32="",0,$K32*$AD32*INDEX(Act_Type_Repex_Splits,MATCH($I32,Act_Type_Repex,0),MATCH(AZ$5,Mat_Type,0))*INDEX(Escalators!$I$44:$U$49,MATCH(AZ$5,Escalators!$C$44:$C$49,0),MATCH(AZ$6,Escalators!$I$43:$U$43,0)))</f>
        <v>0</v>
      </c>
      <c r="BA32" s="47">
        <f>IF($R32="",0,$K32*$AD32*INDEX(Act_Type_Repex_Splits,MATCH($I32,Act_Type_Repex,0),MATCH(BA$5,Mat_Type,0))*INDEX(Escalators!$I$44:$U$49,MATCH(BA$5,Escalators!$C$44:$C$49,0),MATCH(BA$6,Escalators!$I$43:$U$43,0)))</f>
        <v>0</v>
      </c>
      <c r="BB32" s="47">
        <f t="shared" si="18"/>
        <v>0</v>
      </c>
      <c r="BC32" s="47">
        <f>IF($R32="",0,$L32*$AD32*INDEX(Act_Type_Repex_Splits,MATCH($I32,Act_Type_Repex,0),MATCH(BC$5,Mat_Type,0))*INDEX(Escalators!$I$44:$U$49,MATCH(BC$5,Escalators!$C$44:$C$49,0),MATCH(BC$6,Escalators!$I$43:$U$43,0)))</f>
        <v>0</v>
      </c>
      <c r="BD32" s="47">
        <f>IF($R32="",0,$L32*$AD32*INDEX(Act_Type_Repex_Splits,MATCH($I32,Act_Type_Repex,0),MATCH(BD$5,Mat_Type,0))*INDEX(Escalators!$I$44:$U$49,MATCH(BD$5,Escalators!$C$44:$C$49,0),MATCH(BD$6,Escalators!$I$43:$U$43,0)))</f>
        <v>0</v>
      </c>
      <c r="BE32" s="47">
        <f>IF($R32="",0,$L32*$AD32*INDEX(Act_Type_Repex_Splits,MATCH($I32,Act_Type_Repex,0),MATCH(BE$5,Mat_Type,0))*INDEX(Escalators!$I$44:$U$49,MATCH(BE$5,Escalators!$C$44:$C$49,0),MATCH(BE$6,Escalators!$I$43:$U$43,0)))</f>
        <v>0</v>
      </c>
      <c r="BF32" s="47">
        <f>IF($R32="",0,$L32*$AD32*INDEX(Act_Type_Repex_Splits,MATCH($I32,Act_Type_Repex,0),MATCH(BF$5,Mat_Type,0))*INDEX(Escalators!$I$44:$U$49,MATCH(BF$5,Escalators!$C$44:$C$49,0),MATCH(BF$6,Escalators!$I$43:$U$43,0)))</f>
        <v>0</v>
      </c>
      <c r="BG32" s="47">
        <f>IF($R32="",0,$L32*$AD32*INDEX(Act_Type_Repex_Splits,MATCH($I32,Act_Type_Repex,0),MATCH(BG$5,Mat_Type,0))*INDEX(Escalators!$I$44:$U$49,MATCH(BG$5,Escalators!$C$44:$C$49,0),MATCH(BG$6,Escalators!$I$43:$U$43,0)))</f>
        <v>0</v>
      </c>
      <c r="BH32" s="47">
        <f t="shared" si="19"/>
        <v>0</v>
      </c>
      <c r="BI32" s="47">
        <f>IF($R32="",0,$M32*$AD32*INDEX(Act_Type_Repex_Splits,MATCH($I32,Act_Type_Repex,0),MATCH(BI$5,Mat_Type,0))*INDEX(Escalators!$I$44:$U$49,MATCH(BI$5,Escalators!$C$44:$C$49,0),MATCH(BI$6,Escalators!$I$43:$U$43,0)))</f>
        <v>0</v>
      </c>
      <c r="BJ32" s="47">
        <f>IF($R32="",0,$M32*$AD32*INDEX(Act_Type_Repex_Splits,MATCH($I32,Act_Type_Repex,0),MATCH(BJ$5,Mat_Type,0))*INDEX(Escalators!$I$44:$U$49,MATCH(BJ$5,Escalators!$C$44:$C$49,0),MATCH(BJ$6,Escalators!$I$43:$U$43,0)))</f>
        <v>0</v>
      </c>
      <c r="BK32" s="47">
        <f>IF($R32="",0,$M32*$AD32*INDEX(Act_Type_Repex_Splits,MATCH($I32,Act_Type_Repex,0),MATCH(BK$5,Mat_Type,0))*INDEX(Escalators!$I$44:$U$49,MATCH(BK$5,Escalators!$C$44:$C$49,0),MATCH(BK$6,Escalators!$I$43:$U$43,0)))</f>
        <v>0</v>
      </c>
      <c r="BL32" s="47">
        <f>IF($R32="",0,$M32*$AD32*INDEX(Act_Type_Repex_Splits,MATCH($I32,Act_Type_Repex,0),MATCH(BL$5,Mat_Type,0))*INDEX(Escalators!$I$44:$U$49,MATCH(BL$5,Escalators!$C$44:$C$49,0),MATCH(BL$6,Escalators!$I$43:$U$43,0)))</f>
        <v>0</v>
      </c>
      <c r="BM32" s="47">
        <f>IF($R32="",0,$M32*$AD32*INDEX(Act_Type_Repex_Splits,MATCH($I32,Act_Type_Repex,0),MATCH(BM$5,Mat_Type,0))*INDEX(Escalators!$I$44:$U$49,MATCH(BM$5,Escalators!$C$44:$C$49,0),MATCH(BM$6,Escalators!$I$43:$U$43,0)))</f>
        <v>0</v>
      </c>
      <c r="BN32" s="47">
        <f t="shared" si="20"/>
        <v>0</v>
      </c>
      <c r="BO32" s="47">
        <f>IF($R32="",0,$N32*$AD32*INDEX(Act_Type_Repex_Splits,MATCH($I32,Act_Type_Repex,0),MATCH(BO$5,Mat_Type,0))*INDEX(Escalators!$I$44:$U$49,MATCH(BO$5,Escalators!$C$44:$C$49,0),MATCH(BO$6,Escalators!$I$43:$U$43,0)))</f>
        <v>0</v>
      </c>
      <c r="BP32" s="47">
        <f>IF($R32="",0,$N32*$AD32*INDEX(Act_Type_Repex_Splits,MATCH($I32,Act_Type_Repex,0),MATCH(BP$5,Mat_Type,0))*INDEX(Escalators!$I$44:$U$49,MATCH(BP$5,Escalators!$C$44:$C$49,0),MATCH(BP$6,Escalators!$I$43:$U$43,0)))</f>
        <v>0</v>
      </c>
      <c r="BQ32" s="47">
        <f>IF($R32="",0,$N32*$AD32*INDEX(Act_Type_Repex_Splits,MATCH($I32,Act_Type_Repex,0),MATCH(BQ$5,Mat_Type,0))*INDEX(Escalators!$I$44:$U$49,MATCH(BQ$5,Escalators!$C$44:$C$49,0),MATCH(BQ$6,Escalators!$I$43:$U$43,0)))</f>
        <v>0</v>
      </c>
      <c r="BR32" s="47">
        <f>IF($R32="",0,$N32*$AD32*INDEX(Act_Type_Repex_Splits,MATCH($I32,Act_Type_Repex,0),MATCH(BR$5,Mat_Type,0))*INDEX(Escalators!$I$44:$U$49,MATCH(BR$5,Escalators!$C$44:$C$49,0),MATCH(BR$6,Escalators!$I$43:$U$43,0)))</f>
        <v>0</v>
      </c>
      <c r="BS32" s="47">
        <f>IF($R32="",0,$N32*$AD32*INDEX(Act_Type_Repex_Splits,MATCH($I32,Act_Type_Repex,0),MATCH(BS$5,Mat_Type,0))*INDEX(Escalators!$I$44:$U$49,MATCH(BS$5,Escalators!$C$44:$C$49,0),MATCH(BS$6,Escalators!$I$43:$U$43,0)))</f>
        <v>0</v>
      </c>
      <c r="BT32" s="47">
        <f t="shared" si="21"/>
        <v>0</v>
      </c>
      <c r="BU32" s="47">
        <f>IF($R32="",0,$O32*$AD32*INDEX(Act_Type_Repex_Splits,MATCH($I32,Act_Type_Repex,0),MATCH(BU$5,Mat_Type,0))*INDEX(Escalators!$I$44:$U$49,MATCH(BU$5,Escalators!$C$44:$C$49,0),MATCH(BU$6,Escalators!$I$43:$U$43,0)))</f>
        <v>0</v>
      </c>
      <c r="BV32" s="47">
        <f>IF($R32="",0,$O32*$AD32*INDEX(Act_Type_Repex_Splits,MATCH($I32,Act_Type_Repex,0),MATCH(BV$5,Mat_Type,0))*INDEX(Escalators!$I$44:$U$49,MATCH(BV$5,Escalators!$C$44:$C$49,0),MATCH(BV$6,Escalators!$I$43:$U$43,0)))</f>
        <v>0</v>
      </c>
      <c r="BW32" s="47">
        <f>IF($R32="",0,$O32*$AD32*INDEX(Act_Type_Repex_Splits,MATCH($I32,Act_Type_Repex,0),MATCH(BW$5,Mat_Type,0))*INDEX(Escalators!$I$44:$U$49,MATCH(BW$5,Escalators!$C$44:$C$49,0),MATCH(BW$6,Escalators!$I$43:$U$43,0)))</f>
        <v>0</v>
      </c>
      <c r="BX32" s="47">
        <f>IF($R32="",0,$O32*$AD32*INDEX(Act_Type_Repex_Splits,MATCH($I32,Act_Type_Repex,0),MATCH(BX$5,Mat_Type,0))*INDEX(Escalators!$I$44:$U$49,MATCH(BX$5,Escalators!$C$44:$C$49,0),MATCH(BX$6,Escalators!$I$43:$U$43,0)))</f>
        <v>0</v>
      </c>
      <c r="BY32" s="47">
        <f>IF($R32="",0,$O32*$AD32*INDEX(Act_Type_Repex_Splits,MATCH($I32,Act_Type_Repex,0),MATCH(BY$5,Mat_Type,0))*INDEX(Escalators!$I$44:$U$49,MATCH(BY$5,Escalators!$C$44:$C$49,0),MATCH(BY$6,Escalators!$I$43:$U$43,0)))</f>
        <v>0</v>
      </c>
      <c r="BZ32" s="47">
        <f t="shared" si="22"/>
        <v>0</v>
      </c>
      <c r="CA32" s="47">
        <f>IF($R32="",0,$P32*$AD32*INDEX(Act_Type_Repex_Splits,MATCH($I32,Act_Type_Repex,0),MATCH(CA$5,Mat_Type,0))*INDEX(Escalators!$I$44:$U$49,MATCH(CA$5,Escalators!$C$44:$C$49,0),MATCH(CA$6,Escalators!$I$43:$U$43,0)))</f>
        <v>0</v>
      </c>
      <c r="CB32" s="47">
        <f>IF($R32="",0,$P32*$AD32*INDEX(Act_Type_Repex_Splits,MATCH($I32,Act_Type_Repex,0),MATCH(CB$5,Mat_Type,0))*INDEX(Escalators!$I$44:$U$49,MATCH(CB$5,Escalators!$C$44:$C$49,0),MATCH(CB$6,Escalators!$I$43:$U$43,0)))</f>
        <v>0</v>
      </c>
      <c r="CC32" s="47">
        <f>IF($R32="",0,$P32*$AD32*INDEX(Act_Type_Repex_Splits,MATCH($I32,Act_Type_Repex,0),MATCH(CC$5,Mat_Type,0))*INDEX(Escalators!$I$44:$U$49,MATCH(CC$5,Escalators!$C$44:$C$49,0),MATCH(CC$6,Escalators!$I$43:$U$43,0)))</f>
        <v>0</v>
      </c>
      <c r="CD32" s="47">
        <f>IF($R32="",0,$P32*$AD32*INDEX(Act_Type_Repex_Splits,MATCH($I32,Act_Type_Repex,0),MATCH(CD$5,Mat_Type,0))*INDEX(Escalators!$I$44:$U$49,MATCH(CD$5,Escalators!$C$44:$C$49,0),MATCH(CD$6,Escalators!$I$43:$U$43,0)))</f>
        <v>0</v>
      </c>
      <c r="CE32" s="47">
        <f>IF($R32="",0,$P32*$AD32*INDEX(Act_Type_Repex_Splits,MATCH($I32,Act_Type_Repex,0),MATCH(CE$5,Mat_Type,0))*INDEX(Escalators!$I$44:$U$49,MATCH(CE$5,Escalators!$C$44:$C$49,0),MATCH(CE$6,Escalators!$I$43:$U$43,0)))</f>
        <v>0</v>
      </c>
      <c r="CF32" s="47">
        <f t="shared" si="23"/>
        <v>0</v>
      </c>
      <c r="CG32" s="47">
        <f>IF($R32="",0,$Q32*$AD32*INDEX(Act_Type_Repex_Splits,MATCH($I32,Act_Type_Repex,0),MATCH(CG$5,Mat_Type,0))*INDEX(Escalators!$I$44:$U$49,MATCH(CG$5,Escalators!$C$44:$C$49,0),MATCH(CG$6,Escalators!$I$43:$U$43,0)))</f>
        <v>0</v>
      </c>
      <c r="CH32" s="47">
        <f>IF($R32="",0,$Q32*$AD32*INDEX(Act_Type_Repex_Splits,MATCH($I32,Act_Type_Repex,0),MATCH(CH$5,Mat_Type,0))*INDEX(Escalators!$I$44:$U$49,MATCH(CH$5,Escalators!$C$44:$C$49,0),MATCH(CH$6,Escalators!$I$43:$U$43,0)))</f>
        <v>0</v>
      </c>
      <c r="CI32" s="47">
        <f>IF($R32="",0,$Q32*$AD32*INDEX(Act_Type_Repex_Splits,MATCH($I32,Act_Type_Repex,0),MATCH(CI$5,Mat_Type,0))*INDEX(Escalators!$I$44:$U$49,MATCH(CI$5,Escalators!$C$44:$C$49,0),MATCH(CI$6,Escalators!$I$43:$U$43,0)))</f>
        <v>0</v>
      </c>
      <c r="CJ32" s="47">
        <f>IF($R32="",0,$Q32*$AD32*INDEX(Act_Type_Repex_Splits,MATCH($I32,Act_Type_Repex,0),MATCH(CJ$5,Mat_Type,0))*INDEX(Escalators!$I$44:$U$49,MATCH(CJ$5,Escalators!$C$44:$C$49,0),MATCH(CJ$6,Escalators!$I$43:$U$43,0)))</f>
        <v>0</v>
      </c>
      <c r="CK32" s="47">
        <f>IF($R32="",0,$Q32*$AD32*INDEX(Act_Type_Repex_Splits,MATCH($I32,Act_Type_Repex,0),MATCH(CK$5,Mat_Type,0))*INDEX(Escalators!$I$44:$U$49,MATCH(CK$5,Escalators!$C$44:$C$49,0),MATCH(CK$6,Escalators!$I$43:$U$43,0)))</f>
        <v>0</v>
      </c>
      <c r="CL32" s="47">
        <f t="shared" si="24"/>
        <v>0</v>
      </c>
      <c r="CN32" s="47">
        <f>IF($R32="",0,J32*$AE32*HLOOKUP(CN$6,Escalators!$I$25:$U$30,6,FALSE))</f>
        <v>0</v>
      </c>
      <c r="CO32" s="47">
        <f>IF($R32="",0,K32*$AE32*HLOOKUP(CO$6,Escalators!$I$25:$U$30,6,FALSE))</f>
        <v>0</v>
      </c>
      <c r="CP32" s="47">
        <f>IF($R32="",0,L32*$AE32*HLOOKUP(CP$6,Escalators!$I$25:$U$30,6,FALSE))</f>
        <v>0</v>
      </c>
      <c r="CQ32" s="47">
        <f>IF($R32="",0,M32*$AE32*HLOOKUP(CQ$6,Escalators!$I$25:$U$30,6,FALSE))</f>
        <v>0</v>
      </c>
      <c r="CR32" s="47">
        <f>IF($R32="",0,N32*$AE32*HLOOKUP(CR$6,Escalators!$I$25:$U$30,6,FALSE))</f>
        <v>0</v>
      </c>
      <c r="CS32" s="47">
        <f>IF($R32="",0,O32*$AE32*HLOOKUP(CS$6,Escalators!$I$25:$U$30,6,FALSE))</f>
        <v>0</v>
      </c>
      <c r="CT32" s="47">
        <f>IF($R32="",0,P32*$AE32*HLOOKUP(CT$6,Escalators!$I$25:$U$30,6,FALSE))</f>
        <v>0</v>
      </c>
      <c r="CU32" s="47">
        <f>IF($R32="",0,Q32*$AE32*HLOOKUP(CU$6,Escalators!$I$25:$U$30,6,FALSE))</f>
        <v>0</v>
      </c>
      <c r="CW32" s="47">
        <f t="shared" si="25"/>
        <v>0</v>
      </c>
      <c r="CX32" s="47">
        <f t="shared" si="26"/>
        <v>0</v>
      </c>
      <c r="CY32" s="47">
        <f t="shared" si="27"/>
        <v>0</v>
      </c>
      <c r="CZ32" s="47">
        <f t="shared" si="28"/>
        <v>0</v>
      </c>
      <c r="DA32" s="47">
        <f t="shared" si="29"/>
        <v>0</v>
      </c>
      <c r="DB32" s="47">
        <f t="shared" si="30"/>
        <v>0</v>
      </c>
      <c r="DC32" s="47">
        <f t="shared" si="31"/>
        <v>0</v>
      </c>
      <c r="DD32" s="47">
        <f t="shared" si="32"/>
        <v>0</v>
      </c>
      <c r="DF32" s="47">
        <f t="shared" si="33"/>
        <v>0</v>
      </c>
      <c r="DG32" s="47">
        <f t="shared" si="34"/>
        <v>0</v>
      </c>
      <c r="DH32" s="47">
        <f t="shared" si="35"/>
        <v>0</v>
      </c>
      <c r="DI32" s="47">
        <f t="shared" si="36"/>
        <v>0</v>
      </c>
      <c r="DJ32" s="47">
        <f t="shared" si="37"/>
        <v>0</v>
      </c>
      <c r="DK32" s="47">
        <f t="shared" si="38"/>
        <v>0</v>
      </c>
      <c r="DL32" s="47">
        <f t="shared" si="39"/>
        <v>0</v>
      </c>
      <c r="DM32" s="47">
        <f t="shared" si="40"/>
        <v>0</v>
      </c>
      <c r="DO32" s="39"/>
    </row>
    <row r="33" spans="2:119">
      <c r="B33" s="7"/>
      <c r="C33" s="7"/>
      <c r="D33" s="7"/>
      <c r="E33" s="7"/>
      <c r="F33" s="7"/>
      <c r="G33" s="7"/>
      <c r="H33" s="7"/>
      <c r="I33" s="7"/>
      <c r="J33" s="7"/>
      <c r="K33" s="7"/>
      <c r="L33" s="7"/>
      <c r="M33" s="7"/>
      <c r="N33" s="7"/>
      <c r="O33" s="7"/>
      <c r="P33" s="7"/>
      <c r="Q33" s="7"/>
      <c r="R33" s="46"/>
      <c r="T33" s="47">
        <f t="shared" si="8"/>
        <v>0</v>
      </c>
      <c r="U33" s="47">
        <f t="shared" si="9"/>
        <v>0</v>
      </c>
      <c r="V33" s="47">
        <f t="shared" si="10"/>
        <v>0</v>
      </c>
      <c r="W33" s="47">
        <f t="shared" si="11"/>
        <v>0</v>
      </c>
      <c r="X33" s="47">
        <f t="shared" si="12"/>
        <v>0</v>
      </c>
      <c r="Y33" s="47">
        <f t="shared" si="13"/>
        <v>0</v>
      </c>
      <c r="Z33" s="47">
        <f t="shared" si="14"/>
        <v>0</v>
      </c>
      <c r="AA33" s="47">
        <f t="shared" si="15"/>
        <v>0</v>
      </c>
      <c r="AC33" s="82">
        <f t="shared" si="16"/>
        <v>0</v>
      </c>
      <c r="AD33" s="82">
        <f t="shared" si="16"/>
        <v>0</v>
      </c>
      <c r="AE33" s="82">
        <f t="shared" si="16"/>
        <v>0</v>
      </c>
      <c r="AF33" s="82">
        <f t="shared" si="16"/>
        <v>0</v>
      </c>
      <c r="AH33" s="47">
        <f>IF($R33="",0,J33*$AC33*HLOOKUP(AH$6,Escalators!$I$25:$U$30,3,FALSE))</f>
        <v>0</v>
      </c>
      <c r="AI33" s="47">
        <f>IF($R33="",0,K33*$AC33*HLOOKUP(AI$6,Escalators!$I$25:$U$30,3,FALSE))</f>
        <v>0</v>
      </c>
      <c r="AJ33" s="47">
        <f>IF($R33="",0,L33*$AC33*HLOOKUP(AJ$6,Escalators!$I$25:$U$30,3,FALSE))</f>
        <v>0</v>
      </c>
      <c r="AK33" s="47">
        <f>IF($R33="",0,M33*$AC33*HLOOKUP(AK$6,Escalators!$I$25:$U$30,3,FALSE))</f>
        <v>0</v>
      </c>
      <c r="AL33" s="47">
        <f>IF($R33="",0,N33*$AC33*HLOOKUP(AL$6,Escalators!$I$25:$U$30,3,FALSE))</f>
        <v>0</v>
      </c>
      <c r="AM33" s="47">
        <f>IF($R33="",0,O33*$AC33*HLOOKUP(AM$6,Escalators!$I$25:$U$30,3,FALSE))</f>
        <v>0</v>
      </c>
      <c r="AN33" s="47">
        <f>IF($R33="",0,P33*$AC33*HLOOKUP(AN$6,Escalators!$I$25:$U$30,3,FALSE))</f>
        <v>0</v>
      </c>
      <c r="AO33" s="47">
        <f>IF($R33="",0,Q33*$AC33*HLOOKUP(AO$6,Escalators!$I$25:$U$30,3,FALSE))</f>
        <v>0</v>
      </c>
      <c r="AQ33" s="6">
        <f>IF($R33="",0,$J33*$AD33*INDEX(Act_Type_Repex_Splits,MATCH($I33,Act_Type_Repex,0),MATCH(AQ$5,Mat_Type,0))*INDEX(Escalators!$I$44:$Q$49,MATCH(AQ$5,Escalators!$C$44:$C$49,0),MATCH(AQ$6,Escalators!$I$43:$Q$43,0)))</f>
        <v>0</v>
      </c>
      <c r="AR33" s="6">
        <f>IF($R33="",0,$J33*$AD33*INDEX(Act_Type_Repex_Splits,MATCH($I33,Act_Type_Repex,0),MATCH(AR$5,Mat_Type,0))*INDEX(Escalators!$I$44:$Q$49,MATCH(AR$5,Escalators!$C$44:$C$49,0),MATCH(AR$6,Escalators!$I$43:$Q$43,0)))</f>
        <v>0</v>
      </c>
      <c r="AS33" s="6">
        <f>IF($R33="",0,$J33*$AD33*INDEX(Act_Type_Repex_Splits,MATCH($I33,Act_Type_Repex,0),MATCH(AS$5,Mat_Type,0))*INDEX(Escalators!$I$44:$Q$49,MATCH(AS$5,Escalators!$C$44:$C$49,0),MATCH(AS$6,Escalators!$I$43:$Q$43,0)))</f>
        <v>0</v>
      </c>
      <c r="AT33" s="6">
        <f>IF($R33="",0,$J33*$AD33*INDEX(Act_Type_Repex_Splits,MATCH($I33,Act_Type_Repex,0),MATCH(AT$5,Mat_Type,0))*INDEX(Escalators!$I$44:$Q$49,MATCH(AT$5,Escalators!$C$44:$C$49,0),MATCH(AT$6,Escalators!$I$43:$Q$43,0)))</f>
        <v>0</v>
      </c>
      <c r="AU33" s="6">
        <f>IF($R33="",0,$J33*$AD33*INDEX(Act_Type_Repex_Splits,MATCH($I33,Act_Type_Repex,0),MATCH(AU$5,Mat_Type,0))*INDEX(Escalators!$I$44:$Q$49,MATCH(AU$5,Escalators!$C$44:$C$49,0),MATCH(AU$6,Escalators!$I$43:$Q$43,0)))</f>
        <v>0</v>
      </c>
      <c r="AV33" s="47">
        <f t="shared" si="17"/>
        <v>0</v>
      </c>
      <c r="AW33" s="47">
        <f>IF($R33="",0,$K33*$AD33*INDEX(Act_Type_Repex_Splits,MATCH($I33,Act_Type_Repex,0),MATCH(AW$5,Mat_Type,0))*INDEX(Escalators!$I$44:$U$49,MATCH(AW$5,Escalators!$C$44:$C$49,0),MATCH(AW$6,Escalators!$I$43:$U$43,0)))</f>
        <v>0</v>
      </c>
      <c r="AX33" s="47">
        <f>IF($R33="",0,$K33*$AD33*INDEX(Act_Type_Repex_Splits,MATCH($I33,Act_Type_Repex,0),MATCH(AX$5,Mat_Type,0))*INDEX(Escalators!$I$44:$U$49,MATCH(AX$5,Escalators!$C$44:$C$49,0),MATCH(AX$6,Escalators!$I$43:$U$43,0)))</f>
        <v>0</v>
      </c>
      <c r="AY33" s="47">
        <f>IF($R33="",0,$K33*$AD33*INDEX(Act_Type_Repex_Splits,MATCH($I33,Act_Type_Repex,0),MATCH(AY$5,Mat_Type,0))*INDEX(Escalators!$I$44:$U$49,MATCH(AY$5,Escalators!$C$44:$C$49,0),MATCH(AY$6,Escalators!$I$43:$U$43,0)))</f>
        <v>0</v>
      </c>
      <c r="AZ33" s="47">
        <f>IF($R33="",0,$K33*$AD33*INDEX(Act_Type_Repex_Splits,MATCH($I33,Act_Type_Repex,0),MATCH(AZ$5,Mat_Type,0))*INDEX(Escalators!$I$44:$U$49,MATCH(AZ$5,Escalators!$C$44:$C$49,0),MATCH(AZ$6,Escalators!$I$43:$U$43,0)))</f>
        <v>0</v>
      </c>
      <c r="BA33" s="47">
        <f>IF($R33="",0,$K33*$AD33*INDEX(Act_Type_Repex_Splits,MATCH($I33,Act_Type_Repex,0),MATCH(BA$5,Mat_Type,0))*INDEX(Escalators!$I$44:$U$49,MATCH(BA$5,Escalators!$C$44:$C$49,0),MATCH(BA$6,Escalators!$I$43:$U$43,0)))</f>
        <v>0</v>
      </c>
      <c r="BB33" s="47">
        <f t="shared" si="18"/>
        <v>0</v>
      </c>
      <c r="BC33" s="47">
        <f>IF($R33="",0,$L33*$AD33*INDEX(Act_Type_Repex_Splits,MATCH($I33,Act_Type_Repex,0),MATCH(BC$5,Mat_Type,0))*INDEX(Escalators!$I$44:$U$49,MATCH(BC$5,Escalators!$C$44:$C$49,0),MATCH(BC$6,Escalators!$I$43:$U$43,0)))</f>
        <v>0</v>
      </c>
      <c r="BD33" s="47">
        <f>IF($R33="",0,$L33*$AD33*INDEX(Act_Type_Repex_Splits,MATCH($I33,Act_Type_Repex,0),MATCH(BD$5,Mat_Type,0))*INDEX(Escalators!$I$44:$U$49,MATCH(BD$5,Escalators!$C$44:$C$49,0),MATCH(BD$6,Escalators!$I$43:$U$43,0)))</f>
        <v>0</v>
      </c>
      <c r="BE33" s="47">
        <f>IF($R33="",0,$L33*$AD33*INDEX(Act_Type_Repex_Splits,MATCH($I33,Act_Type_Repex,0),MATCH(BE$5,Mat_Type,0))*INDEX(Escalators!$I$44:$U$49,MATCH(BE$5,Escalators!$C$44:$C$49,0),MATCH(BE$6,Escalators!$I$43:$U$43,0)))</f>
        <v>0</v>
      </c>
      <c r="BF33" s="47">
        <f>IF($R33="",0,$L33*$AD33*INDEX(Act_Type_Repex_Splits,MATCH($I33,Act_Type_Repex,0),MATCH(BF$5,Mat_Type,0))*INDEX(Escalators!$I$44:$U$49,MATCH(BF$5,Escalators!$C$44:$C$49,0),MATCH(BF$6,Escalators!$I$43:$U$43,0)))</f>
        <v>0</v>
      </c>
      <c r="BG33" s="47">
        <f>IF($R33="",0,$L33*$AD33*INDEX(Act_Type_Repex_Splits,MATCH($I33,Act_Type_Repex,0),MATCH(BG$5,Mat_Type,0))*INDEX(Escalators!$I$44:$U$49,MATCH(BG$5,Escalators!$C$44:$C$49,0),MATCH(BG$6,Escalators!$I$43:$U$43,0)))</f>
        <v>0</v>
      </c>
      <c r="BH33" s="47">
        <f t="shared" si="19"/>
        <v>0</v>
      </c>
      <c r="BI33" s="47">
        <f>IF($R33="",0,$M33*$AD33*INDEX(Act_Type_Repex_Splits,MATCH($I33,Act_Type_Repex,0),MATCH(BI$5,Mat_Type,0))*INDEX(Escalators!$I$44:$U$49,MATCH(BI$5,Escalators!$C$44:$C$49,0),MATCH(BI$6,Escalators!$I$43:$U$43,0)))</f>
        <v>0</v>
      </c>
      <c r="BJ33" s="47">
        <f>IF($R33="",0,$M33*$AD33*INDEX(Act_Type_Repex_Splits,MATCH($I33,Act_Type_Repex,0),MATCH(BJ$5,Mat_Type,0))*INDEX(Escalators!$I$44:$U$49,MATCH(BJ$5,Escalators!$C$44:$C$49,0),MATCH(BJ$6,Escalators!$I$43:$U$43,0)))</f>
        <v>0</v>
      </c>
      <c r="BK33" s="47">
        <f>IF($R33="",0,$M33*$AD33*INDEX(Act_Type_Repex_Splits,MATCH($I33,Act_Type_Repex,0),MATCH(BK$5,Mat_Type,0))*INDEX(Escalators!$I$44:$U$49,MATCH(BK$5,Escalators!$C$44:$C$49,0),MATCH(BK$6,Escalators!$I$43:$U$43,0)))</f>
        <v>0</v>
      </c>
      <c r="BL33" s="47">
        <f>IF($R33="",0,$M33*$AD33*INDEX(Act_Type_Repex_Splits,MATCH($I33,Act_Type_Repex,0),MATCH(BL$5,Mat_Type,0))*INDEX(Escalators!$I$44:$U$49,MATCH(BL$5,Escalators!$C$44:$C$49,0),MATCH(BL$6,Escalators!$I$43:$U$43,0)))</f>
        <v>0</v>
      </c>
      <c r="BM33" s="47">
        <f>IF($R33="",0,$M33*$AD33*INDEX(Act_Type_Repex_Splits,MATCH($I33,Act_Type_Repex,0),MATCH(BM$5,Mat_Type,0))*INDEX(Escalators!$I$44:$U$49,MATCH(BM$5,Escalators!$C$44:$C$49,0),MATCH(BM$6,Escalators!$I$43:$U$43,0)))</f>
        <v>0</v>
      </c>
      <c r="BN33" s="47">
        <f t="shared" si="20"/>
        <v>0</v>
      </c>
      <c r="BO33" s="47">
        <f>IF($R33="",0,$N33*$AD33*INDEX(Act_Type_Repex_Splits,MATCH($I33,Act_Type_Repex,0),MATCH(BO$5,Mat_Type,0))*INDEX(Escalators!$I$44:$U$49,MATCH(BO$5,Escalators!$C$44:$C$49,0),MATCH(BO$6,Escalators!$I$43:$U$43,0)))</f>
        <v>0</v>
      </c>
      <c r="BP33" s="47">
        <f>IF($R33="",0,$N33*$AD33*INDEX(Act_Type_Repex_Splits,MATCH($I33,Act_Type_Repex,0),MATCH(BP$5,Mat_Type,0))*INDEX(Escalators!$I$44:$U$49,MATCH(BP$5,Escalators!$C$44:$C$49,0),MATCH(BP$6,Escalators!$I$43:$U$43,0)))</f>
        <v>0</v>
      </c>
      <c r="BQ33" s="47">
        <f>IF($R33="",0,$N33*$AD33*INDEX(Act_Type_Repex_Splits,MATCH($I33,Act_Type_Repex,0),MATCH(BQ$5,Mat_Type,0))*INDEX(Escalators!$I$44:$U$49,MATCH(BQ$5,Escalators!$C$44:$C$49,0),MATCH(BQ$6,Escalators!$I$43:$U$43,0)))</f>
        <v>0</v>
      </c>
      <c r="BR33" s="47">
        <f>IF($R33="",0,$N33*$AD33*INDEX(Act_Type_Repex_Splits,MATCH($I33,Act_Type_Repex,0),MATCH(BR$5,Mat_Type,0))*INDEX(Escalators!$I$44:$U$49,MATCH(BR$5,Escalators!$C$44:$C$49,0),MATCH(BR$6,Escalators!$I$43:$U$43,0)))</f>
        <v>0</v>
      </c>
      <c r="BS33" s="47">
        <f>IF($R33="",0,$N33*$AD33*INDEX(Act_Type_Repex_Splits,MATCH($I33,Act_Type_Repex,0),MATCH(BS$5,Mat_Type,0))*INDEX(Escalators!$I$44:$U$49,MATCH(BS$5,Escalators!$C$44:$C$49,0),MATCH(BS$6,Escalators!$I$43:$U$43,0)))</f>
        <v>0</v>
      </c>
      <c r="BT33" s="47">
        <f t="shared" si="21"/>
        <v>0</v>
      </c>
      <c r="BU33" s="47">
        <f>IF($R33="",0,$O33*$AD33*INDEX(Act_Type_Repex_Splits,MATCH($I33,Act_Type_Repex,0),MATCH(BU$5,Mat_Type,0))*INDEX(Escalators!$I$44:$U$49,MATCH(BU$5,Escalators!$C$44:$C$49,0),MATCH(BU$6,Escalators!$I$43:$U$43,0)))</f>
        <v>0</v>
      </c>
      <c r="BV33" s="47">
        <f>IF($R33="",0,$O33*$AD33*INDEX(Act_Type_Repex_Splits,MATCH($I33,Act_Type_Repex,0),MATCH(BV$5,Mat_Type,0))*INDEX(Escalators!$I$44:$U$49,MATCH(BV$5,Escalators!$C$44:$C$49,0),MATCH(BV$6,Escalators!$I$43:$U$43,0)))</f>
        <v>0</v>
      </c>
      <c r="BW33" s="47">
        <f>IF($R33="",0,$O33*$AD33*INDEX(Act_Type_Repex_Splits,MATCH($I33,Act_Type_Repex,0),MATCH(BW$5,Mat_Type,0))*INDEX(Escalators!$I$44:$U$49,MATCH(BW$5,Escalators!$C$44:$C$49,0),MATCH(BW$6,Escalators!$I$43:$U$43,0)))</f>
        <v>0</v>
      </c>
      <c r="BX33" s="47">
        <f>IF($R33="",0,$O33*$AD33*INDEX(Act_Type_Repex_Splits,MATCH($I33,Act_Type_Repex,0),MATCH(BX$5,Mat_Type,0))*INDEX(Escalators!$I$44:$U$49,MATCH(BX$5,Escalators!$C$44:$C$49,0),MATCH(BX$6,Escalators!$I$43:$U$43,0)))</f>
        <v>0</v>
      </c>
      <c r="BY33" s="47">
        <f>IF($R33="",0,$O33*$AD33*INDEX(Act_Type_Repex_Splits,MATCH($I33,Act_Type_Repex,0),MATCH(BY$5,Mat_Type,0))*INDEX(Escalators!$I$44:$U$49,MATCH(BY$5,Escalators!$C$44:$C$49,0),MATCH(BY$6,Escalators!$I$43:$U$43,0)))</f>
        <v>0</v>
      </c>
      <c r="BZ33" s="47">
        <f t="shared" si="22"/>
        <v>0</v>
      </c>
      <c r="CA33" s="47">
        <f>IF($R33="",0,$P33*$AD33*INDEX(Act_Type_Repex_Splits,MATCH($I33,Act_Type_Repex,0),MATCH(CA$5,Mat_Type,0))*INDEX(Escalators!$I$44:$U$49,MATCH(CA$5,Escalators!$C$44:$C$49,0),MATCH(CA$6,Escalators!$I$43:$U$43,0)))</f>
        <v>0</v>
      </c>
      <c r="CB33" s="47">
        <f>IF($R33="",0,$P33*$AD33*INDEX(Act_Type_Repex_Splits,MATCH($I33,Act_Type_Repex,0),MATCH(CB$5,Mat_Type,0))*INDEX(Escalators!$I$44:$U$49,MATCH(CB$5,Escalators!$C$44:$C$49,0),MATCH(CB$6,Escalators!$I$43:$U$43,0)))</f>
        <v>0</v>
      </c>
      <c r="CC33" s="47">
        <f>IF($R33="",0,$P33*$AD33*INDEX(Act_Type_Repex_Splits,MATCH($I33,Act_Type_Repex,0),MATCH(CC$5,Mat_Type,0))*INDEX(Escalators!$I$44:$U$49,MATCH(CC$5,Escalators!$C$44:$C$49,0),MATCH(CC$6,Escalators!$I$43:$U$43,0)))</f>
        <v>0</v>
      </c>
      <c r="CD33" s="47">
        <f>IF($R33="",0,$P33*$AD33*INDEX(Act_Type_Repex_Splits,MATCH($I33,Act_Type_Repex,0),MATCH(CD$5,Mat_Type,0))*INDEX(Escalators!$I$44:$U$49,MATCH(CD$5,Escalators!$C$44:$C$49,0),MATCH(CD$6,Escalators!$I$43:$U$43,0)))</f>
        <v>0</v>
      </c>
      <c r="CE33" s="47">
        <f>IF($R33="",0,$P33*$AD33*INDEX(Act_Type_Repex_Splits,MATCH($I33,Act_Type_Repex,0),MATCH(CE$5,Mat_Type,0))*INDEX(Escalators!$I$44:$U$49,MATCH(CE$5,Escalators!$C$44:$C$49,0),MATCH(CE$6,Escalators!$I$43:$U$43,0)))</f>
        <v>0</v>
      </c>
      <c r="CF33" s="47">
        <f t="shared" si="23"/>
        <v>0</v>
      </c>
      <c r="CG33" s="47">
        <f>IF($R33="",0,$Q33*$AD33*INDEX(Act_Type_Repex_Splits,MATCH($I33,Act_Type_Repex,0),MATCH(CG$5,Mat_Type,0))*INDEX(Escalators!$I$44:$U$49,MATCH(CG$5,Escalators!$C$44:$C$49,0),MATCH(CG$6,Escalators!$I$43:$U$43,0)))</f>
        <v>0</v>
      </c>
      <c r="CH33" s="47">
        <f>IF($R33="",0,$Q33*$AD33*INDEX(Act_Type_Repex_Splits,MATCH($I33,Act_Type_Repex,0),MATCH(CH$5,Mat_Type,0))*INDEX(Escalators!$I$44:$U$49,MATCH(CH$5,Escalators!$C$44:$C$49,0),MATCH(CH$6,Escalators!$I$43:$U$43,0)))</f>
        <v>0</v>
      </c>
      <c r="CI33" s="47">
        <f>IF($R33="",0,$Q33*$AD33*INDEX(Act_Type_Repex_Splits,MATCH($I33,Act_Type_Repex,0),MATCH(CI$5,Mat_Type,0))*INDEX(Escalators!$I$44:$U$49,MATCH(CI$5,Escalators!$C$44:$C$49,0),MATCH(CI$6,Escalators!$I$43:$U$43,0)))</f>
        <v>0</v>
      </c>
      <c r="CJ33" s="47">
        <f>IF($R33="",0,$Q33*$AD33*INDEX(Act_Type_Repex_Splits,MATCH($I33,Act_Type_Repex,0),MATCH(CJ$5,Mat_Type,0))*INDEX(Escalators!$I$44:$U$49,MATCH(CJ$5,Escalators!$C$44:$C$49,0),MATCH(CJ$6,Escalators!$I$43:$U$43,0)))</f>
        <v>0</v>
      </c>
      <c r="CK33" s="47">
        <f>IF($R33="",0,$Q33*$AD33*INDEX(Act_Type_Repex_Splits,MATCH($I33,Act_Type_Repex,0),MATCH(CK$5,Mat_Type,0))*INDEX(Escalators!$I$44:$U$49,MATCH(CK$5,Escalators!$C$44:$C$49,0),MATCH(CK$6,Escalators!$I$43:$U$43,0)))</f>
        <v>0</v>
      </c>
      <c r="CL33" s="47">
        <f t="shared" si="24"/>
        <v>0</v>
      </c>
      <c r="CN33" s="47">
        <f>IF($R33="",0,J33*$AE33*HLOOKUP(CN$6,Escalators!$I$25:$U$30,6,FALSE))</f>
        <v>0</v>
      </c>
      <c r="CO33" s="47">
        <f>IF($R33="",0,K33*$AE33*HLOOKUP(CO$6,Escalators!$I$25:$U$30,6,FALSE))</f>
        <v>0</v>
      </c>
      <c r="CP33" s="47">
        <f>IF($R33="",0,L33*$AE33*HLOOKUP(CP$6,Escalators!$I$25:$U$30,6,FALSE))</f>
        <v>0</v>
      </c>
      <c r="CQ33" s="47">
        <f>IF($R33="",0,M33*$AE33*HLOOKUP(CQ$6,Escalators!$I$25:$U$30,6,FALSE))</f>
        <v>0</v>
      </c>
      <c r="CR33" s="47">
        <f>IF($R33="",0,N33*$AE33*HLOOKUP(CR$6,Escalators!$I$25:$U$30,6,FALSE))</f>
        <v>0</v>
      </c>
      <c r="CS33" s="47">
        <f>IF($R33="",0,O33*$AE33*HLOOKUP(CS$6,Escalators!$I$25:$U$30,6,FALSE))</f>
        <v>0</v>
      </c>
      <c r="CT33" s="47">
        <f>IF($R33="",0,P33*$AE33*HLOOKUP(CT$6,Escalators!$I$25:$U$30,6,FALSE))</f>
        <v>0</v>
      </c>
      <c r="CU33" s="47">
        <f>IF($R33="",0,Q33*$AE33*HLOOKUP(CU$6,Escalators!$I$25:$U$30,6,FALSE))</f>
        <v>0</v>
      </c>
      <c r="CW33" s="47">
        <f t="shared" si="25"/>
        <v>0</v>
      </c>
      <c r="CX33" s="47">
        <f t="shared" si="26"/>
        <v>0</v>
      </c>
      <c r="CY33" s="47">
        <f t="shared" si="27"/>
        <v>0</v>
      </c>
      <c r="CZ33" s="47">
        <f t="shared" si="28"/>
        <v>0</v>
      </c>
      <c r="DA33" s="47">
        <f t="shared" si="29"/>
        <v>0</v>
      </c>
      <c r="DB33" s="47">
        <f t="shared" si="30"/>
        <v>0</v>
      </c>
      <c r="DC33" s="47">
        <f t="shared" si="31"/>
        <v>0</v>
      </c>
      <c r="DD33" s="47">
        <f t="shared" si="32"/>
        <v>0</v>
      </c>
      <c r="DF33" s="47">
        <f t="shared" si="33"/>
        <v>0</v>
      </c>
      <c r="DG33" s="47">
        <f t="shared" si="34"/>
        <v>0</v>
      </c>
      <c r="DH33" s="47">
        <f t="shared" si="35"/>
        <v>0</v>
      </c>
      <c r="DI33" s="47">
        <f t="shared" si="36"/>
        <v>0</v>
      </c>
      <c r="DJ33" s="47">
        <f t="shared" si="37"/>
        <v>0</v>
      </c>
      <c r="DK33" s="47">
        <f t="shared" si="38"/>
        <v>0</v>
      </c>
      <c r="DL33" s="47">
        <f t="shared" si="39"/>
        <v>0</v>
      </c>
      <c r="DM33" s="47">
        <f t="shared" si="40"/>
        <v>0</v>
      </c>
      <c r="DO33" s="39"/>
    </row>
    <row r="34" spans="2:119">
      <c r="B34" s="7"/>
      <c r="C34" s="7"/>
      <c r="D34" s="7"/>
      <c r="E34" s="7"/>
      <c r="F34" s="7"/>
      <c r="G34" s="7"/>
      <c r="H34" s="7"/>
      <c r="I34" s="7"/>
      <c r="J34" s="7"/>
      <c r="K34" s="7"/>
      <c r="L34" s="7"/>
      <c r="M34" s="7"/>
      <c r="N34" s="7"/>
      <c r="O34" s="7"/>
      <c r="P34" s="7"/>
      <c r="Q34" s="7"/>
      <c r="R34" s="46"/>
      <c r="T34" s="47">
        <f t="shared" si="8"/>
        <v>0</v>
      </c>
      <c r="U34" s="47">
        <f t="shared" si="9"/>
        <v>0</v>
      </c>
      <c r="V34" s="47">
        <f t="shared" si="10"/>
        <v>0</v>
      </c>
      <c r="W34" s="47">
        <f t="shared" si="11"/>
        <v>0</v>
      </c>
      <c r="X34" s="47">
        <f t="shared" si="12"/>
        <v>0</v>
      </c>
      <c r="Y34" s="47">
        <f t="shared" si="13"/>
        <v>0</v>
      </c>
      <c r="Z34" s="47">
        <f t="shared" si="14"/>
        <v>0</v>
      </c>
      <c r="AA34" s="47">
        <f t="shared" si="15"/>
        <v>0</v>
      </c>
      <c r="AC34" s="82">
        <f t="shared" si="16"/>
        <v>0</v>
      </c>
      <c r="AD34" s="82">
        <f t="shared" si="16"/>
        <v>0</v>
      </c>
      <c r="AE34" s="82">
        <f t="shared" si="16"/>
        <v>0</v>
      </c>
      <c r="AF34" s="82">
        <f t="shared" si="16"/>
        <v>0</v>
      </c>
      <c r="AH34" s="47">
        <f>IF($R34="",0,J34*$AC34*HLOOKUP(AH$6,Escalators!$I$25:$U$30,3,FALSE))</f>
        <v>0</v>
      </c>
      <c r="AI34" s="47">
        <f>IF($R34="",0,K34*$AC34*HLOOKUP(AI$6,Escalators!$I$25:$U$30,3,FALSE))</f>
        <v>0</v>
      </c>
      <c r="AJ34" s="47">
        <f>IF($R34="",0,L34*$AC34*HLOOKUP(AJ$6,Escalators!$I$25:$U$30,3,FALSE))</f>
        <v>0</v>
      </c>
      <c r="AK34" s="47">
        <f>IF($R34="",0,M34*$AC34*HLOOKUP(AK$6,Escalators!$I$25:$U$30,3,FALSE))</f>
        <v>0</v>
      </c>
      <c r="AL34" s="47">
        <f>IF($R34="",0,N34*$AC34*HLOOKUP(AL$6,Escalators!$I$25:$U$30,3,FALSE))</f>
        <v>0</v>
      </c>
      <c r="AM34" s="47">
        <f>IF($R34="",0,O34*$AC34*HLOOKUP(AM$6,Escalators!$I$25:$U$30,3,FALSE))</f>
        <v>0</v>
      </c>
      <c r="AN34" s="47">
        <f>IF($R34="",0,P34*$AC34*HLOOKUP(AN$6,Escalators!$I$25:$U$30,3,FALSE))</f>
        <v>0</v>
      </c>
      <c r="AO34" s="47">
        <f>IF($R34="",0,Q34*$AC34*HLOOKUP(AO$6,Escalators!$I$25:$U$30,3,FALSE))</f>
        <v>0</v>
      </c>
      <c r="AQ34" s="6">
        <f>IF($R34="",0,$J34*$AD34*INDEX(Act_Type_Repex_Splits,MATCH($I34,Act_Type_Repex,0),MATCH(AQ$5,Mat_Type,0))*INDEX(Escalators!$I$44:$Q$49,MATCH(AQ$5,Escalators!$C$44:$C$49,0),MATCH(AQ$6,Escalators!$I$43:$Q$43,0)))</f>
        <v>0</v>
      </c>
      <c r="AR34" s="6">
        <f>IF($R34="",0,$J34*$AD34*INDEX(Act_Type_Repex_Splits,MATCH($I34,Act_Type_Repex,0),MATCH(AR$5,Mat_Type,0))*INDEX(Escalators!$I$44:$Q$49,MATCH(AR$5,Escalators!$C$44:$C$49,0),MATCH(AR$6,Escalators!$I$43:$Q$43,0)))</f>
        <v>0</v>
      </c>
      <c r="AS34" s="6">
        <f>IF($R34="",0,$J34*$AD34*INDEX(Act_Type_Repex_Splits,MATCH($I34,Act_Type_Repex,0),MATCH(AS$5,Mat_Type,0))*INDEX(Escalators!$I$44:$Q$49,MATCH(AS$5,Escalators!$C$44:$C$49,0),MATCH(AS$6,Escalators!$I$43:$Q$43,0)))</f>
        <v>0</v>
      </c>
      <c r="AT34" s="6">
        <f>IF($R34="",0,$J34*$AD34*INDEX(Act_Type_Repex_Splits,MATCH($I34,Act_Type_Repex,0),MATCH(AT$5,Mat_Type,0))*INDEX(Escalators!$I$44:$Q$49,MATCH(AT$5,Escalators!$C$44:$C$49,0),MATCH(AT$6,Escalators!$I$43:$Q$43,0)))</f>
        <v>0</v>
      </c>
      <c r="AU34" s="6">
        <f>IF($R34="",0,$J34*$AD34*INDEX(Act_Type_Repex_Splits,MATCH($I34,Act_Type_Repex,0),MATCH(AU$5,Mat_Type,0))*INDEX(Escalators!$I$44:$Q$49,MATCH(AU$5,Escalators!$C$44:$C$49,0),MATCH(AU$6,Escalators!$I$43:$Q$43,0)))</f>
        <v>0</v>
      </c>
      <c r="AV34" s="47">
        <f t="shared" si="17"/>
        <v>0</v>
      </c>
      <c r="AW34" s="47">
        <f>IF($R34="",0,$K34*$AD34*INDEX(Act_Type_Repex_Splits,MATCH($I34,Act_Type_Repex,0),MATCH(AW$5,Mat_Type,0))*INDEX(Escalators!$I$44:$U$49,MATCH(AW$5,Escalators!$C$44:$C$49,0),MATCH(AW$6,Escalators!$I$43:$U$43,0)))</f>
        <v>0</v>
      </c>
      <c r="AX34" s="47">
        <f>IF($R34="",0,$K34*$AD34*INDEX(Act_Type_Repex_Splits,MATCH($I34,Act_Type_Repex,0),MATCH(AX$5,Mat_Type,0))*INDEX(Escalators!$I$44:$U$49,MATCH(AX$5,Escalators!$C$44:$C$49,0),MATCH(AX$6,Escalators!$I$43:$U$43,0)))</f>
        <v>0</v>
      </c>
      <c r="AY34" s="47">
        <f>IF($R34="",0,$K34*$AD34*INDEX(Act_Type_Repex_Splits,MATCH($I34,Act_Type_Repex,0),MATCH(AY$5,Mat_Type,0))*INDEX(Escalators!$I$44:$U$49,MATCH(AY$5,Escalators!$C$44:$C$49,0),MATCH(AY$6,Escalators!$I$43:$U$43,0)))</f>
        <v>0</v>
      </c>
      <c r="AZ34" s="47">
        <f>IF($R34="",0,$K34*$AD34*INDEX(Act_Type_Repex_Splits,MATCH($I34,Act_Type_Repex,0),MATCH(AZ$5,Mat_Type,0))*INDEX(Escalators!$I$44:$U$49,MATCH(AZ$5,Escalators!$C$44:$C$49,0),MATCH(AZ$6,Escalators!$I$43:$U$43,0)))</f>
        <v>0</v>
      </c>
      <c r="BA34" s="47">
        <f>IF($R34="",0,$K34*$AD34*INDEX(Act_Type_Repex_Splits,MATCH($I34,Act_Type_Repex,0),MATCH(BA$5,Mat_Type,0))*INDEX(Escalators!$I$44:$U$49,MATCH(BA$5,Escalators!$C$44:$C$49,0),MATCH(BA$6,Escalators!$I$43:$U$43,0)))</f>
        <v>0</v>
      </c>
      <c r="BB34" s="47">
        <f t="shared" si="18"/>
        <v>0</v>
      </c>
      <c r="BC34" s="47">
        <f>IF($R34="",0,$L34*$AD34*INDEX(Act_Type_Repex_Splits,MATCH($I34,Act_Type_Repex,0),MATCH(BC$5,Mat_Type,0))*INDEX(Escalators!$I$44:$U$49,MATCH(BC$5,Escalators!$C$44:$C$49,0),MATCH(BC$6,Escalators!$I$43:$U$43,0)))</f>
        <v>0</v>
      </c>
      <c r="BD34" s="47">
        <f>IF($R34="",0,$L34*$AD34*INDEX(Act_Type_Repex_Splits,MATCH($I34,Act_Type_Repex,0),MATCH(BD$5,Mat_Type,0))*INDEX(Escalators!$I$44:$U$49,MATCH(BD$5,Escalators!$C$44:$C$49,0),MATCH(BD$6,Escalators!$I$43:$U$43,0)))</f>
        <v>0</v>
      </c>
      <c r="BE34" s="47">
        <f>IF($R34="",0,$L34*$AD34*INDEX(Act_Type_Repex_Splits,MATCH($I34,Act_Type_Repex,0),MATCH(BE$5,Mat_Type,0))*INDEX(Escalators!$I$44:$U$49,MATCH(BE$5,Escalators!$C$44:$C$49,0),MATCH(BE$6,Escalators!$I$43:$U$43,0)))</f>
        <v>0</v>
      </c>
      <c r="BF34" s="47">
        <f>IF($R34="",0,$L34*$AD34*INDEX(Act_Type_Repex_Splits,MATCH($I34,Act_Type_Repex,0),MATCH(BF$5,Mat_Type,0))*INDEX(Escalators!$I$44:$U$49,MATCH(BF$5,Escalators!$C$44:$C$49,0),MATCH(BF$6,Escalators!$I$43:$U$43,0)))</f>
        <v>0</v>
      </c>
      <c r="BG34" s="47">
        <f>IF($R34="",0,$L34*$AD34*INDEX(Act_Type_Repex_Splits,MATCH($I34,Act_Type_Repex,0),MATCH(BG$5,Mat_Type,0))*INDEX(Escalators!$I$44:$U$49,MATCH(BG$5,Escalators!$C$44:$C$49,0),MATCH(BG$6,Escalators!$I$43:$U$43,0)))</f>
        <v>0</v>
      </c>
      <c r="BH34" s="47">
        <f t="shared" si="19"/>
        <v>0</v>
      </c>
      <c r="BI34" s="47">
        <f>IF($R34="",0,$M34*$AD34*INDEX(Act_Type_Repex_Splits,MATCH($I34,Act_Type_Repex,0),MATCH(BI$5,Mat_Type,0))*INDEX(Escalators!$I$44:$U$49,MATCH(BI$5,Escalators!$C$44:$C$49,0),MATCH(BI$6,Escalators!$I$43:$U$43,0)))</f>
        <v>0</v>
      </c>
      <c r="BJ34" s="47">
        <f>IF($R34="",0,$M34*$AD34*INDEX(Act_Type_Repex_Splits,MATCH($I34,Act_Type_Repex,0),MATCH(BJ$5,Mat_Type,0))*INDEX(Escalators!$I$44:$U$49,MATCH(BJ$5,Escalators!$C$44:$C$49,0),MATCH(BJ$6,Escalators!$I$43:$U$43,0)))</f>
        <v>0</v>
      </c>
      <c r="BK34" s="47">
        <f>IF($R34="",0,$M34*$AD34*INDEX(Act_Type_Repex_Splits,MATCH($I34,Act_Type_Repex,0),MATCH(BK$5,Mat_Type,0))*INDEX(Escalators!$I$44:$U$49,MATCH(BK$5,Escalators!$C$44:$C$49,0),MATCH(BK$6,Escalators!$I$43:$U$43,0)))</f>
        <v>0</v>
      </c>
      <c r="BL34" s="47">
        <f>IF($R34="",0,$M34*$AD34*INDEX(Act_Type_Repex_Splits,MATCH($I34,Act_Type_Repex,0),MATCH(BL$5,Mat_Type,0))*INDEX(Escalators!$I$44:$U$49,MATCH(BL$5,Escalators!$C$44:$C$49,0),MATCH(BL$6,Escalators!$I$43:$U$43,0)))</f>
        <v>0</v>
      </c>
      <c r="BM34" s="47">
        <f>IF($R34="",0,$M34*$AD34*INDEX(Act_Type_Repex_Splits,MATCH($I34,Act_Type_Repex,0),MATCH(BM$5,Mat_Type,0))*INDEX(Escalators!$I$44:$U$49,MATCH(BM$5,Escalators!$C$44:$C$49,0),MATCH(BM$6,Escalators!$I$43:$U$43,0)))</f>
        <v>0</v>
      </c>
      <c r="BN34" s="47">
        <f t="shared" si="20"/>
        <v>0</v>
      </c>
      <c r="BO34" s="47">
        <f>IF($R34="",0,$N34*$AD34*INDEX(Act_Type_Repex_Splits,MATCH($I34,Act_Type_Repex,0),MATCH(BO$5,Mat_Type,0))*INDEX(Escalators!$I$44:$U$49,MATCH(BO$5,Escalators!$C$44:$C$49,0),MATCH(BO$6,Escalators!$I$43:$U$43,0)))</f>
        <v>0</v>
      </c>
      <c r="BP34" s="47">
        <f>IF($R34="",0,$N34*$AD34*INDEX(Act_Type_Repex_Splits,MATCH($I34,Act_Type_Repex,0),MATCH(BP$5,Mat_Type,0))*INDEX(Escalators!$I$44:$U$49,MATCH(BP$5,Escalators!$C$44:$C$49,0),MATCH(BP$6,Escalators!$I$43:$U$43,0)))</f>
        <v>0</v>
      </c>
      <c r="BQ34" s="47">
        <f>IF($R34="",0,$N34*$AD34*INDEX(Act_Type_Repex_Splits,MATCH($I34,Act_Type_Repex,0),MATCH(BQ$5,Mat_Type,0))*INDEX(Escalators!$I$44:$U$49,MATCH(BQ$5,Escalators!$C$44:$C$49,0),MATCH(BQ$6,Escalators!$I$43:$U$43,0)))</f>
        <v>0</v>
      </c>
      <c r="BR34" s="47">
        <f>IF($R34="",0,$N34*$AD34*INDEX(Act_Type_Repex_Splits,MATCH($I34,Act_Type_Repex,0),MATCH(BR$5,Mat_Type,0))*INDEX(Escalators!$I$44:$U$49,MATCH(BR$5,Escalators!$C$44:$C$49,0),MATCH(BR$6,Escalators!$I$43:$U$43,0)))</f>
        <v>0</v>
      </c>
      <c r="BS34" s="47">
        <f>IF($R34="",0,$N34*$AD34*INDEX(Act_Type_Repex_Splits,MATCH($I34,Act_Type_Repex,0),MATCH(BS$5,Mat_Type,0))*INDEX(Escalators!$I$44:$U$49,MATCH(BS$5,Escalators!$C$44:$C$49,0),MATCH(BS$6,Escalators!$I$43:$U$43,0)))</f>
        <v>0</v>
      </c>
      <c r="BT34" s="47">
        <f t="shared" si="21"/>
        <v>0</v>
      </c>
      <c r="BU34" s="47">
        <f>IF($R34="",0,$O34*$AD34*INDEX(Act_Type_Repex_Splits,MATCH($I34,Act_Type_Repex,0),MATCH(BU$5,Mat_Type,0))*INDEX(Escalators!$I$44:$U$49,MATCH(BU$5,Escalators!$C$44:$C$49,0),MATCH(BU$6,Escalators!$I$43:$U$43,0)))</f>
        <v>0</v>
      </c>
      <c r="BV34" s="47">
        <f>IF($R34="",0,$O34*$AD34*INDEX(Act_Type_Repex_Splits,MATCH($I34,Act_Type_Repex,0),MATCH(BV$5,Mat_Type,0))*INDEX(Escalators!$I$44:$U$49,MATCH(BV$5,Escalators!$C$44:$C$49,0),MATCH(BV$6,Escalators!$I$43:$U$43,0)))</f>
        <v>0</v>
      </c>
      <c r="BW34" s="47">
        <f>IF($R34="",0,$O34*$AD34*INDEX(Act_Type_Repex_Splits,MATCH($I34,Act_Type_Repex,0),MATCH(BW$5,Mat_Type,0))*INDEX(Escalators!$I$44:$U$49,MATCH(BW$5,Escalators!$C$44:$C$49,0),MATCH(BW$6,Escalators!$I$43:$U$43,0)))</f>
        <v>0</v>
      </c>
      <c r="BX34" s="47">
        <f>IF($R34="",0,$O34*$AD34*INDEX(Act_Type_Repex_Splits,MATCH($I34,Act_Type_Repex,0),MATCH(BX$5,Mat_Type,0))*INDEX(Escalators!$I$44:$U$49,MATCH(BX$5,Escalators!$C$44:$C$49,0),MATCH(BX$6,Escalators!$I$43:$U$43,0)))</f>
        <v>0</v>
      </c>
      <c r="BY34" s="47">
        <f>IF($R34="",0,$O34*$AD34*INDEX(Act_Type_Repex_Splits,MATCH($I34,Act_Type_Repex,0),MATCH(BY$5,Mat_Type,0))*INDEX(Escalators!$I$44:$U$49,MATCH(BY$5,Escalators!$C$44:$C$49,0),MATCH(BY$6,Escalators!$I$43:$U$43,0)))</f>
        <v>0</v>
      </c>
      <c r="BZ34" s="47">
        <f t="shared" si="22"/>
        <v>0</v>
      </c>
      <c r="CA34" s="47">
        <f>IF($R34="",0,$P34*$AD34*INDEX(Act_Type_Repex_Splits,MATCH($I34,Act_Type_Repex,0),MATCH(CA$5,Mat_Type,0))*INDEX(Escalators!$I$44:$U$49,MATCH(CA$5,Escalators!$C$44:$C$49,0),MATCH(CA$6,Escalators!$I$43:$U$43,0)))</f>
        <v>0</v>
      </c>
      <c r="CB34" s="47">
        <f>IF($R34="",0,$P34*$AD34*INDEX(Act_Type_Repex_Splits,MATCH($I34,Act_Type_Repex,0),MATCH(CB$5,Mat_Type,0))*INDEX(Escalators!$I$44:$U$49,MATCH(CB$5,Escalators!$C$44:$C$49,0),MATCH(CB$6,Escalators!$I$43:$U$43,0)))</f>
        <v>0</v>
      </c>
      <c r="CC34" s="47">
        <f>IF($R34="",0,$P34*$AD34*INDEX(Act_Type_Repex_Splits,MATCH($I34,Act_Type_Repex,0),MATCH(CC$5,Mat_Type,0))*INDEX(Escalators!$I$44:$U$49,MATCH(CC$5,Escalators!$C$44:$C$49,0),MATCH(CC$6,Escalators!$I$43:$U$43,0)))</f>
        <v>0</v>
      </c>
      <c r="CD34" s="47">
        <f>IF($R34="",0,$P34*$AD34*INDEX(Act_Type_Repex_Splits,MATCH($I34,Act_Type_Repex,0),MATCH(CD$5,Mat_Type,0))*INDEX(Escalators!$I$44:$U$49,MATCH(CD$5,Escalators!$C$44:$C$49,0),MATCH(CD$6,Escalators!$I$43:$U$43,0)))</f>
        <v>0</v>
      </c>
      <c r="CE34" s="47">
        <f>IF($R34="",0,$P34*$AD34*INDEX(Act_Type_Repex_Splits,MATCH($I34,Act_Type_Repex,0),MATCH(CE$5,Mat_Type,0))*INDEX(Escalators!$I$44:$U$49,MATCH(CE$5,Escalators!$C$44:$C$49,0),MATCH(CE$6,Escalators!$I$43:$U$43,0)))</f>
        <v>0</v>
      </c>
      <c r="CF34" s="47">
        <f t="shared" si="23"/>
        <v>0</v>
      </c>
      <c r="CG34" s="47">
        <f>IF($R34="",0,$Q34*$AD34*INDEX(Act_Type_Repex_Splits,MATCH($I34,Act_Type_Repex,0),MATCH(CG$5,Mat_Type,0))*INDEX(Escalators!$I$44:$U$49,MATCH(CG$5,Escalators!$C$44:$C$49,0),MATCH(CG$6,Escalators!$I$43:$U$43,0)))</f>
        <v>0</v>
      </c>
      <c r="CH34" s="47">
        <f>IF($R34="",0,$Q34*$AD34*INDEX(Act_Type_Repex_Splits,MATCH($I34,Act_Type_Repex,0),MATCH(CH$5,Mat_Type,0))*INDEX(Escalators!$I$44:$U$49,MATCH(CH$5,Escalators!$C$44:$C$49,0),MATCH(CH$6,Escalators!$I$43:$U$43,0)))</f>
        <v>0</v>
      </c>
      <c r="CI34" s="47">
        <f>IF($R34="",0,$Q34*$AD34*INDEX(Act_Type_Repex_Splits,MATCH($I34,Act_Type_Repex,0),MATCH(CI$5,Mat_Type,0))*INDEX(Escalators!$I$44:$U$49,MATCH(CI$5,Escalators!$C$44:$C$49,0),MATCH(CI$6,Escalators!$I$43:$U$43,0)))</f>
        <v>0</v>
      </c>
      <c r="CJ34" s="47">
        <f>IF($R34="",0,$Q34*$AD34*INDEX(Act_Type_Repex_Splits,MATCH($I34,Act_Type_Repex,0),MATCH(CJ$5,Mat_Type,0))*INDEX(Escalators!$I$44:$U$49,MATCH(CJ$5,Escalators!$C$44:$C$49,0),MATCH(CJ$6,Escalators!$I$43:$U$43,0)))</f>
        <v>0</v>
      </c>
      <c r="CK34" s="47">
        <f>IF($R34="",0,$Q34*$AD34*INDEX(Act_Type_Repex_Splits,MATCH($I34,Act_Type_Repex,0),MATCH(CK$5,Mat_Type,0))*INDEX(Escalators!$I$44:$U$49,MATCH(CK$5,Escalators!$C$44:$C$49,0),MATCH(CK$6,Escalators!$I$43:$U$43,0)))</f>
        <v>0</v>
      </c>
      <c r="CL34" s="47">
        <f t="shared" si="24"/>
        <v>0</v>
      </c>
      <c r="CN34" s="47">
        <f>IF($R34="",0,J34*$AE34*HLOOKUP(CN$6,Escalators!$I$25:$U$30,6,FALSE))</f>
        <v>0</v>
      </c>
      <c r="CO34" s="47">
        <f>IF($R34="",0,K34*$AE34*HLOOKUP(CO$6,Escalators!$I$25:$U$30,6,FALSE))</f>
        <v>0</v>
      </c>
      <c r="CP34" s="47">
        <f>IF($R34="",0,L34*$AE34*HLOOKUP(CP$6,Escalators!$I$25:$U$30,6,FALSE))</f>
        <v>0</v>
      </c>
      <c r="CQ34" s="47">
        <f>IF($R34="",0,M34*$AE34*HLOOKUP(CQ$6,Escalators!$I$25:$U$30,6,FALSE))</f>
        <v>0</v>
      </c>
      <c r="CR34" s="47">
        <f>IF($R34="",0,N34*$AE34*HLOOKUP(CR$6,Escalators!$I$25:$U$30,6,FALSE))</f>
        <v>0</v>
      </c>
      <c r="CS34" s="47">
        <f>IF($R34="",0,O34*$AE34*HLOOKUP(CS$6,Escalators!$I$25:$U$30,6,FALSE))</f>
        <v>0</v>
      </c>
      <c r="CT34" s="47">
        <f>IF($R34="",0,P34*$AE34*HLOOKUP(CT$6,Escalators!$I$25:$U$30,6,FALSE))</f>
        <v>0</v>
      </c>
      <c r="CU34" s="47">
        <f>IF($R34="",0,Q34*$AE34*HLOOKUP(CU$6,Escalators!$I$25:$U$30,6,FALSE))</f>
        <v>0</v>
      </c>
      <c r="CW34" s="47">
        <f t="shared" si="25"/>
        <v>0</v>
      </c>
      <c r="CX34" s="47">
        <f t="shared" si="26"/>
        <v>0</v>
      </c>
      <c r="CY34" s="47">
        <f t="shared" si="27"/>
        <v>0</v>
      </c>
      <c r="CZ34" s="47">
        <f t="shared" si="28"/>
        <v>0</v>
      </c>
      <c r="DA34" s="47">
        <f t="shared" si="29"/>
        <v>0</v>
      </c>
      <c r="DB34" s="47">
        <f t="shared" si="30"/>
        <v>0</v>
      </c>
      <c r="DC34" s="47">
        <f t="shared" si="31"/>
        <v>0</v>
      </c>
      <c r="DD34" s="47">
        <f t="shared" si="32"/>
        <v>0</v>
      </c>
      <c r="DF34" s="47">
        <f t="shared" si="33"/>
        <v>0</v>
      </c>
      <c r="DG34" s="47">
        <f t="shared" si="34"/>
        <v>0</v>
      </c>
      <c r="DH34" s="47">
        <f t="shared" si="35"/>
        <v>0</v>
      </c>
      <c r="DI34" s="47">
        <f t="shared" si="36"/>
        <v>0</v>
      </c>
      <c r="DJ34" s="47">
        <f t="shared" si="37"/>
        <v>0</v>
      </c>
      <c r="DK34" s="47">
        <f t="shared" si="38"/>
        <v>0</v>
      </c>
      <c r="DL34" s="47">
        <f t="shared" si="39"/>
        <v>0</v>
      </c>
      <c r="DM34" s="47">
        <f t="shared" si="40"/>
        <v>0</v>
      </c>
      <c r="DO34" s="39"/>
    </row>
    <row r="35" spans="2:119">
      <c r="B35" s="7"/>
      <c r="C35" s="7"/>
      <c r="D35" s="7"/>
      <c r="E35" s="7"/>
      <c r="F35" s="7"/>
      <c r="G35" s="7"/>
      <c r="H35" s="7"/>
      <c r="I35" s="7"/>
      <c r="J35" s="7"/>
      <c r="K35" s="7"/>
      <c r="L35" s="7"/>
      <c r="M35" s="7"/>
      <c r="N35" s="7"/>
      <c r="O35" s="7"/>
      <c r="P35" s="7"/>
      <c r="Q35" s="7"/>
      <c r="R35" s="46"/>
      <c r="T35" s="47">
        <f t="shared" si="8"/>
        <v>0</v>
      </c>
      <c r="U35" s="47">
        <f t="shared" si="9"/>
        <v>0</v>
      </c>
      <c r="V35" s="47">
        <f t="shared" si="10"/>
        <v>0</v>
      </c>
      <c r="W35" s="47">
        <f t="shared" si="11"/>
        <v>0</v>
      </c>
      <c r="X35" s="47">
        <f t="shared" si="12"/>
        <v>0</v>
      </c>
      <c r="Y35" s="47">
        <f t="shared" si="13"/>
        <v>0</v>
      </c>
      <c r="Z35" s="47">
        <f t="shared" si="14"/>
        <v>0</v>
      </c>
      <c r="AA35" s="47">
        <f t="shared" si="15"/>
        <v>0</v>
      </c>
      <c r="AC35" s="82">
        <f t="shared" si="16"/>
        <v>0</v>
      </c>
      <c r="AD35" s="82">
        <f t="shared" si="16"/>
        <v>0</v>
      </c>
      <c r="AE35" s="82">
        <f t="shared" si="16"/>
        <v>0</v>
      </c>
      <c r="AF35" s="82">
        <f t="shared" si="16"/>
        <v>0</v>
      </c>
      <c r="AH35" s="47">
        <f>IF($R35="",0,J35*$AC35*HLOOKUP(AH$6,Escalators!$I$25:$U$30,3,FALSE))</f>
        <v>0</v>
      </c>
      <c r="AI35" s="47">
        <f>IF($R35="",0,K35*$AC35*HLOOKUP(AI$6,Escalators!$I$25:$U$30,3,FALSE))</f>
        <v>0</v>
      </c>
      <c r="AJ35" s="47">
        <f>IF($R35="",0,L35*$AC35*HLOOKUP(AJ$6,Escalators!$I$25:$U$30,3,FALSE))</f>
        <v>0</v>
      </c>
      <c r="AK35" s="47">
        <f>IF($R35="",0,M35*$AC35*HLOOKUP(AK$6,Escalators!$I$25:$U$30,3,FALSE))</f>
        <v>0</v>
      </c>
      <c r="AL35" s="47">
        <f>IF($R35="",0,N35*$AC35*HLOOKUP(AL$6,Escalators!$I$25:$U$30,3,FALSE))</f>
        <v>0</v>
      </c>
      <c r="AM35" s="47">
        <f>IF($R35="",0,O35*$AC35*HLOOKUP(AM$6,Escalators!$I$25:$U$30,3,FALSE))</f>
        <v>0</v>
      </c>
      <c r="AN35" s="47">
        <f>IF($R35="",0,P35*$AC35*HLOOKUP(AN$6,Escalators!$I$25:$U$30,3,FALSE))</f>
        <v>0</v>
      </c>
      <c r="AO35" s="47">
        <f>IF($R35="",0,Q35*$AC35*HLOOKUP(AO$6,Escalators!$I$25:$U$30,3,FALSE))</f>
        <v>0</v>
      </c>
      <c r="AQ35" s="6">
        <f>IF($R35="",0,$J35*$AD35*INDEX(Act_Type_Repex_Splits,MATCH($I35,Act_Type_Repex,0),MATCH(AQ$5,Mat_Type,0))*INDEX(Escalators!$I$44:$Q$49,MATCH(AQ$5,Escalators!$C$44:$C$49,0),MATCH(AQ$6,Escalators!$I$43:$Q$43,0)))</f>
        <v>0</v>
      </c>
      <c r="AR35" s="6">
        <f>IF($R35="",0,$J35*$AD35*INDEX(Act_Type_Repex_Splits,MATCH($I35,Act_Type_Repex,0),MATCH(AR$5,Mat_Type,0))*INDEX(Escalators!$I$44:$Q$49,MATCH(AR$5,Escalators!$C$44:$C$49,0),MATCH(AR$6,Escalators!$I$43:$Q$43,0)))</f>
        <v>0</v>
      </c>
      <c r="AS35" s="6">
        <f>IF($R35="",0,$J35*$AD35*INDEX(Act_Type_Repex_Splits,MATCH($I35,Act_Type_Repex,0),MATCH(AS$5,Mat_Type,0))*INDEX(Escalators!$I$44:$Q$49,MATCH(AS$5,Escalators!$C$44:$C$49,0),MATCH(AS$6,Escalators!$I$43:$Q$43,0)))</f>
        <v>0</v>
      </c>
      <c r="AT35" s="6">
        <f>IF($R35="",0,$J35*$AD35*INDEX(Act_Type_Repex_Splits,MATCH($I35,Act_Type_Repex,0),MATCH(AT$5,Mat_Type,0))*INDEX(Escalators!$I$44:$Q$49,MATCH(AT$5,Escalators!$C$44:$C$49,0),MATCH(AT$6,Escalators!$I$43:$Q$43,0)))</f>
        <v>0</v>
      </c>
      <c r="AU35" s="6">
        <f>IF($R35="",0,$J35*$AD35*INDEX(Act_Type_Repex_Splits,MATCH($I35,Act_Type_Repex,0),MATCH(AU$5,Mat_Type,0))*INDEX(Escalators!$I$44:$Q$49,MATCH(AU$5,Escalators!$C$44:$C$49,0),MATCH(AU$6,Escalators!$I$43:$Q$43,0)))</f>
        <v>0</v>
      </c>
      <c r="AV35" s="47">
        <f t="shared" si="17"/>
        <v>0</v>
      </c>
      <c r="AW35" s="47">
        <f>IF($R35="",0,$K35*$AD35*INDEX(Act_Type_Repex_Splits,MATCH($I35,Act_Type_Repex,0),MATCH(AW$5,Mat_Type,0))*INDEX(Escalators!$I$44:$U$49,MATCH(AW$5,Escalators!$C$44:$C$49,0),MATCH(AW$6,Escalators!$I$43:$U$43,0)))</f>
        <v>0</v>
      </c>
      <c r="AX35" s="47">
        <f>IF($R35="",0,$K35*$AD35*INDEX(Act_Type_Repex_Splits,MATCH($I35,Act_Type_Repex,0),MATCH(AX$5,Mat_Type,0))*INDEX(Escalators!$I$44:$U$49,MATCH(AX$5,Escalators!$C$44:$C$49,0),MATCH(AX$6,Escalators!$I$43:$U$43,0)))</f>
        <v>0</v>
      </c>
      <c r="AY35" s="47">
        <f>IF($R35="",0,$K35*$AD35*INDEX(Act_Type_Repex_Splits,MATCH($I35,Act_Type_Repex,0),MATCH(AY$5,Mat_Type,0))*INDEX(Escalators!$I$44:$U$49,MATCH(AY$5,Escalators!$C$44:$C$49,0),MATCH(AY$6,Escalators!$I$43:$U$43,0)))</f>
        <v>0</v>
      </c>
      <c r="AZ35" s="47">
        <f>IF($R35="",0,$K35*$AD35*INDEX(Act_Type_Repex_Splits,MATCH($I35,Act_Type_Repex,0),MATCH(AZ$5,Mat_Type,0))*INDEX(Escalators!$I$44:$U$49,MATCH(AZ$5,Escalators!$C$44:$C$49,0),MATCH(AZ$6,Escalators!$I$43:$U$43,0)))</f>
        <v>0</v>
      </c>
      <c r="BA35" s="47">
        <f>IF($R35="",0,$K35*$AD35*INDEX(Act_Type_Repex_Splits,MATCH($I35,Act_Type_Repex,0),MATCH(BA$5,Mat_Type,0))*INDEX(Escalators!$I$44:$U$49,MATCH(BA$5,Escalators!$C$44:$C$49,0),MATCH(BA$6,Escalators!$I$43:$U$43,0)))</f>
        <v>0</v>
      </c>
      <c r="BB35" s="47">
        <f t="shared" si="18"/>
        <v>0</v>
      </c>
      <c r="BC35" s="47">
        <f>IF($R35="",0,$L35*$AD35*INDEX(Act_Type_Repex_Splits,MATCH($I35,Act_Type_Repex,0),MATCH(BC$5,Mat_Type,0))*INDEX(Escalators!$I$44:$U$49,MATCH(BC$5,Escalators!$C$44:$C$49,0),MATCH(BC$6,Escalators!$I$43:$U$43,0)))</f>
        <v>0</v>
      </c>
      <c r="BD35" s="47">
        <f>IF($R35="",0,$L35*$AD35*INDEX(Act_Type_Repex_Splits,MATCH($I35,Act_Type_Repex,0),MATCH(BD$5,Mat_Type,0))*INDEX(Escalators!$I$44:$U$49,MATCH(BD$5,Escalators!$C$44:$C$49,0),MATCH(BD$6,Escalators!$I$43:$U$43,0)))</f>
        <v>0</v>
      </c>
      <c r="BE35" s="47">
        <f>IF($R35="",0,$L35*$AD35*INDEX(Act_Type_Repex_Splits,MATCH($I35,Act_Type_Repex,0),MATCH(BE$5,Mat_Type,0))*INDEX(Escalators!$I$44:$U$49,MATCH(BE$5,Escalators!$C$44:$C$49,0),MATCH(BE$6,Escalators!$I$43:$U$43,0)))</f>
        <v>0</v>
      </c>
      <c r="BF35" s="47">
        <f>IF($R35="",0,$L35*$AD35*INDEX(Act_Type_Repex_Splits,MATCH($I35,Act_Type_Repex,0),MATCH(BF$5,Mat_Type,0))*INDEX(Escalators!$I$44:$U$49,MATCH(BF$5,Escalators!$C$44:$C$49,0),MATCH(BF$6,Escalators!$I$43:$U$43,0)))</f>
        <v>0</v>
      </c>
      <c r="BG35" s="47">
        <f>IF($R35="",0,$L35*$AD35*INDEX(Act_Type_Repex_Splits,MATCH($I35,Act_Type_Repex,0),MATCH(BG$5,Mat_Type,0))*INDEX(Escalators!$I$44:$U$49,MATCH(BG$5,Escalators!$C$44:$C$49,0),MATCH(BG$6,Escalators!$I$43:$U$43,0)))</f>
        <v>0</v>
      </c>
      <c r="BH35" s="47">
        <f t="shared" si="19"/>
        <v>0</v>
      </c>
      <c r="BI35" s="47">
        <f>IF($R35="",0,$M35*$AD35*INDEX(Act_Type_Repex_Splits,MATCH($I35,Act_Type_Repex,0),MATCH(BI$5,Mat_Type,0))*INDEX(Escalators!$I$44:$U$49,MATCH(BI$5,Escalators!$C$44:$C$49,0),MATCH(BI$6,Escalators!$I$43:$U$43,0)))</f>
        <v>0</v>
      </c>
      <c r="BJ35" s="47">
        <f>IF($R35="",0,$M35*$AD35*INDEX(Act_Type_Repex_Splits,MATCH($I35,Act_Type_Repex,0),MATCH(BJ$5,Mat_Type,0))*INDEX(Escalators!$I$44:$U$49,MATCH(BJ$5,Escalators!$C$44:$C$49,0),MATCH(BJ$6,Escalators!$I$43:$U$43,0)))</f>
        <v>0</v>
      </c>
      <c r="BK35" s="47">
        <f>IF($R35="",0,$M35*$AD35*INDEX(Act_Type_Repex_Splits,MATCH($I35,Act_Type_Repex,0),MATCH(BK$5,Mat_Type,0))*INDEX(Escalators!$I$44:$U$49,MATCH(BK$5,Escalators!$C$44:$C$49,0),MATCH(BK$6,Escalators!$I$43:$U$43,0)))</f>
        <v>0</v>
      </c>
      <c r="BL35" s="47">
        <f>IF($R35="",0,$M35*$AD35*INDEX(Act_Type_Repex_Splits,MATCH($I35,Act_Type_Repex,0),MATCH(BL$5,Mat_Type,0))*INDEX(Escalators!$I$44:$U$49,MATCH(BL$5,Escalators!$C$44:$C$49,0),MATCH(BL$6,Escalators!$I$43:$U$43,0)))</f>
        <v>0</v>
      </c>
      <c r="BM35" s="47">
        <f>IF($R35="",0,$M35*$AD35*INDEX(Act_Type_Repex_Splits,MATCH($I35,Act_Type_Repex,0),MATCH(BM$5,Mat_Type,0))*INDEX(Escalators!$I$44:$U$49,MATCH(BM$5,Escalators!$C$44:$C$49,0),MATCH(BM$6,Escalators!$I$43:$U$43,0)))</f>
        <v>0</v>
      </c>
      <c r="BN35" s="47">
        <f t="shared" si="20"/>
        <v>0</v>
      </c>
      <c r="BO35" s="47">
        <f>IF($R35="",0,$N35*$AD35*INDEX(Act_Type_Repex_Splits,MATCH($I35,Act_Type_Repex,0),MATCH(BO$5,Mat_Type,0))*INDEX(Escalators!$I$44:$U$49,MATCH(BO$5,Escalators!$C$44:$C$49,0),MATCH(BO$6,Escalators!$I$43:$U$43,0)))</f>
        <v>0</v>
      </c>
      <c r="BP35" s="47">
        <f>IF($R35="",0,$N35*$AD35*INDEX(Act_Type_Repex_Splits,MATCH($I35,Act_Type_Repex,0),MATCH(BP$5,Mat_Type,0))*INDEX(Escalators!$I$44:$U$49,MATCH(BP$5,Escalators!$C$44:$C$49,0),MATCH(BP$6,Escalators!$I$43:$U$43,0)))</f>
        <v>0</v>
      </c>
      <c r="BQ35" s="47">
        <f>IF($R35="",0,$N35*$AD35*INDEX(Act_Type_Repex_Splits,MATCH($I35,Act_Type_Repex,0),MATCH(BQ$5,Mat_Type,0))*INDEX(Escalators!$I$44:$U$49,MATCH(BQ$5,Escalators!$C$44:$C$49,0),MATCH(BQ$6,Escalators!$I$43:$U$43,0)))</f>
        <v>0</v>
      </c>
      <c r="BR35" s="47">
        <f>IF($R35="",0,$N35*$AD35*INDEX(Act_Type_Repex_Splits,MATCH($I35,Act_Type_Repex,0),MATCH(BR$5,Mat_Type,0))*INDEX(Escalators!$I$44:$U$49,MATCH(BR$5,Escalators!$C$44:$C$49,0),MATCH(BR$6,Escalators!$I$43:$U$43,0)))</f>
        <v>0</v>
      </c>
      <c r="BS35" s="47">
        <f>IF($R35="",0,$N35*$AD35*INDEX(Act_Type_Repex_Splits,MATCH($I35,Act_Type_Repex,0),MATCH(BS$5,Mat_Type,0))*INDEX(Escalators!$I$44:$U$49,MATCH(BS$5,Escalators!$C$44:$C$49,0),MATCH(BS$6,Escalators!$I$43:$U$43,0)))</f>
        <v>0</v>
      </c>
      <c r="BT35" s="47">
        <f t="shared" si="21"/>
        <v>0</v>
      </c>
      <c r="BU35" s="47">
        <f>IF($R35="",0,$O35*$AD35*INDEX(Act_Type_Repex_Splits,MATCH($I35,Act_Type_Repex,0),MATCH(BU$5,Mat_Type,0))*INDEX(Escalators!$I$44:$U$49,MATCH(BU$5,Escalators!$C$44:$C$49,0),MATCH(BU$6,Escalators!$I$43:$U$43,0)))</f>
        <v>0</v>
      </c>
      <c r="BV35" s="47">
        <f>IF($R35="",0,$O35*$AD35*INDEX(Act_Type_Repex_Splits,MATCH($I35,Act_Type_Repex,0),MATCH(BV$5,Mat_Type,0))*INDEX(Escalators!$I$44:$U$49,MATCH(BV$5,Escalators!$C$44:$C$49,0),MATCH(BV$6,Escalators!$I$43:$U$43,0)))</f>
        <v>0</v>
      </c>
      <c r="BW35" s="47">
        <f>IF($R35="",0,$O35*$AD35*INDEX(Act_Type_Repex_Splits,MATCH($I35,Act_Type_Repex,0),MATCH(BW$5,Mat_Type,0))*INDEX(Escalators!$I$44:$U$49,MATCH(BW$5,Escalators!$C$44:$C$49,0),MATCH(BW$6,Escalators!$I$43:$U$43,0)))</f>
        <v>0</v>
      </c>
      <c r="BX35" s="47">
        <f>IF($R35="",0,$O35*$AD35*INDEX(Act_Type_Repex_Splits,MATCH($I35,Act_Type_Repex,0),MATCH(BX$5,Mat_Type,0))*INDEX(Escalators!$I$44:$U$49,MATCH(BX$5,Escalators!$C$44:$C$49,0),MATCH(BX$6,Escalators!$I$43:$U$43,0)))</f>
        <v>0</v>
      </c>
      <c r="BY35" s="47">
        <f>IF($R35="",0,$O35*$AD35*INDEX(Act_Type_Repex_Splits,MATCH($I35,Act_Type_Repex,0),MATCH(BY$5,Mat_Type,0))*INDEX(Escalators!$I$44:$U$49,MATCH(BY$5,Escalators!$C$44:$C$49,0),MATCH(BY$6,Escalators!$I$43:$U$43,0)))</f>
        <v>0</v>
      </c>
      <c r="BZ35" s="47">
        <f t="shared" si="22"/>
        <v>0</v>
      </c>
      <c r="CA35" s="47">
        <f>IF($R35="",0,$P35*$AD35*INDEX(Act_Type_Repex_Splits,MATCH($I35,Act_Type_Repex,0),MATCH(CA$5,Mat_Type,0))*INDEX(Escalators!$I$44:$U$49,MATCH(CA$5,Escalators!$C$44:$C$49,0),MATCH(CA$6,Escalators!$I$43:$U$43,0)))</f>
        <v>0</v>
      </c>
      <c r="CB35" s="47">
        <f>IF($R35="",0,$P35*$AD35*INDEX(Act_Type_Repex_Splits,MATCH($I35,Act_Type_Repex,0),MATCH(CB$5,Mat_Type,0))*INDEX(Escalators!$I$44:$U$49,MATCH(CB$5,Escalators!$C$44:$C$49,0),MATCH(CB$6,Escalators!$I$43:$U$43,0)))</f>
        <v>0</v>
      </c>
      <c r="CC35" s="47">
        <f>IF($R35="",0,$P35*$AD35*INDEX(Act_Type_Repex_Splits,MATCH($I35,Act_Type_Repex,0),MATCH(CC$5,Mat_Type,0))*INDEX(Escalators!$I$44:$U$49,MATCH(CC$5,Escalators!$C$44:$C$49,0),MATCH(CC$6,Escalators!$I$43:$U$43,0)))</f>
        <v>0</v>
      </c>
      <c r="CD35" s="47">
        <f>IF($R35="",0,$P35*$AD35*INDEX(Act_Type_Repex_Splits,MATCH($I35,Act_Type_Repex,0),MATCH(CD$5,Mat_Type,0))*INDEX(Escalators!$I$44:$U$49,MATCH(CD$5,Escalators!$C$44:$C$49,0),MATCH(CD$6,Escalators!$I$43:$U$43,0)))</f>
        <v>0</v>
      </c>
      <c r="CE35" s="47">
        <f>IF($R35="",0,$P35*$AD35*INDEX(Act_Type_Repex_Splits,MATCH($I35,Act_Type_Repex,0),MATCH(CE$5,Mat_Type,0))*INDEX(Escalators!$I$44:$U$49,MATCH(CE$5,Escalators!$C$44:$C$49,0),MATCH(CE$6,Escalators!$I$43:$U$43,0)))</f>
        <v>0</v>
      </c>
      <c r="CF35" s="47">
        <f t="shared" si="23"/>
        <v>0</v>
      </c>
      <c r="CG35" s="47">
        <f>IF($R35="",0,$Q35*$AD35*INDEX(Act_Type_Repex_Splits,MATCH($I35,Act_Type_Repex,0),MATCH(CG$5,Mat_Type,0))*INDEX(Escalators!$I$44:$U$49,MATCH(CG$5,Escalators!$C$44:$C$49,0),MATCH(CG$6,Escalators!$I$43:$U$43,0)))</f>
        <v>0</v>
      </c>
      <c r="CH35" s="47">
        <f>IF($R35="",0,$Q35*$AD35*INDEX(Act_Type_Repex_Splits,MATCH($I35,Act_Type_Repex,0),MATCH(CH$5,Mat_Type,0))*INDEX(Escalators!$I$44:$U$49,MATCH(CH$5,Escalators!$C$44:$C$49,0),MATCH(CH$6,Escalators!$I$43:$U$43,0)))</f>
        <v>0</v>
      </c>
      <c r="CI35" s="47">
        <f>IF($R35="",0,$Q35*$AD35*INDEX(Act_Type_Repex_Splits,MATCH($I35,Act_Type_Repex,0),MATCH(CI$5,Mat_Type,0))*INDEX(Escalators!$I$44:$U$49,MATCH(CI$5,Escalators!$C$44:$C$49,0),MATCH(CI$6,Escalators!$I$43:$U$43,0)))</f>
        <v>0</v>
      </c>
      <c r="CJ35" s="47">
        <f>IF($R35="",0,$Q35*$AD35*INDEX(Act_Type_Repex_Splits,MATCH($I35,Act_Type_Repex,0),MATCH(CJ$5,Mat_Type,0))*INDEX(Escalators!$I$44:$U$49,MATCH(CJ$5,Escalators!$C$44:$C$49,0),MATCH(CJ$6,Escalators!$I$43:$U$43,0)))</f>
        <v>0</v>
      </c>
      <c r="CK35" s="47">
        <f>IF($R35="",0,$Q35*$AD35*INDEX(Act_Type_Repex_Splits,MATCH($I35,Act_Type_Repex,0),MATCH(CK$5,Mat_Type,0))*INDEX(Escalators!$I$44:$U$49,MATCH(CK$5,Escalators!$C$44:$C$49,0),MATCH(CK$6,Escalators!$I$43:$U$43,0)))</f>
        <v>0</v>
      </c>
      <c r="CL35" s="47">
        <f t="shared" si="24"/>
        <v>0</v>
      </c>
      <c r="CN35" s="47">
        <f>IF($R35="",0,J35*$AE35*HLOOKUP(CN$6,Escalators!$I$25:$U$30,6,FALSE))</f>
        <v>0</v>
      </c>
      <c r="CO35" s="47">
        <f>IF($R35="",0,K35*$AE35*HLOOKUP(CO$6,Escalators!$I$25:$U$30,6,FALSE))</f>
        <v>0</v>
      </c>
      <c r="CP35" s="47">
        <f>IF($R35="",0,L35*$AE35*HLOOKUP(CP$6,Escalators!$I$25:$U$30,6,FALSE))</f>
        <v>0</v>
      </c>
      <c r="CQ35" s="47">
        <f>IF($R35="",0,M35*$AE35*HLOOKUP(CQ$6,Escalators!$I$25:$U$30,6,FALSE))</f>
        <v>0</v>
      </c>
      <c r="CR35" s="47">
        <f>IF($R35="",0,N35*$AE35*HLOOKUP(CR$6,Escalators!$I$25:$U$30,6,FALSE))</f>
        <v>0</v>
      </c>
      <c r="CS35" s="47">
        <f>IF($R35="",0,O35*$AE35*HLOOKUP(CS$6,Escalators!$I$25:$U$30,6,FALSE))</f>
        <v>0</v>
      </c>
      <c r="CT35" s="47">
        <f>IF($R35="",0,P35*$AE35*HLOOKUP(CT$6,Escalators!$I$25:$U$30,6,FALSE))</f>
        <v>0</v>
      </c>
      <c r="CU35" s="47">
        <f>IF($R35="",0,Q35*$AE35*HLOOKUP(CU$6,Escalators!$I$25:$U$30,6,FALSE))</f>
        <v>0</v>
      </c>
      <c r="CW35" s="47">
        <f t="shared" si="25"/>
        <v>0</v>
      </c>
      <c r="CX35" s="47">
        <f t="shared" si="26"/>
        <v>0</v>
      </c>
      <c r="CY35" s="47">
        <f t="shared" si="27"/>
        <v>0</v>
      </c>
      <c r="CZ35" s="47">
        <f t="shared" si="28"/>
        <v>0</v>
      </c>
      <c r="DA35" s="47">
        <f t="shared" si="29"/>
        <v>0</v>
      </c>
      <c r="DB35" s="47">
        <f t="shared" si="30"/>
        <v>0</v>
      </c>
      <c r="DC35" s="47">
        <f t="shared" si="31"/>
        <v>0</v>
      </c>
      <c r="DD35" s="47">
        <f t="shared" si="32"/>
        <v>0</v>
      </c>
      <c r="DF35" s="47">
        <f t="shared" si="33"/>
        <v>0</v>
      </c>
      <c r="DG35" s="47">
        <f t="shared" si="34"/>
        <v>0</v>
      </c>
      <c r="DH35" s="47">
        <f t="shared" si="35"/>
        <v>0</v>
      </c>
      <c r="DI35" s="47">
        <f t="shared" si="36"/>
        <v>0</v>
      </c>
      <c r="DJ35" s="47">
        <f t="shared" si="37"/>
        <v>0</v>
      </c>
      <c r="DK35" s="47">
        <f t="shared" si="38"/>
        <v>0</v>
      </c>
      <c r="DL35" s="47">
        <f t="shared" si="39"/>
        <v>0</v>
      </c>
      <c r="DM35" s="47">
        <f t="shared" si="40"/>
        <v>0</v>
      </c>
      <c r="DO35" s="39"/>
    </row>
    <row r="36" spans="2:119">
      <c r="B36" s="7"/>
      <c r="C36" s="7"/>
      <c r="D36" s="7"/>
      <c r="E36" s="7"/>
      <c r="F36" s="7"/>
      <c r="G36" s="7"/>
      <c r="H36" s="7"/>
      <c r="I36" s="7"/>
      <c r="J36" s="7"/>
      <c r="K36" s="7"/>
      <c r="L36" s="7"/>
      <c r="M36" s="7"/>
      <c r="N36" s="7"/>
      <c r="O36" s="7"/>
      <c r="P36" s="7"/>
      <c r="Q36" s="7"/>
      <c r="R36" s="46"/>
      <c r="T36" s="47">
        <f t="shared" si="8"/>
        <v>0</v>
      </c>
      <c r="U36" s="47">
        <f t="shared" si="9"/>
        <v>0</v>
      </c>
      <c r="V36" s="47">
        <f t="shared" si="10"/>
        <v>0</v>
      </c>
      <c r="W36" s="47">
        <f t="shared" si="11"/>
        <v>0</v>
      </c>
      <c r="X36" s="47">
        <f t="shared" si="12"/>
        <v>0</v>
      </c>
      <c r="Y36" s="47">
        <f t="shared" si="13"/>
        <v>0</v>
      </c>
      <c r="Z36" s="47">
        <f t="shared" si="14"/>
        <v>0</v>
      </c>
      <c r="AA36" s="47">
        <f t="shared" si="15"/>
        <v>0</v>
      </c>
      <c r="AC36" s="82">
        <f t="shared" si="16"/>
        <v>0</v>
      </c>
      <c r="AD36" s="82">
        <f t="shared" si="16"/>
        <v>0</v>
      </c>
      <c r="AE36" s="82">
        <f t="shared" si="16"/>
        <v>0</v>
      </c>
      <c r="AF36" s="82">
        <f t="shared" si="16"/>
        <v>0</v>
      </c>
      <c r="AH36" s="47">
        <f>IF($R36="",0,J36*$AC36*HLOOKUP(AH$6,Escalators!$I$25:$U$30,3,FALSE))</f>
        <v>0</v>
      </c>
      <c r="AI36" s="47">
        <f>IF($R36="",0,K36*$AC36*HLOOKUP(AI$6,Escalators!$I$25:$U$30,3,FALSE))</f>
        <v>0</v>
      </c>
      <c r="AJ36" s="47">
        <f>IF($R36="",0,L36*$AC36*HLOOKUP(AJ$6,Escalators!$I$25:$U$30,3,FALSE))</f>
        <v>0</v>
      </c>
      <c r="AK36" s="47">
        <f>IF($R36="",0,M36*$AC36*HLOOKUP(AK$6,Escalators!$I$25:$U$30,3,FALSE))</f>
        <v>0</v>
      </c>
      <c r="AL36" s="47">
        <f>IF($R36="",0,N36*$AC36*HLOOKUP(AL$6,Escalators!$I$25:$U$30,3,FALSE))</f>
        <v>0</v>
      </c>
      <c r="AM36" s="47">
        <f>IF($R36="",0,O36*$AC36*HLOOKUP(AM$6,Escalators!$I$25:$U$30,3,FALSE))</f>
        <v>0</v>
      </c>
      <c r="AN36" s="47">
        <f>IF($R36="",0,P36*$AC36*HLOOKUP(AN$6,Escalators!$I$25:$U$30,3,FALSE))</f>
        <v>0</v>
      </c>
      <c r="AO36" s="47">
        <f>IF($R36="",0,Q36*$AC36*HLOOKUP(AO$6,Escalators!$I$25:$U$30,3,FALSE))</f>
        <v>0</v>
      </c>
      <c r="AQ36" s="6">
        <f>IF($R36="",0,$J36*$AD36*INDEX(Act_Type_Repex_Splits,MATCH($I36,Act_Type_Repex,0),MATCH(AQ$5,Mat_Type,0))*INDEX(Escalators!$I$44:$Q$49,MATCH(AQ$5,Escalators!$C$44:$C$49,0),MATCH(AQ$6,Escalators!$I$43:$Q$43,0)))</f>
        <v>0</v>
      </c>
      <c r="AR36" s="6">
        <f>IF($R36="",0,$J36*$AD36*INDEX(Act_Type_Repex_Splits,MATCH($I36,Act_Type_Repex,0),MATCH(AR$5,Mat_Type,0))*INDEX(Escalators!$I$44:$Q$49,MATCH(AR$5,Escalators!$C$44:$C$49,0),MATCH(AR$6,Escalators!$I$43:$Q$43,0)))</f>
        <v>0</v>
      </c>
      <c r="AS36" s="6">
        <f>IF($R36="",0,$J36*$AD36*INDEX(Act_Type_Repex_Splits,MATCH($I36,Act_Type_Repex,0),MATCH(AS$5,Mat_Type,0))*INDEX(Escalators!$I$44:$Q$49,MATCH(AS$5,Escalators!$C$44:$C$49,0),MATCH(AS$6,Escalators!$I$43:$Q$43,0)))</f>
        <v>0</v>
      </c>
      <c r="AT36" s="6">
        <f>IF($R36="",0,$J36*$AD36*INDEX(Act_Type_Repex_Splits,MATCH($I36,Act_Type_Repex,0),MATCH(AT$5,Mat_Type,0))*INDEX(Escalators!$I$44:$Q$49,MATCH(AT$5,Escalators!$C$44:$C$49,0),MATCH(AT$6,Escalators!$I$43:$Q$43,0)))</f>
        <v>0</v>
      </c>
      <c r="AU36" s="6">
        <f>IF($R36="",0,$J36*$AD36*INDEX(Act_Type_Repex_Splits,MATCH($I36,Act_Type_Repex,0),MATCH(AU$5,Mat_Type,0))*INDEX(Escalators!$I$44:$Q$49,MATCH(AU$5,Escalators!$C$44:$C$49,0),MATCH(AU$6,Escalators!$I$43:$Q$43,0)))</f>
        <v>0</v>
      </c>
      <c r="AV36" s="47">
        <f t="shared" si="17"/>
        <v>0</v>
      </c>
      <c r="AW36" s="47">
        <f>IF($R36="",0,$K36*$AD36*INDEX(Act_Type_Repex_Splits,MATCH($I36,Act_Type_Repex,0),MATCH(AW$5,Mat_Type,0))*INDEX(Escalators!$I$44:$U$49,MATCH(AW$5,Escalators!$C$44:$C$49,0),MATCH(AW$6,Escalators!$I$43:$U$43,0)))</f>
        <v>0</v>
      </c>
      <c r="AX36" s="47">
        <f>IF($R36="",0,$K36*$AD36*INDEX(Act_Type_Repex_Splits,MATCH($I36,Act_Type_Repex,0),MATCH(AX$5,Mat_Type,0))*INDEX(Escalators!$I$44:$U$49,MATCH(AX$5,Escalators!$C$44:$C$49,0),MATCH(AX$6,Escalators!$I$43:$U$43,0)))</f>
        <v>0</v>
      </c>
      <c r="AY36" s="47">
        <f>IF($R36="",0,$K36*$AD36*INDEX(Act_Type_Repex_Splits,MATCH($I36,Act_Type_Repex,0),MATCH(AY$5,Mat_Type,0))*INDEX(Escalators!$I$44:$U$49,MATCH(AY$5,Escalators!$C$44:$C$49,0),MATCH(AY$6,Escalators!$I$43:$U$43,0)))</f>
        <v>0</v>
      </c>
      <c r="AZ36" s="47">
        <f>IF($R36="",0,$K36*$AD36*INDEX(Act_Type_Repex_Splits,MATCH($I36,Act_Type_Repex,0),MATCH(AZ$5,Mat_Type,0))*INDEX(Escalators!$I$44:$U$49,MATCH(AZ$5,Escalators!$C$44:$C$49,0),MATCH(AZ$6,Escalators!$I$43:$U$43,0)))</f>
        <v>0</v>
      </c>
      <c r="BA36" s="47">
        <f>IF($R36="",0,$K36*$AD36*INDEX(Act_Type_Repex_Splits,MATCH($I36,Act_Type_Repex,0),MATCH(BA$5,Mat_Type,0))*INDEX(Escalators!$I$44:$U$49,MATCH(BA$5,Escalators!$C$44:$C$49,0),MATCH(BA$6,Escalators!$I$43:$U$43,0)))</f>
        <v>0</v>
      </c>
      <c r="BB36" s="47">
        <f t="shared" si="18"/>
        <v>0</v>
      </c>
      <c r="BC36" s="47">
        <f>IF($R36="",0,$L36*$AD36*INDEX(Act_Type_Repex_Splits,MATCH($I36,Act_Type_Repex,0),MATCH(BC$5,Mat_Type,0))*INDEX(Escalators!$I$44:$U$49,MATCH(BC$5,Escalators!$C$44:$C$49,0),MATCH(BC$6,Escalators!$I$43:$U$43,0)))</f>
        <v>0</v>
      </c>
      <c r="BD36" s="47">
        <f>IF($R36="",0,$L36*$AD36*INDEX(Act_Type_Repex_Splits,MATCH($I36,Act_Type_Repex,0),MATCH(BD$5,Mat_Type,0))*INDEX(Escalators!$I$44:$U$49,MATCH(BD$5,Escalators!$C$44:$C$49,0),MATCH(BD$6,Escalators!$I$43:$U$43,0)))</f>
        <v>0</v>
      </c>
      <c r="BE36" s="47">
        <f>IF($R36="",0,$L36*$AD36*INDEX(Act_Type_Repex_Splits,MATCH($I36,Act_Type_Repex,0),MATCH(BE$5,Mat_Type,0))*INDEX(Escalators!$I$44:$U$49,MATCH(BE$5,Escalators!$C$44:$C$49,0),MATCH(BE$6,Escalators!$I$43:$U$43,0)))</f>
        <v>0</v>
      </c>
      <c r="BF36" s="47">
        <f>IF($R36="",0,$L36*$AD36*INDEX(Act_Type_Repex_Splits,MATCH($I36,Act_Type_Repex,0),MATCH(BF$5,Mat_Type,0))*INDEX(Escalators!$I$44:$U$49,MATCH(BF$5,Escalators!$C$44:$C$49,0),MATCH(BF$6,Escalators!$I$43:$U$43,0)))</f>
        <v>0</v>
      </c>
      <c r="BG36" s="47">
        <f>IF($R36="",0,$L36*$AD36*INDEX(Act_Type_Repex_Splits,MATCH($I36,Act_Type_Repex,0),MATCH(BG$5,Mat_Type,0))*INDEX(Escalators!$I$44:$U$49,MATCH(BG$5,Escalators!$C$44:$C$49,0),MATCH(BG$6,Escalators!$I$43:$U$43,0)))</f>
        <v>0</v>
      </c>
      <c r="BH36" s="47">
        <f t="shared" si="19"/>
        <v>0</v>
      </c>
      <c r="BI36" s="47">
        <f>IF($R36="",0,$M36*$AD36*INDEX(Act_Type_Repex_Splits,MATCH($I36,Act_Type_Repex,0),MATCH(BI$5,Mat_Type,0))*INDEX(Escalators!$I$44:$U$49,MATCH(BI$5,Escalators!$C$44:$C$49,0),MATCH(BI$6,Escalators!$I$43:$U$43,0)))</f>
        <v>0</v>
      </c>
      <c r="BJ36" s="47">
        <f>IF($R36="",0,$M36*$AD36*INDEX(Act_Type_Repex_Splits,MATCH($I36,Act_Type_Repex,0),MATCH(BJ$5,Mat_Type,0))*INDEX(Escalators!$I$44:$U$49,MATCH(BJ$5,Escalators!$C$44:$C$49,0),MATCH(BJ$6,Escalators!$I$43:$U$43,0)))</f>
        <v>0</v>
      </c>
      <c r="BK36" s="47">
        <f>IF($R36="",0,$M36*$AD36*INDEX(Act_Type_Repex_Splits,MATCH($I36,Act_Type_Repex,0),MATCH(BK$5,Mat_Type,0))*INDEX(Escalators!$I$44:$U$49,MATCH(BK$5,Escalators!$C$44:$C$49,0),MATCH(BK$6,Escalators!$I$43:$U$43,0)))</f>
        <v>0</v>
      </c>
      <c r="BL36" s="47">
        <f>IF($R36="",0,$M36*$AD36*INDEX(Act_Type_Repex_Splits,MATCH($I36,Act_Type_Repex,0),MATCH(BL$5,Mat_Type,0))*INDEX(Escalators!$I$44:$U$49,MATCH(BL$5,Escalators!$C$44:$C$49,0),MATCH(BL$6,Escalators!$I$43:$U$43,0)))</f>
        <v>0</v>
      </c>
      <c r="BM36" s="47">
        <f>IF($R36="",0,$M36*$AD36*INDEX(Act_Type_Repex_Splits,MATCH($I36,Act_Type_Repex,0),MATCH(BM$5,Mat_Type,0))*INDEX(Escalators!$I$44:$U$49,MATCH(BM$5,Escalators!$C$44:$C$49,0),MATCH(BM$6,Escalators!$I$43:$U$43,0)))</f>
        <v>0</v>
      </c>
      <c r="BN36" s="47">
        <f t="shared" si="20"/>
        <v>0</v>
      </c>
      <c r="BO36" s="47">
        <f>IF($R36="",0,$N36*$AD36*INDEX(Act_Type_Repex_Splits,MATCH($I36,Act_Type_Repex,0),MATCH(BO$5,Mat_Type,0))*INDEX(Escalators!$I$44:$U$49,MATCH(BO$5,Escalators!$C$44:$C$49,0),MATCH(BO$6,Escalators!$I$43:$U$43,0)))</f>
        <v>0</v>
      </c>
      <c r="BP36" s="47">
        <f>IF($R36="",0,$N36*$AD36*INDEX(Act_Type_Repex_Splits,MATCH($I36,Act_Type_Repex,0),MATCH(BP$5,Mat_Type,0))*INDEX(Escalators!$I$44:$U$49,MATCH(BP$5,Escalators!$C$44:$C$49,0),MATCH(BP$6,Escalators!$I$43:$U$43,0)))</f>
        <v>0</v>
      </c>
      <c r="BQ36" s="47">
        <f>IF($R36="",0,$N36*$AD36*INDEX(Act_Type_Repex_Splits,MATCH($I36,Act_Type_Repex,0),MATCH(BQ$5,Mat_Type,0))*INDEX(Escalators!$I$44:$U$49,MATCH(BQ$5,Escalators!$C$44:$C$49,0),MATCH(BQ$6,Escalators!$I$43:$U$43,0)))</f>
        <v>0</v>
      </c>
      <c r="BR36" s="47">
        <f>IF($R36="",0,$N36*$AD36*INDEX(Act_Type_Repex_Splits,MATCH($I36,Act_Type_Repex,0),MATCH(BR$5,Mat_Type,0))*INDEX(Escalators!$I$44:$U$49,MATCH(BR$5,Escalators!$C$44:$C$49,0),MATCH(BR$6,Escalators!$I$43:$U$43,0)))</f>
        <v>0</v>
      </c>
      <c r="BS36" s="47">
        <f>IF($R36="",0,$N36*$AD36*INDEX(Act_Type_Repex_Splits,MATCH($I36,Act_Type_Repex,0),MATCH(BS$5,Mat_Type,0))*INDEX(Escalators!$I$44:$U$49,MATCH(BS$5,Escalators!$C$44:$C$49,0),MATCH(BS$6,Escalators!$I$43:$U$43,0)))</f>
        <v>0</v>
      </c>
      <c r="BT36" s="47">
        <f t="shared" si="21"/>
        <v>0</v>
      </c>
      <c r="BU36" s="47">
        <f>IF($R36="",0,$O36*$AD36*INDEX(Act_Type_Repex_Splits,MATCH($I36,Act_Type_Repex,0),MATCH(BU$5,Mat_Type,0))*INDEX(Escalators!$I$44:$U$49,MATCH(BU$5,Escalators!$C$44:$C$49,0),MATCH(BU$6,Escalators!$I$43:$U$43,0)))</f>
        <v>0</v>
      </c>
      <c r="BV36" s="47">
        <f>IF($R36="",0,$O36*$AD36*INDEX(Act_Type_Repex_Splits,MATCH($I36,Act_Type_Repex,0),MATCH(BV$5,Mat_Type,0))*INDEX(Escalators!$I$44:$U$49,MATCH(BV$5,Escalators!$C$44:$C$49,0),MATCH(BV$6,Escalators!$I$43:$U$43,0)))</f>
        <v>0</v>
      </c>
      <c r="BW36" s="47">
        <f>IF($R36="",0,$O36*$AD36*INDEX(Act_Type_Repex_Splits,MATCH($I36,Act_Type_Repex,0),MATCH(BW$5,Mat_Type,0))*INDEX(Escalators!$I$44:$U$49,MATCH(BW$5,Escalators!$C$44:$C$49,0),MATCH(BW$6,Escalators!$I$43:$U$43,0)))</f>
        <v>0</v>
      </c>
      <c r="BX36" s="47">
        <f>IF($R36="",0,$O36*$AD36*INDEX(Act_Type_Repex_Splits,MATCH($I36,Act_Type_Repex,0),MATCH(BX$5,Mat_Type,0))*INDEX(Escalators!$I$44:$U$49,MATCH(BX$5,Escalators!$C$44:$C$49,0),MATCH(BX$6,Escalators!$I$43:$U$43,0)))</f>
        <v>0</v>
      </c>
      <c r="BY36" s="47">
        <f>IF($R36="",0,$O36*$AD36*INDEX(Act_Type_Repex_Splits,MATCH($I36,Act_Type_Repex,0),MATCH(BY$5,Mat_Type,0))*INDEX(Escalators!$I$44:$U$49,MATCH(BY$5,Escalators!$C$44:$C$49,0),MATCH(BY$6,Escalators!$I$43:$U$43,0)))</f>
        <v>0</v>
      </c>
      <c r="BZ36" s="47">
        <f t="shared" si="22"/>
        <v>0</v>
      </c>
      <c r="CA36" s="47">
        <f>IF($R36="",0,$P36*$AD36*INDEX(Act_Type_Repex_Splits,MATCH($I36,Act_Type_Repex,0),MATCH(CA$5,Mat_Type,0))*INDEX(Escalators!$I$44:$U$49,MATCH(CA$5,Escalators!$C$44:$C$49,0),MATCH(CA$6,Escalators!$I$43:$U$43,0)))</f>
        <v>0</v>
      </c>
      <c r="CB36" s="47">
        <f>IF($R36="",0,$P36*$AD36*INDEX(Act_Type_Repex_Splits,MATCH($I36,Act_Type_Repex,0),MATCH(CB$5,Mat_Type,0))*INDEX(Escalators!$I$44:$U$49,MATCH(CB$5,Escalators!$C$44:$C$49,0),MATCH(CB$6,Escalators!$I$43:$U$43,0)))</f>
        <v>0</v>
      </c>
      <c r="CC36" s="47">
        <f>IF($R36="",0,$P36*$AD36*INDEX(Act_Type_Repex_Splits,MATCH($I36,Act_Type_Repex,0),MATCH(CC$5,Mat_Type,0))*INDEX(Escalators!$I$44:$U$49,MATCH(CC$5,Escalators!$C$44:$C$49,0),MATCH(CC$6,Escalators!$I$43:$U$43,0)))</f>
        <v>0</v>
      </c>
      <c r="CD36" s="47">
        <f>IF($R36="",0,$P36*$AD36*INDEX(Act_Type_Repex_Splits,MATCH($I36,Act_Type_Repex,0),MATCH(CD$5,Mat_Type,0))*INDEX(Escalators!$I$44:$U$49,MATCH(CD$5,Escalators!$C$44:$C$49,0),MATCH(CD$6,Escalators!$I$43:$U$43,0)))</f>
        <v>0</v>
      </c>
      <c r="CE36" s="47">
        <f>IF($R36="",0,$P36*$AD36*INDEX(Act_Type_Repex_Splits,MATCH($I36,Act_Type_Repex,0),MATCH(CE$5,Mat_Type,0))*INDEX(Escalators!$I$44:$U$49,MATCH(CE$5,Escalators!$C$44:$C$49,0),MATCH(CE$6,Escalators!$I$43:$U$43,0)))</f>
        <v>0</v>
      </c>
      <c r="CF36" s="47">
        <f t="shared" si="23"/>
        <v>0</v>
      </c>
      <c r="CG36" s="47">
        <f>IF($R36="",0,$Q36*$AD36*INDEX(Act_Type_Repex_Splits,MATCH($I36,Act_Type_Repex,0),MATCH(CG$5,Mat_Type,0))*INDEX(Escalators!$I$44:$U$49,MATCH(CG$5,Escalators!$C$44:$C$49,0),MATCH(CG$6,Escalators!$I$43:$U$43,0)))</f>
        <v>0</v>
      </c>
      <c r="CH36" s="47">
        <f>IF($R36="",0,$Q36*$AD36*INDEX(Act_Type_Repex_Splits,MATCH($I36,Act_Type_Repex,0),MATCH(CH$5,Mat_Type,0))*INDEX(Escalators!$I$44:$U$49,MATCH(CH$5,Escalators!$C$44:$C$49,0),MATCH(CH$6,Escalators!$I$43:$U$43,0)))</f>
        <v>0</v>
      </c>
      <c r="CI36" s="47">
        <f>IF($R36="",0,$Q36*$AD36*INDEX(Act_Type_Repex_Splits,MATCH($I36,Act_Type_Repex,0),MATCH(CI$5,Mat_Type,0))*INDEX(Escalators!$I$44:$U$49,MATCH(CI$5,Escalators!$C$44:$C$49,0),MATCH(CI$6,Escalators!$I$43:$U$43,0)))</f>
        <v>0</v>
      </c>
      <c r="CJ36" s="47">
        <f>IF($R36="",0,$Q36*$AD36*INDEX(Act_Type_Repex_Splits,MATCH($I36,Act_Type_Repex,0),MATCH(CJ$5,Mat_Type,0))*INDEX(Escalators!$I$44:$U$49,MATCH(CJ$5,Escalators!$C$44:$C$49,0),MATCH(CJ$6,Escalators!$I$43:$U$43,0)))</f>
        <v>0</v>
      </c>
      <c r="CK36" s="47">
        <f>IF($R36="",0,$Q36*$AD36*INDEX(Act_Type_Repex_Splits,MATCH($I36,Act_Type_Repex,0),MATCH(CK$5,Mat_Type,0))*INDEX(Escalators!$I$44:$U$49,MATCH(CK$5,Escalators!$C$44:$C$49,0),MATCH(CK$6,Escalators!$I$43:$U$43,0)))</f>
        <v>0</v>
      </c>
      <c r="CL36" s="47">
        <f t="shared" si="24"/>
        <v>0</v>
      </c>
      <c r="CN36" s="47">
        <f>IF($R36="",0,J36*$AE36*HLOOKUP(CN$6,Escalators!$I$25:$U$30,6,FALSE))</f>
        <v>0</v>
      </c>
      <c r="CO36" s="47">
        <f>IF($R36="",0,K36*$AE36*HLOOKUP(CO$6,Escalators!$I$25:$U$30,6,FALSE))</f>
        <v>0</v>
      </c>
      <c r="CP36" s="47">
        <f>IF($R36="",0,L36*$AE36*HLOOKUP(CP$6,Escalators!$I$25:$U$30,6,FALSE))</f>
        <v>0</v>
      </c>
      <c r="CQ36" s="47">
        <f>IF($R36="",0,M36*$AE36*HLOOKUP(CQ$6,Escalators!$I$25:$U$30,6,FALSE))</f>
        <v>0</v>
      </c>
      <c r="CR36" s="47">
        <f>IF($R36="",0,N36*$AE36*HLOOKUP(CR$6,Escalators!$I$25:$U$30,6,FALSE))</f>
        <v>0</v>
      </c>
      <c r="CS36" s="47">
        <f>IF($R36="",0,O36*$AE36*HLOOKUP(CS$6,Escalators!$I$25:$U$30,6,FALSE))</f>
        <v>0</v>
      </c>
      <c r="CT36" s="47">
        <f>IF($R36="",0,P36*$AE36*HLOOKUP(CT$6,Escalators!$I$25:$U$30,6,FALSE))</f>
        <v>0</v>
      </c>
      <c r="CU36" s="47">
        <f>IF($R36="",0,Q36*$AE36*HLOOKUP(CU$6,Escalators!$I$25:$U$30,6,FALSE))</f>
        <v>0</v>
      </c>
      <c r="CW36" s="47">
        <f t="shared" si="25"/>
        <v>0</v>
      </c>
      <c r="CX36" s="47">
        <f t="shared" si="26"/>
        <v>0</v>
      </c>
      <c r="CY36" s="47">
        <f t="shared" si="27"/>
        <v>0</v>
      </c>
      <c r="CZ36" s="47">
        <f t="shared" si="28"/>
        <v>0</v>
      </c>
      <c r="DA36" s="47">
        <f t="shared" si="29"/>
        <v>0</v>
      </c>
      <c r="DB36" s="47">
        <f t="shared" si="30"/>
        <v>0</v>
      </c>
      <c r="DC36" s="47">
        <f t="shared" si="31"/>
        <v>0</v>
      </c>
      <c r="DD36" s="47">
        <f t="shared" si="32"/>
        <v>0</v>
      </c>
      <c r="DF36" s="47">
        <f t="shared" si="33"/>
        <v>0</v>
      </c>
      <c r="DG36" s="47">
        <f t="shared" si="34"/>
        <v>0</v>
      </c>
      <c r="DH36" s="47">
        <f t="shared" si="35"/>
        <v>0</v>
      </c>
      <c r="DI36" s="47">
        <f t="shared" si="36"/>
        <v>0</v>
      </c>
      <c r="DJ36" s="47">
        <f t="shared" si="37"/>
        <v>0</v>
      </c>
      <c r="DK36" s="47">
        <f t="shared" si="38"/>
        <v>0</v>
      </c>
      <c r="DL36" s="47">
        <f t="shared" si="39"/>
        <v>0</v>
      </c>
      <c r="DM36" s="47">
        <f t="shared" si="40"/>
        <v>0</v>
      </c>
      <c r="DO36" s="39"/>
    </row>
    <row r="37" spans="2:119">
      <c r="B37" s="7"/>
      <c r="C37" s="7"/>
      <c r="D37" s="7"/>
      <c r="E37" s="7"/>
      <c r="F37" s="7"/>
      <c r="G37" s="7"/>
      <c r="H37" s="7"/>
      <c r="I37" s="7"/>
      <c r="J37" s="7"/>
      <c r="K37" s="7"/>
      <c r="L37" s="7"/>
      <c r="M37" s="7"/>
      <c r="N37" s="7"/>
      <c r="O37" s="7"/>
      <c r="P37" s="7"/>
      <c r="Q37" s="7"/>
      <c r="R37" s="46"/>
      <c r="T37" s="47">
        <f t="shared" si="8"/>
        <v>0</v>
      </c>
      <c r="U37" s="47">
        <f t="shared" si="9"/>
        <v>0</v>
      </c>
      <c r="V37" s="47">
        <f t="shared" si="10"/>
        <v>0</v>
      </c>
      <c r="W37" s="47">
        <f t="shared" si="11"/>
        <v>0</v>
      </c>
      <c r="X37" s="47">
        <f t="shared" si="12"/>
        <v>0</v>
      </c>
      <c r="Y37" s="47">
        <f t="shared" si="13"/>
        <v>0</v>
      </c>
      <c r="Z37" s="47">
        <f t="shared" si="14"/>
        <v>0</v>
      </c>
      <c r="AA37" s="47">
        <f t="shared" si="15"/>
        <v>0</v>
      </c>
      <c r="AC37" s="82">
        <f t="shared" si="16"/>
        <v>0</v>
      </c>
      <c r="AD37" s="82">
        <f t="shared" si="16"/>
        <v>0</v>
      </c>
      <c r="AE37" s="82">
        <f t="shared" si="16"/>
        <v>0</v>
      </c>
      <c r="AF37" s="82">
        <f t="shared" si="16"/>
        <v>0</v>
      </c>
      <c r="AH37" s="47">
        <f>IF($R37="",0,J37*$AC37*HLOOKUP(AH$6,Escalators!$I$25:$U$30,3,FALSE))</f>
        <v>0</v>
      </c>
      <c r="AI37" s="47">
        <f>IF($R37="",0,K37*$AC37*HLOOKUP(AI$6,Escalators!$I$25:$U$30,3,FALSE))</f>
        <v>0</v>
      </c>
      <c r="AJ37" s="47">
        <f>IF($R37="",0,L37*$AC37*HLOOKUP(AJ$6,Escalators!$I$25:$U$30,3,FALSE))</f>
        <v>0</v>
      </c>
      <c r="AK37" s="47">
        <f>IF($R37="",0,M37*$AC37*HLOOKUP(AK$6,Escalators!$I$25:$U$30,3,FALSE))</f>
        <v>0</v>
      </c>
      <c r="AL37" s="47">
        <f>IF($R37="",0,N37*$AC37*HLOOKUP(AL$6,Escalators!$I$25:$U$30,3,FALSE))</f>
        <v>0</v>
      </c>
      <c r="AM37" s="47">
        <f>IF($R37="",0,O37*$AC37*HLOOKUP(AM$6,Escalators!$I$25:$U$30,3,FALSE))</f>
        <v>0</v>
      </c>
      <c r="AN37" s="47">
        <f>IF($R37="",0,P37*$AC37*HLOOKUP(AN$6,Escalators!$I$25:$U$30,3,FALSE))</f>
        <v>0</v>
      </c>
      <c r="AO37" s="47">
        <f>IF($R37="",0,Q37*$AC37*HLOOKUP(AO$6,Escalators!$I$25:$U$30,3,FALSE))</f>
        <v>0</v>
      </c>
      <c r="AQ37" s="6">
        <f>IF($R37="",0,$J37*$AD37*INDEX(Act_Type_Repex_Splits,MATCH($I37,Act_Type_Repex,0),MATCH(AQ$5,Mat_Type,0))*INDEX(Escalators!$I$44:$Q$49,MATCH(AQ$5,Escalators!$C$44:$C$49,0),MATCH(AQ$6,Escalators!$I$43:$Q$43,0)))</f>
        <v>0</v>
      </c>
      <c r="AR37" s="6">
        <f>IF($R37="",0,$J37*$AD37*INDEX(Act_Type_Repex_Splits,MATCH($I37,Act_Type_Repex,0),MATCH(AR$5,Mat_Type,0))*INDEX(Escalators!$I$44:$Q$49,MATCH(AR$5,Escalators!$C$44:$C$49,0),MATCH(AR$6,Escalators!$I$43:$Q$43,0)))</f>
        <v>0</v>
      </c>
      <c r="AS37" s="6">
        <f>IF($R37="",0,$J37*$AD37*INDEX(Act_Type_Repex_Splits,MATCH($I37,Act_Type_Repex,0),MATCH(AS$5,Mat_Type,0))*INDEX(Escalators!$I$44:$Q$49,MATCH(AS$5,Escalators!$C$44:$C$49,0),MATCH(AS$6,Escalators!$I$43:$Q$43,0)))</f>
        <v>0</v>
      </c>
      <c r="AT37" s="6">
        <f>IF($R37="",0,$J37*$AD37*INDEX(Act_Type_Repex_Splits,MATCH($I37,Act_Type_Repex,0),MATCH(AT$5,Mat_Type,0))*INDEX(Escalators!$I$44:$Q$49,MATCH(AT$5,Escalators!$C$44:$C$49,0),MATCH(AT$6,Escalators!$I$43:$Q$43,0)))</f>
        <v>0</v>
      </c>
      <c r="AU37" s="6">
        <f>IF($R37="",0,$J37*$AD37*INDEX(Act_Type_Repex_Splits,MATCH($I37,Act_Type_Repex,0),MATCH(AU$5,Mat_Type,0))*INDEX(Escalators!$I$44:$Q$49,MATCH(AU$5,Escalators!$C$44:$C$49,0),MATCH(AU$6,Escalators!$I$43:$Q$43,0)))</f>
        <v>0</v>
      </c>
      <c r="AV37" s="47">
        <f t="shared" si="17"/>
        <v>0</v>
      </c>
      <c r="AW37" s="47">
        <f>IF($R37="",0,$K37*$AD37*INDEX(Act_Type_Repex_Splits,MATCH($I37,Act_Type_Repex,0),MATCH(AW$5,Mat_Type,0))*INDEX(Escalators!$I$44:$U$49,MATCH(AW$5,Escalators!$C$44:$C$49,0),MATCH(AW$6,Escalators!$I$43:$U$43,0)))</f>
        <v>0</v>
      </c>
      <c r="AX37" s="47">
        <f>IF($R37="",0,$K37*$AD37*INDEX(Act_Type_Repex_Splits,MATCH($I37,Act_Type_Repex,0),MATCH(AX$5,Mat_Type,0))*INDEX(Escalators!$I$44:$U$49,MATCH(AX$5,Escalators!$C$44:$C$49,0),MATCH(AX$6,Escalators!$I$43:$U$43,0)))</f>
        <v>0</v>
      </c>
      <c r="AY37" s="47">
        <f>IF($R37="",0,$K37*$AD37*INDEX(Act_Type_Repex_Splits,MATCH($I37,Act_Type_Repex,0),MATCH(AY$5,Mat_Type,0))*INDEX(Escalators!$I$44:$U$49,MATCH(AY$5,Escalators!$C$44:$C$49,0),MATCH(AY$6,Escalators!$I$43:$U$43,0)))</f>
        <v>0</v>
      </c>
      <c r="AZ37" s="47">
        <f>IF($R37="",0,$K37*$AD37*INDEX(Act_Type_Repex_Splits,MATCH($I37,Act_Type_Repex,0),MATCH(AZ$5,Mat_Type,0))*INDEX(Escalators!$I$44:$U$49,MATCH(AZ$5,Escalators!$C$44:$C$49,0),MATCH(AZ$6,Escalators!$I$43:$U$43,0)))</f>
        <v>0</v>
      </c>
      <c r="BA37" s="47">
        <f>IF($R37="",0,$K37*$AD37*INDEX(Act_Type_Repex_Splits,MATCH($I37,Act_Type_Repex,0),MATCH(BA$5,Mat_Type,0))*INDEX(Escalators!$I$44:$U$49,MATCH(BA$5,Escalators!$C$44:$C$49,0),MATCH(BA$6,Escalators!$I$43:$U$43,0)))</f>
        <v>0</v>
      </c>
      <c r="BB37" s="47">
        <f t="shared" si="18"/>
        <v>0</v>
      </c>
      <c r="BC37" s="47">
        <f>IF($R37="",0,$L37*$AD37*INDEX(Act_Type_Repex_Splits,MATCH($I37,Act_Type_Repex,0),MATCH(BC$5,Mat_Type,0))*INDEX(Escalators!$I$44:$U$49,MATCH(BC$5,Escalators!$C$44:$C$49,0),MATCH(BC$6,Escalators!$I$43:$U$43,0)))</f>
        <v>0</v>
      </c>
      <c r="BD37" s="47">
        <f>IF($R37="",0,$L37*$AD37*INDEX(Act_Type_Repex_Splits,MATCH($I37,Act_Type_Repex,0),MATCH(BD$5,Mat_Type,0))*INDEX(Escalators!$I$44:$U$49,MATCH(BD$5,Escalators!$C$44:$C$49,0),MATCH(BD$6,Escalators!$I$43:$U$43,0)))</f>
        <v>0</v>
      </c>
      <c r="BE37" s="47">
        <f>IF($R37="",0,$L37*$AD37*INDEX(Act_Type_Repex_Splits,MATCH($I37,Act_Type_Repex,0),MATCH(BE$5,Mat_Type,0))*INDEX(Escalators!$I$44:$U$49,MATCH(BE$5,Escalators!$C$44:$C$49,0),MATCH(BE$6,Escalators!$I$43:$U$43,0)))</f>
        <v>0</v>
      </c>
      <c r="BF37" s="47">
        <f>IF($R37="",0,$L37*$AD37*INDEX(Act_Type_Repex_Splits,MATCH($I37,Act_Type_Repex,0),MATCH(BF$5,Mat_Type,0))*INDEX(Escalators!$I$44:$U$49,MATCH(BF$5,Escalators!$C$44:$C$49,0),MATCH(BF$6,Escalators!$I$43:$U$43,0)))</f>
        <v>0</v>
      </c>
      <c r="BG37" s="47">
        <f>IF($R37="",0,$L37*$AD37*INDEX(Act_Type_Repex_Splits,MATCH($I37,Act_Type_Repex,0),MATCH(BG$5,Mat_Type,0))*INDEX(Escalators!$I$44:$U$49,MATCH(BG$5,Escalators!$C$44:$C$49,0),MATCH(BG$6,Escalators!$I$43:$U$43,0)))</f>
        <v>0</v>
      </c>
      <c r="BH37" s="47">
        <f t="shared" si="19"/>
        <v>0</v>
      </c>
      <c r="BI37" s="47">
        <f>IF($R37="",0,$M37*$AD37*INDEX(Act_Type_Repex_Splits,MATCH($I37,Act_Type_Repex,0),MATCH(BI$5,Mat_Type,0))*INDEX(Escalators!$I$44:$U$49,MATCH(BI$5,Escalators!$C$44:$C$49,0),MATCH(BI$6,Escalators!$I$43:$U$43,0)))</f>
        <v>0</v>
      </c>
      <c r="BJ37" s="47">
        <f>IF($R37="",0,$M37*$AD37*INDEX(Act_Type_Repex_Splits,MATCH($I37,Act_Type_Repex,0),MATCH(BJ$5,Mat_Type,0))*INDEX(Escalators!$I$44:$U$49,MATCH(BJ$5,Escalators!$C$44:$C$49,0),MATCH(BJ$6,Escalators!$I$43:$U$43,0)))</f>
        <v>0</v>
      </c>
      <c r="BK37" s="47">
        <f>IF($R37="",0,$M37*$AD37*INDEX(Act_Type_Repex_Splits,MATCH($I37,Act_Type_Repex,0),MATCH(BK$5,Mat_Type,0))*INDEX(Escalators!$I$44:$U$49,MATCH(BK$5,Escalators!$C$44:$C$49,0),MATCH(BK$6,Escalators!$I$43:$U$43,0)))</f>
        <v>0</v>
      </c>
      <c r="BL37" s="47">
        <f>IF($R37="",0,$M37*$AD37*INDEX(Act_Type_Repex_Splits,MATCH($I37,Act_Type_Repex,0),MATCH(BL$5,Mat_Type,0))*INDEX(Escalators!$I$44:$U$49,MATCH(BL$5,Escalators!$C$44:$C$49,0),MATCH(BL$6,Escalators!$I$43:$U$43,0)))</f>
        <v>0</v>
      </c>
      <c r="BM37" s="47">
        <f>IF($R37="",0,$M37*$AD37*INDEX(Act_Type_Repex_Splits,MATCH($I37,Act_Type_Repex,0),MATCH(BM$5,Mat_Type,0))*INDEX(Escalators!$I$44:$U$49,MATCH(BM$5,Escalators!$C$44:$C$49,0),MATCH(BM$6,Escalators!$I$43:$U$43,0)))</f>
        <v>0</v>
      </c>
      <c r="BN37" s="47">
        <f t="shared" si="20"/>
        <v>0</v>
      </c>
      <c r="BO37" s="47">
        <f>IF($R37="",0,$N37*$AD37*INDEX(Act_Type_Repex_Splits,MATCH($I37,Act_Type_Repex,0),MATCH(BO$5,Mat_Type,0))*INDEX(Escalators!$I$44:$U$49,MATCH(BO$5,Escalators!$C$44:$C$49,0),MATCH(BO$6,Escalators!$I$43:$U$43,0)))</f>
        <v>0</v>
      </c>
      <c r="BP37" s="47">
        <f>IF($R37="",0,$N37*$AD37*INDEX(Act_Type_Repex_Splits,MATCH($I37,Act_Type_Repex,0),MATCH(BP$5,Mat_Type,0))*INDEX(Escalators!$I$44:$U$49,MATCH(BP$5,Escalators!$C$44:$C$49,0),MATCH(BP$6,Escalators!$I$43:$U$43,0)))</f>
        <v>0</v>
      </c>
      <c r="BQ37" s="47">
        <f>IF($R37="",0,$N37*$AD37*INDEX(Act_Type_Repex_Splits,MATCH($I37,Act_Type_Repex,0),MATCH(BQ$5,Mat_Type,0))*INDEX(Escalators!$I$44:$U$49,MATCH(BQ$5,Escalators!$C$44:$C$49,0),MATCH(BQ$6,Escalators!$I$43:$U$43,0)))</f>
        <v>0</v>
      </c>
      <c r="BR37" s="47">
        <f>IF($R37="",0,$N37*$AD37*INDEX(Act_Type_Repex_Splits,MATCH($I37,Act_Type_Repex,0),MATCH(BR$5,Mat_Type,0))*INDEX(Escalators!$I$44:$U$49,MATCH(BR$5,Escalators!$C$44:$C$49,0),MATCH(BR$6,Escalators!$I$43:$U$43,0)))</f>
        <v>0</v>
      </c>
      <c r="BS37" s="47">
        <f>IF($R37="",0,$N37*$AD37*INDEX(Act_Type_Repex_Splits,MATCH($I37,Act_Type_Repex,0),MATCH(BS$5,Mat_Type,0))*INDEX(Escalators!$I$44:$U$49,MATCH(BS$5,Escalators!$C$44:$C$49,0),MATCH(BS$6,Escalators!$I$43:$U$43,0)))</f>
        <v>0</v>
      </c>
      <c r="BT37" s="47">
        <f t="shared" si="21"/>
        <v>0</v>
      </c>
      <c r="BU37" s="47">
        <f>IF($R37="",0,$O37*$AD37*INDEX(Act_Type_Repex_Splits,MATCH($I37,Act_Type_Repex,0),MATCH(BU$5,Mat_Type,0))*INDEX(Escalators!$I$44:$U$49,MATCH(BU$5,Escalators!$C$44:$C$49,0),MATCH(BU$6,Escalators!$I$43:$U$43,0)))</f>
        <v>0</v>
      </c>
      <c r="BV37" s="47">
        <f>IF($R37="",0,$O37*$AD37*INDEX(Act_Type_Repex_Splits,MATCH($I37,Act_Type_Repex,0),MATCH(BV$5,Mat_Type,0))*INDEX(Escalators!$I$44:$U$49,MATCH(BV$5,Escalators!$C$44:$C$49,0),MATCH(BV$6,Escalators!$I$43:$U$43,0)))</f>
        <v>0</v>
      </c>
      <c r="BW37" s="47">
        <f>IF($R37="",0,$O37*$AD37*INDEX(Act_Type_Repex_Splits,MATCH($I37,Act_Type_Repex,0),MATCH(BW$5,Mat_Type,0))*INDEX(Escalators!$I$44:$U$49,MATCH(BW$5,Escalators!$C$44:$C$49,0),MATCH(BW$6,Escalators!$I$43:$U$43,0)))</f>
        <v>0</v>
      </c>
      <c r="BX37" s="47">
        <f>IF($R37="",0,$O37*$AD37*INDEX(Act_Type_Repex_Splits,MATCH($I37,Act_Type_Repex,0),MATCH(BX$5,Mat_Type,0))*INDEX(Escalators!$I$44:$U$49,MATCH(BX$5,Escalators!$C$44:$C$49,0),MATCH(BX$6,Escalators!$I$43:$U$43,0)))</f>
        <v>0</v>
      </c>
      <c r="BY37" s="47">
        <f>IF($R37="",0,$O37*$AD37*INDEX(Act_Type_Repex_Splits,MATCH($I37,Act_Type_Repex,0),MATCH(BY$5,Mat_Type,0))*INDEX(Escalators!$I$44:$U$49,MATCH(BY$5,Escalators!$C$44:$C$49,0),MATCH(BY$6,Escalators!$I$43:$U$43,0)))</f>
        <v>0</v>
      </c>
      <c r="BZ37" s="47">
        <f t="shared" si="22"/>
        <v>0</v>
      </c>
      <c r="CA37" s="47">
        <f>IF($R37="",0,$P37*$AD37*INDEX(Act_Type_Repex_Splits,MATCH($I37,Act_Type_Repex,0),MATCH(CA$5,Mat_Type,0))*INDEX(Escalators!$I$44:$U$49,MATCH(CA$5,Escalators!$C$44:$C$49,0),MATCH(CA$6,Escalators!$I$43:$U$43,0)))</f>
        <v>0</v>
      </c>
      <c r="CB37" s="47">
        <f>IF($R37="",0,$P37*$AD37*INDEX(Act_Type_Repex_Splits,MATCH($I37,Act_Type_Repex,0),MATCH(CB$5,Mat_Type,0))*INDEX(Escalators!$I$44:$U$49,MATCH(CB$5,Escalators!$C$44:$C$49,0),MATCH(CB$6,Escalators!$I$43:$U$43,0)))</f>
        <v>0</v>
      </c>
      <c r="CC37" s="47">
        <f>IF($R37="",0,$P37*$AD37*INDEX(Act_Type_Repex_Splits,MATCH($I37,Act_Type_Repex,0),MATCH(CC$5,Mat_Type,0))*INDEX(Escalators!$I$44:$U$49,MATCH(CC$5,Escalators!$C$44:$C$49,0),MATCH(CC$6,Escalators!$I$43:$U$43,0)))</f>
        <v>0</v>
      </c>
      <c r="CD37" s="47">
        <f>IF($R37="",0,$P37*$AD37*INDEX(Act_Type_Repex_Splits,MATCH($I37,Act_Type_Repex,0),MATCH(CD$5,Mat_Type,0))*INDEX(Escalators!$I$44:$U$49,MATCH(CD$5,Escalators!$C$44:$C$49,0),MATCH(CD$6,Escalators!$I$43:$U$43,0)))</f>
        <v>0</v>
      </c>
      <c r="CE37" s="47">
        <f>IF($R37="",0,$P37*$AD37*INDEX(Act_Type_Repex_Splits,MATCH($I37,Act_Type_Repex,0),MATCH(CE$5,Mat_Type,0))*INDEX(Escalators!$I$44:$U$49,MATCH(CE$5,Escalators!$C$44:$C$49,0),MATCH(CE$6,Escalators!$I$43:$U$43,0)))</f>
        <v>0</v>
      </c>
      <c r="CF37" s="47">
        <f t="shared" si="23"/>
        <v>0</v>
      </c>
      <c r="CG37" s="47">
        <f>IF($R37="",0,$Q37*$AD37*INDEX(Act_Type_Repex_Splits,MATCH($I37,Act_Type_Repex,0),MATCH(CG$5,Mat_Type,0))*INDEX(Escalators!$I$44:$U$49,MATCH(CG$5,Escalators!$C$44:$C$49,0),MATCH(CG$6,Escalators!$I$43:$U$43,0)))</f>
        <v>0</v>
      </c>
      <c r="CH37" s="47">
        <f>IF($R37="",0,$Q37*$AD37*INDEX(Act_Type_Repex_Splits,MATCH($I37,Act_Type_Repex,0),MATCH(CH$5,Mat_Type,0))*INDEX(Escalators!$I$44:$U$49,MATCH(CH$5,Escalators!$C$44:$C$49,0),MATCH(CH$6,Escalators!$I$43:$U$43,0)))</f>
        <v>0</v>
      </c>
      <c r="CI37" s="47">
        <f>IF($R37="",0,$Q37*$AD37*INDEX(Act_Type_Repex_Splits,MATCH($I37,Act_Type_Repex,0),MATCH(CI$5,Mat_Type,0))*INDEX(Escalators!$I$44:$U$49,MATCH(CI$5,Escalators!$C$44:$C$49,0),MATCH(CI$6,Escalators!$I$43:$U$43,0)))</f>
        <v>0</v>
      </c>
      <c r="CJ37" s="47">
        <f>IF($R37="",0,$Q37*$AD37*INDEX(Act_Type_Repex_Splits,MATCH($I37,Act_Type_Repex,0),MATCH(CJ$5,Mat_Type,0))*INDEX(Escalators!$I$44:$U$49,MATCH(CJ$5,Escalators!$C$44:$C$49,0),MATCH(CJ$6,Escalators!$I$43:$U$43,0)))</f>
        <v>0</v>
      </c>
      <c r="CK37" s="47">
        <f>IF($R37="",0,$Q37*$AD37*INDEX(Act_Type_Repex_Splits,MATCH($I37,Act_Type_Repex,0),MATCH(CK$5,Mat_Type,0))*INDEX(Escalators!$I$44:$U$49,MATCH(CK$5,Escalators!$C$44:$C$49,0),MATCH(CK$6,Escalators!$I$43:$U$43,0)))</f>
        <v>0</v>
      </c>
      <c r="CL37" s="47">
        <f t="shared" si="24"/>
        <v>0</v>
      </c>
      <c r="CN37" s="47">
        <f>IF($R37="",0,J37*$AE37*HLOOKUP(CN$6,Escalators!$I$25:$U$30,6,FALSE))</f>
        <v>0</v>
      </c>
      <c r="CO37" s="47">
        <f>IF($R37="",0,K37*$AE37*HLOOKUP(CO$6,Escalators!$I$25:$U$30,6,FALSE))</f>
        <v>0</v>
      </c>
      <c r="CP37" s="47">
        <f>IF($R37="",0,L37*$AE37*HLOOKUP(CP$6,Escalators!$I$25:$U$30,6,FALSE))</f>
        <v>0</v>
      </c>
      <c r="CQ37" s="47">
        <f>IF($R37="",0,M37*$AE37*HLOOKUP(CQ$6,Escalators!$I$25:$U$30,6,FALSE))</f>
        <v>0</v>
      </c>
      <c r="CR37" s="47">
        <f>IF($R37="",0,N37*$AE37*HLOOKUP(CR$6,Escalators!$I$25:$U$30,6,FALSE))</f>
        <v>0</v>
      </c>
      <c r="CS37" s="47">
        <f>IF($R37="",0,O37*$AE37*HLOOKUP(CS$6,Escalators!$I$25:$U$30,6,FALSE))</f>
        <v>0</v>
      </c>
      <c r="CT37" s="47">
        <f>IF($R37="",0,P37*$AE37*HLOOKUP(CT$6,Escalators!$I$25:$U$30,6,FALSE))</f>
        <v>0</v>
      </c>
      <c r="CU37" s="47">
        <f>IF($R37="",0,Q37*$AE37*HLOOKUP(CU$6,Escalators!$I$25:$U$30,6,FALSE))</f>
        <v>0</v>
      </c>
      <c r="CW37" s="47">
        <f t="shared" si="25"/>
        <v>0</v>
      </c>
      <c r="CX37" s="47">
        <f t="shared" si="26"/>
        <v>0</v>
      </c>
      <c r="CY37" s="47">
        <f t="shared" si="27"/>
        <v>0</v>
      </c>
      <c r="CZ37" s="47">
        <f t="shared" si="28"/>
        <v>0</v>
      </c>
      <c r="DA37" s="47">
        <f t="shared" si="29"/>
        <v>0</v>
      </c>
      <c r="DB37" s="47">
        <f t="shared" si="30"/>
        <v>0</v>
      </c>
      <c r="DC37" s="47">
        <f t="shared" si="31"/>
        <v>0</v>
      </c>
      <c r="DD37" s="47">
        <f t="shared" si="32"/>
        <v>0</v>
      </c>
      <c r="DF37" s="47">
        <f t="shared" si="33"/>
        <v>0</v>
      </c>
      <c r="DG37" s="47">
        <f t="shared" si="34"/>
        <v>0</v>
      </c>
      <c r="DH37" s="47">
        <f t="shared" si="35"/>
        <v>0</v>
      </c>
      <c r="DI37" s="47">
        <f t="shared" si="36"/>
        <v>0</v>
      </c>
      <c r="DJ37" s="47">
        <f t="shared" si="37"/>
        <v>0</v>
      </c>
      <c r="DK37" s="47">
        <f t="shared" si="38"/>
        <v>0</v>
      </c>
      <c r="DL37" s="47">
        <f t="shared" si="39"/>
        <v>0</v>
      </c>
      <c r="DM37" s="47">
        <f t="shared" si="40"/>
        <v>0</v>
      </c>
      <c r="DO37" s="39"/>
    </row>
    <row r="38" spans="2:119">
      <c r="T38" s="935"/>
      <c r="U38" s="935"/>
      <c r="V38" s="935"/>
      <c r="W38" s="935"/>
      <c r="X38" s="935"/>
      <c r="Y38" s="935"/>
      <c r="Z38" s="935"/>
      <c r="AA38" s="935"/>
      <c r="AB38" s="867"/>
      <c r="AC38" s="867"/>
      <c r="AD38" s="867"/>
      <c r="AE38" s="867"/>
      <c r="AF38" s="867"/>
      <c r="AG38" s="867"/>
      <c r="AH38" s="935"/>
      <c r="AI38" s="935"/>
      <c r="AJ38" s="935"/>
      <c r="AK38" s="935"/>
      <c r="AL38" s="935"/>
      <c r="AM38" s="935"/>
      <c r="AN38" s="935"/>
      <c r="AO38" s="935"/>
      <c r="AP38" s="867"/>
      <c r="AQ38" s="935"/>
      <c r="AR38" s="935"/>
      <c r="AS38" s="935"/>
      <c r="AT38" s="935"/>
      <c r="AU38" s="935"/>
      <c r="AV38" s="935"/>
      <c r="AW38" s="935"/>
      <c r="AX38" s="935"/>
      <c r="AY38" s="935"/>
      <c r="AZ38" s="935"/>
      <c r="BA38" s="935"/>
      <c r="BB38" s="935"/>
      <c r="BC38" s="935"/>
      <c r="BD38" s="935"/>
      <c r="BE38" s="935"/>
      <c r="BF38" s="935"/>
      <c r="BG38" s="935"/>
      <c r="BH38" s="935"/>
      <c r="BI38" s="935"/>
      <c r="BJ38" s="935"/>
      <c r="BK38" s="935"/>
      <c r="BL38" s="935"/>
      <c r="BM38" s="935"/>
      <c r="BN38" s="935"/>
      <c r="BO38" s="935"/>
      <c r="BP38" s="935"/>
      <c r="BQ38" s="935"/>
      <c r="BR38" s="935"/>
      <c r="BS38" s="935"/>
      <c r="BT38" s="935"/>
      <c r="BU38" s="935"/>
      <c r="BV38" s="935"/>
      <c r="BW38" s="935"/>
      <c r="BX38" s="935"/>
      <c r="BY38" s="935"/>
      <c r="BZ38" s="935"/>
      <c r="CA38" s="935"/>
      <c r="CB38" s="935"/>
      <c r="CC38" s="935"/>
      <c r="CD38" s="935"/>
      <c r="CE38" s="935"/>
      <c r="CF38" s="935"/>
      <c r="CG38" s="935"/>
      <c r="CH38" s="935"/>
      <c r="CI38" s="935"/>
      <c r="CJ38" s="935"/>
      <c r="CK38" s="935"/>
      <c r="CL38" s="935"/>
      <c r="CM38" s="867"/>
      <c r="CN38" s="935"/>
      <c r="CO38" s="935"/>
      <c r="CP38" s="935"/>
      <c r="CQ38" s="935"/>
      <c r="CR38" s="935"/>
      <c r="CS38" s="935"/>
      <c r="CT38" s="935"/>
      <c r="CU38" s="935"/>
      <c r="CV38" s="867"/>
      <c r="CW38" s="935"/>
      <c r="CX38" s="935"/>
      <c r="CY38" s="935"/>
      <c r="CZ38" s="935"/>
      <c r="DA38" s="935"/>
      <c r="DB38" s="935"/>
      <c r="DC38" s="935"/>
      <c r="DD38" s="935"/>
      <c r="DE38" s="867"/>
      <c r="DF38" s="935"/>
      <c r="DG38" s="935"/>
      <c r="DH38" s="935"/>
      <c r="DI38" s="935"/>
      <c r="DJ38" s="935"/>
      <c r="DK38" s="935"/>
      <c r="DL38" s="935"/>
      <c r="DM38" s="935"/>
    </row>
    <row r="39" spans="2:119">
      <c r="DF39" s="84">
        <f t="shared" ref="DF39:DM39" si="41">IF(ISERROR((DF38-T38)/T38),0,(DF38-T38)/T38)</f>
        <v>0</v>
      </c>
      <c r="DG39" s="84">
        <f t="shared" si="41"/>
        <v>0</v>
      </c>
      <c r="DH39" s="84">
        <f t="shared" si="41"/>
        <v>0</v>
      </c>
      <c r="DI39" s="84">
        <f t="shared" si="41"/>
        <v>0</v>
      </c>
      <c r="DJ39" s="84">
        <f t="shared" si="41"/>
        <v>0</v>
      </c>
      <c r="DK39" s="84">
        <f t="shared" si="41"/>
        <v>0</v>
      </c>
      <c r="DL39" s="84">
        <f t="shared" si="41"/>
        <v>0</v>
      </c>
      <c r="DM39" s="84">
        <f t="shared" si="41"/>
        <v>0</v>
      </c>
    </row>
    <row r="40" spans="2:119">
      <c r="AA40" s="39"/>
    </row>
    <row r="41" spans="2:119" ht="14.45" customHeight="1">
      <c r="DE41" s="970" t="s">
        <v>690</v>
      </c>
      <c r="DF41" s="970"/>
      <c r="DG41" s="970"/>
      <c r="DH41" s="871"/>
      <c r="DI41" s="871"/>
      <c r="DJ41" s="871"/>
      <c r="DK41" s="871"/>
      <c r="DL41" s="871"/>
      <c r="DM41" s="871"/>
      <c r="DN41" s="183" t="s">
        <v>738</v>
      </c>
    </row>
    <row r="42" spans="2:119">
      <c r="DE42" s="970"/>
      <c r="DF42" s="970"/>
      <c r="DG42" s="970"/>
      <c r="DH42" s="871"/>
      <c r="DI42" s="871"/>
      <c r="DJ42" s="871"/>
      <c r="DK42" s="871"/>
      <c r="DL42" s="871"/>
      <c r="DM42" s="871"/>
      <c r="DN42" s="183" t="s">
        <v>739</v>
      </c>
    </row>
    <row r="43" spans="2:119">
      <c r="DE43" s="970"/>
      <c r="DF43" s="970"/>
      <c r="DG43" s="970"/>
    </row>
    <row r="44" spans="2:119">
      <c r="DE44" s="970"/>
      <c r="DF44" s="970"/>
      <c r="DG44" s="970"/>
    </row>
  </sheetData>
  <autoFilter ref="C6:I37" xr:uid="{00000000-0009-0000-0000-000011000000}"/>
  <mergeCells count="13">
    <mergeCell ref="DE41:DG44"/>
    <mergeCell ref="M1:N1"/>
    <mergeCell ref="CN3:CU3"/>
    <mergeCell ref="DF3:DM3"/>
    <mergeCell ref="T3:AA3"/>
    <mergeCell ref="AH3:AO3"/>
    <mergeCell ref="CW3:DD3"/>
    <mergeCell ref="J5:Q5"/>
    <mergeCell ref="T5:AA5"/>
    <mergeCell ref="CW5:DD5"/>
    <mergeCell ref="DF5:DM5"/>
    <mergeCell ref="CN5:CU5"/>
    <mergeCell ref="AH5:AO5"/>
  </mergeCells>
  <dataValidations xWindow="1245" yWindow="746" count="1">
    <dataValidation type="list" errorStyle="warning" showInputMessage="1" showErrorMessage="1" error="Invalid data entered" prompt="Select from drop down list" sqref="G29:G37" xr:uid="{00000000-0002-0000-1100-000000000000}">
      <formula1>$C$16:$C$27</formula1>
    </dataValidation>
  </dataValidations>
  <hyperlinks>
    <hyperlink ref="B2" location="Contents!A1" display="Table of Contents" xr:uid="{00000000-0004-0000-1100-000000000000}"/>
  </hyperlink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xWindow="1245" yWindow="746" count="6">
        <x14:dataValidation type="list" errorStyle="warning" showInputMessage="1" showErrorMessage="1" error="Invalid data entered" prompt="Select from drop down list" xr:uid="{00000000-0002-0000-1100-000001000000}">
          <x14:formula1>
            <xm:f>Lookups!$C$5:$C$13</xm:f>
          </x14:formula1>
          <xm:sqref>E7:E37</xm:sqref>
        </x14:dataValidation>
        <x14:dataValidation type="list" errorStyle="warning" showInputMessage="1" showErrorMessage="1" error="Invalid data entered" prompt="Select from drop down list" xr:uid="{00000000-0002-0000-1100-000002000000}">
          <x14:formula1>
            <xm:f>Lookups!$C$16:$C$27</xm:f>
          </x14:formula1>
          <xm:sqref>F7:F37</xm:sqref>
        </x14:dataValidation>
        <x14:dataValidation type="list" errorStyle="warning" allowBlank="1" showInputMessage="1" showErrorMessage="1" prompt="Select from drop down list" xr:uid="{00000000-0002-0000-1100-000003000000}">
          <x14:formula1>
            <xm:f>Lab_Mat!$C$62:$C$98</xm:f>
          </x14:formula1>
          <xm:sqref>I7:I37</xm:sqref>
        </x14:dataValidation>
        <x14:dataValidation type="list" errorStyle="warning" showInputMessage="1" showErrorMessage="1" error="Invalid data entered" prompt="Select from drop down list" xr:uid="{00000000-0002-0000-1100-000004000000}">
          <x14:formula1>
            <xm:f>Lookups!$I$5:$I$10</xm:f>
          </x14:formula1>
          <xm:sqref>G7:G28</xm:sqref>
        </x14:dataValidation>
        <x14:dataValidation type="list" errorStyle="warning" allowBlank="1" showInputMessage="1" showErrorMessage="1" prompt="Select from drop down list" xr:uid="{00000000-0002-0000-1100-000005000000}">
          <x14:formula1>
            <xm:f>Lab_Mat!$C$13:$C$22</xm:f>
          </x14:formula1>
          <xm:sqref>H7:H11 H19:H37 H14:H16</xm:sqref>
        </x14:dataValidation>
        <x14:dataValidation type="list" errorStyle="warning" allowBlank="1" showInputMessage="1" showErrorMessage="1" prompt="Select from drop down list" xr:uid="{00000000-0002-0000-1100-000006000000}">
          <x14:formula1>
            <xm:f>Lab_Mat!$C$6:$C$22</xm:f>
          </x14:formula1>
          <xm:sqref>H12:H13 H17:H18</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1:DE60"/>
  <sheetViews>
    <sheetView zoomScale="85" zoomScaleNormal="85" zoomScalePageLayoutView="125" workbookViewId="0">
      <pane xSplit="4" topLeftCell="J1" activePane="topRight" state="frozen"/>
      <selection activeCell="V33" sqref="V33"/>
      <selection pane="topRight" activeCell="M1" sqref="M1:N1"/>
    </sheetView>
  </sheetViews>
  <sheetFormatPr defaultColWidth="8.85546875" defaultRowHeight="15" outlineLevelRow="1" outlineLevelCol="1"/>
  <cols>
    <col min="1" max="1" width="4" style="1" customWidth="1"/>
    <col min="2" max="2" width="12" style="1" customWidth="1"/>
    <col min="3" max="3" width="44.7109375" style="1" bestFit="1" customWidth="1"/>
    <col min="4" max="4" width="22.42578125" style="1" customWidth="1"/>
    <col min="5" max="5" width="24.42578125" style="1" hidden="1" customWidth="1" outlineLevel="1"/>
    <col min="6" max="7" width="33.42578125" style="1" hidden="1" customWidth="1" outlineLevel="1"/>
    <col min="8" max="8" width="29.85546875" style="1" hidden="1" customWidth="1" outlineLevel="1"/>
    <col min="9" max="9" width="28.42578125" style="1" hidden="1" customWidth="1" outlineLevel="1"/>
    <col min="10" max="10" width="9.28515625" style="1" customWidth="1" collapsed="1"/>
    <col min="11" max="17" width="9.28515625" style="1" customWidth="1"/>
    <col min="18" max="18" width="2.8554687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10.42578125"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9" ht="18.75">
      <c r="B1" s="10" t="s">
        <v>254</v>
      </c>
      <c r="M1" s="968"/>
      <c r="N1" s="968"/>
    </row>
    <row r="2" spans="2:109">
      <c r="B2" s="25" t="s">
        <v>6</v>
      </c>
    </row>
    <row r="3" spans="2:109">
      <c r="J3" s="964"/>
      <c r="K3" s="964"/>
      <c r="L3" s="964"/>
      <c r="M3" s="964"/>
      <c r="N3" s="964"/>
      <c r="O3" s="964"/>
      <c r="P3" s="964"/>
      <c r="Q3" s="964"/>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2:109" ht="45">
      <c r="B4" s="2" t="s">
        <v>288</v>
      </c>
      <c r="J4" s="961" t="s">
        <v>378</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379</v>
      </c>
      <c r="CR4" s="962"/>
      <c r="CS4" s="962"/>
      <c r="CT4" s="962"/>
      <c r="CU4" s="962"/>
      <c r="CV4" s="962"/>
      <c r="CW4" s="962"/>
      <c r="CX4" s="963"/>
    </row>
    <row r="5" spans="2:109">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f>Stub</f>
        <v>44377</v>
      </c>
      <c r="CT5" s="331">
        <f>Yr_1</f>
        <v>44742</v>
      </c>
      <c r="CU5" s="331">
        <f>Yr_2</f>
        <v>45107</v>
      </c>
      <c r="CV5" s="331">
        <f>Yr_3</f>
        <v>45473</v>
      </c>
      <c r="CW5" s="331">
        <f>Yr_4</f>
        <v>45838</v>
      </c>
      <c r="CX5" s="331">
        <f>Yr_5</f>
        <v>46203</v>
      </c>
    </row>
    <row r="6" spans="2:109">
      <c r="B6" s="7"/>
      <c r="C6" s="7" t="s">
        <v>568</v>
      </c>
      <c r="D6" s="7" t="s">
        <v>119</v>
      </c>
      <c r="E6" s="7" t="s">
        <v>45</v>
      </c>
      <c r="F6" s="7" t="s">
        <v>55</v>
      </c>
      <c r="G6" s="7" t="s">
        <v>150</v>
      </c>
      <c r="H6" s="7" t="s">
        <v>5</v>
      </c>
      <c r="I6" s="7" t="s">
        <v>209</v>
      </c>
      <c r="J6" s="45"/>
      <c r="K6" s="45"/>
      <c r="L6" s="45"/>
      <c r="M6" s="128">
        <v>390</v>
      </c>
      <c r="N6" s="128">
        <v>390</v>
      </c>
      <c r="O6" s="128">
        <v>390</v>
      </c>
      <c r="P6" s="128">
        <v>390</v>
      </c>
      <c r="Q6" s="128">
        <v>390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40.217756227577048</v>
      </c>
      <c r="W6" s="128">
        <f>INDEX(Direct_Cost_Splits_Network,MATCH($H6,RIN_Asset_Cat_Network,0),MATCH($S$4,Direct_Cost_Type,0))*N6*HLOOKUP(W$5,Escalators!$I$25:$U$30,3,FALSE)</f>
        <v>40.417272230581901</v>
      </c>
      <c r="X6" s="128">
        <f>INDEX(Direct_Cost_Splits_Network,MATCH($H6,RIN_Asset_Cat_Network,0),MATCH($S$4,Direct_Cost_Type,0))*O6*HLOOKUP(X$5,Escalators!$I$25:$U$30,3,FALSE)</f>
        <v>40.680492856383758</v>
      </c>
      <c r="Y6" s="128">
        <f>INDEX(Direct_Cost_Splits_Network,MATCH($H6,RIN_Asset_Cat_Network,0),MATCH($S$4,Direct_Cost_Type,0))*P6*HLOOKUP(Y$5,Escalators!$I$25:$U$30,3,FALSE)</f>
        <v>41.08463892755401</v>
      </c>
      <c r="Z6" s="128">
        <f>INDEX(Direct_Cost_Splits_Network,MATCH($H6,RIN_Asset_Cat_Network,0),MATCH($S$4,Direct_Cost_Type,0))*Q6*HLOOKUP(Z$5,Escalators!$I$25:$U$30,3,FALSE)</f>
        <v>41.621837992470766</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25.728197232600547</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60.032460209401279</v>
      </c>
      <c r="AY6" s="128">
        <f>SUM(AT6:AX6)</f>
        <v>85.760657442001829</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25.728197232600547</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60.032460209401279</v>
      </c>
      <c r="BE6" s="128">
        <f>SUM(AZ6:BD6)</f>
        <v>85.760657442001829</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25.728197232600547</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60.032460209401279</v>
      </c>
      <c r="BK6" s="128">
        <f>SUM(BF6:BJ6)</f>
        <v>85.760657442001829</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25.728197232600547</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60.032460209401279</v>
      </c>
      <c r="BQ6" s="128">
        <f>SUM(BL6:BP6)</f>
        <v>85.760657442001829</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25.728197232600547</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60.032460209401279</v>
      </c>
      <c r="BW6" s="128">
        <f>SUM(BR6:BV6)</f>
        <v>85.760657442001829</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229.74141166907762</v>
      </c>
      <c r="CC6" s="128">
        <f>INDEX(Direct_Cost_Splits_Network,MATCH($H6,RIN_Asset_Cat_Network,0),MATCH($BY$4,Direct_Cost_Type,0))*N6*HLOOKUP(CC$5,Escalators!$I$25:$U$30,6,FALSE)</f>
        <v>229.74141166907762</v>
      </c>
      <c r="CD6" s="128">
        <f>INDEX(Direct_Cost_Splits_Network,MATCH($H6,RIN_Asset_Cat_Network,0),MATCH($BY$4,Direct_Cost_Type,0))*O6*HLOOKUP(CD$5,Escalators!$I$25:$U$30,6,FALSE)</f>
        <v>229.74141166907762</v>
      </c>
      <c r="CE6" s="128">
        <f>INDEX(Direct_Cost_Splits_Network,MATCH($H6,RIN_Asset_Cat_Network,0),MATCH($BY$4,Direct_Cost_Type,0))*P6*HLOOKUP(CE$5,Escalators!$I$25:$U$30,6,FALSE)</f>
        <v>229.74141166907762</v>
      </c>
      <c r="CF6" s="128">
        <f>INDEX(Direct_Cost_Splits_Network,MATCH($H6,RIN_Asset_Cat_Network,0),MATCH($BY$4,Direct_Cost_Type,0))*Q6*HLOOKUP(CF$5,Escalators!$I$25:$U$30,6,FALSE)</f>
        <v>229.74141166907762</v>
      </c>
      <c r="CG6" s="129"/>
      <c r="CH6" s="675">
        <f t="shared" ref="CH6:CH10" si="8">INDEX(Direct_Cost_Splits_Network,MATCH($H6,RIN_Asset_Cat_Network,0),MATCH($CH$4,Direct_Cost_Type,0))*J6</f>
        <v>0</v>
      </c>
      <c r="CI6" s="675">
        <f t="shared" ref="CI6:CJ10" si="9">INDEX(Direct_Cost_Splits_Network,MATCH($H6,RIN_Asset_Cat_Network,0),MATCH($CH$4,Direct_Cost_Type,0))*K6</f>
        <v>0</v>
      </c>
      <c r="CJ6" s="675">
        <f t="shared" si="9"/>
        <v>0</v>
      </c>
      <c r="CK6" s="675">
        <f t="shared" ref="CK6:CK10" si="10">INDEX(Direct_Cost_Splits_Network,MATCH($H6,RIN_Asset_Cat_Network,0),MATCH($CH$4,Direct_Cost_Type,0))*M6</f>
        <v>35.553629220550455</v>
      </c>
      <c r="CL6" s="675">
        <f t="shared" ref="CL6:CL10" si="11">INDEX(Direct_Cost_Splits_Network,MATCH($H6,RIN_Asset_Cat_Network,0),MATCH($CH$4,Direct_Cost_Type,0))*N6</f>
        <v>35.553629220550455</v>
      </c>
      <c r="CM6" s="675">
        <f t="shared" ref="CM6:CM10" si="12">INDEX(Direct_Cost_Splits_Network,MATCH($H6,RIN_Asset_Cat_Network,0),MATCH($CH$4,Direct_Cost_Type,0))*O6</f>
        <v>35.553629220550455</v>
      </c>
      <c r="CN6" s="675">
        <f t="shared" ref="CN6:CN10" si="13">INDEX(Direct_Cost_Splits_Network,MATCH($H6,RIN_Asset_Cat_Network,0),MATCH($CH$4,Direct_Cost_Type,0))*P6</f>
        <v>35.553629220550455</v>
      </c>
      <c r="CO6" s="675">
        <f t="shared" ref="CO6:CO10" si="14">INDEX(Direct_Cost_Splits_Network,MATCH($H6,RIN_Asset_Cat_Network,0),MATCH($CH$4,Direct_Cost_Type,0))*Q6</f>
        <v>35.553629220550455</v>
      </c>
      <c r="CP6" s="129"/>
      <c r="CQ6" s="128">
        <f>S6+AG6+BY6+CH6</f>
        <v>0</v>
      </c>
      <c r="CR6" s="128">
        <f>T6+AM6+BZ6+CI6</f>
        <v>0</v>
      </c>
      <c r="CS6" s="128">
        <f>U6+AS6+CA6+CJ6</f>
        <v>0</v>
      </c>
      <c r="CT6" s="128">
        <f>V6+AY6+CB6+CK6</f>
        <v>391.27345455920698</v>
      </c>
      <c r="CU6" s="128">
        <f>W6+BE6+CC6+CL6</f>
        <v>391.47297056221186</v>
      </c>
      <c r="CV6" s="128">
        <f>X6+BK6+CD6+CM6</f>
        <v>391.73619118801372</v>
      </c>
      <c r="CW6" s="128">
        <f>Y6+BQ6+CE6+CN6</f>
        <v>392.14033725918392</v>
      </c>
      <c r="CX6" s="128">
        <f>Z6+BW6+CF6+CO6</f>
        <v>392.67753632410069</v>
      </c>
      <c r="CZ6" s="39"/>
      <c r="DA6" s="39"/>
      <c r="DB6" s="39"/>
      <c r="DC6" s="39"/>
      <c r="DD6" s="39"/>
      <c r="DE6" s="39"/>
    </row>
    <row r="7" spans="2:109">
      <c r="B7" s="7"/>
      <c r="C7" s="7" t="s">
        <v>582</v>
      </c>
      <c r="D7" s="7" t="s">
        <v>119</v>
      </c>
      <c r="E7" s="7" t="s">
        <v>45</v>
      </c>
      <c r="F7" s="7" t="s">
        <v>55</v>
      </c>
      <c r="G7" s="7" t="s">
        <v>150</v>
      </c>
      <c r="H7" s="7" t="s">
        <v>5</v>
      </c>
      <c r="I7" s="7" t="s">
        <v>209</v>
      </c>
      <c r="J7" s="45"/>
      <c r="K7" s="45"/>
      <c r="L7" s="45"/>
      <c r="M7" s="128">
        <v>50</v>
      </c>
      <c r="N7" s="128">
        <v>50</v>
      </c>
      <c r="O7" s="128">
        <v>50</v>
      </c>
      <c r="P7" s="128">
        <v>50</v>
      </c>
      <c r="Q7" s="128">
        <v>50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5.1561225932791084</v>
      </c>
      <c r="W7" s="128">
        <f>INDEX(Direct_Cost_Splits_Network,MATCH($H7,RIN_Asset_Cat_Network,0),MATCH($S$4,Direct_Cost_Type,0))*N7*HLOOKUP(W$5,Escalators!$I$25:$U$30,3,FALSE)</f>
        <v>5.1817015680233203</v>
      </c>
      <c r="X7" s="128">
        <f>INDEX(Direct_Cost_Splits_Network,MATCH($H7,RIN_Asset_Cat_Network,0),MATCH($S$4,Direct_Cost_Type,0))*O7*HLOOKUP(X$5,Escalators!$I$25:$U$30,3,FALSE)</f>
        <v>5.2154478021004813</v>
      </c>
      <c r="Y7" s="128">
        <f>INDEX(Direct_Cost_Splits_Network,MATCH($H7,RIN_Asset_Cat_Network,0),MATCH($S$4,Direct_Cost_Type,0))*P7*HLOOKUP(Y$5,Escalators!$I$25:$U$30,3,FALSE)</f>
        <v>5.2672614009684633</v>
      </c>
      <c r="Z7" s="128">
        <f>INDEX(Direct_Cost_Splits_Network,MATCH($H7,RIN_Asset_Cat_Network,0),MATCH($S$4,Direct_Cost_Type,0))*Q7*HLOOKUP(Z$5,Escalators!$I$25:$U$30,3,FALSE)</f>
        <v>5.3361330759577905</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10" si="15">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10" si="16">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10" si="17">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3.2984868246923775</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7.696469257615548</v>
      </c>
      <c r="AY7" s="128">
        <f t="shared" ref="AY7:AY10" si="18">SUM(AT7:AX7)</f>
        <v>10.994956082307926</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3.2984868246923775</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7.696469257615548</v>
      </c>
      <c r="BE7" s="128">
        <f t="shared" ref="BE7:BE10" si="19">SUM(AZ7:BD7)</f>
        <v>10.994956082307926</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3.2984868246923775</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7.696469257615548</v>
      </c>
      <c r="BK7" s="128">
        <f t="shared" ref="BK7:BK10" si="20">SUM(BF7:BJ7)</f>
        <v>10.994956082307926</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3.2984868246923775</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7.696469257615548</v>
      </c>
      <c r="BQ7" s="128">
        <f t="shared" ref="BQ7:BQ10" si="21">SUM(BL7:BP7)</f>
        <v>10.994956082307926</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3.2984868246923775</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7.696469257615548</v>
      </c>
      <c r="BW7" s="128">
        <f t="shared" ref="BW7:BW10" si="22">SUM(BR7:BV7)</f>
        <v>10.994956082307926</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29.454027137061235</v>
      </c>
      <c r="CC7" s="128">
        <f>INDEX(Direct_Cost_Splits_Network,MATCH($H7,RIN_Asset_Cat_Network,0),MATCH($BY$4,Direct_Cost_Type,0))*N7*HLOOKUP(CC$5,Escalators!$I$25:$U$30,6,FALSE)</f>
        <v>29.454027137061235</v>
      </c>
      <c r="CD7" s="128">
        <f>INDEX(Direct_Cost_Splits_Network,MATCH($H7,RIN_Asset_Cat_Network,0),MATCH($BY$4,Direct_Cost_Type,0))*O7*HLOOKUP(CD$5,Escalators!$I$25:$U$30,6,FALSE)</f>
        <v>29.454027137061235</v>
      </c>
      <c r="CE7" s="128">
        <f>INDEX(Direct_Cost_Splits_Network,MATCH($H7,RIN_Asset_Cat_Network,0),MATCH($BY$4,Direct_Cost_Type,0))*P7*HLOOKUP(CE$5,Escalators!$I$25:$U$30,6,FALSE)</f>
        <v>29.454027137061235</v>
      </c>
      <c r="CF7" s="128">
        <f>INDEX(Direct_Cost_Splits_Network,MATCH($H7,RIN_Asset_Cat_Network,0),MATCH($BY$4,Direct_Cost_Type,0))*Q7*HLOOKUP(CF$5,Escalators!$I$25:$U$30,6,FALSE)</f>
        <v>29.454027137061235</v>
      </c>
      <c r="CG7" s="129"/>
      <c r="CH7" s="675">
        <f t="shared" si="8"/>
        <v>0</v>
      </c>
      <c r="CI7" s="675">
        <f t="shared" si="9"/>
        <v>0</v>
      </c>
      <c r="CJ7" s="675">
        <f t="shared" si="9"/>
        <v>0</v>
      </c>
      <c r="CK7" s="675">
        <f t="shared" si="10"/>
        <v>4.5581575923782633</v>
      </c>
      <c r="CL7" s="675">
        <f t="shared" si="11"/>
        <v>4.5581575923782633</v>
      </c>
      <c r="CM7" s="675">
        <f t="shared" si="12"/>
        <v>4.5581575923782633</v>
      </c>
      <c r="CN7" s="675">
        <f t="shared" si="13"/>
        <v>4.5581575923782633</v>
      </c>
      <c r="CO7" s="675">
        <f t="shared" si="14"/>
        <v>4.5581575923782633</v>
      </c>
      <c r="CP7" s="129"/>
      <c r="CQ7" s="128">
        <f t="shared" ref="CQ7:CQ36" si="23">S7+AG7+BY7+CH7</f>
        <v>0</v>
      </c>
      <c r="CR7" s="128">
        <f t="shared" ref="CR7:CR36" si="24">T7+AM7+BZ7+CI7</f>
        <v>0</v>
      </c>
      <c r="CS7" s="128">
        <f t="shared" ref="CS7:CS36" si="25">U7+AS7+CA7+CJ7</f>
        <v>0</v>
      </c>
      <c r="CT7" s="128">
        <f t="shared" ref="CT7:CT36" si="26">V7+AY7+CB7+CK7</f>
        <v>50.163263405026534</v>
      </c>
      <c r="CU7" s="128">
        <f t="shared" ref="CU7:CU36" si="27">W7+BE7+CC7+CL7</f>
        <v>50.188842379770747</v>
      </c>
      <c r="CV7" s="128">
        <f t="shared" ref="CV7:CV36" si="28">X7+BK7+CD7+CM7</f>
        <v>50.222588613847904</v>
      </c>
      <c r="CW7" s="128">
        <f t="shared" ref="CW7:CW36" si="29">Y7+BQ7+CE7+CN7</f>
        <v>50.274402212715884</v>
      </c>
      <c r="CX7" s="128">
        <f t="shared" ref="CX7:CX36" si="30">Z7+BW7+CF7+CO7</f>
        <v>50.343273887705216</v>
      </c>
      <c r="CZ7" s="39"/>
      <c r="DA7" s="39"/>
      <c r="DB7" s="39"/>
      <c r="DC7" s="39"/>
      <c r="DD7" s="39"/>
      <c r="DE7" s="39"/>
    </row>
    <row r="8" spans="2:109">
      <c r="B8" s="7"/>
      <c r="C8" s="7" t="s">
        <v>117</v>
      </c>
      <c r="D8" s="7" t="s">
        <v>119</v>
      </c>
      <c r="E8" s="7" t="s">
        <v>45</v>
      </c>
      <c r="F8" s="7" t="s">
        <v>55</v>
      </c>
      <c r="G8" s="7" t="s">
        <v>150</v>
      </c>
      <c r="H8" s="7" t="s">
        <v>5</v>
      </c>
      <c r="I8" s="7" t="s">
        <v>209</v>
      </c>
      <c r="J8" s="45"/>
      <c r="K8" s="45"/>
      <c r="L8" s="45"/>
      <c r="M8" s="128">
        <v>90</v>
      </c>
      <c r="N8" s="128">
        <v>90</v>
      </c>
      <c r="O8" s="128">
        <v>90</v>
      </c>
      <c r="P8" s="128">
        <v>90</v>
      </c>
      <c r="Q8" s="128">
        <v>90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9.2810206679023945</v>
      </c>
      <c r="W8" s="128">
        <f>INDEX(Direct_Cost_Splits_Network,MATCH($H8,RIN_Asset_Cat_Network,0),MATCH($S$4,Direct_Cost_Type,0))*N8*HLOOKUP(W$5,Escalators!$I$25:$U$30,3,FALSE)</f>
        <v>9.3270628224419774</v>
      </c>
      <c r="X8" s="128">
        <f>INDEX(Direct_Cost_Splits_Network,MATCH($H8,RIN_Asset_Cat_Network,0),MATCH($S$4,Direct_Cost_Type,0))*O8*HLOOKUP(X$5,Escalators!$I$25:$U$30,3,FALSE)</f>
        <v>9.3878060437808664</v>
      </c>
      <c r="Y8" s="128">
        <f>INDEX(Direct_Cost_Splits_Network,MATCH($H8,RIN_Asset_Cat_Network,0),MATCH($S$4,Direct_Cost_Type,0))*P8*HLOOKUP(Y$5,Escalators!$I$25:$U$30,3,FALSE)</f>
        <v>9.4810705217432343</v>
      </c>
      <c r="Z8" s="128">
        <f>INDEX(Direct_Cost_Splits_Network,MATCH($H8,RIN_Asset_Cat_Network,0),MATCH($S$4,Direct_Cost_Type,0))*Q8*HLOOKUP(Z$5,Escalators!$I$25:$U$30,3,FALSE)</f>
        <v>9.6050395367240231</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5"/>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6"/>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7"/>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5.9372762844462796</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13.853644663707986</v>
      </c>
      <c r="AY8" s="128">
        <f t="shared" si="18"/>
        <v>19.790920948154266</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5.9372762844462796</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13.853644663707986</v>
      </c>
      <c r="BE8" s="128">
        <f t="shared" si="19"/>
        <v>19.790920948154266</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5.9372762844462796</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13.853644663707986</v>
      </c>
      <c r="BK8" s="128">
        <f t="shared" si="20"/>
        <v>19.790920948154266</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5.9372762844462796</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13.853644663707986</v>
      </c>
      <c r="BQ8" s="128">
        <f t="shared" si="21"/>
        <v>19.790920948154266</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5.9372762844462796</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13.853644663707986</v>
      </c>
      <c r="BW8" s="128">
        <f t="shared" si="22"/>
        <v>19.790920948154266</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53.017248846710224</v>
      </c>
      <c r="CC8" s="128">
        <f>INDEX(Direct_Cost_Splits_Network,MATCH($H8,RIN_Asset_Cat_Network,0),MATCH($BY$4,Direct_Cost_Type,0))*N8*HLOOKUP(CC$5,Escalators!$I$25:$U$30,6,FALSE)</f>
        <v>53.017248846710224</v>
      </c>
      <c r="CD8" s="128">
        <f>INDEX(Direct_Cost_Splits_Network,MATCH($H8,RIN_Asset_Cat_Network,0),MATCH($BY$4,Direct_Cost_Type,0))*O8*HLOOKUP(CD$5,Escalators!$I$25:$U$30,6,FALSE)</f>
        <v>53.017248846710224</v>
      </c>
      <c r="CE8" s="128">
        <f>INDEX(Direct_Cost_Splits_Network,MATCH($H8,RIN_Asset_Cat_Network,0),MATCH($BY$4,Direct_Cost_Type,0))*P8*HLOOKUP(CE$5,Escalators!$I$25:$U$30,6,FALSE)</f>
        <v>53.017248846710224</v>
      </c>
      <c r="CF8" s="128">
        <f>INDEX(Direct_Cost_Splits_Network,MATCH($H8,RIN_Asset_Cat_Network,0),MATCH($BY$4,Direct_Cost_Type,0))*Q8*HLOOKUP(CF$5,Escalators!$I$25:$U$30,6,FALSE)</f>
        <v>53.017248846710224</v>
      </c>
      <c r="CG8" s="129"/>
      <c r="CH8" s="675">
        <f t="shared" si="8"/>
        <v>0</v>
      </c>
      <c r="CI8" s="675">
        <f t="shared" si="9"/>
        <v>0</v>
      </c>
      <c r="CJ8" s="675">
        <f t="shared" si="9"/>
        <v>0</v>
      </c>
      <c r="CK8" s="675">
        <f t="shared" si="10"/>
        <v>8.2046836662808733</v>
      </c>
      <c r="CL8" s="675">
        <f t="shared" si="11"/>
        <v>8.2046836662808733</v>
      </c>
      <c r="CM8" s="675">
        <f t="shared" si="12"/>
        <v>8.2046836662808733</v>
      </c>
      <c r="CN8" s="675">
        <f t="shared" si="13"/>
        <v>8.2046836662808733</v>
      </c>
      <c r="CO8" s="675">
        <f t="shared" si="14"/>
        <v>8.2046836662808733</v>
      </c>
      <c r="CP8" s="129"/>
      <c r="CQ8" s="128">
        <f t="shared" si="23"/>
        <v>0</v>
      </c>
      <c r="CR8" s="128">
        <f t="shared" si="24"/>
        <v>0</v>
      </c>
      <c r="CS8" s="128">
        <f t="shared" si="25"/>
        <v>0</v>
      </c>
      <c r="CT8" s="128">
        <f t="shared" si="26"/>
        <v>90.293874129047751</v>
      </c>
      <c r="CU8" s="128">
        <f t="shared" si="27"/>
        <v>90.339916283587343</v>
      </c>
      <c r="CV8" s="128">
        <f t="shared" si="28"/>
        <v>90.400659504926224</v>
      </c>
      <c r="CW8" s="128">
        <f t="shared" si="29"/>
        <v>90.493923982888603</v>
      </c>
      <c r="CX8" s="128">
        <f t="shared" si="30"/>
        <v>90.61789299786939</v>
      </c>
      <c r="CZ8" s="39"/>
      <c r="DA8" s="39"/>
      <c r="DB8" s="39"/>
      <c r="DC8" s="39"/>
      <c r="DD8" s="39"/>
      <c r="DE8" s="39"/>
    </row>
    <row r="9" spans="2:109">
      <c r="B9" s="7"/>
      <c r="C9" s="7" t="s">
        <v>118</v>
      </c>
      <c r="D9" s="7" t="s">
        <v>119</v>
      </c>
      <c r="E9" s="7" t="s">
        <v>45</v>
      </c>
      <c r="F9" s="7" t="s">
        <v>55</v>
      </c>
      <c r="G9" s="7" t="s">
        <v>150</v>
      </c>
      <c r="H9" s="7" t="s">
        <v>5</v>
      </c>
      <c r="I9" s="7" t="s">
        <v>209</v>
      </c>
      <c r="J9" s="45"/>
      <c r="K9" s="45"/>
      <c r="L9" s="45"/>
      <c r="M9" s="128">
        <v>50</v>
      </c>
      <c r="N9" s="128">
        <v>50</v>
      </c>
      <c r="O9" s="128">
        <v>50</v>
      </c>
      <c r="P9" s="128">
        <v>50</v>
      </c>
      <c r="Q9" s="128">
        <v>50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5.1561225932791084</v>
      </c>
      <c r="W9" s="128">
        <f>INDEX(Direct_Cost_Splits_Network,MATCH($H9,RIN_Asset_Cat_Network,0),MATCH($S$4,Direct_Cost_Type,0))*N9*HLOOKUP(W$5,Escalators!$I$25:$U$30,3,FALSE)</f>
        <v>5.1817015680233203</v>
      </c>
      <c r="X9" s="128">
        <f>INDEX(Direct_Cost_Splits_Network,MATCH($H9,RIN_Asset_Cat_Network,0),MATCH($S$4,Direct_Cost_Type,0))*O9*HLOOKUP(X$5,Escalators!$I$25:$U$30,3,FALSE)</f>
        <v>5.2154478021004813</v>
      </c>
      <c r="Y9" s="128">
        <f>INDEX(Direct_Cost_Splits_Network,MATCH($H9,RIN_Asset_Cat_Network,0),MATCH($S$4,Direct_Cost_Type,0))*P9*HLOOKUP(Y$5,Escalators!$I$25:$U$30,3,FALSE)</f>
        <v>5.2672614009684633</v>
      </c>
      <c r="Z9" s="128">
        <f>INDEX(Direct_Cost_Splits_Network,MATCH($H9,RIN_Asset_Cat_Network,0),MATCH($S$4,Direct_Cost_Type,0))*Q9*HLOOKUP(Z$5,Escalators!$I$25:$U$30,3,FALSE)</f>
        <v>5.3361330759577905</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5"/>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6"/>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7"/>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3.2984868246923775</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7.696469257615548</v>
      </c>
      <c r="AY9" s="128">
        <f t="shared" si="18"/>
        <v>10.994956082307926</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3.2984868246923775</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7.696469257615548</v>
      </c>
      <c r="BE9" s="128">
        <f t="shared" si="19"/>
        <v>10.994956082307926</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3.2984868246923775</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7.696469257615548</v>
      </c>
      <c r="BK9" s="128">
        <f t="shared" si="20"/>
        <v>10.994956082307926</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3.2984868246923775</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7.696469257615548</v>
      </c>
      <c r="BQ9" s="128">
        <f t="shared" si="21"/>
        <v>10.994956082307926</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3.2984868246923775</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7.696469257615548</v>
      </c>
      <c r="BW9" s="128">
        <f t="shared" si="22"/>
        <v>10.994956082307926</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29.454027137061235</v>
      </c>
      <c r="CC9" s="128">
        <f>INDEX(Direct_Cost_Splits_Network,MATCH($H9,RIN_Asset_Cat_Network,0),MATCH($BY$4,Direct_Cost_Type,0))*N9*HLOOKUP(CC$5,Escalators!$I$25:$U$30,6,FALSE)</f>
        <v>29.454027137061235</v>
      </c>
      <c r="CD9" s="128">
        <f>INDEX(Direct_Cost_Splits_Network,MATCH($H9,RIN_Asset_Cat_Network,0),MATCH($BY$4,Direct_Cost_Type,0))*O9*HLOOKUP(CD$5,Escalators!$I$25:$U$30,6,FALSE)</f>
        <v>29.454027137061235</v>
      </c>
      <c r="CE9" s="128">
        <f>INDEX(Direct_Cost_Splits_Network,MATCH($H9,RIN_Asset_Cat_Network,0),MATCH($BY$4,Direct_Cost_Type,0))*P9*HLOOKUP(CE$5,Escalators!$I$25:$U$30,6,FALSE)</f>
        <v>29.454027137061235</v>
      </c>
      <c r="CF9" s="128">
        <f>INDEX(Direct_Cost_Splits_Network,MATCH($H9,RIN_Asset_Cat_Network,0),MATCH($BY$4,Direct_Cost_Type,0))*Q9*HLOOKUP(CF$5,Escalators!$I$25:$U$30,6,FALSE)</f>
        <v>29.454027137061235</v>
      </c>
      <c r="CG9" s="129"/>
      <c r="CH9" s="675">
        <f t="shared" si="8"/>
        <v>0</v>
      </c>
      <c r="CI9" s="675">
        <f t="shared" si="9"/>
        <v>0</v>
      </c>
      <c r="CJ9" s="675">
        <f t="shared" si="9"/>
        <v>0</v>
      </c>
      <c r="CK9" s="675">
        <f t="shared" si="10"/>
        <v>4.5581575923782633</v>
      </c>
      <c r="CL9" s="675">
        <f t="shared" si="11"/>
        <v>4.5581575923782633</v>
      </c>
      <c r="CM9" s="675">
        <f t="shared" si="12"/>
        <v>4.5581575923782633</v>
      </c>
      <c r="CN9" s="675">
        <f t="shared" si="13"/>
        <v>4.5581575923782633</v>
      </c>
      <c r="CO9" s="675">
        <f t="shared" si="14"/>
        <v>4.5581575923782633</v>
      </c>
      <c r="CP9" s="129"/>
      <c r="CQ9" s="128">
        <f t="shared" si="23"/>
        <v>0</v>
      </c>
      <c r="CR9" s="128">
        <f t="shared" si="24"/>
        <v>0</v>
      </c>
      <c r="CS9" s="128">
        <f t="shared" si="25"/>
        <v>0</v>
      </c>
      <c r="CT9" s="128">
        <f t="shared" si="26"/>
        <v>50.163263405026534</v>
      </c>
      <c r="CU9" s="128">
        <f t="shared" si="27"/>
        <v>50.188842379770747</v>
      </c>
      <c r="CV9" s="128">
        <f t="shared" si="28"/>
        <v>50.222588613847904</v>
      </c>
      <c r="CW9" s="128">
        <f t="shared" si="29"/>
        <v>50.274402212715884</v>
      </c>
      <c r="CX9" s="128">
        <f t="shared" si="30"/>
        <v>50.343273887705216</v>
      </c>
      <c r="CZ9" s="39"/>
      <c r="DA9" s="39"/>
      <c r="DB9" s="39"/>
      <c r="DC9" s="39"/>
      <c r="DD9" s="39"/>
      <c r="DE9" s="39"/>
    </row>
    <row r="10" spans="2:109">
      <c r="B10" s="7"/>
      <c r="C10" s="7"/>
      <c r="D10" s="7"/>
      <c r="E10" s="7" t="s">
        <v>45</v>
      </c>
      <c r="F10" s="7" t="s">
        <v>55</v>
      </c>
      <c r="G10" s="7" t="s">
        <v>150</v>
      </c>
      <c r="H10" s="7" t="s">
        <v>5</v>
      </c>
      <c r="I10" s="7" t="s">
        <v>209</v>
      </c>
      <c r="J10" s="45"/>
      <c r="K10" s="45"/>
      <c r="L10" s="45"/>
      <c r="M10" s="45"/>
      <c r="N10" s="45"/>
      <c r="O10" s="45"/>
      <c r="P10" s="45"/>
      <c r="Q10" s="45"/>
      <c r="S10" s="47">
        <f>INDEX(Direct_Cost_Splits_Network,MATCH($H10,RIN_Asset_Cat_Network,0),MATCH($S$4,Direct_Cost_Type,0))*J10*HLOOKUP(S$5,Escalators!$I$25:$U$30,3,FALSE)</f>
        <v>0</v>
      </c>
      <c r="T10" s="47">
        <f>INDEX(Direct_Cost_Splits_Network,MATCH($H10,RIN_Asset_Cat_Network,0),MATCH($S$4,Direct_Cost_Type,0))*K10*HLOOKUP(T$5,Escalators!$I$25:$U$30,3,FALSE)</f>
        <v>0</v>
      </c>
      <c r="U10" s="47">
        <f>INDEX(Direct_Cost_Splits_Network,MATCH($H10,RIN_Asset_Cat_Network,0),MATCH($S$4,Direct_Cost_Type,0))*L10*HLOOKUP(U$5,Escalators!$I$25:$U$30,3,FALSE)</f>
        <v>0</v>
      </c>
      <c r="V10" s="47">
        <f>INDEX(Direct_Cost_Splits_Network,MATCH($H10,RIN_Asset_Cat_Network,0),MATCH($S$4,Direct_Cost_Type,0))*M10*HLOOKUP(V$5,Escalators!$I$25:$U$30,3,FALSE)</f>
        <v>0</v>
      </c>
      <c r="W10" s="47">
        <f>INDEX(Direct_Cost_Splits_Network,MATCH($H10,RIN_Asset_Cat_Network,0),MATCH($S$4,Direct_Cost_Type,0))*N10*HLOOKUP(W$5,Escalators!$I$25:$U$30,3,FALSE)</f>
        <v>0</v>
      </c>
      <c r="X10" s="47">
        <f>INDEX(Direct_Cost_Splits_Network,MATCH($H10,RIN_Asset_Cat_Network,0),MATCH($S$4,Direct_Cost_Type,0))*O10*HLOOKUP(X$5,Escalators!$I$25:$U$30,3,FALSE)</f>
        <v>0</v>
      </c>
      <c r="Y10" s="47">
        <f>INDEX(Direct_Cost_Splits_Network,MATCH($H10,RIN_Asset_Cat_Network,0),MATCH($S$4,Direct_Cost_Type,0))*P10*HLOOKUP(Y$5,Escalators!$I$25:$U$30,3,FALSE)</f>
        <v>0</v>
      </c>
      <c r="Z10" s="47">
        <f>INDEX(Direct_Cost_Splits_Network,MATCH($H10,RIN_Asset_Cat_Network,0),MATCH($S$4,Direct_Cost_Type,0))*Q10*HLOOKUP(Z$5,Escalators!$I$25:$U$30,3,FALSE)</f>
        <v>0</v>
      </c>
      <c r="AB10" s="47">
        <f>INDEX(Direct_Cost_Splits_Network,MATCH($H10,RIN_Asset_Cat_Network,0),MATCH($AG$4,Direct_Cost_Type,0))*$J10*INDEX(Act_Type_Repex_Splits,MATCH($I10,Act_Type_Repex,0),MATCH(AB$4,Mat_Type,0))*INDEX(Escalators!$I$44:$Q$49,MATCH(AB$4,Escalators!$C$44:$C$49,0),MATCH(AB$5,Escalators!$I$43:$Q$43,0))</f>
        <v>0</v>
      </c>
      <c r="AC10" s="47">
        <f>INDEX(Direct_Cost_Splits_Network,MATCH($H10,RIN_Asset_Cat_Network,0),MATCH($AG$4,Direct_Cost_Type,0))*$J10*INDEX(Act_Type_Repex_Splits,MATCH($I10,Act_Type_Repex,0),MATCH(AC$4,Mat_Type,0))*INDEX(Escalators!$I$44:$Q$49,MATCH(AC$4,Escalators!$C$44:$C$49,0),MATCH(AC$5,Escalators!$I$43:$Q$43,0))</f>
        <v>0</v>
      </c>
      <c r="AD10" s="47">
        <f>INDEX(Direct_Cost_Splits_Network,MATCH($H10,RIN_Asset_Cat_Network,0),MATCH($AG$4,Direct_Cost_Type,0))*$J10*INDEX(Act_Type_Repex_Splits,MATCH($I10,Act_Type_Repex,0),MATCH(AD$4,Mat_Type,0))*INDEX(Escalators!$I$44:$Q$49,MATCH(AD$4,Escalators!$C$44:$C$49,0),MATCH(AD$5,Escalators!$I$43:$Q$43,0))</f>
        <v>0</v>
      </c>
      <c r="AE10" s="47">
        <f>INDEX(Direct_Cost_Splits_Network,MATCH($H10,RIN_Asset_Cat_Network,0),MATCH($AG$4,Direct_Cost_Type,0))*$J10*INDEX(Act_Type_Repex_Splits,MATCH($I10,Act_Type_Repex,0),MATCH(AE$4,Mat_Type,0))*INDEX(Escalators!$I$44:$Q$49,MATCH(AE$4,Escalators!$C$44:$C$49,0),MATCH(AE$5,Escalators!$I$43:$Q$43,0))</f>
        <v>0</v>
      </c>
      <c r="AF10" s="47">
        <f>INDEX(Direct_Cost_Splits_Network,MATCH($H10,RIN_Asset_Cat_Network,0),MATCH($AG$4,Direct_Cost_Type,0))*$J10*INDEX(Act_Type_Repex_Splits,MATCH($I10,Act_Type_Repex,0),MATCH(AF$4,Mat_Type,0))*INDEX(Escalators!$I$44:$Q$49,MATCH(AF$4,Escalators!$C$44:$C$49,0),MATCH(AF$5,Escalators!$I$43:$Q$43,0))</f>
        <v>0</v>
      </c>
      <c r="AG10" s="47">
        <f t="shared" si="15"/>
        <v>0</v>
      </c>
      <c r="AH10" s="47">
        <f>INDEX(Direct_Cost_Splits_Network,MATCH($H10,RIN_Asset_Cat_Network,0),MATCH($AY$4,Direct_Cost_Type,0))*$K10*INDEX(Act_Type_Repex_Splits,MATCH($I10,Act_Type_Repex,0),MATCH(AH$4,Mat_Type,0))*INDEX(Escalators!$I$44:$U$49,MATCH(AH$4,Escalators!$C$44:$C$49,0),MATCH(AH$5,Escalators!$I$43:$U$43,0))</f>
        <v>0</v>
      </c>
      <c r="AI10" s="47">
        <f>INDEX(Direct_Cost_Splits_Network,MATCH($H10,RIN_Asset_Cat_Network,0),MATCH($AY$4,Direct_Cost_Type,0))*$K10*INDEX(Act_Type_Repex_Splits,MATCH($I10,Act_Type_Repex,0),MATCH(AI$4,Mat_Type,0))*INDEX(Escalators!$I$44:$U$49,MATCH(AI$4,Escalators!$C$44:$C$49,0),MATCH(AI$5,Escalators!$I$43:$U$43,0))</f>
        <v>0</v>
      </c>
      <c r="AJ10" s="47">
        <f>INDEX(Direct_Cost_Splits_Network,MATCH($H10,RIN_Asset_Cat_Network,0),MATCH($AY$4,Direct_Cost_Type,0))*$K10*INDEX(Act_Type_Repex_Splits,MATCH($I10,Act_Type_Repex,0),MATCH(AJ$4,Mat_Type,0))*INDEX(Escalators!$I$44:$U$49,MATCH(AJ$4,Escalators!$C$44:$C$49,0),MATCH(AJ$5,Escalators!$I$43:$U$43,0))</f>
        <v>0</v>
      </c>
      <c r="AK10" s="47">
        <f>INDEX(Direct_Cost_Splits_Network,MATCH($H10,RIN_Asset_Cat_Network,0),MATCH($AY$4,Direct_Cost_Type,0))*$K10*INDEX(Act_Type_Repex_Splits,MATCH($I10,Act_Type_Repex,0),MATCH(AK$4,Mat_Type,0))*INDEX(Escalators!$I$44:$U$49,MATCH(AK$4,Escalators!$C$44:$C$49,0),MATCH(AK$5,Escalators!$I$43:$U$43,0))</f>
        <v>0</v>
      </c>
      <c r="AL10" s="47">
        <f>INDEX(Direct_Cost_Splits_Network,MATCH($H10,RIN_Asset_Cat_Network,0),MATCH($AY$4,Direct_Cost_Type,0))*$K10*INDEX(Act_Type_Repex_Splits,MATCH($I10,Act_Type_Repex,0),MATCH(AL$4,Mat_Type,0))*INDEX(Escalators!$I$44:$U$49,MATCH(AL$4,Escalators!$C$44:$C$49,0),MATCH(AL$5,Escalators!$I$43:$U$43,0))</f>
        <v>0</v>
      </c>
      <c r="AM10" s="47">
        <f t="shared" si="16"/>
        <v>0</v>
      </c>
      <c r="AN10" s="47">
        <f>INDEX(Direct_Cost_Splits_Network,MATCH($H10,RIN_Asset_Cat_Network,0),MATCH($AY$4,Direct_Cost_Type,0))*$L10*INDEX(Act_Type_Repex_Splits,MATCH($I10,Act_Type_Repex,0),MATCH(AN$4,Mat_Type,0))*INDEX(Escalators!$I$44:$U$49,MATCH(AN$4,Escalators!$C$44:$C$49,0),MATCH(AN$5,Escalators!$I$43:$U$43,0))</f>
        <v>0</v>
      </c>
      <c r="AO10" s="47">
        <f>INDEX(Direct_Cost_Splits_Network,MATCH($H10,RIN_Asset_Cat_Network,0),MATCH($AY$4,Direct_Cost_Type,0))*$L10*INDEX(Act_Type_Repex_Splits,MATCH($I10,Act_Type_Repex,0),MATCH(AO$4,Mat_Type,0))*INDEX(Escalators!$I$44:$U$49,MATCH(AO$4,Escalators!$C$44:$C$49,0),MATCH(AO$5,Escalators!$I$43:$U$43,0))</f>
        <v>0</v>
      </c>
      <c r="AP10" s="47">
        <f>INDEX(Direct_Cost_Splits_Network,MATCH($H10,RIN_Asset_Cat_Network,0),MATCH($AY$4,Direct_Cost_Type,0))*$L10*INDEX(Act_Type_Repex_Splits,MATCH($I10,Act_Type_Repex,0),MATCH(AP$4,Mat_Type,0))*INDEX(Escalators!$I$44:$U$49,MATCH(AP$4,Escalators!$C$44:$C$49,0),MATCH(AP$5,Escalators!$I$43:$U$43,0))</f>
        <v>0</v>
      </c>
      <c r="AQ10" s="47">
        <f>INDEX(Direct_Cost_Splits_Network,MATCH($H10,RIN_Asset_Cat_Network,0),MATCH($AY$4,Direct_Cost_Type,0))*$L10*INDEX(Act_Type_Repex_Splits,MATCH($I10,Act_Type_Repex,0),MATCH(AQ$4,Mat_Type,0))*INDEX(Escalators!$I$44:$U$49,MATCH(AQ$4,Escalators!$C$44:$C$49,0),MATCH(AQ$5,Escalators!$I$43:$U$43,0))</f>
        <v>0</v>
      </c>
      <c r="AR10" s="47">
        <f>INDEX(Direct_Cost_Splits_Network,MATCH($H10,RIN_Asset_Cat_Network,0),MATCH($AY$4,Direct_Cost_Type,0))*$L10*INDEX(Act_Type_Repex_Splits,MATCH($I10,Act_Type_Repex,0),MATCH(AR$4,Mat_Type,0))*INDEX(Escalators!$I$44:$U$49,MATCH(AR$4,Escalators!$C$44:$C$49,0),MATCH(AR$5,Escalators!$I$43:$U$43,0))</f>
        <v>0</v>
      </c>
      <c r="AS10" s="47">
        <f t="shared" si="17"/>
        <v>0</v>
      </c>
      <c r="AT10" s="47">
        <f>INDEX(Direct_Cost_Splits_Network,MATCH($H10,RIN_Asset_Cat_Network,0),MATCH($AY$4,Direct_Cost_Type,0))*$M10*INDEX(Act_Type_Repex_Splits,MATCH($I10,Act_Type_Repex,0),MATCH(AT$4,Mat_Type,0))*INDEX(Escalators!$I$44:$U$49,MATCH(AT$4,Escalators!$C$44:$C$49,0),MATCH(AT$5,Escalators!$I$43:$U$43,0))</f>
        <v>0</v>
      </c>
      <c r="AU10" s="47">
        <f>INDEX(Direct_Cost_Splits_Network,MATCH($H10,RIN_Asset_Cat_Network,0),MATCH($AY$4,Direct_Cost_Type,0))*$M10*INDEX(Act_Type_Repex_Splits,MATCH($I10,Act_Type_Repex,0),MATCH(AU$4,Mat_Type,0))*INDEX(Escalators!$I$44:$U$49,MATCH(AU$4,Escalators!$C$44:$C$49,0),MATCH(AU$5,Escalators!$I$43:$U$43,0))</f>
        <v>0</v>
      </c>
      <c r="AV10" s="47">
        <f>INDEX(Direct_Cost_Splits_Network,MATCH($H10,RIN_Asset_Cat_Network,0),MATCH($AY$4,Direct_Cost_Type,0))*$M10*INDEX(Act_Type_Repex_Splits,MATCH($I10,Act_Type_Repex,0),MATCH(AV$4,Mat_Type,0))*INDEX(Escalators!$I$44:$U$49,MATCH(AV$4,Escalators!$C$44:$C$49,0),MATCH(AV$5,Escalators!$I$43:$U$43,0))</f>
        <v>0</v>
      </c>
      <c r="AW10" s="47">
        <f>INDEX(Direct_Cost_Splits_Network,MATCH($H10,RIN_Asset_Cat_Network,0),MATCH($AY$4,Direct_Cost_Type,0))*$M10*INDEX(Act_Type_Repex_Splits,MATCH($I10,Act_Type_Repex,0),MATCH(AW$4,Mat_Type,0))*INDEX(Escalators!$I$44:$U$49,MATCH(AW$4,Escalators!$C$44:$C$49,0),MATCH(AW$5,Escalators!$I$43:$U$43,0))</f>
        <v>0</v>
      </c>
      <c r="AX10" s="47">
        <f>INDEX(Direct_Cost_Splits_Network,MATCH($H10,RIN_Asset_Cat_Network,0),MATCH($AY$4,Direct_Cost_Type,0))*$M10*INDEX(Act_Type_Repex_Splits,MATCH($I10,Act_Type_Repex,0),MATCH(AX$4,Mat_Type,0))*INDEX(Escalators!$I$44:$U$49,MATCH(AX$4,Escalators!$C$44:$C$49,0),MATCH(AX$5,Escalators!$I$43:$U$43,0))</f>
        <v>0</v>
      </c>
      <c r="AY10" s="47">
        <f t="shared" si="18"/>
        <v>0</v>
      </c>
      <c r="AZ10" s="47">
        <f>INDEX(Direct_Cost_Splits_Network,MATCH($H10,RIN_Asset_Cat_Network,0),MATCH($BE$4,Direct_Cost_Type,0))*$N10*INDEX(Act_Type_Repex_Splits,MATCH($I10,Act_Type_Repex,0),MATCH(AZ$4,Mat_Type,0))*INDEX(Escalators!$I$44:$U$49,MATCH(AZ$4,Escalators!$C$44:$C$49,0),MATCH(AZ$5,Escalators!$I$43:$U$43,0))</f>
        <v>0</v>
      </c>
      <c r="BA10" s="47">
        <f>INDEX(Direct_Cost_Splits_Network,MATCH($H10,RIN_Asset_Cat_Network,0),MATCH($BE$4,Direct_Cost_Type,0))*$N10*INDEX(Act_Type_Repex_Splits,MATCH($I10,Act_Type_Repex,0),MATCH(BA$4,Mat_Type,0))*INDEX(Escalators!$I$44:$U$49,MATCH(BA$4,Escalators!$C$44:$C$49,0),MATCH(BA$5,Escalators!$I$43:$U$43,0))</f>
        <v>0</v>
      </c>
      <c r="BB10" s="47">
        <f>INDEX(Direct_Cost_Splits_Network,MATCH($H10,RIN_Asset_Cat_Network,0),MATCH($BE$4,Direct_Cost_Type,0))*$N10*INDEX(Act_Type_Repex_Splits,MATCH($I10,Act_Type_Repex,0),MATCH(BB$4,Mat_Type,0))*INDEX(Escalators!$I$44:$U$49,MATCH(BB$4,Escalators!$C$44:$C$49,0),MATCH(BB$5,Escalators!$I$43:$U$43,0))</f>
        <v>0</v>
      </c>
      <c r="BC10" s="47">
        <f>INDEX(Direct_Cost_Splits_Network,MATCH($H10,RIN_Asset_Cat_Network,0),MATCH($BE$4,Direct_Cost_Type,0))*$N10*INDEX(Act_Type_Repex_Splits,MATCH($I10,Act_Type_Repex,0),MATCH(BC$4,Mat_Type,0))*INDEX(Escalators!$I$44:$U$49,MATCH(BC$4,Escalators!$C$44:$C$49,0),MATCH(BC$5,Escalators!$I$43:$U$43,0))</f>
        <v>0</v>
      </c>
      <c r="BD10" s="47">
        <f>INDEX(Direct_Cost_Splits_Network,MATCH($H10,RIN_Asset_Cat_Network,0),MATCH($BE$4,Direct_Cost_Type,0))*$N10*INDEX(Act_Type_Repex_Splits,MATCH($I10,Act_Type_Repex,0),MATCH(BD$4,Mat_Type,0))*INDEX(Escalators!$I$44:$U$49,MATCH(BD$4,Escalators!$C$44:$C$49,0),MATCH(BD$5,Escalators!$I$43:$U$43,0))</f>
        <v>0</v>
      </c>
      <c r="BE10" s="47">
        <f t="shared" si="19"/>
        <v>0</v>
      </c>
      <c r="BF10" s="47">
        <f>INDEX(Direct_Cost_Splits_Network,MATCH($H10,RIN_Asset_Cat_Network,0),MATCH($BK$4,Direct_Cost_Type,0))*$O10*INDEX(Act_Type_Repex_Splits,MATCH($I10,Act_Type_Repex,0),MATCH(BF$4,Mat_Type,0))*INDEX(Escalators!$I$44:$U$49,MATCH(BF$4,Escalators!$C$44:$C$49,0),MATCH(BF$5,Escalators!$I$43:$U$43,0))</f>
        <v>0</v>
      </c>
      <c r="BG10" s="47">
        <f>INDEX(Direct_Cost_Splits_Network,MATCH($H10,RIN_Asset_Cat_Network,0),MATCH($BK$4,Direct_Cost_Type,0))*$O10*INDEX(Act_Type_Repex_Splits,MATCH($I10,Act_Type_Repex,0),MATCH(BG$4,Mat_Type,0))*INDEX(Escalators!$I$44:$U$49,MATCH(BG$4,Escalators!$C$44:$C$49,0),MATCH(BG$5,Escalators!$I$43:$U$43,0))</f>
        <v>0</v>
      </c>
      <c r="BH10" s="47">
        <f>INDEX(Direct_Cost_Splits_Network,MATCH($H10,RIN_Asset_Cat_Network,0),MATCH($BK$4,Direct_Cost_Type,0))*$O10*INDEX(Act_Type_Repex_Splits,MATCH($I10,Act_Type_Repex,0),MATCH(BH$4,Mat_Type,0))*INDEX(Escalators!$I$44:$U$49,MATCH(BH$4,Escalators!$C$44:$C$49,0),MATCH(BH$5,Escalators!$I$43:$U$43,0))</f>
        <v>0</v>
      </c>
      <c r="BI10" s="47">
        <f>INDEX(Direct_Cost_Splits_Network,MATCH($H10,RIN_Asset_Cat_Network,0),MATCH($BK$4,Direct_Cost_Type,0))*$O10*INDEX(Act_Type_Repex_Splits,MATCH($I10,Act_Type_Repex,0),MATCH(BI$4,Mat_Type,0))*INDEX(Escalators!$I$44:$U$49,MATCH(BI$4,Escalators!$C$44:$C$49,0),MATCH(BI$5,Escalators!$I$43:$U$43,0))</f>
        <v>0</v>
      </c>
      <c r="BJ10" s="47">
        <f>INDEX(Direct_Cost_Splits_Network,MATCH($H10,RIN_Asset_Cat_Network,0),MATCH($BK$4,Direct_Cost_Type,0))*$O10*INDEX(Act_Type_Repex_Splits,MATCH($I10,Act_Type_Repex,0),MATCH(BJ$4,Mat_Type,0))*INDEX(Escalators!$I$44:$U$49,MATCH(BJ$4,Escalators!$C$44:$C$49,0),MATCH(BJ$5,Escalators!$I$43:$U$43,0))</f>
        <v>0</v>
      </c>
      <c r="BK10" s="47">
        <f t="shared" si="20"/>
        <v>0</v>
      </c>
      <c r="BL10" s="47">
        <f>INDEX(Direct_Cost_Splits_Network,MATCH($H10,RIN_Asset_Cat_Network,0),MATCH($BQ$4,Direct_Cost_Type,0))*$P10*INDEX(Act_Type_Repex_Splits,MATCH($I10,Act_Type_Repex,0),MATCH(BL$4,Mat_Type,0))*INDEX(Escalators!$I$44:$U$49,MATCH(BL$4,Escalators!$C$44:$C$49,0),MATCH(BL$5,Escalators!$I$43:$U$43,0))</f>
        <v>0</v>
      </c>
      <c r="BM10" s="47">
        <f>INDEX(Direct_Cost_Splits_Network,MATCH($H10,RIN_Asset_Cat_Network,0),MATCH($BQ$4,Direct_Cost_Type,0))*$P10*INDEX(Act_Type_Repex_Splits,MATCH($I10,Act_Type_Repex,0),MATCH(BM$4,Mat_Type,0))*INDEX(Escalators!$I$44:$U$49,MATCH(BM$4,Escalators!$C$44:$C$49,0),MATCH(BM$5,Escalators!$I$43:$U$43,0))</f>
        <v>0</v>
      </c>
      <c r="BN10" s="47">
        <f>INDEX(Direct_Cost_Splits_Network,MATCH($H10,RIN_Asset_Cat_Network,0),MATCH($BQ$4,Direct_Cost_Type,0))*$P10*INDEX(Act_Type_Repex_Splits,MATCH($I10,Act_Type_Repex,0),MATCH(BN$4,Mat_Type,0))*INDEX(Escalators!$I$44:$U$49,MATCH(BN$4,Escalators!$C$44:$C$49,0),MATCH(BN$5,Escalators!$I$43:$U$43,0))</f>
        <v>0</v>
      </c>
      <c r="BO10" s="47">
        <f>INDEX(Direct_Cost_Splits_Network,MATCH($H10,RIN_Asset_Cat_Network,0),MATCH($BQ$4,Direct_Cost_Type,0))*$P10*INDEX(Act_Type_Repex_Splits,MATCH($I10,Act_Type_Repex,0),MATCH(BO$4,Mat_Type,0))*INDEX(Escalators!$I$44:$U$49,MATCH(BO$4,Escalators!$C$44:$C$49,0),MATCH(BO$5,Escalators!$I$43:$U$43,0))</f>
        <v>0</v>
      </c>
      <c r="BP10" s="47">
        <f>INDEX(Direct_Cost_Splits_Network,MATCH($H10,RIN_Asset_Cat_Network,0),MATCH($BQ$4,Direct_Cost_Type,0))*$P10*INDEX(Act_Type_Repex_Splits,MATCH($I10,Act_Type_Repex,0),MATCH(BP$4,Mat_Type,0))*INDEX(Escalators!$I$44:$U$49,MATCH(BP$4,Escalators!$C$44:$C$49,0),MATCH(BP$5,Escalators!$I$43:$U$43,0))</f>
        <v>0</v>
      </c>
      <c r="BQ10" s="47">
        <f t="shared" si="21"/>
        <v>0</v>
      </c>
      <c r="BR10" s="47">
        <f>INDEX(Direct_Cost_Splits_Network,MATCH($H10,RIN_Asset_Cat_Network,0),MATCH($BW$4,Direct_Cost_Type,0))*$Q10*INDEX(Act_Type_Repex_Splits,MATCH($I10,Act_Type_Repex,0),MATCH(BR$4,Mat_Type,0))*INDEX(Escalators!$I$44:$U$49,MATCH(BR$4,Escalators!$C$44:$C$49,0),MATCH(BR$5,Escalators!$I$43:$U$43,0))</f>
        <v>0</v>
      </c>
      <c r="BS10" s="47">
        <f>INDEX(Direct_Cost_Splits_Network,MATCH($H10,RIN_Asset_Cat_Network,0),MATCH($BW$4,Direct_Cost_Type,0))*$Q10*INDEX(Act_Type_Repex_Splits,MATCH($I10,Act_Type_Repex,0),MATCH(BS$4,Mat_Type,0))*INDEX(Escalators!$I$44:$U$49,MATCH(BS$4,Escalators!$C$44:$C$49,0),MATCH(BS$5,Escalators!$I$43:$U$43,0))</f>
        <v>0</v>
      </c>
      <c r="BT10" s="47">
        <f>INDEX(Direct_Cost_Splits_Network,MATCH($H10,RIN_Asset_Cat_Network,0),MATCH($BW$4,Direct_Cost_Type,0))*$Q10*INDEX(Act_Type_Repex_Splits,MATCH($I10,Act_Type_Repex,0),MATCH(BT$4,Mat_Type,0))*INDEX(Escalators!$I$44:$U$49,MATCH(BT$4,Escalators!$C$44:$C$49,0),MATCH(BT$5,Escalators!$I$43:$U$43,0))</f>
        <v>0</v>
      </c>
      <c r="BU10" s="47">
        <f>INDEX(Direct_Cost_Splits_Network,MATCH($H10,RIN_Asset_Cat_Network,0),MATCH($BW$4,Direct_Cost_Type,0))*$Q10*INDEX(Act_Type_Repex_Splits,MATCH($I10,Act_Type_Repex,0),MATCH(BU$4,Mat_Type,0))*INDEX(Escalators!$I$44:$U$49,MATCH(BU$4,Escalators!$C$44:$C$49,0),MATCH(BU$5,Escalators!$I$43:$U$43,0))</f>
        <v>0</v>
      </c>
      <c r="BV10" s="47">
        <f>INDEX(Direct_Cost_Splits_Network,MATCH($H10,RIN_Asset_Cat_Network,0),MATCH($BW$4,Direct_Cost_Type,0))*$Q10*INDEX(Act_Type_Repex_Splits,MATCH($I10,Act_Type_Repex,0),MATCH(BV$4,Mat_Type,0))*INDEX(Escalators!$I$44:$U$49,MATCH(BV$4,Escalators!$C$44:$C$49,0),MATCH(BV$5,Escalators!$I$43:$U$43,0))</f>
        <v>0</v>
      </c>
      <c r="BW10" s="47">
        <f t="shared" si="22"/>
        <v>0</v>
      </c>
      <c r="BY10" s="47">
        <f>INDEX(Direct_Cost_Splits_Network,MATCH($H10,RIN_Asset_Cat_Network,0),MATCH($BY$4,Direct_Cost_Type,0))*J10*HLOOKUP(BY$5,Escalators!$I$25:$U$30,6,FALSE)</f>
        <v>0</v>
      </c>
      <c r="BZ10" s="47">
        <f>INDEX(Direct_Cost_Splits_Network,MATCH($H10,RIN_Asset_Cat_Network,0),MATCH($BY$4,Direct_Cost_Type,0))*K10*HLOOKUP(BZ$5,Escalators!$I$25:$U$30,6,FALSE)</f>
        <v>0</v>
      </c>
      <c r="CA10" s="47">
        <f>INDEX(Direct_Cost_Splits_Network,MATCH($H10,RIN_Asset_Cat_Network,0),MATCH($BY$4,Direct_Cost_Type,0))*L10*HLOOKUP(CA$5,Escalators!$I$25:$U$30,6,FALSE)</f>
        <v>0</v>
      </c>
      <c r="CB10" s="47">
        <f>INDEX(Direct_Cost_Splits_Network,MATCH($H10,RIN_Asset_Cat_Network,0),MATCH($BY$4,Direct_Cost_Type,0))*M10*HLOOKUP(CB$5,Escalators!$I$25:$U$30,6,FALSE)</f>
        <v>0</v>
      </c>
      <c r="CC10" s="47">
        <f>INDEX(Direct_Cost_Splits_Network,MATCH($H10,RIN_Asset_Cat_Network,0),MATCH($BY$4,Direct_Cost_Type,0))*N10*HLOOKUP(CC$5,Escalators!$I$25:$U$30,6,FALSE)</f>
        <v>0</v>
      </c>
      <c r="CD10" s="47">
        <f>INDEX(Direct_Cost_Splits_Network,MATCH($H10,RIN_Asset_Cat_Network,0),MATCH($BY$4,Direct_Cost_Type,0))*O10*HLOOKUP(CD$5,Escalators!$I$25:$U$30,6,FALSE)</f>
        <v>0</v>
      </c>
      <c r="CE10" s="47">
        <f>INDEX(Direct_Cost_Splits_Network,MATCH($H10,RIN_Asset_Cat_Network,0),MATCH($BY$4,Direct_Cost_Type,0))*P10*HLOOKUP(CE$5,Escalators!$I$25:$U$30,6,FALSE)</f>
        <v>0</v>
      </c>
      <c r="CF10" s="47">
        <f>INDEX(Direct_Cost_Splits_Network,MATCH($H10,RIN_Asset_Cat_Network,0),MATCH($BY$4,Direct_Cost_Type,0))*Q10*HLOOKUP(CF$5,Escalators!$I$25:$U$30,6,FALSE)</f>
        <v>0</v>
      </c>
      <c r="CH10" s="82">
        <f t="shared" si="8"/>
        <v>0</v>
      </c>
      <c r="CI10" s="82">
        <f t="shared" si="9"/>
        <v>0</v>
      </c>
      <c r="CJ10" s="82">
        <f t="shared" si="9"/>
        <v>0</v>
      </c>
      <c r="CK10" s="82">
        <f t="shared" si="10"/>
        <v>0</v>
      </c>
      <c r="CL10" s="82">
        <f t="shared" si="11"/>
        <v>0</v>
      </c>
      <c r="CM10" s="82">
        <f t="shared" si="12"/>
        <v>0</v>
      </c>
      <c r="CN10" s="82">
        <f t="shared" si="13"/>
        <v>0</v>
      </c>
      <c r="CO10" s="82">
        <f t="shared" si="14"/>
        <v>0</v>
      </c>
      <c r="CQ10" s="47">
        <f t="shared" si="23"/>
        <v>0</v>
      </c>
      <c r="CR10" s="47">
        <f t="shared" si="24"/>
        <v>0</v>
      </c>
      <c r="CS10" s="47">
        <f t="shared" si="25"/>
        <v>0</v>
      </c>
      <c r="CT10" s="47">
        <f t="shared" si="26"/>
        <v>0</v>
      </c>
      <c r="CU10" s="47">
        <f t="shared" si="27"/>
        <v>0</v>
      </c>
      <c r="CV10" s="47">
        <f t="shared" si="28"/>
        <v>0</v>
      </c>
      <c r="CW10" s="47">
        <f t="shared" si="29"/>
        <v>0</v>
      </c>
      <c r="CX10" s="47">
        <f t="shared" si="30"/>
        <v>0</v>
      </c>
      <c r="CZ10" s="39"/>
      <c r="DA10" s="39"/>
      <c r="DB10" s="39"/>
      <c r="DC10" s="39"/>
      <c r="DD10" s="39"/>
      <c r="DE10" s="39"/>
    </row>
    <row r="11" spans="2:109">
      <c r="B11" s="7"/>
      <c r="C11" s="7" t="s">
        <v>102</v>
      </c>
      <c r="D11" s="7" t="s">
        <v>809</v>
      </c>
      <c r="E11" s="7" t="s">
        <v>45</v>
      </c>
      <c r="F11" s="7" t="s">
        <v>52</v>
      </c>
      <c r="G11" s="7" t="s">
        <v>150</v>
      </c>
      <c r="H11" s="7" t="s">
        <v>102</v>
      </c>
      <c r="I11" s="7" t="s">
        <v>190</v>
      </c>
      <c r="J11" s="45"/>
      <c r="K11" s="45"/>
      <c r="L11" s="45"/>
      <c r="M11" s="750">
        <v>-28.648607889475183</v>
      </c>
      <c r="N11" s="750">
        <v>-58.609975929134599</v>
      </c>
      <c r="O11" s="750">
        <v>-39.01985067243421</v>
      </c>
      <c r="P11" s="750">
        <v>-82.070132406033338</v>
      </c>
      <c r="Q11" s="750">
        <v>0</v>
      </c>
      <c r="S11" s="47">
        <f>INDEX(Direct_Cost_Splits_Network,MATCH($H11,RIN_Asset_Cat_Network,0),MATCH($S$4,Direct_Cost_Type,0))*J11*HLOOKUP(S$5,Escalators!$I$25:$U$30,3,FALSE)</f>
        <v>0</v>
      </c>
      <c r="T11" s="47">
        <f>INDEX(Direct_Cost_Splits_Network,MATCH($H11,RIN_Asset_Cat_Network,0),MATCH($S$4,Direct_Cost_Type,0))*K11*HLOOKUP(T$5,Escalators!$I$25:$U$30,3,FALSE)</f>
        <v>0</v>
      </c>
      <c r="U11" s="47">
        <f>INDEX(Direct_Cost_Splits_Network,MATCH($H11,RIN_Asset_Cat_Network,0),MATCH($S$4,Direct_Cost_Type,0))*L11*HLOOKUP(U$5,Escalators!$I$25:$U$30,3,FALSE)</f>
        <v>0</v>
      </c>
      <c r="V11" s="47">
        <f>INDEX(Direct_Cost_Splits_Network,MATCH($H11,RIN_Asset_Cat_Network,0),MATCH($S$4,Direct_Cost_Type,0))*M11*HLOOKUP(V$5,Escalators!$I$25:$U$30,3,FALSE)</f>
        <v>-2.9543146880983424</v>
      </c>
      <c r="W11" s="47">
        <f>INDEX(Direct_Cost_Splits_Network,MATCH($H11,RIN_Asset_Cat_Network,0),MATCH($S$4,Direct_Cost_Type,0))*N11*HLOOKUP(W$5,Escalators!$I$25:$U$30,3,FALSE)</f>
        <v>-6.0739880834761166</v>
      </c>
      <c r="X11" s="47">
        <f>INDEX(Direct_Cost_Splits_Network,MATCH($H11,RIN_Asset_Cat_Network,0),MATCH($S$4,Direct_Cost_Type,0))*O11*HLOOKUP(X$5,Escalators!$I$25:$U$30,3,FALSE)</f>
        <v>-4.0701198885567198</v>
      </c>
      <c r="Y11" s="47">
        <f>INDEX(Direct_Cost_Splits_Network,MATCH($H11,RIN_Asset_Cat_Network,0),MATCH($S$4,Direct_Cost_Type,0))*P11*HLOOKUP(Y$5,Escalators!$I$25:$U$30,3,FALSE)</f>
        <v>-8.6456968118934086</v>
      </c>
      <c r="Z11" s="47">
        <f>INDEX(Direct_Cost_Splits_Network,MATCH($H11,RIN_Asset_Cat_Network,0),MATCH($S$4,Direct_Cost_Type,0))*Q11*HLOOKUP(Z$5,Escalators!$I$25:$U$30,3,FALSE)</f>
        <v>0</v>
      </c>
      <c r="AB11" s="47">
        <f>INDEX(Direct_Cost_Splits_Network,MATCH($H11,RIN_Asset_Cat_Network,0),MATCH($AG$4,Direct_Cost_Type,0))*$J11*INDEX(Act_Type_Repex_Splits,MATCH($I11,Act_Type_Repex,0),MATCH(AB$4,Mat_Type,0))*INDEX(Escalators!$I$44:$Q$49,MATCH(AB$4,Escalators!$C$44:$C$49,0),MATCH(AB$5,Escalators!$I$43:$Q$43,0))</f>
        <v>0</v>
      </c>
      <c r="AC11" s="47">
        <f>INDEX(Direct_Cost_Splits_Network,MATCH($H11,RIN_Asset_Cat_Network,0),MATCH($AG$4,Direct_Cost_Type,0))*$J11*INDEX(Act_Type_Repex_Splits,MATCH($I11,Act_Type_Repex,0),MATCH(AC$4,Mat_Type,0))*INDEX(Escalators!$I$44:$Q$49,MATCH(AC$4,Escalators!$C$44:$C$49,0),MATCH(AC$5,Escalators!$I$43:$Q$43,0))</f>
        <v>0</v>
      </c>
      <c r="AD11" s="47">
        <f>INDEX(Direct_Cost_Splits_Network,MATCH($H11,RIN_Asset_Cat_Network,0),MATCH($AG$4,Direct_Cost_Type,0))*$J11*INDEX(Act_Type_Repex_Splits,MATCH($I11,Act_Type_Repex,0),MATCH(AD$4,Mat_Type,0))*INDEX(Escalators!$I$44:$Q$49,MATCH(AD$4,Escalators!$C$44:$C$49,0),MATCH(AD$5,Escalators!$I$43:$Q$43,0))</f>
        <v>0</v>
      </c>
      <c r="AE11" s="47">
        <f>INDEX(Direct_Cost_Splits_Network,MATCH($H11,RIN_Asset_Cat_Network,0),MATCH($AG$4,Direct_Cost_Type,0))*$J11*INDEX(Act_Type_Repex_Splits,MATCH($I11,Act_Type_Repex,0),MATCH(AE$4,Mat_Type,0))*INDEX(Escalators!$I$44:$Q$49,MATCH(AE$4,Escalators!$C$44:$C$49,0),MATCH(AE$5,Escalators!$I$43:$Q$43,0))</f>
        <v>0</v>
      </c>
      <c r="AF11" s="47">
        <f>INDEX(Direct_Cost_Splits_Network,MATCH($H11,RIN_Asset_Cat_Network,0),MATCH($AG$4,Direct_Cost_Type,0))*$J11*INDEX(Act_Type_Repex_Splits,MATCH($I11,Act_Type_Repex,0),MATCH(AF$4,Mat_Type,0))*INDEX(Escalators!$I$44:$Q$49,MATCH(AF$4,Escalators!$C$44:$C$49,0),MATCH(AF$5,Escalators!$I$43:$Q$43,0))</f>
        <v>0</v>
      </c>
      <c r="AG11" s="47">
        <f t="shared" ref="AG11:AG12" si="31">SUM(AB11:AF11)</f>
        <v>0</v>
      </c>
      <c r="AH11" s="47">
        <f>INDEX(Direct_Cost_Splits_Network,MATCH($H11,RIN_Asset_Cat_Network,0),MATCH($AY$4,Direct_Cost_Type,0))*$K11*INDEX(Act_Type_Repex_Splits,MATCH($I11,Act_Type_Repex,0),MATCH(AH$4,Mat_Type,0))*INDEX(Escalators!$I$44:$U$49,MATCH(AH$4,Escalators!$C$44:$C$49,0),MATCH(AH$5,Escalators!$I$43:$U$43,0))</f>
        <v>0</v>
      </c>
      <c r="AI11" s="47">
        <f>INDEX(Direct_Cost_Splits_Network,MATCH($H11,RIN_Asset_Cat_Network,0),MATCH($AY$4,Direct_Cost_Type,0))*$K11*INDEX(Act_Type_Repex_Splits,MATCH($I11,Act_Type_Repex,0),MATCH(AI$4,Mat_Type,0))*INDEX(Escalators!$I$44:$U$49,MATCH(AI$4,Escalators!$C$44:$C$49,0),MATCH(AI$5,Escalators!$I$43:$U$43,0))</f>
        <v>0</v>
      </c>
      <c r="AJ11" s="47">
        <f>INDEX(Direct_Cost_Splits_Network,MATCH($H11,RIN_Asset_Cat_Network,0),MATCH($AY$4,Direct_Cost_Type,0))*$K11*INDEX(Act_Type_Repex_Splits,MATCH($I11,Act_Type_Repex,0),MATCH(AJ$4,Mat_Type,0))*INDEX(Escalators!$I$44:$U$49,MATCH(AJ$4,Escalators!$C$44:$C$49,0),MATCH(AJ$5,Escalators!$I$43:$U$43,0))</f>
        <v>0</v>
      </c>
      <c r="AK11" s="47">
        <f>INDEX(Direct_Cost_Splits_Network,MATCH($H11,RIN_Asset_Cat_Network,0),MATCH($AY$4,Direct_Cost_Type,0))*$K11*INDEX(Act_Type_Repex_Splits,MATCH($I11,Act_Type_Repex,0),MATCH(AK$4,Mat_Type,0))*INDEX(Escalators!$I$44:$U$49,MATCH(AK$4,Escalators!$C$44:$C$49,0),MATCH(AK$5,Escalators!$I$43:$U$43,0))</f>
        <v>0</v>
      </c>
      <c r="AL11" s="47">
        <f>INDEX(Direct_Cost_Splits_Network,MATCH($H11,RIN_Asset_Cat_Network,0),MATCH($AY$4,Direct_Cost_Type,0))*$K11*INDEX(Act_Type_Repex_Splits,MATCH($I11,Act_Type_Repex,0),MATCH(AL$4,Mat_Type,0))*INDEX(Escalators!$I$44:$U$49,MATCH(AL$4,Escalators!$C$44:$C$49,0),MATCH(AL$5,Escalators!$I$43:$U$43,0))</f>
        <v>0</v>
      </c>
      <c r="AM11" s="47">
        <f t="shared" ref="AM11:AM12" si="32">SUM(AH11:AL11)</f>
        <v>0</v>
      </c>
      <c r="AN11" s="47">
        <f>INDEX(Direct_Cost_Splits_Network,MATCH($H11,RIN_Asset_Cat_Network,0),MATCH($AY$4,Direct_Cost_Type,0))*$L11*INDEX(Act_Type_Repex_Splits,MATCH($I11,Act_Type_Repex,0),MATCH(AN$4,Mat_Type,0))*INDEX(Escalators!$I$44:$U$49,MATCH(AN$4,Escalators!$C$44:$C$49,0),MATCH(AN$5,Escalators!$I$43:$U$43,0))</f>
        <v>0</v>
      </c>
      <c r="AO11" s="47">
        <f>INDEX(Direct_Cost_Splits_Network,MATCH($H11,RIN_Asset_Cat_Network,0),MATCH($AY$4,Direct_Cost_Type,0))*$L11*INDEX(Act_Type_Repex_Splits,MATCH($I11,Act_Type_Repex,0),MATCH(AO$4,Mat_Type,0))*INDEX(Escalators!$I$44:$U$49,MATCH(AO$4,Escalators!$C$44:$C$49,0),MATCH(AO$5,Escalators!$I$43:$U$43,0))</f>
        <v>0</v>
      </c>
      <c r="AP11" s="47">
        <f>INDEX(Direct_Cost_Splits_Network,MATCH($H11,RIN_Asset_Cat_Network,0),MATCH($AY$4,Direct_Cost_Type,0))*$L11*INDEX(Act_Type_Repex_Splits,MATCH($I11,Act_Type_Repex,0),MATCH(AP$4,Mat_Type,0))*INDEX(Escalators!$I$44:$U$49,MATCH(AP$4,Escalators!$C$44:$C$49,0),MATCH(AP$5,Escalators!$I$43:$U$43,0))</f>
        <v>0</v>
      </c>
      <c r="AQ11" s="47">
        <f>INDEX(Direct_Cost_Splits_Network,MATCH($H11,RIN_Asset_Cat_Network,0),MATCH($AY$4,Direct_Cost_Type,0))*$L11*INDEX(Act_Type_Repex_Splits,MATCH($I11,Act_Type_Repex,0),MATCH(AQ$4,Mat_Type,0))*INDEX(Escalators!$I$44:$U$49,MATCH(AQ$4,Escalators!$C$44:$C$49,0),MATCH(AQ$5,Escalators!$I$43:$U$43,0))</f>
        <v>0</v>
      </c>
      <c r="AR11" s="47">
        <f>INDEX(Direct_Cost_Splits_Network,MATCH($H11,RIN_Asset_Cat_Network,0),MATCH($AY$4,Direct_Cost_Type,0))*$L11*INDEX(Act_Type_Repex_Splits,MATCH($I11,Act_Type_Repex,0),MATCH(AR$4,Mat_Type,0))*INDEX(Escalators!$I$44:$U$49,MATCH(AR$4,Escalators!$C$44:$C$49,0),MATCH(AR$5,Escalators!$I$43:$U$43,0))</f>
        <v>0</v>
      </c>
      <c r="AS11" s="47">
        <f t="shared" ref="AS11:AS12" si="33">SUM(AN11:AR11)</f>
        <v>0</v>
      </c>
      <c r="AT11" s="47">
        <f>INDEX(Direct_Cost_Splits_Network,MATCH($H11,RIN_Asset_Cat_Network,0),MATCH($AY$4,Direct_Cost_Type,0))*$M11*INDEX(Act_Type_Repex_Splits,MATCH($I11,Act_Type_Repex,0),MATCH(AT$4,Mat_Type,0))*INDEX(Escalators!$I$44:$U$49,MATCH(AT$4,Escalators!$C$44:$C$49,0),MATCH(AT$5,Escalators!$I$43:$U$43,0))</f>
        <v>0</v>
      </c>
      <c r="AU11" s="47">
        <f>INDEX(Direct_Cost_Splits_Network,MATCH($H11,RIN_Asset_Cat_Network,0),MATCH($AY$4,Direct_Cost_Type,0))*$M11*INDEX(Act_Type_Repex_Splits,MATCH($I11,Act_Type_Repex,0),MATCH(AU$4,Mat_Type,0))*INDEX(Escalators!$I$44:$U$49,MATCH(AU$4,Escalators!$C$44:$C$49,0),MATCH(AU$5,Escalators!$I$43:$U$43,0))</f>
        <v>0</v>
      </c>
      <c r="AV11" s="47">
        <f>INDEX(Direct_Cost_Splits_Network,MATCH($H11,RIN_Asset_Cat_Network,0),MATCH($AY$4,Direct_Cost_Type,0))*$M11*INDEX(Act_Type_Repex_Splits,MATCH($I11,Act_Type_Repex,0),MATCH(AV$4,Mat_Type,0))*INDEX(Escalators!$I$44:$U$49,MATCH(AV$4,Escalators!$C$44:$C$49,0),MATCH(AV$5,Escalators!$I$43:$U$43,0))</f>
        <v>-0.62998037112808014</v>
      </c>
      <c r="AW11" s="47">
        <f>INDEX(Direct_Cost_Splits_Network,MATCH($H11,RIN_Asset_Cat_Network,0),MATCH($AY$4,Direct_Cost_Type,0))*$M11*INDEX(Act_Type_Repex_Splits,MATCH($I11,Act_Type_Repex,0),MATCH(AW$4,Mat_Type,0))*INDEX(Escalators!$I$44:$U$49,MATCH(AW$4,Escalators!$C$44:$C$49,0),MATCH(AW$5,Escalators!$I$43:$U$43,0))</f>
        <v>0</v>
      </c>
      <c r="AX11" s="47">
        <f>INDEX(Direct_Cost_Splits_Network,MATCH($H11,RIN_Asset_Cat_Network,0),MATCH($AY$4,Direct_Cost_Type,0))*$M11*INDEX(Act_Type_Repex_Splits,MATCH($I11,Act_Type_Repex,0),MATCH(AX$4,Mat_Type,0))*INDEX(Escalators!$I$44:$U$49,MATCH(AX$4,Escalators!$C$44:$C$49,0),MATCH(AX$5,Escalators!$I$43:$U$43,0))</f>
        <v>-5.6698233401527212</v>
      </c>
      <c r="AY11" s="47">
        <f t="shared" ref="AY11:AY12" si="34">SUM(AT11:AX11)</f>
        <v>-6.2998037112808012</v>
      </c>
      <c r="AZ11" s="47">
        <f>INDEX(Direct_Cost_Splits_Network,MATCH($H11,RIN_Asset_Cat_Network,0),MATCH($BE$4,Direct_Cost_Type,0))*$N11*INDEX(Act_Type_Repex_Splits,MATCH($I11,Act_Type_Repex,0),MATCH(AZ$4,Mat_Type,0))*INDEX(Escalators!$I$44:$U$49,MATCH(AZ$4,Escalators!$C$44:$C$49,0),MATCH(AZ$5,Escalators!$I$43:$U$43,0))</f>
        <v>0</v>
      </c>
      <c r="BA11" s="47">
        <f>INDEX(Direct_Cost_Splits_Network,MATCH($H11,RIN_Asset_Cat_Network,0),MATCH($BE$4,Direct_Cost_Type,0))*$N11*INDEX(Act_Type_Repex_Splits,MATCH($I11,Act_Type_Repex,0),MATCH(BA$4,Mat_Type,0))*INDEX(Escalators!$I$44:$U$49,MATCH(BA$4,Escalators!$C$44:$C$49,0),MATCH(BA$5,Escalators!$I$43:$U$43,0))</f>
        <v>0</v>
      </c>
      <c r="BB11" s="47">
        <f>INDEX(Direct_Cost_Splits_Network,MATCH($H11,RIN_Asset_Cat_Network,0),MATCH($BE$4,Direct_Cost_Type,0))*$N11*INDEX(Act_Type_Repex_Splits,MATCH($I11,Act_Type_Repex,0),MATCH(BB$4,Mat_Type,0))*INDEX(Escalators!$I$44:$U$49,MATCH(BB$4,Escalators!$C$44:$C$49,0),MATCH(BB$5,Escalators!$I$43:$U$43,0))</f>
        <v>-1.2888282226519194</v>
      </c>
      <c r="BC11" s="47">
        <f>INDEX(Direct_Cost_Splits_Network,MATCH($H11,RIN_Asset_Cat_Network,0),MATCH($BE$4,Direct_Cost_Type,0))*$N11*INDEX(Act_Type_Repex_Splits,MATCH($I11,Act_Type_Repex,0),MATCH(BC$4,Mat_Type,0))*INDEX(Escalators!$I$44:$U$49,MATCH(BC$4,Escalators!$C$44:$C$49,0),MATCH(BC$5,Escalators!$I$43:$U$43,0))</f>
        <v>0</v>
      </c>
      <c r="BD11" s="47">
        <f>INDEX(Direct_Cost_Splits_Network,MATCH($H11,RIN_Asset_Cat_Network,0),MATCH($BE$4,Direct_Cost_Type,0))*$N11*INDEX(Act_Type_Repex_Splits,MATCH($I11,Act_Type_Repex,0),MATCH(BD$4,Mat_Type,0))*INDEX(Escalators!$I$44:$U$49,MATCH(BD$4,Escalators!$C$44:$C$49,0),MATCH(BD$5,Escalators!$I$43:$U$43,0))</f>
        <v>-11.599454003867274</v>
      </c>
      <c r="BE11" s="47">
        <f t="shared" ref="BE11:BE12" si="35">SUM(AZ11:BD11)</f>
        <v>-12.888282226519193</v>
      </c>
      <c r="BF11" s="47">
        <f>INDEX(Direct_Cost_Splits_Network,MATCH($H11,RIN_Asset_Cat_Network,0),MATCH($BK$4,Direct_Cost_Type,0))*$O11*INDEX(Act_Type_Repex_Splits,MATCH($I11,Act_Type_Repex,0),MATCH(BF$4,Mat_Type,0))*INDEX(Escalators!$I$44:$U$49,MATCH(BF$4,Escalators!$C$44:$C$49,0),MATCH(BF$5,Escalators!$I$43:$U$43,0))</f>
        <v>0</v>
      </c>
      <c r="BG11" s="47">
        <f>INDEX(Direct_Cost_Splits_Network,MATCH($H11,RIN_Asset_Cat_Network,0),MATCH($BK$4,Direct_Cost_Type,0))*$O11*INDEX(Act_Type_Repex_Splits,MATCH($I11,Act_Type_Repex,0),MATCH(BG$4,Mat_Type,0))*INDEX(Escalators!$I$44:$U$49,MATCH(BG$4,Escalators!$C$44:$C$49,0),MATCH(BG$5,Escalators!$I$43:$U$43,0))</f>
        <v>0</v>
      </c>
      <c r="BH11" s="47">
        <f>INDEX(Direct_Cost_Splits_Network,MATCH($H11,RIN_Asset_Cat_Network,0),MATCH($BK$4,Direct_Cost_Type,0))*$O11*INDEX(Act_Type_Repex_Splits,MATCH($I11,Act_Type_Repex,0),MATCH(BH$4,Mat_Type,0))*INDEX(Escalators!$I$44:$U$49,MATCH(BH$4,Escalators!$C$44:$C$49,0),MATCH(BH$5,Escalators!$I$43:$U$43,0))</f>
        <v>-0.85804308896325532</v>
      </c>
      <c r="BI11" s="47">
        <f>INDEX(Direct_Cost_Splits_Network,MATCH($H11,RIN_Asset_Cat_Network,0),MATCH($BK$4,Direct_Cost_Type,0))*$O11*INDEX(Act_Type_Repex_Splits,MATCH($I11,Act_Type_Repex,0),MATCH(BI$4,Mat_Type,0))*INDEX(Escalators!$I$44:$U$49,MATCH(BI$4,Escalators!$C$44:$C$49,0),MATCH(BI$5,Escalators!$I$43:$U$43,0))</f>
        <v>0</v>
      </c>
      <c r="BJ11" s="47">
        <f>INDEX(Direct_Cost_Splits_Network,MATCH($H11,RIN_Asset_Cat_Network,0),MATCH($BK$4,Direct_Cost_Type,0))*$O11*INDEX(Act_Type_Repex_Splits,MATCH($I11,Act_Type_Repex,0),MATCH(BJ$4,Mat_Type,0))*INDEX(Escalators!$I$44:$U$49,MATCH(BJ$4,Escalators!$C$44:$C$49,0),MATCH(BJ$5,Escalators!$I$43:$U$43,0))</f>
        <v>-7.7223878006692974</v>
      </c>
      <c r="BK11" s="47">
        <f t="shared" ref="BK11:BK12" si="36">SUM(BF11:BJ11)</f>
        <v>-8.5804308896325523</v>
      </c>
      <c r="BL11" s="47">
        <f>INDEX(Direct_Cost_Splits_Network,MATCH($H11,RIN_Asset_Cat_Network,0),MATCH($BQ$4,Direct_Cost_Type,0))*$P11*INDEX(Act_Type_Repex_Splits,MATCH($I11,Act_Type_Repex,0),MATCH(BL$4,Mat_Type,0))*INDEX(Escalators!$I$44:$U$49,MATCH(BL$4,Escalators!$C$44:$C$49,0),MATCH(BL$5,Escalators!$I$43:$U$43,0))</f>
        <v>0</v>
      </c>
      <c r="BM11" s="47">
        <f>INDEX(Direct_Cost_Splits_Network,MATCH($H11,RIN_Asset_Cat_Network,0),MATCH($BQ$4,Direct_Cost_Type,0))*$P11*INDEX(Act_Type_Repex_Splits,MATCH($I11,Act_Type_Repex,0),MATCH(BM$4,Mat_Type,0))*INDEX(Escalators!$I$44:$U$49,MATCH(BM$4,Escalators!$C$44:$C$49,0),MATCH(BM$5,Escalators!$I$43:$U$43,0))</f>
        <v>0</v>
      </c>
      <c r="BN11" s="47">
        <f>INDEX(Direct_Cost_Splits_Network,MATCH($H11,RIN_Asset_Cat_Network,0),MATCH($BQ$4,Direct_Cost_Type,0))*$P11*INDEX(Act_Type_Repex_Splits,MATCH($I11,Act_Type_Repex,0),MATCH(BN$4,Mat_Type,0))*INDEX(Escalators!$I$44:$U$49,MATCH(BN$4,Escalators!$C$44:$C$49,0),MATCH(BN$5,Escalators!$I$43:$U$43,0))</f>
        <v>-1.8047150029470664</v>
      </c>
      <c r="BO11" s="47">
        <f>INDEX(Direct_Cost_Splits_Network,MATCH($H11,RIN_Asset_Cat_Network,0),MATCH($BQ$4,Direct_Cost_Type,0))*$P11*INDEX(Act_Type_Repex_Splits,MATCH($I11,Act_Type_Repex,0),MATCH(BO$4,Mat_Type,0))*INDEX(Escalators!$I$44:$U$49,MATCH(BO$4,Escalators!$C$44:$C$49,0),MATCH(BO$5,Escalators!$I$43:$U$43,0))</f>
        <v>0</v>
      </c>
      <c r="BP11" s="47">
        <f>INDEX(Direct_Cost_Splits_Network,MATCH($H11,RIN_Asset_Cat_Network,0),MATCH($BQ$4,Direct_Cost_Type,0))*$P11*INDEX(Act_Type_Repex_Splits,MATCH($I11,Act_Type_Repex,0),MATCH(BP$4,Mat_Type,0))*INDEX(Escalators!$I$44:$U$49,MATCH(BP$4,Escalators!$C$44:$C$49,0),MATCH(BP$5,Escalators!$I$43:$U$43,0))</f>
        <v>-16.242435026523598</v>
      </c>
      <c r="BQ11" s="47">
        <f t="shared" ref="BQ11:BQ12" si="37">SUM(BL11:BP11)</f>
        <v>-18.047150029470664</v>
      </c>
      <c r="BR11" s="47">
        <f>INDEX(Direct_Cost_Splits_Network,MATCH($H11,RIN_Asset_Cat_Network,0),MATCH($BW$4,Direct_Cost_Type,0))*$Q11*INDEX(Act_Type_Repex_Splits,MATCH($I11,Act_Type_Repex,0),MATCH(BR$4,Mat_Type,0))*INDEX(Escalators!$I$44:$U$49,MATCH(BR$4,Escalators!$C$44:$C$49,0),MATCH(BR$5,Escalators!$I$43:$U$43,0))</f>
        <v>0</v>
      </c>
      <c r="BS11" s="47">
        <f>INDEX(Direct_Cost_Splits_Network,MATCH($H11,RIN_Asset_Cat_Network,0),MATCH($BW$4,Direct_Cost_Type,0))*$Q11*INDEX(Act_Type_Repex_Splits,MATCH($I11,Act_Type_Repex,0),MATCH(BS$4,Mat_Type,0))*INDEX(Escalators!$I$44:$U$49,MATCH(BS$4,Escalators!$C$44:$C$49,0),MATCH(BS$5,Escalators!$I$43:$U$43,0))</f>
        <v>0</v>
      </c>
      <c r="BT11" s="47">
        <f>INDEX(Direct_Cost_Splits_Network,MATCH($H11,RIN_Asset_Cat_Network,0),MATCH($BW$4,Direct_Cost_Type,0))*$Q11*INDEX(Act_Type_Repex_Splits,MATCH($I11,Act_Type_Repex,0),MATCH(BT$4,Mat_Type,0))*INDEX(Escalators!$I$44:$U$49,MATCH(BT$4,Escalators!$C$44:$C$49,0),MATCH(BT$5,Escalators!$I$43:$U$43,0))</f>
        <v>0</v>
      </c>
      <c r="BU11" s="47">
        <f>INDEX(Direct_Cost_Splits_Network,MATCH($H11,RIN_Asset_Cat_Network,0),MATCH($BW$4,Direct_Cost_Type,0))*$Q11*INDEX(Act_Type_Repex_Splits,MATCH($I11,Act_Type_Repex,0),MATCH(BU$4,Mat_Type,0))*INDEX(Escalators!$I$44:$U$49,MATCH(BU$4,Escalators!$C$44:$C$49,0),MATCH(BU$5,Escalators!$I$43:$U$43,0))</f>
        <v>0</v>
      </c>
      <c r="BV11" s="47">
        <f>INDEX(Direct_Cost_Splits_Network,MATCH($H11,RIN_Asset_Cat_Network,0),MATCH($BW$4,Direct_Cost_Type,0))*$Q11*INDEX(Act_Type_Repex_Splits,MATCH($I11,Act_Type_Repex,0),MATCH(BV$4,Mat_Type,0))*INDEX(Escalators!$I$44:$U$49,MATCH(BV$4,Escalators!$C$44:$C$49,0),MATCH(BV$5,Escalators!$I$43:$U$43,0))</f>
        <v>0</v>
      </c>
      <c r="BW11" s="47">
        <f t="shared" ref="BW11:BW12" si="38">SUM(BR11:BV11)</f>
        <v>0</v>
      </c>
      <c r="BY11" s="47">
        <f>INDEX(Direct_Cost_Splits_Network,MATCH($H11,RIN_Asset_Cat_Network,0),MATCH($BY$4,Direct_Cost_Type,0))*J11*HLOOKUP(BY$5,Escalators!$I$25:$U$30,6,FALSE)</f>
        <v>0</v>
      </c>
      <c r="BZ11" s="47">
        <f>INDEX(Direct_Cost_Splits_Network,MATCH($H11,RIN_Asset_Cat_Network,0),MATCH($BY$4,Direct_Cost_Type,0))*K11*HLOOKUP(BZ$5,Escalators!$I$25:$U$30,6,FALSE)</f>
        <v>0</v>
      </c>
      <c r="CA11" s="47">
        <f>INDEX(Direct_Cost_Splits_Network,MATCH($H11,RIN_Asset_Cat_Network,0),MATCH($BY$4,Direct_Cost_Type,0))*L11*HLOOKUP(CA$5,Escalators!$I$25:$U$30,6,FALSE)</f>
        <v>0</v>
      </c>
      <c r="CB11" s="47">
        <f>INDEX(Direct_Cost_Splits_Network,MATCH($H11,RIN_Asset_Cat_Network,0),MATCH($BY$4,Direct_Cost_Type,0))*M11*HLOOKUP(CB$5,Escalators!$I$25:$U$30,6,FALSE)</f>
        <v>-16.876337484312572</v>
      </c>
      <c r="CC11" s="47">
        <f>INDEX(Direct_Cost_Splits_Network,MATCH($H11,RIN_Asset_Cat_Network,0),MATCH($BY$4,Direct_Cost_Type,0))*N11*HLOOKUP(CC$5,Escalators!$I$25:$U$30,6,FALSE)</f>
        <v>-34.525996430384723</v>
      </c>
      <c r="CD11" s="47">
        <f>INDEX(Direct_Cost_Splits_Network,MATCH($H11,RIN_Asset_Cat_Network,0),MATCH($BY$4,Direct_Cost_Type,0))*O11*HLOOKUP(CD$5,Escalators!$I$25:$U$30,6,FALSE)</f>
        <v>-22.985834811799084</v>
      </c>
      <c r="CE11" s="47">
        <f>INDEX(Direct_Cost_Splits_Network,MATCH($H11,RIN_Asset_Cat_Network,0),MATCH($BY$4,Direct_Cost_Type,0))*P11*HLOOKUP(CE$5,Escalators!$I$25:$U$30,6,FALSE)</f>
        <v>-48.345918140590292</v>
      </c>
      <c r="CF11" s="47">
        <f>INDEX(Direct_Cost_Splits_Network,MATCH($H11,RIN_Asset_Cat_Network,0),MATCH($BY$4,Direct_Cost_Type,0))*Q11*HLOOKUP(CF$5,Escalators!$I$25:$U$30,6,FALSE)</f>
        <v>0</v>
      </c>
      <c r="CH11" s="82">
        <f t="shared" ref="CH11:CH12" si="39">INDEX(Direct_Cost_Splits_Network,MATCH($H11,RIN_Asset_Cat_Network,0),MATCH($CH$4,Direct_Cost_Type,0))*J11</f>
        <v>0</v>
      </c>
      <c r="CI11" s="82">
        <f t="shared" ref="CI11:CI12" si="40">INDEX(Direct_Cost_Splits_Network,MATCH($H11,RIN_Asset_Cat_Network,0),MATCH($CH$4,Direct_Cost_Type,0))*K11</f>
        <v>0</v>
      </c>
      <c r="CJ11" s="82">
        <f t="shared" ref="CJ11:CJ12" si="41">INDEX(Direct_Cost_Splits_Network,MATCH($H11,RIN_Asset_Cat_Network,0),MATCH($CH$4,Direct_Cost_Type,0))*L11</f>
        <v>0</v>
      </c>
      <c r="CK11" s="82">
        <f t="shared" ref="CK11:CK12" si="42">INDEX(Direct_Cost_Splits_Network,MATCH($H11,RIN_Asset_Cat_Network,0),MATCH($CH$4,Direct_Cost_Type,0))*M11</f>
        <v>-2.611697391249582</v>
      </c>
      <c r="CL11" s="82">
        <f t="shared" ref="CL11:CL12" si="43">INDEX(Direct_Cost_Splits_Network,MATCH($H11,RIN_Asset_Cat_Network,0),MATCH($CH$4,Direct_Cost_Type,0))*N11</f>
        <v>-5.3430701354098415</v>
      </c>
      <c r="CM11" s="82">
        <f t="shared" ref="CM11:CM12" si="44">INDEX(Direct_Cost_Splits_Network,MATCH($H11,RIN_Asset_Cat_Network,0),MATCH($CH$4,Direct_Cost_Type,0))*O11</f>
        <v>-3.5571725719204408</v>
      </c>
      <c r="CN11" s="82">
        <f t="shared" ref="CN11:CN12" si="45">INDEX(Direct_Cost_Splits_Network,MATCH($H11,RIN_Asset_Cat_Network,0),MATCH($CH$4,Direct_Cost_Type,0))*P11</f>
        <v>-7.4817719426810028</v>
      </c>
      <c r="CO11" s="82">
        <f t="shared" ref="CO11:CO12" si="46">INDEX(Direct_Cost_Splits_Network,MATCH($H11,RIN_Asset_Cat_Network,0),MATCH($CH$4,Direct_Cost_Type,0))*Q11</f>
        <v>0</v>
      </c>
      <c r="CQ11" s="47">
        <f t="shared" si="23"/>
        <v>0</v>
      </c>
      <c r="CR11" s="47">
        <f t="shared" si="24"/>
        <v>0</v>
      </c>
      <c r="CS11" s="47">
        <f t="shared" si="25"/>
        <v>0</v>
      </c>
      <c r="CT11" s="47">
        <f t="shared" si="26"/>
        <v>-28.742153274941298</v>
      </c>
      <c r="CU11" s="47">
        <f t="shared" si="27"/>
        <v>-58.831336875789873</v>
      </c>
      <c r="CV11" s="47">
        <f t="shared" si="28"/>
        <v>-39.193558161908797</v>
      </c>
      <c r="CW11" s="47">
        <f t="shared" si="29"/>
        <v>-82.520536924635365</v>
      </c>
      <c r="CX11" s="47">
        <f t="shared" si="30"/>
        <v>0</v>
      </c>
      <c r="CZ11" s="39"/>
      <c r="DA11" s="39"/>
      <c r="DB11" s="39"/>
      <c r="DC11" s="39"/>
      <c r="DD11" s="39"/>
      <c r="DE11" s="39"/>
    </row>
    <row r="12" spans="2:109">
      <c r="B12" s="7"/>
      <c r="C12" s="7" t="s">
        <v>103</v>
      </c>
      <c r="D12" s="7" t="s">
        <v>809</v>
      </c>
      <c r="E12" s="7" t="s">
        <v>45</v>
      </c>
      <c r="F12" s="7" t="s">
        <v>52</v>
      </c>
      <c r="G12" s="7" t="s">
        <v>150</v>
      </c>
      <c r="H12" s="7" t="s">
        <v>156</v>
      </c>
      <c r="I12" s="7" t="s">
        <v>103</v>
      </c>
      <c r="J12" s="45"/>
      <c r="K12" s="45"/>
      <c r="L12" s="45"/>
      <c r="M12" s="750">
        <v>-34.020845483443594</v>
      </c>
      <c r="N12" s="750">
        <v>-34.020845483443594</v>
      </c>
      <c r="O12" s="750">
        <v>-34.020845483443594</v>
      </c>
      <c r="P12" s="750">
        <v>-34.020845483443594</v>
      </c>
      <c r="Q12" s="750">
        <v>-34.020845483443594</v>
      </c>
      <c r="S12" s="47">
        <f>INDEX(Direct_Cost_Splits_Network,MATCH($H12,RIN_Asset_Cat_Network,0),MATCH($S$4,Direct_Cost_Type,0))*J12*HLOOKUP(S$5,Escalators!$I$25:$U$30,3,FALSE)</f>
        <v>0</v>
      </c>
      <c r="T12" s="47">
        <f>INDEX(Direct_Cost_Splits_Network,MATCH($H12,RIN_Asset_Cat_Network,0),MATCH($S$4,Direct_Cost_Type,0))*K12*HLOOKUP(T$5,Escalators!$I$25:$U$30,3,FALSE)</f>
        <v>0</v>
      </c>
      <c r="U12" s="47">
        <f>INDEX(Direct_Cost_Splits_Network,MATCH($H12,RIN_Asset_Cat_Network,0),MATCH($S$4,Direct_Cost_Type,0))*L12*HLOOKUP(U$5,Escalators!$I$25:$U$30,3,FALSE)</f>
        <v>0</v>
      </c>
      <c r="V12" s="47">
        <f>INDEX(Direct_Cost_Splits_Network,MATCH($H12,RIN_Asset_Cat_Network,0),MATCH($S$4,Direct_Cost_Type,0))*M12*HLOOKUP(V$5,Escalators!$I$25:$U$30,3,FALSE)</f>
        <v>-3.5083130007928212</v>
      </c>
      <c r="W12" s="47">
        <f>INDEX(Direct_Cost_Splits_Network,MATCH($H12,RIN_Asset_Cat_Network,0),MATCH($S$4,Direct_Cost_Type,0))*N12*HLOOKUP(W$5,Escalators!$I$25:$U$30,3,FALSE)</f>
        <v>-3.5257173677407758</v>
      </c>
      <c r="X12" s="47">
        <f>INDEX(Direct_Cost_Splits_Network,MATCH($H12,RIN_Asset_Cat_Network,0),MATCH($S$4,Direct_Cost_Type,0))*O12*HLOOKUP(X$5,Escalators!$I$25:$U$30,3,FALSE)</f>
        <v>-3.5486788760445203</v>
      </c>
      <c r="Y12" s="47">
        <f>INDEX(Direct_Cost_Splits_Network,MATCH($H12,RIN_Asset_Cat_Network,0),MATCH($S$4,Direct_Cost_Type,0))*P12*HLOOKUP(Y$5,Escalators!$I$25:$U$30,3,FALSE)</f>
        <v>-3.5839337248650946</v>
      </c>
      <c r="Z12" s="47">
        <f>INDEX(Direct_Cost_Splits_Network,MATCH($H12,RIN_Asset_Cat_Network,0),MATCH($S$4,Direct_Cost_Type,0))*Q12*HLOOKUP(Z$5,Escalators!$I$25:$U$30,3,FALSE)</f>
        <v>-3.6307951771250515</v>
      </c>
      <c r="AB12" s="47">
        <f>INDEX(Direct_Cost_Splits_Network,MATCH($H12,RIN_Asset_Cat_Network,0),MATCH($AG$4,Direct_Cost_Type,0))*$J12*INDEX(Act_Type_Repex_Splits,MATCH($I12,Act_Type_Repex,0),MATCH(AB$4,Mat_Type,0))*INDEX(Escalators!$I$44:$Q$49,MATCH(AB$4,Escalators!$C$44:$C$49,0),MATCH(AB$5,Escalators!$I$43:$Q$43,0))</f>
        <v>0</v>
      </c>
      <c r="AC12" s="47">
        <f>INDEX(Direct_Cost_Splits_Network,MATCH($H12,RIN_Asset_Cat_Network,0),MATCH($AG$4,Direct_Cost_Type,0))*$J12*INDEX(Act_Type_Repex_Splits,MATCH($I12,Act_Type_Repex,0),MATCH(AC$4,Mat_Type,0))*INDEX(Escalators!$I$44:$Q$49,MATCH(AC$4,Escalators!$C$44:$C$49,0),MATCH(AC$5,Escalators!$I$43:$Q$43,0))</f>
        <v>0</v>
      </c>
      <c r="AD12" s="47">
        <f>INDEX(Direct_Cost_Splits_Network,MATCH($H12,RIN_Asset_Cat_Network,0),MATCH($AG$4,Direct_Cost_Type,0))*$J12*INDEX(Act_Type_Repex_Splits,MATCH($I12,Act_Type_Repex,0),MATCH(AD$4,Mat_Type,0))*INDEX(Escalators!$I$44:$Q$49,MATCH(AD$4,Escalators!$C$44:$C$49,0),MATCH(AD$5,Escalators!$I$43:$Q$43,0))</f>
        <v>0</v>
      </c>
      <c r="AE12" s="47">
        <f>INDEX(Direct_Cost_Splits_Network,MATCH($H12,RIN_Asset_Cat_Network,0),MATCH($AG$4,Direct_Cost_Type,0))*$J12*INDEX(Act_Type_Repex_Splits,MATCH($I12,Act_Type_Repex,0),MATCH(AE$4,Mat_Type,0))*INDEX(Escalators!$I$44:$Q$49,MATCH(AE$4,Escalators!$C$44:$C$49,0),MATCH(AE$5,Escalators!$I$43:$Q$43,0))</f>
        <v>0</v>
      </c>
      <c r="AF12" s="47">
        <f>INDEX(Direct_Cost_Splits_Network,MATCH($H12,RIN_Asset_Cat_Network,0),MATCH($AG$4,Direct_Cost_Type,0))*$J12*INDEX(Act_Type_Repex_Splits,MATCH($I12,Act_Type_Repex,0),MATCH(AF$4,Mat_Type,0))*INDEX(Escalators!$I$44:$Q$49,MATCH(AF$4,Escalators!$C$44:$C$49,0),MATCH(AF$5,Escalators!$I$43:$Q$43,0))</f>
        <v>0</v>
      </c>
      <c r="AG12" s="47">
        <f t="shared" si="31"/>
        <v>0</v>
      </c>
      <c r="AH12" s="47">
        <f>INDEX(Direct_Cost_Splits_Network,MATCH($H12,RIN_Asset_Cat_Network,0),MATCH($AY$4,Direct_Cost_Type,0))*$K12*INDEX(Act_Type_Repex_Splits,MATCH($I12,Act_Type_Repex,0),MATCH(AH$4,Mat_Type,0))*INDEX(Escalators!$I$44:$U$49,MATCH(AH$4,Escalators!$C$44:$C$49,0),MATCH(AH$5,Escalators!$I$43:$U$43,0))</f>
        <v>0</v>
      </c>
      <c r="AI12" s="47">
        <f>INDEX(Direct_Cost_Splits_Network,MATCH($H12,RIN_Asset_Cat_Network,0),MATCH($AY$4,Direct_Cost_Type,0))*$K12*INDEX(Act_Type_Repex_Splits,MATCH($I12,Act_Type_Repex,0),MATCH(AI$4,Mat_Type,0))*INDEX(Escalators!$I$44:$U$49,MATCH(AI$4,Escalators!$C$44:$C$49,0),MATCH(AI$5,Escalators!$I$43:$U$43,0))</f>
        <v>0</v>
      </c>
      <c r="AJ12" s="47">
        <f>INDEX(Direct_Cost_Splits_Network,MATCH($H12,RIN_Asset_Cat_Network,0),MATCH($AY$4,Direct_Cost_Type,0))*$K12*INDEX(Act_Type_Repex_Splits,MATCH($I12,Act_Type_Repex,0),MATCH(AJ$4,Mat_Type,0))*INDEX(Escalators!$I$44:$U$49,MATCH(AJ$4,Escalators!$C$44:$C$49,0),MATCH(AJ$5,Escalators!$I$43:$U$43,0))</f>
        <v>0</v>
      </c>
      <c r="AK12" s="47">
        <f>INDEX(Direct_Cost_Splits_Network,MATCH($H12,RIN_Asset_Cat_Network,0),MATCH($AY$4,Direct_Cost_Type,0))*$K12*INDEX(Act_Type_Repex_Splits,MATCH($I12,Act_Type_Repex,0),MATCH(AK$4,Mat_Type,0))*INDEX(Escalators!$I$44:$U$49,MATCH(AK$4,Escalators!$C$44:$C$49,0),MATCH(AK$5,Escalators!$I$43:$U$43,0))</f>
        <v>0</v>
      </c>
      <c r="AL12" s="47">
        <f>INDEX(Direct_Cost_Splits_Network,MATCH($H12,RIN_Asset_Cat_Network,0),MATCH($AY$4,Direct_Cost_Type,0))*$K12*INDEX(Act_Type_Repex_Splits,MATCH($I12,Act_Type_Repex,0),MATCH(AL$4,Mat_Type,0))*INDEX(Escalators!$I$44:$U$49,MATCH(AL$4,Escalators!$C$44:$C$49,0),MATCH(AL$5,Escalators!$I$43:$U$43,0))</f>
        <v>0</v>
      </c>
      <c r="AM12" s="47">
        <f t="shared" si="32"/>
        <v>0</v>
      </c>
      <c r="AN12" s="47">
        <f>INDEX(Direct_Cost_Splits_Network,MATCH($H12,RIN_Asset_Cat_Network,0),MATCH($AY$4,Direct_Cost_Type,0))*$L12*INDEX(Act_Type_Repex_Splits,MATCH($I12,Act_Type_Repex,0),MATCH(AN$4,Mat_Type,0))*INDEX(Escalators!$I$44:$U$49,MATCH(AN$4,Escalators!$C$44:$C$49,0),MATCH(AN$5,Escalators!$I$43:$U$43,0))</f>
        <v>0</v>
      </c>
      <c r="AO12" s="47">
        <f>INDEX(Direct_Cost_Splits_Network,MATCH($H12,RIN_Asset_Cat_Network,0),MATCH($AY$4,Direct_Cost_Type,0))*$L12*INDEX(Act_Type_Repex_Splits,MATCH($I12,Act_Type_Repex,0),MATCH(AO$4,Mat_Type,0))*INDEX(Escalators!$I$44:$U$49,MATCH(AO$4,Escalators!$C$44:$C$49,0),MATCH(AO$5,Escalators!$I$43:$U$43,0))</f>
        <v>0</v>
      </c>
      <c r="AP12" s="47">
        <f>INDEX(Direct_Cost_Splits_Network,MATCH($H12,RIN_Asset_Cat_Network,0),MATCH($AY$4,Direct_Cost_Type,0))*$L12*INDEX(Act_Type_Repex_Splits,MATCH($I12,Act_Type_Repex,0),MATCH(AP$4,Mat_Type,0))*INDEX(Escalators!$I$44:$U$49,MATCH(AP$4,Escalators!$C$44:$C$49,0),MATCH(AP$5,Escalators!$I$43:$U$43,0))</f>
        <v>0</v>
      </c>
      <c r="AQ12" s="47">
        <f>INDEX(Direct_Cost_Splits_Network,MATCH($H12,RIN_Asset_Cat_Network,0),MATCH($AY$4,Direct_Cost_Type,0))*$L12*INDEX(Act_Type_Repex_Splits,MATCH($I12,Act_Type_Repex,0),MATCH(AQ$4,Mat_Type,0))*INDEX(Escalators!$I$44:$U$49,MATCH(AQ$4,Escalators!$C$44:$C$49,0),MATCH(AQ$5,Escalators!$I$43:$U$43,0))</f>
        <v>0</v>
      </c>
      <c r="AR12" s="47">
        <f>INDEX(Direct_Cost_Splits_Network,MATCH($H12,RIN_Asset_Cat_Network,0),MATCH($AY$4,Direct_Cost_Type,0))*$L12*INDEX(Act_Type_Repex_Splits,MATCH($I12,Act_Type_Repex,0),MATCH(AR$4,Mat_Type,0))*INDEX(Escalators!$I$44:$U$49,MATCH(AR$4,Escalators!$C$44:$C$49,0),MATCH(AR$5,Escalators!$I$43:$U$43,0))</f>
        <v>0</v>
      </c>
      <c r="AS12" s="47">
        <f t="shared" si="33"/>
        <v>0</v>
      </c>
      <c r="AT12" s="47">
        <f>INDEX(Direct_Cost_Splits_Network,MATCH($H12,RIN_Asset_Cat_Network,0),MATCH($AY$4,Direct_Cost_Type,0))*$M12*INDEX(Act_Type_Repex_Splits,MATCH($I12,Act_Type_Repex,0),MATCH(AT$4,Mat_Type,0))*INDEX(Escalators!$I$44:$U$49,MATCH(AT$4,Escalators!$C$44:$C$49,0),MATCH(AT$5,Escalators!$I$43:$U$43,0))</f>
        <v>0</v>
      </c>
      <c r="AU12" s="47">
        <f>INDEX(Direct_Cost_Splits_Network,MATCH($H12,RIN_Asset_Cat_Network,0),MATCH($AY$4,Direct_Cost_Type,0))*$M12*INDEX(Act_Type_Repex_Splits,MATCH($I12,Act_Type_Repex,0),MATCH(AU$4,Mat_Type,0))*INDEX(Escalators!$I$44:$U$49,MATCH(AU$4,Escalators!$C$44:$C$49,0),MATCH(AU$5,Escalators!$I$43:$U$43,0))</f>
        <v>0</v>
      </c>
      <c r="AV12" s="47">
        <f>INDEX(Direct_Cost_Splits_Network,MATCH($H12,RIN_Asset_Cat_Network,0),MATCH($AY$4,Direct_Cost_Type,0))*$M12*INDEX(Act_Type_Repex_Splits,MATCH($I12,Act_Type_Repex,0),MATCH(AV$4,Mat_Type,0))*INDEX(Escalators!$I$44:$U$49,MATCH(AV$4,Escalators!$C$44:$C$49,0),MATCH(AV$5,Escalators!$I$43:$U$43,0))</f>
        <v>-5.2368078276282475</v>
      </c>
      <c r="AW12" s="47">
        <f>INDEX(Direct_Cost_Splits_Network,MATCH($H12,RIN_Asset_Cat_Network,0),MATCH($AY$4,Direct_Cost_Type,0))*$M12*INDEX(Act_Type_Repex_Splits,MATCH($I12,Act_Type_Repex,0),MATCH(AW$4,Mat_Type,0))*INDEX(Escalators!$I$44:$U$49,MATCH(AW$4,Escalators!$C$44:$C$49,0),MATCH(AW$5,Escalators!$I$43:$U$43,0))</f>
        <v>0</v>
      </c>
      <c r="AX12" s="47">
        <f>INDEX(Direct_Cost_Splits_Network,MATCH($H12,RIN_Asset_Cat_Network,0),MATCH($AY$4,Direct_Cost_Type,0))*$M12*INDEX(Act_Type_Repex_Splits,MATCH($I12,Act_Type_Repex,0),MATCH(AX$4,Mat_Type,0))*INDEX(Escalators!$I$44:$U$49,MATCH(AX$4,Escalators!$C$44:$C$49,0),MATCH(AX$5,Escalators!$I$43:$U$43,0))</f>
        <v>-2.2443462118406776</v>
      </c>
      <c r="AY12" s="47">
        <f t="shared" si="34"/>
        <v>-7.4811540394689251</v>
      </c>
      <c r="AZ12" s="47">
        <f>INDEX(Direct_Cost_Splits_Network,MATCH($H12,RIN_Asset_Cat_Network,0),MATCH($BE$4,Direct_Cost_Type,0))*$N12*INDEX(Act_Type_Repex_Splits,MATCH($I12,Act_Type_Repex,0),MATCH(AZ$4,Mat_Type,0))*INDEX(Escalators!$I$44:$U$49,MATCH(AZ$4,Escalators!$C$44:$C$49,0),MATCH(AZ$5,Escalators!$I$43:$U$43,0))</f>
        <v>0</v>
      </c>
      <c r="BA12" s="47">
        <f>INDEX(Direct_Cost_Splits_Network,MATCH($H12,RIN_Asset_Cat_Network,0),MATCH($BE$4,Direct_Cost_Type,0))*$N12*INDEX(Act_Type_Repex_Splits,MATCH($I12,Act_Type_Repex,0),MATCH(BA$4,Mat_Type,0))*INDEX(Escalators!$I$44:$U$49,MATCH(BA$4,Escalators!$C$44:$C$49,0),MATCH(BA$5,Escalators!$I$43:$U$43,0))</f>
        <v>0</v>
      </c>
      <c r="BB12" s="47">
        <f>INDEX(Direct_Cost_Splits_Network,MATCH($H12,RIN_Asset_Cat_Network,0),MATCH($BE$4,Direct_Cost_Type,0))*$N12*INDEX(Act_Type_Repex_Splits,MATCH($I12,Act_Type_Repex,0),MATCH(BB$4,Mat_Type,0))*INDEX(Escalators!$I$44:$U$49,MATCH(BB$4,Escalators!$C$44:$C$49,0),MATCH(BB$5,Escalators!$I$43:$U$43,0))</f>
        <v>-5.2368078276282475</v>
      </c>
      <c r="BC12" s="47">
        <f>INDEX(Direct_Cost_Splits_Network,MATCH($H12,RIN_Asset_Cat_Network,0),MATCH($BE$4,Direct_Cost_Type,0))*$N12*INDEX(Act_Type_Repex_Splits,MATCH($I12,Act_Type_Repex,0),MATCH(BC$4,Mat_Type,0))*INDEX(Escalators!$I$44:$U$49,MATCH(BC$4,Escalators!$C$44:$C$49,0),MATCH(BC$5,Escalators!$I$43:$U$43,0))</f>
        <v>0</v>
      </c>
      <c r="BD12" s="47">
        <f>INDEX(Direct_Cost_Splits_Network,MATCH($H12,RIN_Asset_Cat_Network,0),MATCH($BE$4,Direct_Cost_Type,0))*$N12*INDEX(Act_Type_Repex_Splits,MATCH($I12,Act_Type_Repex,0),MATCH(BD$4,Mat_Type,0))*INDEX(Escalators!$I$44:$U$49,MATCH(BD$4,Escalators!$C$44:$C$49,0),MATCH(BD$5,Escalators!$I$43:$U$43,0))</f>
        <v>-2.2443462118406776</v>
      </c>
      <c r="BE12" s="47">
        <f t="shared" si="35"/>
        <v>-7.4811540394689251</v>
      </c>
      <c r="BF12" s="47">
        <f>INDEX(Direct_Cost_Splits_Network,MATCH($H12,RIN_Asset_Cat_Network,0),MATCH($BK$4,Direct_Cost_Type,0))*$O12*INDEX(Act_Type_Repex_Splits,MATCH($I12,Act_Type_Repex,0),MATCH(BF$4,Mat_Type,0))*INDEX(Escalators!$I$44:$U$49,MATCH(BF$4,Escalators!$C$44:$C$49,0),MATCH(BF$5,Escalators!$I$43:$U$43,0))</f>
        <v>0</v>
      </c>
      <c r="BG12" s="47">
        <f>INDEX(Direct_Cost_Splits_Network,MATCH($H12,RIN_Asset_Cat_Network,0),MATCH($BK$4,Direct_Cost_Type,0))*$O12*INDEX(Act_Type_Repex_Splits,MATCH($I12,Act_Type_Repex,0),MATCH(BG$4,Mat_Type,0))*INDEX(Escalators!$I$44:$U$49,MATCH(BG$4,Escalators!$C$44:$C$49,0),MATCH(BG$5,Escalators!$I$43:$U$43,0))</f>
        <v>0</v>
      </c>
      <c r="BH12" s="47">
        <f>INDEX(Direct_Cost_Splits_Network,MATCH($H12,RIN_Asset_Cat_Network,0),MATCH($BK$4,Direct_Cost_Type,0))*$O12*INDEX(Act_Type_Repex_Splits,MATCH($I12,Act_Type_Repex,0),MATCH(BH$4,Mat_Type,0))*INDEX(Escalators!$I$44:$U$49,MATCH(BH$4,Escalators!$C$44:$C$49,0),MATCH(BH$5,Escalators!$I$43:$U$43,0))</f>
        <v>-5.2368078276282475</v>
      </c>
      <c r="BI12" s="47">
        <f>INDEX(Direct_Cost_Splits_Network,MATCH($H12,RIN_Asset_Cat_Network,0),MATCH($BK$4,Direct_Cost_Type,0))*$O12*INDEX(Act_Type_Repex_Splits,MATCH($I12,Act_Type_Repex,0),MATCH(BI$4,Mat_Type,0))*INDEX(Escalators!$I$44:$U$49,MATCH(BI$4,Escalators!$C$44:$C$49,0),MATCH(BI$5,Escalators!$I$43:$U$43,0))</f>
        <v>0</v>
      </c>
      <c r="BJ12" s="47">
        <f>INDEX(Direct_Cost_Splits_Network,MATCH($H12,RIN_Asset_Cat_Network,0),MATCH($BK$4,Direct_Cost_Type,0))*$O12*INDEX(Act_Type_Repex_Splits,MATCH($I12,Act_Type_Repex,0),MATCH(BJ$4,Mat_Type,0))*INDEX(Escalators!$I$44:$U$49,MATCH(BJ$4,Escalators!$C$44:$C$49,0),MATCH(BJ$5,Escalators!$I$43:$U$43,0))</f>
        <v>-2.2443462118406776</v>
      </c>
      <c r="BK12" s="47">
        <f t="shared" si="36"/>
        <v>-7.4811540394689251</v>
      </c>
      <c r="BL12" s="47">
        <f>INDEX(Direct_Cost_Splits_Network,MATCH($H12,RIN_Asset_Cat_Network,0),MATCH($BQ$4,Direct_Cost_Type,0))*$P12*INDEX(Act_Type_Repex_Splits,MATCH($I12,Act_Type_Repex,0),MATCH(BL$4,Mat_Type,0))*INDEX(Escalators!$I$44:$U$49,MATCH(BL$4,Escalators!$C$44:$C$49,0),MATCH(BL$5,Escalators!$I$43:$U$43,0))</f>
        <v>0</v>
      </c>
      <c r="BM12" s="47">
        <f>INDEX(Direct_Cost_Splits_Network,MATCH($H12,RIN_Asset_Cat_Network,0),MATCH($BQ$4,Direct_Cost_Type,0))*$P12*INDEX(Act_Type_Repex_Splits,MATCH($I12,Act_Type_Repex,0),MATCH(BM$4,Mat_Type,0))*INDEX(Escalators!$I$44:$U$49,MATCH(BM$4,Escalators!$C$44:$C$49,0),MATCH(BM$5,Escalators!$I$43:$U$43,0))</f>
        <v>0</v>
      </c>
      <c r="BN12" s="47">
        <f>INDEX(Direct_Cost_Splits_Network,MATCH($H12,RIN_Asset_Cat_Network,0),MATCH($BQ$4,Direct_Cost_Type,0))*$P12*INDEX(Act_Type_Repex_Splits,MATCH($I12,Act_Type_Repex,0),MATCH(BN$4,Mat_Type,0))*INDEX(Escalators!$I$44:$U$49,MATCH(BN$4,Escalators!$C$44:$C$49,0),MATCH(BN$5,Escalators!$I$43:$U$43,0))</f>
        <v>-5.2368078276282475</v>
      </c>
      <c r="BO12" s="47">
        <f>INDEX(Direct_Cost_Splits_Network,MATCH($H12,RIN_Asset_Cat_Network,0),MATCH($BQ$4,Direct_Cost_Type,0))*$P12*INDEX(Act_Type_Repex_Splits,MATCH($I12,Act_Type_Repex,0),MATCH(BO$4,Mat_Type,0))*INDEX(Escalators!$I$44:$U$49,MATCH(BO$4,Escalators!$C$44:$C$49,0),MATCH(BO$5,Escalators!$I$43:$U$43,0))</f>
        <v>0</v>
      </c>
      <c r="BP12" s="47">
        <f>INDEX(Direct_Cost_Splits_Network,MATCH($H12,RIN_Asset_Cat_Network,0),MATCH($BQ$4,Direct_Cost_Type,0))*$P12*INDEX(Act_Type_Repex_Splits,MATCH($I12,Act_Type_Repex,0),MATCH(BP$4,Mat_Type,0))*INDEX(Escalators!$I$44:$U$49,MATCH(BP$4,Escalators!$C$44:$C$49,0),MATCH(BP$5,Escalators!$I$43:$U$43,0))</f>
        <v>-2.2443462118406776</v>
      </c>
      <c r="BQ12" s="47">
        <f t="shared" si="37"/>
        <v>-7.4811540394689251</v>
      </c>
      <c r="BR12" s="47">
        <f>INDEX(Direct_Cost_Splits_Network,MATCH($H12,RIN_Asset_Cat_Network,0),MATCH($BW$4,Direct_Cost_Type,0))*$Q12*INDEX(Act_Type_Repex_Splits,MATCH($I12,Act_Type_Repex,0),MATCH(BR$4,Mat_Type,0))*INDEX(Escalators!$I$44:$U$49,MATCH(BR$4,Escalators!$C$44:$C$49,0),MATCH(BR$5,Escalators!$I$43:$U$43,0))</f>
        <v>0</v>
      </c>
      <c r="BS12" s="47">
        <f>INDEX(Direct_Cost_Splits_Network,MATCH($H12,RIN_Asset_Cat_Network,0),MATCH($BW$4,Direct_Cost_Type,0))*$Q12*INDEX(Act_Type_Repex_Splits,MATCH($I12,Act_Type_Repex,0),MATCH(BS$4,Mat_Type,0))*INDEX(Escalators!$I$44:$U$49,MATCH(BS$4,Escalators!$C$44:$C$49,0),MATCH(BS$5,Escalators!$I$43:$U$43,0))</f>
        <v>0</v>
      </c>
      <c r="BT12" s="47">
        <f>INDEX(Direct_Cost_Splits_Network,MATCH($H12,RIN_Asset_Cat_Network,0),MATCH($BW$4,Direct_Cost_Type,0))*$Q12*INDEX(Act_Type_Repex_Splits,MATCH($I12,Act_Type_Repex,0),MATCH(BT$4,Mat_Type,0))*INDEX(Escalators!$I$44:$U$49,MATCH(BT$4,Escalators!$C$44:$C$49,0),MATCH(BT$5,Escalators!$I$43:$U$43,0))</f>
        <v>-5.2368078276282475</v>
      </c>
      <c r="BU12" s="47">
        <f>INDEX(Direct_Cost_Splits_Network,MATCH($H12,RIN_Asset_Cat_Network,0),MATCH($BW$4,Direct_Cost_Type,0))*$Q12*INDEX(Act_Type_Repex_Splits,MATCH($I12,Act_Type_Repex,0),MATCH(BU$4,Mat_Type,0))*INDEX(Escalators!$I$44:$U$49,MATCH(BU$4,Escalators!$C$44:$C$49,0),MATCH(BU$5,Escalators!$I$43:$U$43,0))</f>
        <v>0</v>
      </c>
      <c r="BV12" s="47">
        <f>INDEX(Direct_Cost_Splits_Network,MATCH($H12,RIN_Asset_Cat_Network,0),MATCH($BW$4,Direct_Cost_Type,0))*$Q12*INDEX(Act_Type_Repex_Splits,MATCH($I12,Act_Type_Repex,0),MATCH(BV$4,Mat_Type,0))*INDEX(Escalators!$I$44:$U$49,MATCH(BV$4,Escalators!$C$44:$C$49,0),MATCH(BV$5,Escalators!$I$43:$U$43,0))</f>
        <v>-2.2443462118406776</v>
      </c>
      <c r="BW12" s="47">
        <f t="shared" si="38"/>
        <v>-7.4811540394689251</v>
      </c>
      <c r="BY12" s="47">
        <f>INDEX(Direct_Cost_Splits_Network,MATCH($H12,RIN_Asset_Cat_Network,0),MATCH($BY$4,Direct_Cost_Type,0))*J12*HLOOKUP(BY$5,Escalators!$I$25:$U$30,6,FALSE)</f>
        <v>0</v>
      </c>
      <c r="BZ12" s="47">
        <f>INDEX(Direct_Cost_Splits_Network,MATCH($H12,RIN_Asset_Cat_Network,0),MATCH($BY$4,Direct_Cost_Type,0))*K12*HLOOKUP(BZ$5,Escalators!$I$25:$U$30,6,FALSE)</f>
        <v>0</v>
      </c>
      <c r="CA12" s="47">
        <f>INDEX(Direct_Cost_Splits_Network,MATCH($H12,RIN_Asset_Cat_Network,0),MATCH($BY$4,Direct_Cost_Type,0))*L12*HLOOKUP(CA$5,Escalators!$I$25:$U$30,6,FALSE)</f>
        <v>0</v>
      </c>
      <c r="CB12" s="47">
        <f>INDEX(Direct_Cost_Splits_Network,MATCH($H12,RIN_Asset_Cat_Network,0),MATCH($BY$4,Direct_Cost_Type,0))*M12*HLOOKUP(CB$5,Escalators!$I$25:$U$30,6,FALSE)</f>
        <v>-20.041018121902294</v>
      </c>
      <c r="CC12" s="47">
        <f>INDEX(Direct_Cost_Splits_Network,MATCH($H12,RIN_Asset_Cat_Network,0),MATCH($BY$4,Direct_Cost_Type,0))*N12*HLOOKUP(CC$5,Escalators!$I$25:$U$30,6,FALSE)</f>
        <v>-20.041018121902294</v>
      </c>
      <c r="CD12" s="47">
        <f>INDEX(Direct_Cost_Splits_Network,MATCH($H12,RIN_Asset_Cat_Network,0),MATCH($BY$4,Direct_Cost_Type,0))*O12*HLOOKUP(CD$5,Escalators!$I$25:$U$30,6,FALSE)</f>
        <v>-20.041018121902294</v>
      </c>
      <c r="CE12" s="47">
        <f>INDEX(Direct_Cost_Splits_Network,MATCH($H12,RIN_Asset_Cat_Network,0),MATCH($BY$4,Direct_Cost_Type,0))*P12*HLOOKUP(CE$5,Escalators!$I$25:$U$30,6,FALSE)</f>
        <v>-20.041018121902294</v>
      </c>
      <c r="CF12" s="47">
        <f>INDEX(Direct_Cost_Splits_Network,MATCH($H12,RIN_Asset_Cat_Network,0),MATCH($BY$4,Direct_Cost_Type,0))*Q12*HLOOKUP(CF$5,Escalators!$I$25:$U$30,6,FALSE)</f>
        <v>-20.041018121902294</v>
      </c>
      <c r="CH12" s="82">
        <f t="shared" si="39"/>
        <v>0</v>
      </c>
      <c r="CI12" s="82">
        <f t="shared" si="40"/>
        <v>0</v>
      </c>
      <c r="CJ12" s="82">
        <f t="shared" si="41"/>
        <v>0</v>
      </c>
      <c r="CK12" s="82">
        <f t="shared" si="42"/>
        <v>-3.1014475027897235</v>
      </c>
      <c r="CL12" s="82">
        <f t="shared" si="43"/>
        <v>-3.1014475027897235</v>
      </c>
      <c r="CM12" s="82">
        <f t="shared" si="44"/>
        <v>-3.1014475027897235</v>
      </c>
      <c r="CN12" s="82">
        <f t="shared" si="45"/>
        <v>-3.1014475027897235</v>
      </c>
      <c r="CO12" s="82">
        <f t="shared" si="46"/>
        <v>-3.1014475027897235</v>
      </c>
      <c r="CQ12" s="47">
        <f t="shared" si="23"/>
        <v>0</v>
      </c>
      <c r="CR12" s="47">
        <f t="shared" si="24"/>
        <v>0</v>
      </c>
      <c r="CS12" s="47">
        <f t="shared" si="25"/>
        <v>0</v>
      </c>
      <c r="CT12" s="47">
        <f t="shared" si="26"/>
        <v>-34.131932664953766</v>
      </c>
      <c r="CU12" s="47">
        <f t="shared" si="27"/>
        <v>-34.149337031901716</v>
      </c>
      <c r="CV12" s="47">
        <f t="shared" si="28"/>
        <v>-34.17229854020546</v>
      </c>
      <c r="CW12" s="47">
        <f t="shared" si="29"/>
        <v>-34.207553389026039</v>
      </c>
      <c r="CX12" s="47">
        <f t="shared" si="30"/>
        <v>-34.254414841285993</v>
      </c>
      <c r="CZ12" s="39"/>
      <c r="DA12" s="39"/>
      <c r="DB12" s="39"/>
      <c r="DC12" s="39"/>
      <c r="DD12" s="39"/>
      <c r="DE12" s="39"/>
    </row>
    <row r="13" spans="2:109">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Y13" s="47"/>
      <c r="BZ13" s="47"/>
      <c r="CA13" s="47"/>
      <c r="CB13" s="47"/>
      <c r="CC13" s="47"/>
      <c r="CD13" s="47"/>
      <c r="CE13" s="47"/>
      <c r="CF13" s="47"/>
      <c r="CH13" s="82"/>
      <c r="CI13" s="82"/>
      <c r="CJ13" s="82"/>
      <c r="CK13" s="82"/>
      <c r="CL13" s="82"/>
      <c r="CM13" s="82"/>
      <c r="CN13" s="82"/>
      <c r="CO13" s="82"/>
      <c r="CQ13" s="47">
        <f t="shared" si="23"/>
        <v>0</v>
      </c>
      <c r="CR13" s="47">
        <f t="shared" si="24"/>
        <v>0</v>
      </c>
      <c r="CS13" s="47">
        <f t="shared" si="25"/>
        <v>0</v>
      </c>
      <c r="CT13" s="47">
        <f t="shared" si="26"/>
        <v>0</v>
      </c>
      <c r="CU13" s="47">
        <f t="shared" si="27"/>
        <v>0</v>
      </c>
      <c r="CV13" s="47">
        <f t="shared" si="28"/>
        <v>0</v>
      </c>
      <c r="CW13" s="47">
        <f t="shared" si="29"/>
        <v>0</v>
      </c>
      <c r="CX13" s="47">
        <f t="shared" si="30"/>
        <v>0</v>
      </c>
      <c r="CZ13" s="39"/>
      <c r="DA13" s="39"/>
      <c r="DB13" s="39"/>
      <c r="DC13" s="39"/>
      <c r="DD13" s="39"/>
      <c r="DE13" s="39"/>
    </row>
    <row r="14" spans="2:109">
      <c r="B14" s="7"/>
      <c r="C14" s="7"/>
      <c r="D14" s="7"/>
      <c r="E14" s="7"/>
      <c r="F14" s="7"/>
      <c r="G14" s="7"/>
      <c r="H14" s="7"/>
      <c r="I14" s="7"/>
      <c r="J14" s="45"/>
      <c r="K14" s="45"/>
      <c r="L14" s="45"/>
      <c r="M14" s="45"/>
      <c r="N14" s="45"/>
      <c r="O14" s="45"/>
      <c r="P14" s="45"/>
      <c r="Q14" s="45"/>
      <c r="S14" s="47"/>
      <c r="T14" s="47"/>
      <c r="U14" s="47"/>
      <c r="V14" s="47"/>
      <c r="W14" s="47"/>
      <c r="X14" s="47"/>
      <c r="Y14" s="47"/>
      <c r="Z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Y14" s="47"/>
      <c r="BZ14" s="47"/>
      <c r="CA14" s="47"/>
      <c r="CB14" s="47"/>
      <c r="CC14" s="47"/>
      <c r="CD14" s="47"/>
      <c r="CE14" s="47"/>
      <c r="CF14" s="47"/>
      <c r="CH14" s="82"/>
      <c r="CI14" s="82"/>
      <c r="CJ14" s="82"/>
      <c r="CK14" s="82"/>
      <c r="CL14" s="82"/>
      <c r="CM14" s="82"/>
      <c r="CN14" s="82"/>
      <c r="CO14" s="82"/>
      <c r="CQ14" s="47">
        <f t="shared" si="23"/>
        <v>0</v>
      </c>
      <c r="CR14" s="47">
        <f t="shared" si="24"/>
        <v>0</v>
      </c>
      <c r="CS14" s="47">
        <f t="shared" si="25"/>
        <v>0</v>
      </c>
      <c r="CT14" s="47">
        <f t="shared" si="26"/>
        <v>0</v>
      </c>
      <c r="CU14" s="47">
        <f t="shared" si="27"/>
        <v>0</v>
      </c>
      <c r="CV14" s="47">
        <f t="shared" si="28"/>
        <v>0</v>
      </c>
      <c r="CW14" s="47">
        <f t="shared" si="29"/>
        <v>0</v>
      </c>
      <c r="CX14" s="47">
        <f t="shared" si="30"/>
        <v>0</v>
      </c>
      <c r="CZ14" s="39"/>
      <c r="DA14" s="39"/>
      <c r="DB14" s="39"/>
      <c r="DC14" s="39"/>
      <c r="DD14" s="39"/>
      <c r="DE14" s="39"/>
    </row>
    <row r="15" spans="2:109">
      <c r="B15" s="7"/>
      <c r="C15" s="7"/>
      <c r="D15" s="7"/>
      <c r="E15" s="7"/>
      <c r="F15" s="7"/>
      <c r="G15" s="7"/>
      <c r="H15" s="7"/>
      <c r="I15" s="7"/>
      <c r="J15" s="45"/>
      <c r="K15" s="45"/>
      <c r="L15" s="45"/>
      <c r="M15" s="45"/>
      <c r="N15" s="45"/>
      <c r="O15" s="45"/>
      <c r="P15" s="45"/>
      <c r="Q15" s="45"/>
      <c r="S15" s="47"/>
      <c r="T15" s="47"/>
      <c r="U15" s="47"/>
      <c r="V15" s="47"/>
      <c r="W15" s="47"/>
      <c r="X15" s="47"/>
      <c r="Y15" s="47"/>
      <c r="Z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Y15" s="47"/>
      <c r="BZ15" s="47"/>
      <c r="CA15" s="47"/>
      <c r="CB15" s="47"/>
      <c r="CC15" s="47"/>
      <c r="CD15" s="47"/>
      <c r="CE15" s="47"/>
      <c r="CF15" s="47"/>
      <c r="CH15" s="82"/>
      <c r="CI15" s="82"/>
      <c r="CJ15" s="82"/>
      <c r="CK15" s="82"/>
      <c r="CL15" s="82"/>
      <c r="CM15" s="82"/>
      <c r="CN15" s="82"/>
      <c r="CO15" s="82"/>
      <c r="CQ15" s="47">
        <f t="shared" si="23"/>
        <v>0</v>
      </c>
      <c r="CR15" s="47">
        <f t="shared" si="24"/>
        <v>0</v>
      </c>
      <c r="CS15" s="47">
        <f t="shared" si="25"/>
        <v>0</v>
      </c>
      <c r="CT15" s="47">
        <f t="shared" si="26"/>
        <v>0</v>
      </c>
      <c r="CU15" s="47">
        <f t="shared" si="27"/>
        <v>0</v>
      </c>
      <c r="CV15" s="47">
        <f t="shared" si="28"/>
        <v>0</v>
      </c>
      <c r="CW15" s="47">
        <f t="shared" si="29"/>
        <v>0</v>
      </c>
      <c r="CX15" s="47">
        <f t="shared" si="30"/>
        <v>0</v>
      </c>
      <c r="CZ15" s="39"/>
      <c r="DA15" s="39"/>
      <c r="DB15" s="39"/>
      <c r="DC15" s="39"/>
      <c r="DD15" s="39"/>
      <c r="DE15" s="39"/>
    </row>
    <row r="16" spans="2:109">
      <c r="B16" s="7"/>
      <c r="C16" s="7"/>
      <c r="D16" s="7"/>
      <c r="E16" s="7"/>
      <c r="F16" s="7"/>
      <c r="G16" s="7"/>
      <c r="H16" s="7"/>
      <c r="I16" s="7"/>
      <c r="J16" s="45"/>
      <c r="K16" s="45"/>
      <c r="L16" s="45"/>
      <c r="M16" s="45"/>
      <c r="N16" s="45"/>
      <c r="O16" s="45"/>
      <c r="P16" s="45"/>
      <c r="Q16" s="45"/>
      <c r="S16" s="47"/>
      <c r="T16" s="47"/>
      <c r="U16" s="47"/>
      <c r="V16" s="47"/>
      <c r="W16" s="47"/>
      <c r="X16" s="47"/>
      <c r="Y16" s="47"/>
      <c r="Z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3"/>
        <v>0</v>
      </c>
      <c r="CR16" s="47">
        <f t="shared" si="24"/>
        <v>0</v>
      </c>
      <c r="CS16" s="47">
        <f t="shared" si="25"/>
        <v>0</v>
      </c>
      <c r="CT16" s="47">
        <f t="shared" si="26"/>
        <v>0</v>
      </c>
      <c r="CU16" s="47">
        <f t="shared" si="27"/>
        <v>0</v>
      </c>
      <c r="CV16" s="47">
        <f t="shared" si="28"/>
        <v>0</v>
      </c>
      <c r="CW16" s="47">
        <f t="shared" si="29"/>
        <v>0</v>
      </c>
      <c r="CX16" s="47">
        <f t="shared" si="30"/>
        <v>0</v>
      </c>
      <c r="CZ16" s="39"/>
      <c r="DA16" s="39"/>
      <c r="DB16" s="39"/>
      <c r="DC16" s="39"/>
      <c r="DD16" s="39"/>
      <c r="DE16" s="39"/>
    </row>
    <row r="17" spans="2:109">
      <c r="B17" s="7"/>
      <c r="C17" s="7"/>
      <c r="D17" s="7"/>
      <c r="E17" s="7"/>
      <c r="F17" s="7"/>
      <c r="G17" s="7"/>
      <c r="H17" s="7"/>
      <c r="I17" s="7"/>
      <c r="J17" s="45"/>
      <c r="K17" s="45"/>
      <c r="L17" s="45"/>
      <c r="M17" s="45"/>
      <c r="N17" s="45"/>
      <c r="O17" s="45"/>
      <c r="P17" s="45"/>
      <c r="Q17" s="45"/>
      <c r="S17" s="47"/>
      <c r="T17" s="47"/>
      <c r="U17" s="47"/>
      <c r="V17" s="47"/>
      <c r="W17" s="47"/>
      <c r="X17" s="47"/>
      <c r="Y17" s="47"/>
      <c r="Z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3"/>
        <v>0</v>
      </c>
      <c r="CR17" s="47">
        <f t="shared" si="24"/>
        <v>0</v>
      </c>
      <c r="CS17" s="47">
        <f t="shared" si="25"/>
        <v>0</v>
      </c>
      <c r="CT17" s="47">
        <f t="shared" si="26"/>
        <v>0</v>
      </c>
      <c r="CU17" s="47">
        <f t="shared" si="27"/>
        <v>0</v>
      </c>
      <c r="CV17" s="47">
        <f t="shared" si="28"/>
        <v>0</v>
      </c>
      <c r="CW17" s="47">
        <f t="shared" si="29"/>
        <v>0</v>
      </c>
      <c r="CX17" s="47">
        <f t="shared" si="30"/>
        <v>0</v>
      </c>
      <c r="CZ17" s="39"/>
      <c r="DA17" s="39"/>
      <c r="DB17" s="39"/>
      <c r="DC17" s="39"/>
      <c r="DD17" s="39"/>
      <c r="DE17" s="39"/>
    </row>
    <row r="18" spans="2:109">
      <c r="B18" s="7"/>
      <c r="C18" s="7"/>
      <c r="D18" s="7"/>
      <c r="E18" s="7"/>
      <c r="F18" s="7"/>
      <c r="G18" s="7"/>
      <c r="H18" s="7"/>
      <c r="I18" s="7"/>
      <c r="J18" s="45"/>
      <c r="K18" s="45"/>
      <c r="L18" s="45"/>
      <c r="M18" s="45"/>
      <c r="N18" s="45"/>
      <c r="O18" s="45"/>
      <c r="P18" s="45"/>
      <c r="Q18" s="45"/>
      <c r="S18" s="47"/>
      <c r="T18" s="47"/>
      <c r="U18" s="47"/>
      <c r="V18" s="47"/>
      <c r="W18" s="47"/>
      <c r="X18" s="47"/>
      <c r="Y18" s="47"/>
      <c r="Z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3"/>
        <v>0</v>
      </c>
      <c r="CR18" s="47">
        <f t="shared" si="24"/>
        <v>0</v>
      </c>
      <c r="CS18" s="47">
        <f t="shared" si="25"/>
        <v>0</v>
      </c>
      <c r="CT18" s="47">
        <f t="shared" si="26"/>
        <v>0</v>
      </c>
      <c r="CU18" s="47">
        <f t="shared" si="27"/>
        <v>0</v>
      </c>
      <c r="CV18" s="47">
        <f t="shared" si="28"/>
        <v>0</v>
      </c>
      <c r="CW18" s="47">
        <f t="shared" si="29"/>
        <v>0</v>
      </c>
      <c r="CX18" s="47">
        <f t="shared" si="30"/>
        <v>0</v>
      </c>
      <c r="CZ18" s="39"/>
      <c r="DA18" s="39"/>
      <c r="DB18" s="39"/>
      <c r="DC18" s="39"/>
      <c r="DD18" s="39"/>
      <c r="DE18" s="39"/>
    </row>
    <row r="19" spans="2:109">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3"/>
        <v>0</v>
      </c>
      <c r="CR19" s="47">
        <f t="shared" si="24"/>
        <v>0</v>
      </c>
      <c r="CS19" s="47">
        <f t="shared" si="25"/>
        <v>0</v>
      </c>
      <c r="CT19" s="47">
        <f t="shared" si="26"/>
        <v>0</v>
      </c>
      <c r="CU19" s="47">
        <f t="shared" si="27"/>
        <v>0</v>
      </c>
      <c r="CV19" s="47">
        <f t="shared" si="28"/>
        <v>0</v>
      </c>
      <c r="CW19" s="47">
        <f t="shared" si="29"/>
        <v>0</v>
      </c>
      <c r="CX19" s="47">
        <f t="shared" si="30"/>
        <v>0</v>
      </c>
      <c r="CZ19" s="39"/>
      <c r="DA19" s="39"/>
      <c r="DB19" s="39"/>
      <c r="DC19" s="39"/>
      <c r="DD19" s="39"/>
      <c r="DE19" s="39"/>
    </row>
    <row r="20" spans="2:109">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82"/>
      <c r="CI20" s="82"/>
      <c r="CJ20" s="82"/>
      <c r="CK20" s="82"/>
      <c r="CL20" s="82"/>
      <c r="CM20" s="82"/>
      <c r="CN20" s="82"/>
      <c r="CO20" s="82"/>
      <c r="CQ20" s="47">
        <f t="shared" si="23"/>
        <v>0</v>
      </c>
      <c r="CR20" s="47">
        <f t="shared" si="24"/>
        <v>0</v>
      </c>
      <c r="CS20" s="47">
        <f t="shared" si="25"/>
        <v>0</v>
      </c>
      <c r="CT20" s="47">
        <f t="shared" si="26"/>
        <v>0</v>
      </c>
      <c r="CU20" s="47">
        <f t="shared" si="27"/>
        <v>0</v>
      </c>
      <c r="CV20" s="47">
        <f t="shared" si="28"/>
        <v>0</v>
      </c>
      <c r="CW20" s="47">
        <f t="shared" si="29"/>
        <v>0</v>
      </c>
      <c r="CX20" s="47">
        <f t="shared" si="30"/>
        <v>0</v>
      </c>
      <c r="CZ20" s="39"/>
      <c r="DA20" s="39"/>
      <c r="DB20" s="39"/>
      <c r="DC20" s="39"/>
      <c r="DD20" s="39"/>
      <c r="DE20" s="39"/>
    </row>
    <row r="21" spans="2:109">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82"/>
      <c r="CI21" s="82"/>
      <c r="CJ21" s="82"/>
      <c r="CK21" s="82"/>
      <c r="CL21" s="82"/>
      <c r="CM21" s="82"/>
      <c r="CN21" s="82"/>
      <c r="CO21" s="82"/>
      <c r="CQ21" s="47">
        <f t="shared" si="23"/>
        <v>0</v>
      </c>
      <c r="CR21" s="47">
        <f t="shared" si="24"/>
        <v>0</v>
      </c>
      <c r="CS21" s="47">
        <f t="shared" si="25"/>
        <v>0</v>
      </c>
      <c r="CT21" s="47">
        <f t="shared" si="26"/>
        <v>0</v>
      </c>
      <c r="CU21" s="47">
        <f t="shared" si="27"/>
        <v>0</v>
      </c>
      <c r="CV21" s="47">
        <f t="shared" si="28"/>
        <v>0</v>
      </c>
      <c r="CW21" s="47">
        <f t="shared" si="29"/>
        <v>0</v>
      </c>
      <c r="CX21" s="47">
        <f t="shared" si="30"/>
        <v>0</v>
      </c>
      <c r="CZ21" s="39"/>
      <c r="DA21" s="39"/>
      <c r="DB21" s="39"/>
      <c r="DC21" s="39"/>
      <c r="DD21" s="39"/>
      <c r="DE21" s="39"/>
    </row>
    <row r="22" spans="2:109">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82"/>
      <c r="CI22" s="82"/>
      <c r="CJ22" s="82"/>
      <c r="CK22" s="82"/>
      <c r="CL22" s="82"/>
      <c r="CM22" s="82"/>
      <c r="CN22" s="82"/>
      <c r="CO22" s="82"/>
      <c r="CQ22" s="47">
        <f t="shared" si="23"/>
        <v>0</v>
      </c>
      <c r="CR22" s="47">
        <f t="shared" si="24"/>
        <v>0</v>
      </c>
      <c r="CS22" s="47">
        <f t="shared" si="25"/>
        <v>0</v>
      </c>
      <c r="CT22" s="47">
        <f t="shared" si="26"/>
        <v>0</v>
      </c>
      <c r="CU22" s="47">
        <f t="shared" si="27"/>
        <v>0</v>
      </c>
      <c r="CV22" s="47">
        <f t="shared" si="28"/>
        <v>0</v>
      </c>
      <c r="CW22" s="47">
        <f t="shared" si="29"/>
        <v>0</v>
      </c>
      <c r="CX22" s="47">
        <f t="shared" si="30"/>
        <v>0</v>
      </c>
      <c r="CZ22" s="39"/>
    </row>
    <row r="23" spans="2:109">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82"/>
      <c r="CI23" s="82"/>
      <c r="CJ23" s="82"/>
      <c r="CK23" s="82"/>
      <c r="CL23" s="82"/>
      <c r="CM23" s="82"/>
      <c r="CN23" s="82"/>
      <c r="CO23" s="82"/>
      <c r="CQ23" s="47">
        <f t="shared" si="23"/>
        <v>0</v>
      </c>
      <c r="CR23" s="47">
        <f t="shared" si="24"/>
        <v>0</v>
      </c>
      <c r="CS23" s="47">
        <f t="shared" si="25"/>
        <v>0</v>
      </c>
      <c r="CT23" s="47">
        <f t="shared" si="26"/>
        <v>0</v>
      </c>
      <c r="CU23" s="47">
        <f t="shared" si="27"/>
        <v>0</v>
      </c>
      <c r="CV23" s="47">
        <f t="shared" si="28"/>
        <v>0</v>
      </c>
      <c r="CW23" s="47">
        <f t="shared" si="29"/>
        <v>0</v>
      </c>
      <c r="CX23" s="47">
        <f t="shared" si="30"/>
        <v>0</v>
      </c>
      <c r="CZ23" s="39"/>
    </row>
    <row r="24" spans="2:109">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82"/>
      <c r="CI24" s="82"/>
      <c r="CJ24" s="82"/>
      <c r="CK24" s="82"/>
      <c r="CL24" s="82"/>
      <c r="CM24" s="82"/>
      <c r="CN24" s="82"/>
      <c r="CO24" s="82"/>
      <c r="CQ24" s="47">
        <f t="shared" si="23"/>
        <v>0</v>
      </c>
      <c r="CR24" s="47">
        <f t="shared" si="24"/>
        <v>0</v>
      </c>
      <c r="CS24" s="47">
        <f t="shared" si="25"/>
        <v>0</v>
      </c>
      <c r="CT24" s="47">
        <f t="shared" si="26"/>
        <v>0</v>
      </c>
      <c r="CU24" s="47">
        <f t="shared" si="27"/>
        <v>0</v>
      </c>
      <c r="CV24" s="47">
        <f t="shared" si="28"/>
        <v>0</v>
      </c>
      <c r="CW24" s="47">
        <f t="shared" si="29"/>
        <v>0</v>
      </c>
      <c r="CX24" s="47">
        <f t="shared" si="30"/>
        <v>0</v>
      </c>
      <c r="CZ24" s="39"/>
    </row>
    <row r="25" spans="2:109">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82"/>
      <c r="CI25" s="82"/>
      <c r="CJ25" s="82"/>
      <c r="CK25" s="82"/>
      <c r="CL25" s="82"/>
      <c r="CM25" s="82"/>
      <c r="CN25" s="82"/>
      <c r="CO25" s="82"/>
      <c r="CQ25" s="47">
        <f t="shared" si="23"/>
        <v>0</v>
      </c>
      <c r="CR25" s="47">
        <f t="shared" si="24"/>
        <v>0</v>
      </c>
      <c r="CS25" s="47">
        <f t="shared" si="25"/>
        <v>0</v>
      </c>
      <c r="CT25" s="47">
        <f t="shared" si="26"/>
        <v>0</v>
      </c>
      <c r="CU25" s="47">
        <f t="shared" si="27"/>
        <v>0</v>
      </c>
      <c r="CV25" s="47">
        <f t="shared" si="28"/>
        <v>0</v>
      </c>
      <c r="CW25" s="47">
        <f t="shared" si="29"/>
        <v>0</v>
      </c>
      <c r="CX25" s="47">
        <f t="shared" si="30"/>
        <v>0</v>
      </c>
      <c r="CZ25" s="39"/>
    </row>
    <row r="26" spans="2:109">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82"/>
      <c r="CI26" s="82"/>
      <c r="CJ26" s="82"/>
      <c r="CK26" s="82"/>
      <c r="CL26" s="82"/>
      <c r="CM26" s="82"/>
      <c r="CN26" s="82"/>
      <c r="CO26" s="82"/>
      <c r="CQ26" s="47">
        <f t="shared" si="23"/>
        <v>0</v>
      </c>
      <c r="CR26" s="47">
        <f t="shared" si="24"/>
        <v>0</v>
      </c>
      <c r="CS26" s="47">
        <f t="shared" si="25"/>
        <v>0</v>
      </c>
      <c r="CT26" s="47">
        <f t="shared" si="26"/>
        <v>0</v>
      </c>
      <c r="CU26" s="47">
        <f t="shared" si="27"/>
        <v>0</v>
      </c>
      <c r="CV26" s="47">
        <f t="shared" si="28"/>
        <v>0</v>
      </c>
      <c r="CW26" s="47">
        <f t="shared" si="29"/>
        <v>0</v>
      </c>
      <c r="CX26" s="47">
        <f t="shared" si="30"/>
        <v>0</v>
      </c>
      <c r="CZ26" s="39"/>
    </row>
    <row r="27" spans="2:109">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82"/>
      <c r="CI27" s="82"/>
      <c r="CJ27" s="82"/>
      <c r="CK27" s="82"/>
      <c r="CL27" s="82"/>
      <c r="CM27" s="82"/>
      <c r="CN27" s="82"/>
      <c r="CO27" s="82"/>
      <c r="CQ27" s="47">
        <f t="shared" si="23"/>
        <v>0</v>
      </c>
      <c r="CR27" s="47">
        <f t="shared" si="24"/>
        <v>0</v>
      </c>
      <c r="CS27" s="47">
        <f t="shared" si="25"/>
        <v>0</v>
      </c>
      <c r="CT27" s="47">
        <f t="shared" si="26"/>
        <v>0</v>
      </c>
      <c r="CU27" s="47">
        <f t="shared" si="27"/>
        <v>0</v>
      </c>
      <c r="CV27" s="47">
        <f t="shared" si="28"/>
        <v>0</v>
      </c>
      <c r="CW27" s="47">
        <f t="shared" si="29"/>
        <v>0</v>
      </c>
      <c r="CX27" s="47">
        <f t="shared" si="30"/>
        <v>0</v>
      </c>
      <c r="CZ27" s="39"/>
    </row>
    <row r="28" spans="2:109">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47"/>
      <c r="CI28" s="47"/>
      <c r="CJ28" s="47"/>
      <c r="CK28" s="47"/>
      <c r="CL28" s="47"/>
      <c r="CM28" s="47"/>
      <c r="CN28" s="47"/>
      <c r="CO28" s="47"/>
      <c r="CQ28" s="47">
        <f t="shared" si="23"/>
        <v>0</v>
      </c>
      <c r="CR28" s="47">
        <f t="shared" si="24"/>
        <v>0</v>
      </c>
      <c r="CS28" s="47">
        <f t="shared" si="25"/>
        <v>0</v>
      </c>
      <c r="CT28" s="47">
        <f t="shared" si="26"/>
        <v>0</v>
      </c>
      <c r="CU28" s="47">
        <f t="shared" si="27"/>
        <v>0</v>
      </c>
      <c r="CV28" s="47">
        <f t="shared" si="28"/>
        <v>0</v>
      </c>
      <c r="CW28" s="47">
        <f t="shared" si="29"/>
        <v>0</v>
      </c>
      <c r="CX28" s="47">
        <f t="shared" si="30"/>
        <v>0</v>
      </c>
      <c r="CZ28" s="39"/>
    </row>
    <row r="29" spans="2:109">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47"/>
      <c r="CI29" s="47"/>
      <c r="CJ29" s="47"/>
      <c r="CK29" s="47"/>
      <c r="CL29" s="47"/>
      <c r="CM29" s="47"/>
      <c r="CN29" s="47"/>
      <c r="CO29" s="47"/>
      <c r="CQ29" s="47">
        <f t="shared" si="23"/>
        <v>0</v>
      </c>
      <c r="CR29" s="47">
        <f t="shared" si="24"/>
        <v>0</v>
      </c>
      <c r="CS29" s="47">
        <f t="shared" si="25"/>
        <v>0</v>
      </c>
      <c r="CT29" s="47">
        <f t="shared" si="26"/>
        <v>0</v>
      </c>
      <c r="CU29" s="47">
        <f t="shared" si="27"/>
        <v>0</v>
      </c>
      <c r="CV29" s="47">
        <f t="shared" si="28"/>
        <v>0</v>
      </c>
      <c r="CW29" s="47">
        <f t="shared" si="29"/>
        <v>0</v>
      </c>
      <c r="CX29" s="47">
        <f t="shared" si="30"/>
        <v>0</v>
      </c>
      <c r="CZ29" s="39"/>
    </row>
    <row r="30" spans="2:109">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3"/>
        <v>0</v>
      </c>
      <c r="CR30" s="47">
        <f t="shared" si="24"/>
        <v>0</v>
      </c>
      <c r="CS30" s="47">
        <f t="shared" si="25"/>
        <v>0</v>
      </c>
      <c r="CT30" s="47">
        <f t="shared" si="26"/>
        <v>0</v>
      </c>
      <c r="CU30" s="47">
        <f t="shared" si="27"/>
        <v>0</v>
      </c>
      <c r="CV30" s="47">
        <f t="shared" si="28"/>
        <v>0</v>
      </c>
      <c r="CW30" s="47">
        <f t="shared" si="29"/>
        <v>0</v>
      </c>
      <c r="CX30" s="47">
        <f t="shared" si="30"/>
        <v>0</v>
      </c>
      <c r="CZ30" s="39"/>
    </row>
    <row r="31" spans="2:109">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3"/>
        <v>0</v>
      </c>
      <c r="CR31" s="47">
        <f t="shared" si="24"/>
        <v>0</v>
      </c>
      <c r="CS31" s="47">
        <f t="shared" si="25"/>
        <v>0</v>
      </c>
      <c r="CT31" s="47">
        <f t="shared" si="26"/>
        <v>0</v>
      </c>
      <c r="CU31" s="47">
        <f t="shared" si="27"/>
        <v>0</v>
      </c>
      <c r="CV31" s="47">
        <f t="shared" si="28"/>
        <v>0</v>
      </c>
      <c r="CW31" s="47">
        <f t="shared" si="29"/>
        <v>0</v>
      </c>
      <c r="CX31" s="47">
        <f t="shared" si="30"/>
        <v>0</v>
      </c>
      <c r="CZ31" s="39"/>
    </row>
    <row r="32" spans="2:109">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3"/>
        <v>0</v>
      </c>
      <c r="CR32" s="47">
        <f t="shared" si="24"/>
        <v>0</v>
      </c>
      <c r="CS32" s="47">
        <f t="shared" si="25"/>
        <v>0</v>
      </c>
      <c r="CT32" s="47">
        <f t="shared" si="26"/>
        <v>0</v>
      </c>
      <c r="CU32" s="47">
        <f t="shared" si="27"/>
        <v>0</v>
      </c>
      <c r="CV32" s="47">
        <f t="shared" si="28"/>
        <v>0</v>
      </c>
      <c r="CW32" s="47">
        <f t="shared" si="29"/>
        <v>0</v>
      </c>
      <c r="CX32" s="47">
        <f t="shared" si="30"/>
        <v>0</v>
      </c>
      <c r="CZ32" s="39"/>
    </row>
    <row r="33" spans="2:104">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3"/>
        <v>0</v>
      </c>
      <c r="CR33" s="47">
        <f t="shared" si="24"/>
        <v>0</v>
      </c>
      <c r="CS33" s="47">
        <f t="shared" si="25"/>
        <v>0</v>
      </c>
      <c r="CT33" s="47">
        <f t="shared" si="26"/>
        <v>0</v>
      </c>
      <c r="CU33" s="47">
        <f t="shared" si="27"/>
        <v>0</v>
      </c>
      <c r="CV33" s="47">
        <f t="shared" si="28"/>
        <v>0</v>
      </c>
      <c r="CW33" s="47">
        <f t="shared" si="29"/>
        <v>0</v>
      </c>
      <c r="CX33" s="47">
        <f t="shared" si="30"/>
        <v>0</v>
      </c>
      <c r="CZ33" s="39"/>
    </row>
    <row r="34" spans="2:104">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3"/>
        <v>0</v>
      </c>
      <c r="CR34" s="47">
        <f t="shared" si="24"/>
        <v>0</v>
      </c>
      <c r="CS34" s="47">
        <f t="shared" si="25"/>
        <v>0</v>
      </c>
      <c r="CT34" s="47">
        <f t="shared" si="26"/>
        <v>0</v>
      </c>
      <c r="CU34" s="47">
        <f t="shared" si="27"/>
        <v>0</v>
      </c>
      <c r="CV34" s="47">
        <f t="shared" si="28"/>
        <v>0</v>
      </c>
      <c r="CW34" s="47">
        <f t="shared" si="29"/>
        <v>0</v>
      </c>
      <c r="CX34" s="47">
        <f t="shared" si="30"/>
        <v>0</v>
      </c>
      <c r="CZ34" s="39"/>
    </row>
    <row r="35" spans="2:104">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3"/>
        <v>0</v>
      </c>
      <c r="CR35" s="47">
        <f t="shared" si="24"/>
        <v>0</v>
      </c>
      <c r="CS35" s="47">
        <f t="shared" si="25"/>
        <v>0</v>
      </c>
      <c r="CT35" s="47">
        <f t="shared" si="26"/>
        <v>0</v>
      </c>
      <c r="CU35" s="47">
        <f t="shared" si="27"/>
        <v>0</v>
      </c>
      <c r="CV35" s="47">
        <f t="shared" si="28"/>
        <v>0</v>
      </c>
      <c r="CW35" s="47">
        <f t="shared" si="29"/>
        <v>0</v>
      </c>
      <c r="CX35" s="47">
        <f t="shared" si="30"/>
        <v>0</v>
      </c>
      <c r="CZ35" s="39"/>
    </row>
    <row r="36" spans="2:104">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3"/>
        <v>0</v>
      </c>
      <c r="CR36" s="47">
        <f t="shared" si="24"/>
        <v>0</v>
      </c>
      <c r="CS36" s="47">
        <f t="shared" si="25"/>
        <v>0</v>
      </c>
      <c r="CT36" s="47">
        <f t="shared" si="26"/>
        <v>0</v>
      </c>
      <c r="CU36" s="47">
        <f t="shared" si="27"/>
        <v>0</v>
      </c>
      <c r="CV36" s="47">
        <f t="shared" si="28"/>
        <v>0</v>
      </c>
      <c r="CW36" s="47">
        <f t="shared" si="29"/>
        <v>0</v>
      </c>
      <c r="CX36" s="47">
        <f t="shared" si="30"/>
        <v>0</v>
      </c>
      <c r="CZ36" s="39"/>
    </row>
    <row r="37" spans="2:104">
      <c r="J37" s="48">
        <f t="shared" ref="J37:Q37" si="47">SUM(J6:J36)</f>
        <v>0</v>
      </c>
      <c r="K37" s="48">
        <f t="shared" si="47"/>
        <v>0</v>
      </c>
      <c r="L37" s="48">
        <f t="shared" si="47"/>
        <v>0</v>
      </c>
      <c r="M37" s="676">
        <f t="shared" si="47"/>
        <v>517.33054662708116</v>
      </c>
      <c r="N37" s="676">
        <f t="shared" si="47"/>
        <v>487.36917858742174</v>
      </c>
      <c r="O37" s="676">
        <f t="shared" si="47"/>
        <v>506.95930384412213</v>
      </c>
      <c r="P37" s="676">
        <f t="shared" si="47"/>
        <v>463.9090221105231</v>
      </c>
      <c r="Q37" s="676">
        <f t="shared" si="47"/>
        <v>545.97915451655638</v>
      </c>
      <c r="R37" s="129"/>
      <c r="S37" s="676">
        <f t="shared" ref="S37:Z37" si="48">SUM(S6:S36)</f>
        <v>0</v>
      </c>
      <c r="T37" s="676">
        <f t="shared" si="48"/>
        <v>0</v>
      </c>
      <c r="U37" s="676">
        <f t="shared" si="48"/>
        <v>0</v>
      </c>
      <c r="V37" s="676">
        <f t="shared" si="48"/>
        <v>53.348394393146492</v>
      </c>
      <c r="W37" s="676">
        <f t="shared" si="48"/>
        <v>50.508032737853632</v>
      </c>
      <c r="X37" s="676">
        <f t="shared" si="48"/>
        <v>52.880395739764353</v>
      </c>
      <c r="Y37" s="676">
        <f t="shared" si="48"/>
        <v>48.870601714475669</v>
      </c>
      <c r="Z37" s="676">
        <f t="shared" si="48"/>
        <v>58.268348503985315</v>
      </c>
      <c r="AA37" s="129"/>
      <c r="AB37" s="676">
        <f t="shared" ref="AB37:AF37" si="49">SUM(AB6:AB36)</f>
        <v>0</v>
      </c>
      <c r="AC37" s="676">
        <f t="shared" si="49"/>
        <v>0</v>
      </c>
      <c r="AD37" s="676">
        <f t="shared" si="49"/>
        <v>0</v>
      </c>
      <c r="AE37" s="676">
        <f t="shared" si="49"/>
        <v>0</v>
      </c>
      <c r="AF37" s="676">
        <f t="shared" si="49"/>
        <v>0</v>
      </c>
      <c r="AG37" s="676">
        <f t="shared" ref="AG37:BW37" si="50">SUM(AG6:AG36)</f>
        <v>0</v>
      </c>
      <c r="AH37" s="676">
        <f t="shared" ref="AH37:AS37" si="51">SUM(AH6:AH36)</f>
        <v>0</v>
      </c>
      <c r="AI37" s="676">
        <f t="shared" si="51"/>
        <v>0</v>
      </c>
      <c r="AJ37" s="676">
        <f t="shared" si="51"/>
        <v>0</v>
      </c>
      <c r="AK37" s="676">
        <f t="shared" si="51"/>
        <v>0</v>
      </c>
      <c r="AL37" s="676">
        <f t="shared" si="51"/>
        <v>0</v>
      </c>
      <c r="AM37" s="676">
        <f t="shared" si="51"/>
        <v>0</v>
      </c>
      <c r="AN37" s="676">
        <f t="shared" si="51"/>
        <v>0</v>
      </c>
      <c r="AO37" s="676">
        <f t="shared" si="51"/>
        <v>0</v>
      </c>
      <c r="AP37" s="676">
        <f t="shared" si="51"/>
        <v>0</v>
      </c>
      <c r="AQ37" s="676">
        <f t="shared" si="51"/>
        <v>0</v>
      </c>
      <c r="AR37" s="676">
        <f t="shared" si="51"/>
        <v>0</v>
      </c>
      <c r="AS37" s="676">
        <f t="shared" si="51"/>
        <v>0</v>
      </c>
      <c r="AT37" s="676">
        <f t="shared" si="50"/>
        <v>0</v>
      </c>
      <c r="AU37" s="676">
        <f t="shared" si="50"/>
        <v>0</v>
      </c>
      <c r="AV37" s="676">
        <f t="shared" si="50"/>
        <v>32.395658967675253</v>
      </c>
      <c r="AW37" s="676">
        <f t="shared" si="50"/>
        <v>0</v>
      </c>
      <c r="AX37" s="676">
        <f t="shared" si="50"/>
        <v>81.364873836346959</v>
      </c>
      <c r="AY37" s="676">
        <f t="shared" si="50"/>
        <v>113.76053280402222</v>
      </c>
      <c r="AZ37" s="676">
        <f t="shared" si="50"/>
        <v>0</v>
      </c>
      <c r="BA37" s="676">
        <f t="shared" si="50"/>
        <v>0</v>
      </c>
      <c r="BB37" s="676">
        <f t="shared" si="50"/>
        <v>31.736811116151408</v>
      </c>
      <c r="BC37" s="676">
        <f t="shared" si="50"/>
        <v>0</v>
      </c>
      <c r="BD37" s="676">
        <f t="shared" si="50"/>
        <v>75.435243172632397</v>
      </c>
      <c r="BE37" s="676">
        <f t="shared" si="50"/>
        <v>107.17205428878383</v>
      </c>
      <c r="BF37" s="676">
        <f t="shared" si="50"/>
        <v>0</v>
      </c>
      <c r="BG37" s="676">
        <f t="shared" si="50"/>
        <v>0</v>
      </c>
      <c r="BH37" s="676">
        <f t="shared" si="50"/>
        <v>32.167596249840074</v>
      </c>
      <c r="BI37" s="676">
        <f t="shared" si="50"/>
        <v>0</v>
      </c>
      <c r="BJ37" s="676">
        <f t="shared" si="50"/>
        <v>79.312309375830381</v>
      </c>
      <c r="BK37" s="676">
        <f t="shared" si="50"/>
        <v>111.47990562567047</v>
      </c>
      <c r="BL37" s="676">
        <f t="shared" si="50"/>
        <v>0</v>
      </c>
      <c r="BM37" s="676">
        <f t="shared" si="50"/>
        <v>0</v>
      </c>
      <c r="BN37" s="676">
        <f t="shared" si="50"/>
        <v>31.22092433585626</v>
      </c>
      <c r="BO37" s="676">
        <f t="shared" si="50"/>
        <v>0</v>
      </c>
      <c r="BP37" s="676">
        <f t="shared" si="50"/>
        <v>70.792262149976082</v>
      </c>
      <c r="BQ37" s="676">
        <f t="shared" si="50"/>
        <v>102.01318648583236</v>
      </c>
      <c r="BR37" s="676">
        <f t="shared" si="50"/>
        <v>0</v>
      </c>
      <c r="BS37" s="676">
        <f t="shared" si="50"/>
        <v>0</v>
      </c>
      <c r="BT37" s="676">
        <f t="shared" si="50"/>
        <v>33.02563933880333</v>
      </c>
      <c r="BU37" s="676">
        <f t="shared" si="50"/>
        <v>0</v>
      </c>
      <c r="BV37" s="676">
        <f t="shared" si="50"/>
        <v>87.034697176499677</v>
      </c>
      <c r="BW37" s="676">
        <f t="shared" si="50"/>
        <v>120.06033651530302</v>
      </c>
      <c r="BX37" s="129"/>
      <c r="BY37" s="676">
        <f t="shared" ref="BY37:CF37" si="52">SUM(BY6:BY36)</f>
        <v>0</v>
      </c>
      <c r="BZ37" s="676">
        <f t="shared" si="52"/>
        <v>0</v>
      </c>
      <c r="CA37" s="676">
        <f t="shared" si="52"/>
        <v>0</v>
      </c>
      <c r="CB37" s="676">
        <f t="shared" si="52"/>
        <v>304.74935918369545</v>
      </c>
      <c r="CC37" s="676">
        <f t="shared" si="52"/>
        <v>287.09970023762327</v>
      </c>
      <c r="CD37" s="676">
        <f t="shared" si="52"/>
        <v>298.63986185620894</v>
      </c>
      <c r="CE37" s="676">
        <f t="shared" si="52"/>
        <v>273.2797785274177</v>
      </c>
      <c r="CF37" s="676">
        <f t="shared" si="52"/>
        <v>321.625696668008</v>
      </c>
      <c r="CG37" s="129"/>
      <c r="CH37" s="676">
        <f t="shared" ref="CH37:CO37" si="53">SUM(CH6:CH36)</f>
        <v>0</v>
      </c>
      <c r="CI37" s="676">
        <f t="shared" si="53"/>
        <v>0</v>
      </c>
      <c r="CJ37" s="676">
        <f t="shared" si="53"/>
        <v>0</v>
      </c>
      <c r="CK37" s="676">
        <f t="shared" si="53"/>
        <v>47.161483177548547</v>
      </c>
      <c r="CL37" s="676">
        <f t="shared" si="53"/>
        <v>44.430110433388293</v>
      </c>
      <c r="CM37" s="676">
        <f t="shared" si="53"/>
        <v>46.216007996877693</v>
      </c>
      <c r="CN37" s="676">
        <f t="shared" si="53"/>
        <v>42.291408626117132</v>
      </c>
      <c r="CO37" s="676">
        <f t="shared" si="53"/>
        <v>49.773180568798132</v>
      </c>
      <c r="CP37" s="129"/>
      <c r="CQ37" s="676">
        <f t="shared" ref="CQ37:CX37" si="54">SUM(CQ6:CQ36)</f>
        <v>0</v>
      </c>
      <c r="CR37" s="676">
        <f t="shared" si="54"/>
        <v>0</v>
      </c>
      <c r="CS37" s="676">
        <f t="shared" si="54"/>
        <v>0</v>
      </c>
      <c r="CT37" s="676">
        <f t="shared" si="54"/>
        <v>519.0197695584128</v>
      </c>
      <c r="CU37" s="676">
        <f t="shared" si="54"/>
        <v>489.20989769764924</v>
      </c>
      <c r="CV37" s="676">
        <f t="shared" si="54"/>
        <v>509.21617121852148</v>
      </c>
      <c r="CW37" s="676">
        <f t="shared" si="54"/>
        <v>466.45497535384294</v>
      </c>
      <c r="CX37" s="676">
        <f t="shared" si="54"/>
        <v>549.72756225609453</v>
      </c>
    </row>
    <row r="38" spans="2:104">
      <c r="J38" s="112"/>
      <c r="K38" s="112"/>
      <c r="L38" s="112"/>
      <c r="M38" s="112"/>
      <c r="N38" s="112"/>
      <c r="O38" s="112"/>
      <c r="P38" s="112"/>
      <c r="Q38" s="112"/>
      <c r="S38" s="112"/>
      <c r="T38" s="112"/>
      <c r="U38" s="112"/>
      <c r="V38" s="112"/>
      <c r="W38" s="112"/>
      <c r="X38" s="112"/>
      <c r="Y38" s="112"/>
      <c r="Z38" s="112"/>
      <c r="AB38" s="41"/>
      <c r="AC38" s="41"/>
      <c r="AD38" s="41"/>
      <c r="AE38" s="41"/>
      <c r="AF38" s="41"/>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Y38" s="112"/>
      <c r="BZ38" s="112"/>
      <c r="CA38" s="112"/>
      <c r="CB38" s="112"/>
      <c r="CC38" s="112"/>
      <c r="CD38" s="112"/>
      <c r="CE38" s="112"/>
      <c r="CF38" s="112"/>
      <c r="CH38" s="112"/>
      <c r="CI38" s="112"/>
      <c r="CJ38" s="112"/>
      <c r="CK38" s="112"/>
      <c r="CL38" s="112"/>
      <c r="CM38" s="112"/>
      <c r="CN38" s="112"/>
      <c r="CO38" s="112"/>
      <c r="CQ38" s="203">
        <f t="shared" ref="CQ38:CX38" si="55">IF(ISERROR((CQ37-J37)/J37),0,(CQ37-J37)/J37)</f>
        <v>0</v>
      </c>
      <c r="CR38" s="203">
        <f t="shared" si="55"/>
        <v>0</v>
      </c>
      <c r="CS38" s="203">
        <f t="shared" si="55"/>
        <v>0</v>
      </c>
      <c r="CT38" s="203">
        <f t="shared" si="55"/>
        <v>3.2652681005309395E-3</v>
      </c>
      <c r="CU38" s="203">
        <f t="shared" si="55"/>
        <v>3.7768475954154286E-3</v>
      </c>
      <c r="CV38" s="203">
        <f t="shared" si="55"/>
        <v>4.4517722769583127E-3</v>
      </c>
      <c r="CW38" s="203">
        <f t="shared" si="55"/>
        <v>5.4880442543177952E-3</v>
      </c>
      <c r="CX38" s="203">
        <f t="shared" si="55"/>
        <v>6.8654777541044092E-3</v>
      </c>
    </row>
    <row r="39" spans="2:104">
      <c r="J39" s="964"/>
      <c r="K39" s="964"/>
      <c r="L39" s="964"/>
      <c r="M39" s="964"/>
      <c r="N39" s="964"/>
      <c r="O39" s="964"/>
      <c r="P39" s="964"/>
      <c r="Q39" s="964"/>
      <c r="S39" s="112"/>
      <c r="T39" s="112"/>
      <c r="U39" s="112"/>
      <c r="V39" s="112"/>
      <c r="W39" s="112"/>
      <c r="X39" s="112"/>
      <c r="Y39" s="112"/>
      <c r="Z39" s="112"/>
      <c r="AB39" s="41"/>
      <c r="AC39" s="41"/>
      <c r="AD39" s="41"/>
      <c r="AE39" s="41"/>
      <c r="AF39" s="41"/>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Y39" s="112"/>
      <c r="BZ39" s="112"/>
      <c r="CA39" s="112"/>
      <c r="CB39" s="112"/>
      <c r="CC39" s="112"/>
      <c r="CD39" s="112"/>
      <c r="CE39" s="112"/>
      <c r="CF39" s="112"/>
      <c r="CH39" s="112"/>
      <c r="CI39" s="112"/>
      <c r="CJ39" s="112"/>
      <c r="CK39" s="112"/>
      <c r="CL39" s="112"/>
      <c r="CM39" s="112"/>
      <c r="CN39" s="112"/>
      <c r="CO39" s="112"/>
      <c r="CQ39" s="112"/>
      <c r="CR39" s="112"/>
      <c r="CS39" s="112"/>
      <c r="CT39" s="112"/>
      <c r="CU39" s="112"/>
      <c r="CV39" s="112"/>
      <c r="CW39" s="112"/>
      <c r="CX39" s="112"/>
    </row>
    <row r="40" spans="2:104" ht="45" outlineLevel="1">
      <c r="B40" s="2" t="s">
        <v>310</v>
      </c>
      <c r="J40" s="961" t="s">
        <v>79</v>
      </c>
      <c r="K40" s="962"/>
      <c r="L40" s="962"/>
      <c r="M40" s="962"/>
      <c r="N40" s="962"/>
      <c r="O40" s="962"/>
      <c r="P40" s="962"/>
      <c r="Q40" s="963"/>
      <c r="S40" s="961" t="s">
        <v>174</v>
      </c>
      <c r="T40" s="962"/>
      <c r="U40" s="962"/>
      <c r="V40" s="962"/>
      <c r="W40" s="962"/>
      <c r="X40" s="962"/>
      <c r="Y40" s="962"/>
      <c r="Z40" s="963"/>
      <c r="AA40" s="57"/>
      <c r="AB40" s="9" t="s">
        <v>180</v>
      </c>
      <c r="AC40" s="9" t="s">
        <v>181</v>
      </c>
      <c r="AD40" s="9" t="s">
        <v>182</v>
      </c>
      <c r="AE40" s="9" t="s">
        <v>183</v>
      </c>
      <c r="AF40" s="9" t="s">
        <v>5</v>
      </c>
      <c r="AG40" s="9" t="s">
        <v>173</v>
      </c>
      <c r="AH40" s="9" t="s">
        <v>180</v>
      </c>
      <c r="AI40" s="9" t="s">
        <v>181</v>
      </c>
      <c r="AJ40" s="9" t="s">
        <v>182</v>
      </c>
      <c r="AK40" s="9" t="s">
        <v>183</v>
      </c>
      <c r="AL40" s="9" t="s">
        <v>5</v>
      </c>
      <c r="AM40" s="9" t="s">
        <v>173</v>
      </c>
      <c r="AN40" s="9" t="s">
        <v>180</v>
      </c>
      <c r="AO40" s="9" t="s">
        <v>181</v>
      </c>
      <c r="AP40" s="9" t="s">
        <v>182</v>
      </c>
      <c r="AQ40" s="9" t="s">
        <v>183</v>
      </c>
      <c r="AR40" s="9" t="s">
        <v>5</v>
      </c>
      <c r="AS40" s="9" t="s">
        <v>173</v>
      </c>
      <c r="AT40" s="9" t="s">
        <v>180</v>
      </c>
      <c r="AU40" s="9" t="s">
        <v>181</v>
      </c>
      <c r="AV40" s="9" t="s">
        <v>182</v>
      </c>
      <c r="AW40" s="9" t="s">
        <v>183</v>
      </c>
      <c r="AX40" s="9" t="s">
        <v>5</v>
      </c>
      <c r="AY40" s="9" t="s">
        <v>173</v>
      </c>
      <c r="AZ40" s="9" t="s">
        <v>180</v>
      </c>
      <c r="BA40" s="9" t="s">
        <v>181</v>
      </c>
      <c r="BB40" s="9" t="s">
        <v>182</v>
      </c>
      <c r="BC40" s="9" t="s">
        <v>183</v>
      </c>
      <c r="BD40" s="9" t="s">
        <v>5</v>
      </c>
      <c r="BE40" s="9" t="s">
        <v>173</v>
      </c>
      <c r="BF40" s="9" t="s">
        <v>180</v>
      </c>
      <c r="BG40" s="9" t="s">
        <v>181</v>
      </c>
      <c r="BH40" s="9" t="s">
        <v>182</v>
      </c>
      <c r="BI40" s="9" t="s">
        <v>183</v>
      </c>
      <c r="BJ40" s="9" t="s">
        <v>5</v>
      </c>
      <c r="BK40" s="9" t="s">
        <v>173</v>
      </c>
      <c r="BL40" s="9" t="s">
        <v>180</v>
      </c>
      <c r="BM40" s="9" t="s">
        <v>181</v>
      </c>
      <c r="BN40" s="9" t="s">
        <v>182</v>
      </c>
      <c r="BO40" s="9" t="s">
        <v>183</v>
      </c>
      <c r="BP40" s="9" t="s">
        <v>5</v>
      </c>
      <c r="BQ40" s="9" t="s">
        <v>173</v>
      </c>
      <c r="BR40" s="9" t="s">
        <v>180</v>
      </c>
      <c r="BS40" s="9" t="s">
        <v>181</v>
      </c>
      <c r="BT40" s="9" t="s">
        <v>182</v>
      </c>
      <c r="BU40" s="9" t="s">
        <v>183</v>
      </c>
      <c r="BV40" s="9" t="s">
        <v>5</v>
      </c>
      <c r="BW40" s="9" t="s">
        <v>173</v>
      </c>
      <c r="BX40" s="57"/>
      <c r="BY40" s="961" t="s">
        <v>297</v>
      </c>
      <c r="BZ40" s="962"/>
      <c r="CA40" s="962"/>
      <c r="CB40" s="962"/>
      <c r="CC40" s="962"/>
      <c r="CD40" s="962"/>
      <c r="CE40" s="962"/>
      <c r="CF40" s="963"/>
      <c r="CG40" s="57"/>
      <c r="CH40" s="961" t="s">
        <v>175</v>
      </c>
      <c r="CI40" s="962"/>
      <c r="CJ40" s="962"/>
      <c r="CK40" s="962"/>
      <c r="CL40" s="962"/>
      <c r="CM40" s="962"/>
      <c r="CN40" s="962"/>
      <c r="CO40" s="963"/>
      <c r="CP40" s="57"/>
      <c r="CQ40" s="961" t="s">
        <v>237</v>
      </c>
      <c r="CR40" s="962"/>
      <c r="CS40" s="962"/>
      <c r="CT40" s="962"/>
      <c r="CU40" s="962"/>
      <c r="CV40" s="962"/>
      <c r="CW40" s="962"/>
      <c r="CX40" s="963"/>
    </row>
    <row r="41" spans="2:104" outlineLevel="1">
      <c r="B41" s="8" t="s">
        <v>23</v>
      </c>
      <c r="C41" s="8" t="s">
        <v>24</v>
      </c>
      <c r="D41" s="17" t="s">
        <v>98</v>
      </c>
      <c r="E41" s="17" t="s">
        <v>76</v>
      </c>
      <c r="F41" s="17" t="s">
        <v>77</v>
      </c>
      <c r="G41" s="17" t="s">
        <v>322</v>
      </c>
      <c r="H41" s="17" t="s">
        <v>212</v>
      </c>
      <c r="I41" s="17" t="s">
        <v>177</v>
      </c>
      <c r="J41" s="331">
        <f>CP_Yr_4</f>
        <v>43800</v>
      </c>
      <c r="K41" s="331">
        <f>CP_Yr_5</f>
        <v>44166</v>
      </c>
      <c r="L41" s="331">
        <f>Stub</f>
        <v>44377</v>
      </c>
      <c r="M41" s="331">
        <f>Yr_1</f>
        <v>44742</v>
      </c>
      <c r="N41" s="331">
        <f>Yr_2</f>
        <v>45107</v>
      </c>
      <c r="O41" s="331">
        <f>Yr_3</f>
        <v>45473</v>
      </c>
      <c r="P41" s="331">
        <f>Yr_4</f>
        <v>45838</v>
      </c>
      <c r="Q41" s="331">
        <f>Yr_5</f>
        <v>46203</v>
      </c>
      <c r="S41" s="331">
        <f>CP_Yr_4</f>
        <v>43800</v>
      </c>
      <c r="T41" s="331">
        <f>CP_Yr_5</f>
        <v>44166</v>
      </c>
      <c r="U41" s="331">
        <f>Stub</f>
        <v>44377</v>
      </c>
      <c r="V41" s="331">
        <f>Yr_1</f>
        <v>44742</v>
      </c>
      <c r="W41" s="331">
        <f>Yr_2</f>
        <v>45107</v>
      </c>
      <c r="X41" s="331">
        <f>Yr_3</f>
        <v>45473</v>
      </c>
      <c r="Y41" s="331">
        <f>Yr_4</f>
        <v>45838</v>
      </c>
      <c r="Z41" s="331">
        <f>Yr_5</f>
        <v>46203</v>
      </c>
      <c r="AB41" s="331">
        <f>AB5</f>
        <v>43800</v>
      </c>
      <c r="AC41" s="331">
        <f t="shared" ref="AC41:BW41" si="56">AC5</f>
        <v>43800</v>
      </c>
      <c r="AD41" s="331">
        <f t="shared" si="56"/>
        <v>43800</v>
      </c>
      <c r="AE41" s="331">
        <f t="shared" si="56"/>
        <v>43800</v>
      </c>
      <c r="AF41" s="331">
        <f t="shared" si="56"/>
        <v>43800</v>
      </c>
      <c r="AG41" s="331">
        <f t="shared" si="56"/>
        <v>43800</v>
      </c>
      <c r="AH41" s="331">
        <f t="shared" si="56"/>
        <v>44166</v>
      </c>
      <c r="AI41" s="331">
        <f t="shared" si="56"/>
        <v>44166</v>
      </c>
      <c r="AJ41" s="331">
        <f t="shared" si="56"/>
        <v>44166</v>
      </c>
      <c r="AK41" s="331">
        <f t="shared" si="56"/>
        <v>44166</v>
      </c>
      <c r="AL41" s="331">
        <f t="shared" si="56"/>
        <v>44166</v>
      </c>
      <c r="AM41" s="331">
        <f t="shared" si="56"/>
        <v>44166</v>
      </c>
      <c r="AN41" s="331">
        <f t="shared" si="56"/>
        <v>44377</v>
      </c>
      <c r="AO41" s="331">
        <f t="shared" si="56"/>
        <v>44377</v>
      </c>
      <c r="AP41" s="331">
        <f t="shared" si="56"/>
        <v>44377</v>
      </c>
      <c r="AQ41" s="331">
        <f t="shared" si="56"/>
        <v>44377</v>
      </c>
      <c r="AR41" s="331">
        <f t="shared" si="56"/>
        <v>44377</v>
      </c>
      <c r="AS41" s="331">
        <f t="shared" si="56"/>
        <v>44377</v>
      </c>
      <c r="AT41" s="331">
        <f t="shared" si="56"/>
        <v>44742</v>
      </c>
      <c r="AU41" s="331">
        <f t="shared" si="56"/>
        <v>44742</v>
      </c>
      <c r="AV41" s="331">
        <f t="shared" si="56"/>
        <v>44742</v>
      </c>
      <c r="AW41" s="331">
        <f t="shared" si="56"/>
        <v>44742</v>
      </c>
      <c r="AX41" s="331">
        <f t="shared" si="56"/>
        <v>44742</v>
      </c>
      <c r="AY41" s="331">
        <f t="shared" si="56"/>
        <v>44742</v>
      </c>
      <c r="AZ41" s="331">
        <f t="shared" si="56"/>
        <v>45107</v>
      </c>
      <c r="BA41" s="331">
        <f t="shared" si="56"/>
        <v>45107</v>
      </c>
      <c r="BB41" s="331">
        <f t="shared" si="56"/>
        <v>45107</v>
      </c>
      <c r="BC41" s="331">
        <f t="shared" si="56"/>
        <v>45107</v>
      </c>
      <c r="BD41" s="331">
        <f t="shared" si="56"/>
        <v>45107</v>
      </c>
      <c r="BE41" s="331">
        <f t="shared" si="56"/>
        <v>45107</v>
      </c>
      <c r="BF41" s="331">
        <f t="shared" si="56"/>
        <v>45473</v>
      </c>
      <c r="BG41" s="331">
        <f t="shared" si="56"/>
        <v>45473</v>
      </c>
      <c r="BH41" s="331">
        <f t="shared" si="56"/>
        <v>45473</v>
      </c>
      <c r="BI41" s="331">
        <f t="shared" si="56"/>
        <v>45473</v>
      </c>
      <c r="BJ41" s="331">
        <f t="shared" si="56"/>
        <v>45473</v>
      </c>
      <c r="BK41" s="331">
        <f t="shared" si="56"/>
        <v>45473</v>
      </c>
      <c r="BL41" s="331">
        <f t="shared" si="56"/>
        <v>45838</v>
      </c>
      <c r="BM41" s="331">
        <f t="shared" si="56"/>
        <v>45838</v>
      </c>
      <c r="BN41" s="331">
        <f t="shared" si="56"/>
        <v>45838</v>
      </c>
      <c r="BO41" s="331">
        <f t="shared" si="56"/>
        <v>45838</v>
      </c>
      <c r="BP41" s="331">
        <f t="shared" si="56"/>
        <v>45838</v>
      </c>
      <c r="BQ41" s="331">
        <f t="shared" si="56"/>
        <v>45838</v>
      </c>
      <c r="BR41" s="331">
        <f t="shared" si="56"/>
        <v>46203</v>
      </c>
      <c r="BS41" s="331">
        <f t="shared" si="56"/>
        <v>46203</v>
      </c>
      <c r="BT41" s="331">
        <f t="shared" si="56"/>
        <v>46203</v>
      </c>
      <c r="BU41" s="331">
        <f t="shared" si="56"/>
        <v>46203</v>
      </c>
      <c r="BV41" s="331">
        <f t="shared" si="56"/>
        <v>46203</v>
      </c>
      <c r="BW41" s="331">
        <f t="shared" si="56"/>
        <v>46203</v>
      </c>
      <c r="BY41" s="331">
        <f>CP_Yr_4</f>
        <v>43800</v>
      </c>
      <c r="BZ41" s="331">
        <f>CP_Yr_5</f>
        <v>44166</v>
      </c>
      <c r="CA41" s="331">
        <f>Stub</f>
        <v>44377</v>
      </c>
      <c r="CB41" s="331">
        <f>Yr_1</f>
        <v>44742</v>
      </c>
      <c r="CC41" s="331">
        <f>Yr_2</f>
        <v>45107</v>
      </c>
      <c r="CD41" s="331">
        <f>Yr_3</f>
        <v>45473</v>
      </c>
      <c r="CE41" s="331">
        <f>Yr_4</f>
        <v>45838</v>
      </c>
      <c r="CF41" s="331">
        <f>Yr_5</f>
        <v>46203</v>
      </c>
      <c r="CH41" s="331">
        <f>CP_Yr_4</f>
        <v>43800</v>
      </c>
      <c r="CI41" s="331">
        <f>CP_Yr_5</f>
        <v>44166</v>
      </c>
      <c r="CJ41" s="331">
        <f>Stub</f>
        <v>44377</v>
      </c>
      <c r="CK41" s="331">
        <f>Yr_1</f>
        <v>44742</v>
      </c>
      <c r="CL41" s="331">
        <f>Yr_2</f>
        <v>45107</v>
      </c>
      <c r="CM41" s="331">
        <f>Yr_3</f>
        <v>45473</v>
      </c>
      <c r="CN41" s="331">
        <f>Yr_4</f>
        <v>45838</v>
      </c>
      <c r="CO41" s="331">
        <f>Yr_5</f>
        <v>46203</v>
      </c>
      <c r="CQ41" s="331">
        <f>CP_Yr_4</f>
        <v>43800</v>
      </c>
      <c r="CR41" s="331">
        <f>CP_Yr_5</f>
        <v>44166</v>
      </c>
      <c r="CS41" s="331">
        <f>Stub</f>
        <v>44377</v>
      </c>
      <c r="CT41" s="331">
        <f>Yr_1</f>
        <v>44742</v>
      </c>
      <c r="CU41" s="331">
        <f>Yr_2</f>
        <v>45107</v>
      </c>
      <c r="CV41" s="331">
        <f>Yr_3</f>
        <v>45473</v>
      </c>
      <c r="CW41" s="331">
        <f>Yr_4</f>
        <v>45838</v>
      </c>
      <c r="CX41" s="331">
        <f>Yr_5</f>
        <v>46203</v>
      </c>
    </row>
    <row r="42" spans="2:104" outlineLevel="1">
      <c r="B42" s="7" t="s">
        <v>441</v>
      </c>
      <c r="C42" s="7"/>
      <c r="D42" s="7" t="s">
        <v>58</v>
      </c>
      <c r="E42" s="7" t="s">
        <v>45</v>
      </c>
      <c r="F42" s="7" t="s">
        <v>55</v>
      </c>
      <c r="G42" s="7" t="s">
        <v>150</v>
      </c>
      <c r="H42" s="7" t="s">
        <v>157</v>
      </c>
      <c r="I42" s="7" t="s">
        <v>197</v>
      </c>
      <c r="J42" s="45"/>
      <c r="K42" s="45"/>
      <c r="L42" s="45"/>
      <c r="M42" s="45"/>
      <c r="N42" s="45"/>
      <c r="O42" s="45"/>
      <c r="P42" s="45"/>
      <c r="Q42" s="45"/>
      <c r="S42" s="47">
        <f>INDEX(Direct_Cost_Splits_Network,MATCH($H42,RIN_Asset_Cat_Network,0),MATCH($S$4,Direct_Cost_Type,0))*J42</f>
        <v>0</v>
      </c>
      <c r="T42" s="47">
        <f>INDEX(Direct_Cost_Splits_Network,MATCH($H42,RIN_Asset_Cat_Network,0),MATCH($S$4,Direct_Cost_Type,0))*K42</f>
        <v>0</v>
      </c>
      <c r="U42" s="47"/>
      <c r="V42" s="47">
        <f>INDEX(Direct_Cost_Splits_Network,MATCH($H42,RIN_Asset_Cat_Network,0),MATCH($S$4,Direct_Cost_Type,0))*M42</f>
        <v>0</v>
      </c>
      <c r="W42" s="47">
        <f>INDEX(Direct_Cost_Splits_Network,MATCH($H42,RIN_Asset_Cat_Network,0),MATCH($S$4,Direct_Cost_Type,0))*N42</f>
        <v>0</v>
      </c>
      <c r="X42" s="47">
        <f>INDEX(Direct_Cost_Splits_Network,MATCH($H42,RIN_Asset_Cat_Network,0),MATCH($S$4,Direct_Cost_Type,0))*O42</f>
        <v>0</v>
      </c>
      <c r="Y42" s="47">
        <f>INDEX(Direct_Cost_Splits_Network,MATCH($H42,RIN_Asset_Cat_Network,0),MATCH($S$4,Direct_Cost_Type,0))*P42</f>
        <v>0</v>
      </c>
      <c r="Z42" s="47">
        <f>INDEX(Direct_Cost_Splits_Network,MATCH($H42,RIN_Asset_Cat_Network,0),MATCH($S$4,Direct_Cost_Type,0))*Q42</f>
        <v>0</v>
      </c>
      <c r="AB42" s="47">
        <f>INDEX(Direct_Cost_Splits_Network,MATCH($H42,RIN_Asset_Cat_Network,0),MATCH($AG$4,Direct_Cost_Type,0))*$J42*INDEX(Act_Type_Repex_Splits,MATCH($I42,Act_Type_Repex,0),MATCH(AB$4,Mat_Type,0))*INDEX(Escalators!$I$44:$Q$49,MATCH(AB$4,Escalators!$C$44:$C$49,0),MATCH(AB$5,Escalators!$I$43:$Q$43,0))</f>
        <v>0</v>
      </c>
      <c r="AC42" s="47">
        <f>INDEX(Direct_Cost_Splits_Network,MATCH($H42,RIN_Asset_Cat_Network,0),MATCH($AG$4,Direct_Cost_Type,0))*$J42*INDEX(Act_Type_Repex_Splits,MATCH($I42,Act_Type_Repex,0),MATCH(AC$4,Mat_Type,0))*INDEX(Escalators!$I$44:$Q$49,MATCH(AC$4,Escalators!$C$44:$C$49,0),MATCH(AC$5,Escalators!$I$43:$Q$43,0))</f>
        <v>0</v>
      </c>
      <c r="AD42" s="47">
        <f>INDEX(Direct_Cost_Splits_Network,MATCH($H42,RIN_Asset_Cat_Network,0),MATCH($AG$4,Direct_Cost_Type,0))*$J42*INDEX(Act_Type_Repex_Splits,MATCH($I42,Act_Type_Repex,0),MATCH(AD$4,Mat_Type,0))*INDEX(Escalators!$I$44:$Q$49,MATCH(AD$4,Escalators!$C$44:$C$49,0),MATCH(AD$5,Escalators!$I$43:$Q$43,0))</f>
        <v>0</v>
      </c>
      <c r="AE42" s="47">
        <f>INDEX(Direct_Cost_Splits_Network,MATCH($H42,RIN_Asset_Cat_Network,0),MATCH($AG$4,Direct_Cost_Type,0))*$J42*INDEX(Act_Type_Repex_Splits,MATCH($I42,Act_Type_Repex,0),MATCH(AE$4,Mat_Type,0))*INDEX(Escalators!$I$44:$Q$49,MATCH(AE$4,Escalators!$C$44:$C$49,0),MATCH(AE$5,Escalators!$I$43:$Q$43,0))</f>
        <v>0</v>
      </c>
      <c r="AF42" s="47">
        <f>INDEX(Direct_Cost_Splits_Network,MATCH($H42,RIN_Asset_Cat_Network,0),MATCH($AG$4,Direct_Cost_Type,0))*$J42*INDEX(Act_Type_Repex_Splits,MATCH($I42,Act_Type_Repex,0),MATCH(AF$4,Mat_Type,0))*INDEX(Escalators!$I$44:$Q$49,MATCH(AF$4,Escalators!$C$44:$C$49,0),MATCH(AF$5,Escalators!$I$43:$Q$43,0))</f>
        <v>0</v>
      </c>
      <c r="AG42" s="47">
        <f>SUM(AB42:AF42)</f>
        <v>0</v>
      </c>
      <c r="AH42" s="47">
        <f>INDEX(Direct_Cost_Splits_Network,MATCH($H42,RIN_Asset_Cat_Network,0),MATCH($AY$4,Direct_Cost_Type,0))*$M42*INDEX(Act_Type_Repex_Splits,MATCH($I42,Act_Type_Repex,0),MATCH(AH$4,Mat_Type,0))*INDEX(Escalators!$I$44:$U$49,MATCH(AH$4,Escalators!$C$44:$C$49,0),MATCH(AH$5,Escalators!$I$43:$U$43,0))</f>
        <v>0</v>
      </c>
      <c r="AI42" s="47">
        <f>INDEX(Direct_Cost_Splits_Network,MATCH($H42,RIN_Asset_Cat_Network,0),MATCH($AY$4,Direct_Cost_Type,0))*$M42*INDEX(Act_Type_Repex_Splits,MATCH($I42,Act_Type_Repex,0),MATCH(AI$4,Mat_Type,0))*INDEX(Escalators!$I$44:$U$49,MATCH(AI$4,Escalators!$C$44:$C$49,0),MATCH(AI$5,Escalators!$I$43:$U$43,0))</f>
        <v>0</v>
      </c>
      <c r="AJ42" s="47">
        <f>INDEX(Direct_Cost_Splits_Network,MATCH($H42,RIN_Asset_Cat_Network,0),MATCH($AY$4,Direct_Cost_Type,0))*$M42*INDEX(Act_Type_Repex_Splits,MATCH($I42,Act_Type_Repex,0),MATCH(AJ$4,Mat_Type,0))*INDEX(Escalators!$I$44:$U$49,MATCH(AJ$4,Escalators!$C$44:$C$49,0),MATCH(AJ$5,Escalators!$I$43:$U$43,0))</f>
        <v>0</v>
      </c>
      <c r="AK42" s="47">
        <f>INDEX(Direct_Cost_Splits_Network,MATCH($H42,RIN_Asset_Cat_Network,0),MATCH($AY$4,Direct_Cost_Type,0))*$M42*INDEX(Act_Type_Repex_Splits,MATCH($I42,Act_Type_Repex,0),MATCH(AK$4,Mat_Type,0))*INDEX(Escalators!$I$44:$U$49,MATCH(AK$4,Escalators!$C$44:$C$49,0),MATCH(AK$5,Escalators!$I$43:$U$43,0))</f>
        <v>0</v>
      </c>
      <c r="AL42" s="47">
        <f>INDEX(Direct_Cost_Splits_Network,MATCH($H42,RIN_Asset_Cat_Network,0),MATCH($AY$4,Direct_Cost_Type,0))*$M42*INDEX(Act_Type_Repex_Splits,MATCH($I42,Act_Type_Repex,0),MATCH(AL$4,Mat_Type,0))*INDEX(Escalators!$I$44:$U$49,MATCH(AL$4,Escalators!$C$44:$C$49,0),MATCH(AL$5,Escalators!$I$43:$U$43,0))</f>
        <v>0</v>
      </c>
      <c r="AM42" s="47">
        <f>SUM(AH42:AL42)</f>
        <v>0</v>
      </c>
      <c r="AN42" s="47">
        <f>INDEX(Direct_Cost_Splits_Network,MATCH($H42,RIN_Asset_Cat_Network,0),MATCH($AY$4,Direct_Cost_Type,0))*$L42*INDEX(Act_Type_Repex_Splits,MATCH($I42,Act_Type_Repex,0),MATCH(AN$4,Mat_Type,0))*INDEX(Escalators!$I$44:$U$49,MATCH(AN$4,Escalators!$C$44:$C$49,0),MATCH(AN$5,Escalators!$I$43:$U$43,0))</f>
        <v>0</v>
      </c>
      <c r="AO42" s="47">
        <f>INDEX(Direct_Cost_Splits_Network,MATCH($H42,RIN_Asset_Cat_Network,0),MATCH($AY$4,Direct_Cost_Type,0))*$L42*INDEX(Act_Type_Repex_Splits,MATCH($I42,Act_Type_Repex,0),MATCH(AO$4,Mat_Type,0))*INDEX(Escalators!$I$44:$U$49,MATCH(AO$4,Escalators!$C$44:$C$49,0),MATCH(AO$5,Escalators!$I$43:$U$43,0))</f>
        <v>0</v>
      </c>
      <c r="AP42" s="47">
        <f>INDEX(Direct_Cost_Splits_Network,MATCH($H42,RIN_Asset_Cat_Network,0),MATCH($AY$4,Direct_Cost_Type,0))*$L42*INDEX(Act_Type_Repex_Splits,MATCH($I42,Act_Type_Repex,0),MATCH(AP$4,Mat_Type,0))*INDEX(Escalators!$I$44:$U$49,MATCH(AP$4,Escalators!$C$44:$C$49,0),MATCH(AP$5,Escalators!$I$43:$U$43,0))</f>
        <v>0</v>
      </c>
      <c r="AQ42" s="47">
        <f>INDEX(Direct_Cost_Splits_Network,MATCH($H42,RIN_Asset_Cat_Network,0),MATCH($AY$4,Direct_Cost_Type,0))*$L42*INDEX(Act_Type_Repex_Splits,MATCH($I42,Act_Type_Repex,0),MATCH(AQ$4,Mat_Type,0))*INDEX(Escalators!$I$44:$U$49,MATCH(AQ$4,Escalators!$C$44:$C$49,0),MATCH(AQ$5,Escalators!$I$43:$U$43,0))</f>
        <v>0</v>
      </c>
      <c r="AR42" s="47">
        <f>INDEX(Direct_Cost_Splits_Network,MATCH($H42,RIN_Asset_Cat_Network,0),MATCH($AY$4,Direct_Cost_Type,0))*$L42*INDEX(Act_Type_Repex_Splits,MATCH($I42,Act_Type_Repex,0),MATCH(AR$4,Mat_Type,0))*INDEX(Escalators!$I$44:$U$49,MATCH(AR$4,Escalators!$C$44:$C$49,0),MATCH(AR$5,Escalators!$I$43:$U$43,0))</f>
        <v>0</v>
      </c>
      <c r="AS42" s="47">
        <f>SUM(AN42:AR42)</f>
        <v>0</v>
      </c>
      <c r="AT42" s="47">
        <f>INDEX(Direct_Cost_Splits_Network,MATCH($H42,RIN_Asset_Cat_Network,0),MATCH($AY$4,Direct_Cost_Type,0))*$M42*INDEX(Act_Type_Repex_Splits,MATCH($I42,Act_Type_Repex,0),MATCH(AT$4,Mat_Type,0))*INDEX(Escalators!$I$44:$U$49,MATCH(AT$4,Escalators!$C$44:$C$49,0),MATCH(AT$5,Escalators!$I$43:$U$43,0))</f>
        <v>0</v>
      </c>
      <c r="AU42" s="47">
        <f>INDEX(Direct_Cost_Splits_Network,MATCH($H42,RIN_Asset_Cat_Network,0),MATCH($AY$4,Direct_Cost_Type,0))*$M42*INDEX(Act_Type_Repex_Splits,MATCH($I42,Act_Type_Repex,0),MATCH(AU$4,Mat_Type,0))*INDEX(Escalators!$I$44:$U$49,MATCH(AU$4,Escalators!$C$44:$C$49,0),MATCH(AU$5,Escalators!$I$43:$U$43,0))</f>
        <v>0</v>
      </c>
      <c r="AV42" s="47">
        <f>INDEX(Direct_Cost_Splits_Network,MATCH($H42,RIN_Asset_Cat_Network,0),MATCH($AY$4,Direct_Cost_Type,0))*$M42*INDEX(Act_Type_Repex_Splits,MATCH($I42,Act_Type_Repex,0),MATCH(AV$4,Mat_Type,0))*INDEX(Escalators!$I$44:$U$49,MATCH(AV$4,Escalators!$C$44:$C$49,0),MATCH(AV$5,Escalators!$I$43:$U$43,0))</f>
        <v>0</v>
      </c>
      <c r="AW42" s="47">
        <f>INDEX(Direct_Cost_Splits_Network,MATCH($H42,RIN_Asset_Cat_Network,0),MATCH($AY$4,Direct_Cost_Type,0))*$M42*INDEX(Act_Type_Repex_Splits,MATCH($I42,Act_Type_Repex,0),MATCH(AW$4,Mat_Type,0))*INDEX(Escalators!$I$44:$U$49,MATCH(AW$4,Escalators!$C$44:$C$49,0),MATCH(AW$5,Escalators!$I$43:$U$43,0))</f>
        <v>0</v>
      </c>
      <c r="AX42" s="47">
        <f>INDEX(Direct_Cost_Splits_Network,MATCH($H42,RIN_Asset_Cat_Network,0),MATCH($AY$4,Direct_Cost_Type,0))*$M42*INDEX(Act_Type_Repex_Splits,MATCH($I42,Act_Type_Repex,0),MATCH(AX$4,Mat_Type,0))*INDEX(Escalators!$I$44:$U$49,MATCH(AX$4,Escalators!$C$44:$C$49,0),MATCH(AX$5,Escalators!$I$43:$U$43,0))</f>
        <v>0</v>
      </c>
      <c r="AY42" s="47">
        <f>SUM(AT42:AX42)</f>
        <v>0</v>
      </c>
      <c r="AZ42" s="47">
        <f>INDEX(Direct_Cost_Splits_Network,MATCH($H42,RIN_Asset_Cat_Network,0),MATCH($BE$4,Direct_Cost_Type,0))*$N42*INDEX(Act_Type_Repex_Splits,MATCH($I42,Act_Type_Repex,0),MATCH(AZ$4,Mat_Type,0))*INDEX(Escalators!$I$44:$U$49,MATCH(AZ$4,Escalators!$C$44:$C$49,0),MATCH(AZ$5,Escalators!$I$43:$U$43,0))</f>
        <v>0</v>
      </c>
      <c r="BA42" s="47">
        <f>INDEX(Direct_Cost_Splits_Network,MATCH($H42,RIN_Asset_Cat_Network,0),MATCH($BE$4,Direct_Cost_Type,0))*$N42*INDEX(Act_Type_Repex_Splits,MATCH($I42,Act_Type_Repex,0),MATCH(BA$4,Mat_Type,0))*INDEX(Escalators!$I$44:$U$49,MATCH(BA$4,Escalators!$C$44:$C$49,0),MATCH(BA$5,Escalators!$I$43:$U$43,0))</f>
        <v>0</v>
      </c>
      <c r="BB42" s="47">
        <f>INDEX(Direct_Cost_Splits_Network,MATCH($H42,RIN_Asset_Cat_Network,0),MATCH($BE$4,Direct_Cost_Type,0))*$N42*INDEX(Act_Type_Repex_Splits,MATCH($I42,Act_Type_Repex,0),MATCH(BB$4,Mat_Type,0))*INDEX(Escalators!$I$44:$U$49,MATCH(BB$4,Escalators!$C$44:$C$49,0),MATCH(BB$5,Escalators!$I$43:$U$43,0))</f>
        <v>0</v>
      </c>
      <c r="BC42" s="47">
        <f>INDEX(Direct_Cost_Splits_Network,MATCH($H42,RIN_Asset_Cat_Network,0),MATCH($BE$4,Direct_Cost_Type,0))*$N42*INDEX(Act_Type_Repex_Splits,MATCH($I42,Act_Type_Repex,0),MATCH(BC$4,Mat_Type,0))*INDEX(Escalators!$I$44:$U$49,MATCH(BC$4,Escalators!$C$44:$C$49,0),MATCH(BC$5,Escalators!$I$43:$U$43,0))</f>
        <v>0</v>
      </c>
      <c r="BD42" s="47">
        <f>INDEX(Direct_Cost_Splits_Network,MATCH($H42,RIN_Asset_Cat_Network,0),MATCH($BE$4,Direct_Cost_Type,0))*$N42*INDEX(Act_Type_Repex_Splits,MATCH($I42,Act_Type_Repex,0),MATCH(BD$4,Mat_Type,0))*INDEX(Escalators!$I$44:$U$49,MATCH(BD$4,Escalators!$C$44:$C$49,0),MATCH(BD$5,Escalators!$I$43:$U$43,0))</f>
        <v>0</v>
      </c>
      <c r="BE42" s="47">
        <f>SUM(AZ42:BD42)</f>
        <v>0</v>
      </c>
      <c r="BF42" s="47">
        <f>INDEX(Direct_Cost_Splits_Network,MATCH($H42,RIN_Asset_Cat_Network,0),MATCH($BK$4,Direct_Cost_Type,0))*$O42*INDEX(Act_Type_Repex_Splits,MATCH($I42,Act_Type_Repex,0),MATCH(BF$4,Mat_Type,0))*INDEX(Escalators!$I$44:$U$49,MATCH(BF$4,Escalators!$C$44:$C$49,0),MATCH(BF$5,Escalators!$I$43:$U$43,0))</f>
        <v>0</v>
      </c>
      <c r="BG42" s="47">
        <f>INDEX(Direct_Cost_Splits_Network,MATCH($H42,RIN_Asset_Cat_Network,0),MATCH($BK$4,Direct_Cost_Type,0))*$O42*INDEX(Act_Type_Repex_Splits,MATCH($I42,Act_Type_Repex,0),MATCH(BG$4,Mat_Type,0))*INDEX(Escalators!$I$44:$U$49,MATCH(BG$4,Escalators!$C$44:$C$49,0),MATCH(BG$5,Escalators!$I$43:$U$43,0))</f>
        <v>0</v>
      </c>
      <c r="BH42" s="47">
        <f>INDEX(Direct_Cost_Splits_Network,MATCH($H42,RIN_Asset_Cat_Network,0),MATCH($BK$4,Direct_Cost_Type,0))*$O42*INDEX(Act_Type_Repex_Splits,MATCH($I42,Act_Type_Repex,0),MATCH(BH$4,Mat_Type,0))*INDEX(Escalators!$I$44:$U$49,MATCH(BH$4,Escalators!$C$44:$C$49,0),MATCH(BH$5,Escalators!$I$43:$U$43,0))</f>
        <v>0</v>
      </c>
      <c r="BI42" s="47">
        <f>INDEX(Direct_Cost_Splits_Network,MATCH($H42,RIN_Asset_Cat_Network,0),MATCH($BK$4,Direct_Cost_Type,0))*$O42*INDEX(Act_Type_Repex_Splits,MATCH($I42,Act_Type_Repex,0),MATCH(BI$4,Mat_Type,0))*INDEX(Escalators!$I$44:$U$49,MATCH(BI$4,Escalators!$C$44:$C$49,0),MATCH(BI$5,Escalators!$I$43:$U$43,0))</f>
        <v>0</v>
      </c>
      <c r="BJ42" s="47">
        <f>INDEX(Direct_Cost_Splits_Network,MATCH($H42,RIN_Asset_Cat_Network,0),MATCH($BK$4,Direct_Cost_Type,0))*$O42*INDEX(Act_Type_Repex_Splits,MATCH($I42,Act_Type_Repex,0),MATCH(BJ$4,Mat_Type,0))*INDEX(Escalators!$I$44:$U$49,MATCH(BJ$4,Escalators!$C$44:$C$49,0),MATCH(BJ$5,Escalators!$I$43:$U$43,0))</f>
        <v>0</v>
      </c>
      <c r="BK42" s="47">
        <f>SUM(BF42:BJ42)</f>
        <v>0</v>
      </c>
      <c r="BL42" s="47">
        <f>INDEX(Direct_Cost_Splits_Network,MATCH($H42,RIN_Asset_Cat_Network,0),MATCH($BQ$4,Direct_Cost_Type,0))*$P42*INDEX(Act_Type_Repex_Splits,MATCH($I42,Act_Type_Repex,0),MATCH(BL$4,Mat_Type,0))*INDEX(Escalators!$I$44:$U$49,MATCH(BL$4,Escalators!$C$44:$C$49,0),MATCH(BL$5,Escalators!$I$43:$U$43,0))</f>
        <v>0</v>
      </c>
      <c r="BM42" s="47">
        <f>INDEX(Direct_Cost_Splits_Network,MATCH($H42,RIN_Asset_Cat_Network,0),MATCH($BQ$4,Direct_Cost_Type,0))*$P42*INDEX(Act_Type_Repex_Splits,MATCH($I42,Act_Type_Repex,0),MATCH(BM$4,Mat_Type,0))*INDEX(Escalators!$I$44:$U$49,MATCH(BM$4,Escalators!$C$44:$C$49,0),MATCH(BM$5,Escalators!$I$43:$U$43,0))</f>
        <v>0</v>
      </c>
      <c r="BN42" s="47">
        <f>INDEX(Direct_Cost_Splits_Network,MATCH($H42,RIN_Asset_Cat_Network,0),MATCH($BQ$4,Direct_Cost_Type,0))*$P42*INDEX(Act_Type_Repex_Splits,MATCH($I42,Act_Type_Repex,0),MATCH(BN$4,Mat_Type,0))*INDEX(Escalators!$I$44:$U$49,MATCH(BN$4,Escalators!$C$44:$C$49,0),MATCH(BN$5,Escalators!$I$43:$U$43,0))</f>
        <v>0</v>
      </c>
      <c r="BO42" s="47">
        <f>INDEX(Direct_Cost_Splits_Network,MATCH($H42,RIN_Asset_Cat_Network,0),MATCH($BQ$4,Direct_Cost_Type,0))*$P42*INDEX(Act_Type_Repex_Splits,MATCH($I42,Act_Type_Repex,0),MATCH(BO$4,Mat_Type,0))*INDEX(Escalators!$I$44:$U$49,MATCH(BO$4,Escalators!$C$44:$C$49,0),MATCH(BO$5,Escalators!$I$43:$U$43,0))</f>
        <v>0</v>
      </c>
      <c r="BP42" s="47">
        <f>INDEX(Direct_Cost_Splits_Network,MATCH($H42,RIN_Asset_Cat_Network,0),MATCH($BQ$4,Direct_Cost_Type,0))*$P42*INDEX(Act_Type_Repex_Splits,MATCH($I42,Act_Type_Repex,0),MATCH(BP$4,Mat_Type,0))*INDEX(Escalators!$I$44:$U$49,MATCH(BP$4,Escalators!$C$44:$C$49,0),MATCH(BP$5,Escalators!$I$43:$U$43,0))</f>
        <v>0</v>
      </c>
      <c r="BQ42" s="47">
        <f>SUM(BL42:BP42)</f>
        <v>0</v>
      </c>
      <c r="BR42" s="47">
        <f>INDEX(Direct_Cost_Splits_Network,MATCH($H42,RIN_Asset_Cat_Network,0),MATCH($BW$4,Direct_Cost_Type,0))*$Q42*INDEX(Act_Type_Repex_Splits,MATCH($I42,Act_Type_Repex,0),MATCH(BR$4,Mat_Type,0))*INDEX(Escalators!$I$44:$U$49,MATCH(BR$4,Escalators!$C$44:$C$49,0),MATCH(BR$5,Escalators!$I$43:$U$43,0))</f>
        <v>0</v>
      </c>
      <c r="BS42" s="47">
        <f>INDEX(Direct_Cost_Splits_Network,MATCH($H42,RIN_Asset_Cat_Network,0),MATCH($BW$4,Direct_Cost_Type,0))*$Q42*INDEX(Act_Type_Repex_Splits,MATCH($I42,Act_Type_Repex,0),MATCH(BS$4,Mat_Type,0))*INDEX(Escalators!$I$44:$U$49,MATCH(BS$4,Escalators!$C$44:$C$49,0),MATCH(BS$5,Escalators!$I$43:$U$43,0))</f>
        <v>0</v>
      </c>
      <c r="BT42" s="47">
        <f>INDEX(Direct_Cost_Splits_Network,MATCH($H42,RIN_Asset_Cat_Network,0),MATCH($BW$4,Direct_Cost_Type,0))*$Q42*INDEX(Act_Type_Repex_Splits,MATCH($I42,Act_Type_Repex,0),MATCH(BT$4,Mat_Type,0))*INDEX(Escalators!$I$44:$U$49,MATCH(BT$4,Escalators!$C$44:$C$49,0),MATCH(BT$5,Escalators!$I$43:$U$43,0))</f>
        <v>0</v>
      </c>
      <c r="BU42" s="47">
        <f>INDEX(Direct_Cost_Splits_Network,MATCH($H42,RIN_Asset_Cat_Network,0),MATCH($BW$4,Direct_Cost_Type,0))*$Q42*INDEX(Act_Type_Repex_Splits,MATCH($I42,Act_Type_Repex,0),MATCH(BU$4,Mat_Type,0))*INDEX(Escalators!$I$44:$U$49,MATCH(BU$4,Escalators!$C$44:$C$49,0),MATCH(BU$5,Escalators!$I$43:$U$43,0))</f>
        <v>0</v>
      </c>
      <c r="BV42" s="47">
        <f>INDEX(Direct_Cost_Splits_Network,MATCH($H42,RIN_Asset_Cat_Network,0),MATCH($BW$4,Direct_Cost_Type,0))*$Q42*INDEX(Act_Type_Repex_Splits,MATCH($I42,Act_Type_Repex,0),MATCH(BV$4,Mat_Type,0))*INDEX(Escalators!$I$44:$U$49,MATCH(BV$4,Escalators!$C$44:$C$49,0),MATCH(BV$5,Escalators!$I$43:$U$43,0))</f>
        <v>0</v>
      </c>
      <c r="BW42" s="47">
        <f>SUM(BR42:BV42)</f>
        <v>0</v>
      </c>
      <c r="BY42" s="47">
        <f>INDEX(Lab_Mat!$D$13:$G$22,MATCH($H42,Lab_Mat!$C$13:$C$22,0),MATCH($BY$4,Lab_Mat!$D$5:$G$5,0))*J42</f>
        <v>0</v>
      </c>
      <c r="BZ42" s="47">
        <f>INDEX(Lab_Mat!$D$13:$G$22,MATCH($H42,Lab_Mat!$C$13:$C$22,0),MATCH($BY$4,Lab_Mat!$D$5:$G$5,0))*K42</f>
        <v>0</v>
      </c>
      <c r="CA42" s="47"/>
      <c r="CB42" s="47">
        <f>INDEX(Lab_Mat!$D$13:$G$22,MATCH($H42,Lab_Mat!$C$13:$C$22,0),MATCH($BY$4,Lab_Mat!$D$5:$G$5,0))*M42</f>
        <v>0</v>
      </c>
      <c r="CC42" s="47">
        <f>INDEX(Lab_Mat!$D$13:$G$22,MATCH($H42,Lab_Mat!$C$13:$C$22,0),MATCH($BY$4,Lab_Mat!$D$5:$G$5,0))*N42</f>
        <v>0</v>
      </c>
      <c r="CD42" s="47">
        <f>INDEX(Lab_Mat!$D$13:$G$22,MATCH($H42,Lab_Mat!$C$13:$C$22,0),MATCH($BY$4,Lab_Mat!$D$5:$G$5,0))*O42</f>
        <v>0</v>
      </c>
      <c r="CE42" s="47">
        <f>INDEX(Lab_Mat!$D$13:$G$22,MATCH($H42,Lab_Mat!$C$13:$C$22,0),MATCH($BY$4,Lab_Mat!$D$5:$G$5,0))*P42</f>
        <v>0</v>
      </c>
      <c r="CF42" s="47">
        <f>INDEX(Lab_Mat!$D$13:$G$22,MATCH($H42,Lab_Mat!$C$13:$C$22,0),MATCH($BY$4,Lab_Mat!$D$5:$G$5,0))*Q42</f>
        <v>0</v>
      </c>
      <c r="CH42" s="82">
        <f>INDEX(Lab_Mat!$D$13:$G$22,MATCH($H42,Lab_Mat!$C$13:$C$22,0),MATCH($CH$4,Lab_Mat!$D$5:$G$5,0))*J42</f>
        <v>0</v>
      </c>
      <c r="CI42" s="82">
        <f>INDEX(Lab_Mat!$D$13:$G$22,MATCH($H42,Lab_Mat!$C$13:$C$22,0),MATCH($CH$4,Lab_Mat!$D$5:$G$5,0))*K42</f>
        <v>0</v>
      </c>
      <c r="CJ42" s="82"/>
      <c r="CK42" s="82">
        <f>INDEX(Lab_Mat!$D$13:$G$22,MATCH($H42,Lab_Mat!$C$13:$C$22,0),MATCH($CH$4,Lab_Mat!$D$5:$G$5,0))*M42</f>
        <v>0</v>
      </c>
      <c r="CL42" s="82">
        <f>INDEX(Lab_Mat!$D$13:$G$22,MATCH($H42,Lab_Mat!$C$13:$C$22,0),MATCH($CH$4,Lab_Mat!$D$5:$G$5,0))*N42</f>
        <v>0</v>
      </c>
      <c r="CM42" s="82">
        <f>INDEX(Lab_Mat!$D$13:$G$22,MATCH($H42,Lab_Mat!$C$13:$C$22,0),MATCH($CH$4,Lab_Mat!$D$5:$G$5,0))*O42</f>
        <v>0</v>
      </c>
      <c r="CN42" s="82">
        <f>INDEX(Lab_Mat!$D$13:$G$22,MATCH($H42,Lab_Mat!$C$13:$C$22,0),MATCH($CH$4,Lab_Mat!$D$5:$G$5,0))*P42</f>
        <v>0</v>
      </c>
      <c r="CO42" s="82">
        <f>INDEX(Lab_Mat!$D$13:$G$22,MATCH($H42,Lab_Mat!$C$13:$C$22,0),MATCH($CH$4,Lab_Mat!$D$5:$G$5,0))*Q42</f>
        <v>0</v>
      </c>
      <c r="CQ42" s="47">
        <f>S42+AG42+BY42+CH42</f>
        <v>0</v>
      </c>
      <c r="CR42" s="47">
        <f>T42+AM42+BZ42+CI42</f>
        <v>0</v>
      </c>
      <c r="CS42" s="47">
        <f>U42+AS42+CA42+CJ42</f>
        <v>0</v>
      </c>
      <c r="CT42" s="47">
        <f>V42+AY42+CB42+CK42</f>
        <v>0</v>
      </c>
      <c r="CU42" s="47">
        <f>W42+BE42+CC42+CL42</f>
        <v>0</v>
      </c>
      <c r="CV42" s="47">
        <f>X42+BK42+CD42+CM42</f>
        <v>0</v>
      </c>
      <c r="CW42" s="47">
        <f>Y42+BQ42+CE42+CN42</f>
        <v>0</v>
      </c>
      <c r="CX42" s="47">
        <f>Z42+BW42+CF42+CO42</f>
        <v>0</v>
      </c>
      <c r="CZ42" s="39"/>
    </row>
    <row r="43" spans="2:104" outlineLevel="1">
      <c r="B43" s="7"/>
      <c r="C43" s="7"/>
      <c r="D43" s="7"/>
      <c r="E43" s="7"/>
      <c r="F43" s="7"/>
      <c r="G43" s="7"/>
      <c r="H43" s="7"/>
      <c r="I43" s="7"/>
      <c r="J43" s="45"/>
      <c r="K43" s="45"/>
      <c r="L43" s="45"/>
      <c r="M43" s="45"/>
      <c r="N43" s="45"/>
      <c r="O43" s="45"/>
      <c r="P43" s="45"/>
      <c r="Q43" s="45"/>
      <c r="S43" s="47"/>
      <c r="T43" s="47"/>
      <c r="U43" s="47"/>
      <c r="V43" s="47"/>
      <c r="W43" s="47"/>
      <c r="X43" s="47"/>
      <c r="Y43" s="47"/>
      <c r="Z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Y43" s="47"/>
      <c r="BZ43" s="47"/>
      <c r="CA43" s="47"/>
      <c r="CB43" s="47"/>
      <c r="CC43" s="47"/>
      <c r="CD43" s="47"/>
      <c r="CE43" s="47"/>
      <c r="CF43" s="47"/>
      <c r="CH43" s="82"/>
      <c r="CI43" s="82"/>
      <c r="CJ43" s="82"/>
      <c r="CK43" s="82"/>
      <c r="CL43" s="82"/>
      <c r="CM43" s="82"/>
      <c r="CN43" s="82"/>
      <c r="CO43" s="82"/>
      <c r="CQ43" s="47">
        <f>S43+AG43+BY43+CH43</f>
        <v>0</v>
      </c>
      <c r="CR43" s="47">
        <f t="shared" ref="CR43:CR44" si="57">T43+AM43+BZ43+CI43</f>
        <v>0</v>
      </c>
      <c r="CS43" s="47">
        <f t="shared" ref="CS43:CS44" si="58">U43+AS43+CA43+CJ43</f>
        <v>0</v>
      </c>
      <c r="CT43" s="47">
        <f t="shared" ref="CT43:CT44" si="59">V43+AY43+CB43+CK43</f>
        <v>0</v>
      </c>
      <c r="CU43" s="47">
        <f t="shared" ref="CU43:CU44" si="60">W43+BE43+CC43+CL43</f>
        <v>0</v>
      </c>
      <c r="CV43" s="47">
        <f t="shared" ref="CV43:CV44" si="61">X43+BK43+CD43+CM43</f>
        <v>0</v>
      </c>
      <c r="CW43" s="47">
        <f t="shared" ref="CW43:CW44" si="62">Y43+BQ43+CE43+CN43</f>
        <v>0</v>
      </c>
      <c r="CX43" s="47">
        <f t="shared" ref="CX43:CX44" si="63">Z43+BW43+CF43+CO43</f>
        <v>0</v>
      </c>
      <c r="CZ43" s="39"/>
    </row>
    <row r="44" spans="2:104" outlineLevel="1">
      <c r="B44" s="7"/>
      <c r="C44" s="7"/>
      <c r="D44" s="7"/>
      <c r="E44" s="7"/>
      <c r="F44" s="7"/>
      <c r="G44" s="7"/>
      <c r="H44" s="7"/>
      <c r="I44" s="7"/>
      <c r="J44" s="45"/>
      <c r="K44" s="45"/>
      <c r="L44" s="45"/>
      <c r="M44" s="45"/>
      <c r="N44" s="45"/>
      <c r="O44" s="45"/>
      <c r="P44" s="45"/>
      <c r="Q44" s="45"/>
      <c r="S44" s="47"/>
      <c r="T44" s="47"/>
      <c r="U44" s="47"/>
      <c r="V44" s="47"/>
      <c r="W44" s="47"/>
      <c r="X44" s="47"/>
      <c r="Y44" s="47"/>
      <c r="Z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Y44" s="47"/>
      <c r="BZ44" s="47"/>
      <c r="CA44" s="47"/>
      <c r="CB44" s="47"/>
      <c r="CC44" s="47"/>
      <c r="CD44" s="47"/>
      <c r="CE44" s="47"/>
      <c r="CF44" s="47"/>
      <c r="CH44" s="82"/>
      <c r="CI44" s="82"/>
      <c r="CJ44" s="82"/>
      <c r="CK44" s="82"/>
      <c r="CL44" s="82"/>
      <c r="CM44" s="82"/>
      <c r="CN44" s="82"/>
      <c r="CO44" s="82"/>
      <c r="CQ44" s="47">
        <f>S44+AG44+BY44+CH44</f>
        <v>0</v>
      </c>
      <c r="CR44" s="47">
        <f t="shared" si="57"/>
        <v>0</v>
      </c>
      <c r="CS44" s="47">
        <f t="shared" si="58"/>
        <v>0</v>
      </c>
      <c r="CT44" s="47">
        <f t="shared" si="59"/>
        <v>0</v>
      </c>
      <c r="CU44" s="47">
        <f t="shared" si="60"/>
        <v>0</v>
      </c>
      <c r="CV44" s="47">
        <f t="shared" si="61"/>
        <v>0</v>
      </c>
      <c r="CW44" s="47">
        <f t="shared" si="62"/>
        <v>0</v>
      </c>
      <c r="CX44" s="47">
        <f t="shared" si="63"/>
        <v>0</v>
      </c>
      <c r="CZ44" s="39"/>
    </row>
    <row r="45" spans="2:104" outlineLevel="1">
      <c r="J45" s="48">
        <f>SUM(J42:J44)</f>
        <v>0</v>
      </c>
      <c r="K45" s="48">
        <f>SUM(K42:K44)</f>
        <v>0</v>
      </c>
      <c r="L45" s="48">
        <f>SUM(L42:L44)</f>
        <v>0</v>
      </c>
      <c r="M45" s="48">
        <f t="shared" ref="M45:Q45" si="64">SUM(M42:M44)</f>
        <v>0</v>
      </c>
      <c r="N45" s="48">
        <f t="shared" si="64"/>
        <v>0</v>
      </c>
      <c r="O45" s="48">
        <f t="shared" si="64"/>
        <v>0</v>
      </c>
      <c r="P45" s="48">
        <f t="shared" si="64"/>
        <v>0</v>
      </c>
      <c r="Q45" s="48">
        <f t="shared" si="64"/>
        <v>0</v>
      </c>
      <c r="S45" s="48">
        <f>SUM(S42:S44)</f>
        <v>0</v>
      </c>
      <c r="T45" s="48">
        <f>SUM(T42:T44)</f>
        <v>0</v>
      </c>
      <c r="U45" s="48">
        <f>SUM(U42:U44)</f>
        <v>0</v>
      </c>
      <c r="V45" s="48">
        <f t="shared" ref="V45" si="65">SUM(V42:V44)</f>
        <v>0</v>
      </c>
      <c r="W45" s="48">
        <f t="shared" ref="W45" si="66">SUM(W42:W44)</f>
        <v>0</v>
      </c>
      <c r="X45" s="48">
        <f t="shared" ref="X45" si="67">SUM(X42:X44)</f>
        <v>0</v>
      </c>
      <c r="Y45" s="48">
        <f t="shared" ref="Y45" si="68">SUM(Y42:Y44)</f>
        <v>0</v>
      </c>
      <c r="Z45" s="48">
        <f t="shared" ref="Z45" si="69">SUM(Z42:Z44)</f>
        <v>0</v>
      </c>
      <c r="AB45" s="48">
        <f t="shared" ref="AB45" si="70">SUM(AB42:AB44)</f>
        <v>0</v>
      </c>
      <c r="AC45" s="48">
        <f t="shared" ref="AC45" si="71">SUM(AC42:AC44)</f>
        <v>0</v>
      </c>
      <c r="AD45" s="48">
        <f t="shared" ref="AD45" si="72">SUM(AD42:AD44)</f>
        <v>0</v>
      </c>
      <c r="AE45" s="48">
        <f t="shared" ref="AE45" si="73">SUM(AE42:AE44)</f>
        <v>0</v>
      </c>
      <c r="AF45" s="48">
        <f t="shared" ref="AF45" si="74">SUM(AF42:AF44)</f>
        <v>0</v>
      </c>
      <c r="AG45" s="48">
        <f t="shared" ref="AG45:AS45" si="75">SUM(AG42:AG44)</f>
        <v>0</v>
      </c>
      <c r="AH45" s="48">
        <f t="shared" si="75"/>
        <v>0</v>
      </c>
      <c r="AI45" s="48">
        <f t="shared" si="75"/>
        <v>0</v>
      </c>
      <c r="AJ45" s="48">
        <f t="shared" si="75"/>
        <v>0</v>
      </c>
      <c r="AK45" s="48">
        <f t="shared" si="75"/>
        <v>0</v>
      </c>
      <c r="AL45" s="48">
        <f t="shared" si="75"/>
        <v>0</v>
      </c>
      <c r="AM45" s="48">
        <f t="shared" si="75"/>
        <v>0</v>
      </c>
      <c r="AN45" s="48">
        <f t="shared" si="75"/>
        <v>0</v>
      </c>
      <c r="AO45" s="48">
        <f t="shared" si="75"/>
        <v>0</v>
      </c>
      <c r="AP45" s="48">
        <f t="shared" si="75"/>
        <v>0</v>
      </c>
      <c r="AQ45" s="48">
        <f t="shared" si="75"/>
        <v>0</v>
      </c>
      <c r="AR45" s="48">
        <f t="shared" si="75"/>
        <v>0</v>
      </c>
      <c r="AS45" s="48">
        <f t="shared" si="75"/>
        <v>0</v>
      </c>
      <c r="AT45" s="48">
        <f t="shared" ref="AT45" si="76">SUM(AT42:AT44)</f>
        <v>0</v>
      </c>
      <c r="AU45" s="48">
        <f t="shared" ref="AU45" si="77">SUM(AU42:AU44)</f>
        <v>0</v>
      </c>
      <c r="AV45" s="48">
        <f t="shared" ref="AV45" si="78">SUM(AV42:AV44)</f>
        <v>0</v>
      </c>
      <c r="AW45" s="48">
        <f t="shared" ref="AW45" si="79">SUM(AW42:AW44)</f>
        <v>0</v>
      </c>
      <c r="AX45" s="48">
        <f t="shared" ref="AX45" si="80">SUM(AX42:AX44)</f>
        <v>0</v>
      </c>
      <c r="AY45" s="48">
        <f t="shared" ref="AY45" si="81">SUM(AY42:AY44)</f>
        <v>0</v>
      </c>
      <c r="AZ45" s="48">
        <f t="shared" ref="AZ45" si="82">SUM(AZ42:AZ44)</f>
        <v>0</v>
      </c>
      <c r="BA45" s="48">
        <f t="shared" ref="BA45" si="83">SUM(BA42:BA44)</f>
        <v>0</v>
      </c>
      <c r="BB45" s="48">
        <f t="shared" ref="BB45" si="84">SUM(BB42:BB44)</f>
        <v>0</v>
      </c>
      <c r="BC45" s="48">
        <f t="shared" ref="BC45" si="85">SUM(BC42:BC44)</f>
        <v>0</v>
      </c>
      <c r="BD45" s="48">
        <f t="shared" ref="BD45" si="86">SUM(BD42:BD44)</f>
        <v>0</v>
      </c>
      <c r="BE45" s="48">
        <f t="shared" ref="BE45" si="87">SUM(BE42:BE44)</f>
        <v>0</v>
      </c>
      <c r="BF45" s="48">
        <f t="shared" ref="BF45" si="88">SUM(BF42:BF44)</f>
        <v>0</v>
      </c>
      <c r="BG45" s="48">
        <f t="shared" ref="BG45" si="89">SUM(BG42:BG44)</f>
        <v>0</v>
      </c>
      <c r="BH45" s="48">
        <f t="shared" ref="BH45" si="90">SUM(BH42:BH44)</f>
        <v>0</v>
      </c>
      <c r="BI45" s="48">
        <f t="shared" ref="BI45" si="91">SUM(BI42:BI44)</f>
        <v>0</v>
      </c>
      <c r="BJ45" s="48">
        <f t="shared" ref="BJ45" si="92">SUM(BJ42:BJ44)</f>
        <v>0</v>
      </c>
      <c r="BK45" s="48">
        <f t="shared" ref="BK45" si="93">SUM(BK42:BK44)</f>
        <v>0</v>
      </c>
      <c r="BL45" s="48">
        <f t="shared" ref="BL45" si="94">SUM(BL42:BL44)</f>
        <v>0</v>
      </c>
      <c r="BM45" s="48">
        <f t="shared" ref="BM45" si="95">SUM(BM42:BM44)</f>
        <v>0</v>
      </c>
      <c r="BN45" s="48">
        <f t="shared" ref="BN45" si="96">SUM(BN42:BN44)</f>
        <v>0</v>
      </c>
      <c r="BO45" s="48">
        <f t="shared" ref="BO45" si="97">SUM(BO42:BO44)</f>
        <v>0</v>
      </c>
      <c r="BP45" s="48">
        <f t="shared" ref="BP45" si="98">SUM(BP42:BP44)</f>
        <v>0</v>
      </c>
      <c r="BQ45" s="48">
        <f t="shared" ref="BQ45" si="99">SUM(BQ42:BQ44)</f>
        <v>0</v>
      </c>
      <c r="BR45" s="48">
        <f t="shared" ref="BR45" si="100">SUM(BR42:BR44)</f>
        <v>0</v>
      </c>
      <c r="BS45" s="48">
        <f t="shared" ref="BS45" si="101">SUM(BS42:BS44)</f>
        <v>0</v>
      </c>
      <c r="BT45" s="48">
        <f t="shared" ref="BT45" si="102">SUM(BT42:BT44)</f>
        <v>0</v>
      </c>
      <c r="BU45" s="48">
        <f t="shared" ref="BU45" si="103">SUM(BU42:BU44)</f>
        <v>0</v>
      </c>
      <c r="BV45" s="48">
        <f t="shared" ref="BV45" si="104">SUM(BV42:BV44)</f>
        <v>0</v>
      </c>
      <c r="BW45" s="48">
        <f t="shared" ref="BW45" si="105">SUM(BW42:BW44)</f>
        <v>0</v>
      </c>
      <c r="BY45" s="48">
        <f>SUM(BY42:BY44)</f>
        <v>0</v>
      </c>
      <c r="BZ45" s="48">
        <f>SUM(BZ42:BZ44)</f>
        <v>0</v>
      </c>
      <c r="CA45" s="48">
        <f>SUM(CA42:CA44)</f>
        <v>0</v>
      </c>
      <c r="CB45" s="48">
        <f t="shared" ref="CB45" si="106">SUM(CB42:CB44)</f>
        <v>0</v>
      </c>
      <c r="CC45" s="48">
        <f t="shared" ref="CC45" si="107">SUM(CC42:CC44)</f>
        <v>0</v>
      </c>
      <c r="CD45" s="48">
        <f t="shared" ref="CD45" si="108">SUM(CD42:CD44)</f>
        <v>0</v>
      </c>
      <c r="CE45" s="48">
        <f t="shared" ref="CE45" si="109">SUM(CE42:CE44)</f>
        <v>0</v>
      </c>
      <c r="CF45" s="48">
        <f t="shared" ref="CF45" si="110">SUM(CF42:CF44)</f>
        <v>0</v>
      </c>
      <c r="CH45" s="48">
        <f>SUM(CH42:CH44)</f>
        <v>0</v>
      </c>
      <c r="CI45" s="48">
        <f>SUM(CI42:CI44)</f>
        <v>0</v>
      </c>
      <c r="CJ45" s="48">
        <f>SUM(CJ42:CJ44)</f>
        <v>0</v>
      </c>
      <c r="CK45" s="48">
        <f>SUM(CK42:CK44)</f>
        <v>0</v>
      </c>
      <c r="CL45" s="48">
        <f t="shared" ref="CL45" si="111">SUM(CL42:CL44)</f>
        <v>0</v>
      </c>
      <c r="CM45" s="48">
        <f t="shared" ref="CM45" si="112">SUM(CM42:CM44)</f>
        <v>0</v>
      </c>
      <c r="CN45" s="48">
        <f t="shared" ref="CN45" si="113">SUM(CN42:CN44)</f>
        <v>0</v>
      </c>
      <c r="CO45" s="48">
        <f t="shared" ref="CO45" si="114">SUM(CO42:CO44)</f>
        <v>0</v>
      </c>
      <c r="CQ45" s="48">
        <f>SUM(CQ42:CQ44)</f>
        <v>0</v>
      </c>
      <c r="CR45" s="48">
        <f>SUM(CR42:CR44)</f>
        <v>0</v>
      </c>
      <c r="CS45" s="48">
        <f>SUM(CS42:CS44)</f>
        <v>0</v>
      </c>
      <c r="CT45" s="48">
        <f t="shared" ref="CT45" si="115">SUM(CT42:CT44)</f>
        <v>0</v>
      </c>
      <c r="CU45" s="48">
        <f t="shared" ref="CU45" si="116">SUM(CU42:CU44)</f>
        <v>0</v>
      </c>
      <c r="CV45" s="48">
        <f t="shared" ref="CV45" si="117">SUM(CV42:CV44)</f>
        <v>0</v>
      </c>
      <c r="CW45" s="48">
        <f t="shared" ref="CW45" si="118">SUM(CW42:CW44)</f>
        <v>0</v>
      </c>
      <c r="CX45" s="48">
        <f t="shared" ref="CX45" si="119">SUM(CX42:CX44)</f>
        <v>0</v>
      </c>
    </row>
    <row r="46" spans="2:104" outlineLevel="1">
      <c r="S46" s="34"/>
      <c r="BY46" s="34"/>
      <c r="CQ46" s="84"/>
      <c r="CR46" s="84"/>
      <c r="CS46" s="84"/>
      <c r="CT46" s="84"/>
      <c r="CU46" s="84"/>
      <c r="CV46" s="84"/>
      <c r="CW46" s="84"/>
      <c r="CX46" s="84"/>
    </row>
    <row r="47" spans="2:104">
      <c r="I47" s="1" t="s">
        <v>134</v>
      </c>
      <c r="J47" s="50"/>
      <c r="K47" s="50"/>
      <c r="L47" s="50"/>
      <c r="M47" s="50"/>
      <c r="N47" s="50"/>
      <c r="O47" s="50"/>
      <c r="P47" s="50"/>
      <c r="Q47" s="50"/>
      <c r="CT47" s="160"/>
      <c r="CU47" s="160"/>
      <c r="CV47" s="160"/>
      <c r="CW47" s="160"/>
      <c r="CX47" s="160"/>
    </row>
    <row r="48" spans="2:104">
      <c r="I48" s="1" t="s">
        <v>135</v>
      </c>
      <c r="J48" s="50"/>
      <c r="K48" s="50"/>
      <c r="L48" s="50"/>
      <c r="M48" s="50"/>
      <c r="N48" s="50"/>
      <c r="O48" s="50"/>
      <c r="P48" s="50"/>
      <c r="Q48" s="50"/>
      <c r="CT48" s="39"/>
      <c r="CU48" s="39"/>
      <c r="CV48" s="39"/>
      <c r="CW48" s="39"/>
      <c r="CX48" s="39"/>
    </row>
    <row r="49" spans="9:103">
      <c r="I49" s="2" t="s">
        <v>136</v>
      </c>
      <c r="J49" s="112"/>
      <c r="K49" s="112"/>
      <c r="L49" s="112"/>
      <c r="M49" s="112"/>
      <c r="N49" s="112"/>
      <c r="O49" s="112"/>
      <c r="P49" s="112"/>
      <c r="Q49" s="112"/>
    </row>
    <row r="50" spans="9:103">
      <c r="J50" s="41"/>
      <c r="K50" s="41"/>
      <c r="L50" s="41"/>
      <c r="M50" s="41"/>
      <c r="N50" s="41"/>
      <c r="O50" s="41"/>
      <c r="P50" s="41"/>
      <c r="Q50" s="112"/>
      <c r="CT50" s="160"/>
      <c r="CU50" s="160"/>
      <c r="CV50" s="160"/>
      <c r="CW50" s="160"/>
      <c r="CX50" s="160"/>
      <c r="CY50" s="183"/>
    </row>
    <row r="51" spans="9:103">
      <c r="I51" s="53" t="s">
        <v>147</v>
      </c>
      <c r="J51" s="242"/>
      <c r="K51" s="242"/>
      <c r="L51" s="242"/>
      <c r="M51" s="511"/>
      <c r="N51" s="511"/>
      <c r="O51" s="511"/>
      <c r="P51" s="511"/>
      <c r="Q51" s="511"/>
      <c r="CT51" s="160"/>
      <c r="CU51" s="160"/>
      <c r="CV51" s="160"/>
      <c r="CW51" s="160"/>
      <c r="CX51" s="160"/>
    </row>
    <row r="52" spans="9:103">
      <c r="J52" s="242"/>
      <c r="K52" s="242"/>
      <c r="L52" s="242"/>
      <c r="M52" s="511"/>
      <c r="N52" s="511"/>
      <c r="O52" s="511"/>
      <c r="P52" s="511"/>
      <c r="Q52" s="511"/>
      <c r="CT52" s="160"/>
      <c r="CU52" s="160"/>
      <c r="CV52" s="160"/>
      <c r="CW52" s="160"/>
      <c r="CX52" s="160"/>
    </row>
    <row r="53" spans="9:103">
      <c r="J53" s="242"/>
      <c r="K53" s="242"/>
      <c r="L53" s="242"/>
      <c r="M53" s="511"/>
      <c r="N53" s="511"/>
      <c r="O53" s="511"/>
      <c r="P53" s="511"/>
      <c r="Q53" s="511"/>
    </row>
    <row r="54" spans="9:103">
      <c r="J54" s="242"/>
      <c r="K54" s="242"/>
      <c r="L54" s="242"/>
      <c r="M54" s="511"/>
      <c r="N54" s="511"/>
      <c r="O54" s="511"/>
      <c r="P54" s="511"/>
      <c r="Q54" s="511"/>
    </row>
    <row r="55" spans="9:103">
      <c r="J55" s="242"/>
      <c r="K55" s="242"/>
      <c r="L55" s="242"/>
      <c r="M55" s="242"/>
      <c r="N55" s="242"/>
      <c r="O55" s="242"/>
      <c r="P55" s="242"/>
      <c r="Q55" s="242"/>
    </row>
    <row r="56" spans="9:103">
      <c r="J56" s="242"/>
      <c r="K56" s="242"/>
      <c r="L56" s="242"/>
      <c r="M56" s="511"/>
      <c r="N56" s="511"/>
      <c r="O56" s="511"/>
      <c r="P56" s="511"/>
      <c r="Q56" s="511"/>
    </row>
    <row r="57" spans="9:103">
      <c r="J57" s="41"/>
    </row>
    <row r="59" spans="9:103">
      <c r="M59" s="39"/>
      <c r="N59" s="39"/>
      <c r="O59" s="39"/>
      <c r="P59" s="39"/>
      <c r="Q59" s="39"/>
    </row>
    <row r="60" spans="9:103">
      <c r="M60" s="39"/>
      <c r="N60" s="39"/>
      <c r="O60" s="39"/>
      <c r="P60" s="39"/>
      <c r="Q60" s="39"/>
    </row>
  </sheetData>
  <dataConsolidate/>
  <mergeCells count="17">
    <mergeCell ref="M1:N1"/>
    <mergeCell ref="J39:Q39"/>
    <mergeCell ref="CQ3:CX3"/>
    <mergeCell ref="J3:Q3"/>
    <mergeCell ref="S3:Z3"/>
    <mergeCell ref="BY3:CF3"/>
    <mergeCell ref="CH3:CO3"/>
    <mergeCell ref="CQ4:CX4"/>
    <mergeCell ref="CH4:CO4"/>
    <mergeCell ref="BY4:CF4"/>
    <mergeCell ref="S4:Z4"/>
    <mergeCell ref="J4:Q4"/>
    <mergeCell ref="J40:Q40"/>
    <mergeCell ref="S40:Z40"/>
    <mergeCell ref="BY40:CF40"/>
    <mergeCell ref="CH40:CO40"/>
    <mergeCell ref="CQ40:CX40"/>
  </mergeCells>
  <dataValidations count="3">
    <dataValidation type="list" errorStyle="warning" allowBlank="1" showInputMessage="1" showErrorMessage="1" prompt="Select from drop down list" sqref="H42:H44" xr:uid="{00000000-0002-0000-1200-000000000000}">
      <formula1>$C$13:$C$23</formula1>
    </dataValidation>
    <dataValidation type="list" errorStyle="warning" allowBlank="1" showInputMessage="1" showErrorMessage="1" prompt="Select from drop down list" sqref="I42:I44" xr:uid="{00000000-0002-0000-1200-000001000000}">
      <formula1>$C$55:$C$90</formula1>
    </dataValidation>
    <dataValidation type="list" errorStyle="warning" showInputMessage="1" showErrorMessage="1" error="Invalid data entered" prompt="Select from drop down list" sqref="F42:F44 G43:G44" xr:uid="{00000000-0002-0000-1200-000002000000}">
      <formula1>$C$16:$C$27</formula1>
    </dataValidation>
  </dataValidations>
  <hyperlinks>
    <hyperlink ref="B2" location="Contents!A1" display="Table of Contents" xr:uid="{00000000-0004-0000-1200-000000000000}"/>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errorStyle="warning" showInputMessage="1" showErrorMessage="1" error="Invalid data entered" prompt="Select from drop down list" xr:uid="{00000000-0002-0000-1200-000003000000}">
          <x14:formula1>
            <xm:f>Lookups!$C$16:$C$27</xm:f>
          </x14:formula1>
          <xm:sqref>F6:F36</xm:sqref>
        </x14:dataValidation>
        <x14:dataValidation type="list" errorStyle="warning" showInputMessage="1" showErrorMessage="1" error="Invalid data entered" prompt="Select from drop down list" xr:uid="{00000000-0002-0000-1200-000004000000}">
          <x14:formula1>
            <xm:f>Lookups!$C$5:$C$13</xm:f>
          </x14:formula1>
          <xm:sqref>E6:E36 E42:E44</xm:sqref>
        </x14:dataValidation>
        <x14:dataValidation type="list" errorStyle="warning" allowBlank="1" showInputMessage="1" showErrorMessage="1" prompt="Select from drop down list" xr:uid="{00000000-0002-0000-1200-000005000000}">
          <x14:formula1>
            <xm:f>Lab_Mat!$C$62:$C$98</xm:f>
          </x14:formula1>
          <xm:sqref>I6:I36</xm:sqref>
        </x14:dataValidation>
        <x14:dataValidation type="list" errorStyle="warning" showInputMessage="1" showErrorMessage="1" error="Invalid data entered" prompt="Select from drop down list" xr:uid="{00000000-0002-0000-1200-000006000000}">
          <x14:formula1>
            <xm:f>Lookups!$I$5:$I$10</xm:f>
          </x14:formula1>
          <xm:sqref>G42 G6:G36</xm:sqref>
        </x14:dataValidation>
        <x14:dataValidation type="list" errorStyle="warning" allowBlank="1" showInputMessage="1" showErrorMessage="1" prompt="Select from drop down list" xr:uid="{00000000-0002-0000-1200-000007000000}">
          <x14:formula1>
            <xm:f>Lab_Mat!$C$13:$C$22</xm:f>
          </x14:formula1>
          <xm:sqref>H6:H10 H20:H36 H17:H18 H12:H14</xm:sqref>
        </x14:dataValidation>
        <x14:dataValidation type="list" errorStyle="warning" allowBlank="1" showInputMessage="1" showErrorMessage="1" prompt="Select from drop down list" xr:uid="{00000000-0002-0000-1200-000008000000}">
          <x14:formula1>
            <xm:f>Lab_Mat!$C$6:$C$22</xm:f>
          </x14:formula1>
          <xm:sqref>H11 H19 H15:H16</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DE84"/>
  <sheetViews>
    <sheetView zoomScale="85" zoomScaleNormal="85" zoomScalePageLayoutView="125" workbookViewId="0">
      <selection activeCell="B2" sqref="B2"/>
    </sheetView>
  </sheetViews>
  <sheetFormatPr defaultColWidth="8.85546875" defaultRowHeight="15" outlineLevelCol="1"/>
  <cols>
    <col min="1" max="1" width="4" style="1" customWidth="1"/>
    <col min="2" max="2" width="8.85546875" style="1"/>
    <col min="3" max="3" width="51.140625" style="1" customWidth="1"/>
    <col min="4" max="4" width="11.5703125" style="1" customWidth="1"/>
    <col min="5" max="5" width="24.42578125" style="1" hidden="1" customWidth="1" outlineLevel="1"/>
    <col min="6" max="6" width="32.5703125" style="1" hidden="1" customWidth="1" outlineLevel="1"/>
    <col min="7" max="7" width="24.140625" style="1" hidden="1" customWidth="1" outlineLevel="1"/>
    <col min="8" max="8" width="19.140625" style="1" hidden="1" customWidth="1" outlineLevel="1"/>
    <col min="9" max="9" width="23.140625" style="1" hidden="1" customWidth="1" outlineLevel="1"/>
    <col min="10" max="10" width="9.7109375" style="1" customWidth="1" collapsed="1"/>
    <col min="11" max="17" width="9.7109375" style="1" customWidth="1"/>
    <col min="18" max="18" width="3"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10.42578125"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96" width="10.5703125" style="1" bestFit="1" customWidth="1"/>
    <col min="97" max="97" width="10.5703125" style="1" customWidth="1"/>
    <col min="98" max="99" width="10.5703125" style="1" bestFit="1" customWidth="1"/>
    <col min="100" max="100" width="9.5703125" style="1" bestFit="1" customWidth="1"/>
    <col min="101" max="102" width="9" style="1" bestFit="1" customWidth="1"/>
    <col min="103" max="16384" width="8.85546875" style="1"/>
  </cols>
  <sheetData>
    <row r="1" spans="2:109" ht="18.75">
      <c r="B1" s="10" t="s">
        <v>407</v>
      </c>
      <c r="M1" s="968"/>
      <c r="N1" s="968"/>
    </row>
    <row r="2" spans="2:109">
      <c r="B2" s="25" t="s">
        <v>6</v>
      </c>
    </row>
    <row r="3" spans="2:109">
      <c r="J3" s="964"/>
      <c r="K3" s="964"/>
      <c r="L3" s="964"/>
      <c r="M3" s="964"/>
      <c r="N3" s="964"/>
      <c r="O3" s="964"/>
      <c r="P3" s="964"/>
      <c r="Q3" s="964"/>
      <c r="S3" s="964"/>
      <c r="T3" s="964"/>
      <c r="U3" s="964"/>
      <c r="V3" s="964"/>
      <c r="W3" s="964"/>
      <c r="X3" s="964"/>
      <c r="Y3" s="964"/>
      <c r="Z3" s="964"/>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964"/>
      <c r="BZ3" s="964"/>
      <c r="CA3" s="964"/>
      <c r="CB3" s="964"/>
      <c r="CC3" s="964"/>
      <c r="CD3" s="964"/>
      <c r="CE3" s="964"/>
      <c r="CF3" s="964"/>
      <c r="CH3" s="964"/>
      <c r="CI3" s="964"/>
      <c r="CJ3" s="964"/>
      <c r="CK3" s="964"/>
      <c r="CL3" s="964"/>
      <c r="CM3" s="964"/>
      <c r="CN3" s="964"/>
      <c r="CO3" s="964"/>
      <c r="CQ3" s="964"/>
      <c r="CR3" s="964"/>
      <c r="CS3" s="964"/>
      <c r="CT3" s="964"/>
      <c r="CU3" s="964"/>
      <c r="CV3" s="964"/>
      <c r="CW3" s="964"/>
      <c r="CX3" s="964"/>
    </row>
    <row r="4" spans="2:109" ht="45">
      <c r="J4" s="961" t="s">
        <v>527</v>
      </c>
      <c r="K4" s="962"/>
      <c r="L4" s="962"/>
      <c r="M4" s="962"/>
      <c r="N4" s="962"/>
      <c r="O4" s="962"/>
      <c r="P4" s="962"/>
      <c r="Q4" s="963"/>
      <c r="S4" s="961" t="s">
        <v>174</v>
      </c>
      <c r="T4" s="962"/>
      <c r="U4" s="962"/>
      <c r="V4" s="962"/>
      <c r="W4" s="962"/>
      <c r="X4" s="962"/>
      <c r="Y4" s="962"/>
      <c r="Z4" s="963"/>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961" t="s">
        <v>297</v>
      </c>
      <c r="BZ4" s="962"/>
      <c r="CA4" s="962"/>
      <c r="CB4" s="962"/>
      <c r="CC4" s="962"/>
      <c r="CD4" s="962"/>
      <c r="CE4" s="962"/>
      <c r="CF4" s="963"/>
      <c r="CG4" s="57"/>
      <c r="CH4" s="961" t="s">
        <v>175</v>
      </c>
      <c r="CI4" s="962"/>
      <c r="CJ4" s="962"/>
      <c r="CK4" s="962"/>
      <c r="CL4" s="962"/>
      <c r="CM4" s="962"/>
      <c r="CN4" s="962"/>
      <c r="CO4" s="963"/>
      <c r="CP4" s="57"/>
      <c r="CQ4" s="961" t="s">
        <v>526</v>
      </c>
      <c r="CR4" s="962"/>
      <c r="CS4" s="962"/>
      <c r="CT4" s="962"/>
      <c r="CU4" s="962"/>
      <c r="CV4" s="962"/>
      <c r="CW4" s="962"/>
      <c r="CX4" s="963"/>
    </row>
    <row r="5" spans="2:109">
      <c r="B5" s="8" t="s">
        <v>23</v>
      </c>
      <c r="C5" s="8" t="s">
        <v>24</v>
      </c>
      <c r="D5" s="17" t="s">
        <v>98</v>
      </c>
      <c r="E5" s="17" t="s">
        <v>76</v>
      </c>
      <c r="F5" s="17" t="s">
        <v>77</v>
      </c>
      <c r="G5" s="17" t="s">
        <v>322</v>
      </c>
      <c r="H5" s="17" t="s">
        <v>212</v>
      </c>
      <c r="I5" s="17" t="s">
        <v>177</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 t="shared" ref="AB5:AG5" si="0">CP_Yr_4</f>
        <v>43800</v>
      </c>
      <c r="AC5" s="331">
        <f t="shared" si="0"/>
        <v>43800</v>
      </c>
      <c r="AD5" s="331">
        <f t="shared" si="0"/>
        <v>43800</v>
      </c>
      <c r="AE5" s="331">
        <f t="shared" si="0"/>
        <v>43800</v>
      </c>
      <c r="AF5" s="331">
        <f t="shared" si="0"/>
        <v>43800</v>
      </c>
      <c r="AG5" s="331">
        <f t="shared" si="0"/>
        <v>43800</v>
      </c>
      <c r="AH5" s="331">
        <f t="shared" ref="AH5:AM5" si="1">CP_Yr_5</f>
        <v>44166</v>
      </c>
      <c r="AI5" s="331">
        <f t="shared" si="1"/>
        <v>44166</v>
      </c>
      <c r="AJ5" s="331">
        <f t="shared" si="1"/>
        <v>44166</v>
      </c>
      <c r="AK5" s="331">
        <f t="shared" si="1"/>
        <v>44166</v>
      </c>
      <c r="AL5" s="331">
        <f t="shared" si="1"/>
        <v>44166</v>
      </c>
      <c r="AM5" s="331">
        <f t="shared" si="1"/>
        <v>44166</v>
      </c>
      <c r="AN5" s="331">
        <f t="shared" ref="AN5:AS5" si="2">Stub</f>
        <v>44377</v>
      </c>
      <c r="AO5" s="331">
        <f t="shared" si="2"/>
        <v>44377</v>
      </c>
      <c r="AP5" s="331">
        <f t="shared" si="2"/>
        <v>44377</v>
      </c>
      <c r="AQ5" s="331">
        <f t="shared" si="2"/>
        <v>44377</v>
      </c>
      <c r="AR5" s="331">
        <f t="shared" si="2"/>
        <v>44377</v>
      </c>
      <c r="AS5" s="331">
        <f t="shared" si="2"/>
        <v>44377</v>
      </c>
      <c r="AT5" s="331">
        <f t="shared" ref="AT5:AY5" si="3">Yr_1</f>
        <v>44742</v>
      </c>
      <c r="AU5" s="331">
        <f t="shared" si="3"/>
        <v>44742</v>
      </c>
      <c r="AV5" s="331">
        <f t="shared" si="3"/>
        <v>44742</v>
      </c>
      <c r="AW5" s="331">
        <f t="shared" si="3"/>
        <v>44742</v>
      </c>
      <c r="AX5" s="331">
        <f t="shared" si="3"/>
        <v>44742</v>
      </c>
      <c r="AY5" s="331">
        <f t="shared" si="3"/>
        <v>44742</v>
      </c>
      <c r="AZ5" s="331">
        <f t="shared" ref="AZ5:BE5" si="4">Yr_2</f>
        <v>45107</v>
      </c>
      <c r="BA5" s="331">
        <f t="shared" si="4"/>
        <v>45107</v>
      </c>
      <c r="BB5" s="331">
        <f t="shared" si="4"/>
        <v>45107</v>
      </c>
      <c r="BC5" s="331">
        <f t="shared" si="4"/>
        <v>45107</v>
      </c>
      <c r="BD5" s="331">
        <f t="shared" si="4"/>
        <v>45107</v>
      </c>
      <c r="BE5" s="331">
        <f t="shared" si="4"/>
        <v>45107</v>
      </c>
      <c r="BF5" s="331">
        <f t="shared" ref="BF5:BK5" si="5">Yr_3</f>
        <v>45473</v>
      </c>
      <c r="BG5" s="331">
        <f t="shared" si="5"/>
        <v>45473</v>
      </c>
      <c r="BH5" s="331">
        <f t="shared" si="5"/>
        <v>45473</v>
      </c>
      <c r="BI5" s="331">
        <f t="shared" si="5"/>
        <v>45473</v>
      </c>
      <c r="BJ5" s="331">
        <f t="shared" si="5"/>
        <v>45473</v>
      </c>
      <c r="BK5" s="331">
        <f t="shared" si="5"/>
        <v>45473</v>
      </c>
      <c r="BL5" s="331">
        <f t="shared" ref="BL5:BQ5" si="6">Yr_4</f>
        <v>45838</v>
      </c>
      <c r="BM5" s="331">
        <f t="shared" si="6"/>
        <v>45838</v>
      </c>
      <c r="BN5" s="331">
        <f t="shared" si="6"/>
        <v>45838</v>
      </c>
      <c r="BO5" s="331">
        <f t="shared" si="6"/>
        <v>45838</v>
      </c>
      <c r="BP5" s="331">
        <f t="shared" si="6"/>
        <v>45838</v>
      </c>
      <c r="BQ5" s="331">
        <f t="shared" si="6"/>
        <v>45838</v>
      </c>
      <c r="BR5" s="331">
        <f t="shared" ref="BR5:BW5" si="7">Yr_5</f>
        <v>46203</v>
      </c>
      <c r="BS5" s="331">
        <f t="shared" si="7"/>
        <v>46203</v>
      </c>
      <c r="BT5" s="331">
        <f t="shared" si="7"/>
        <v>46203</v>
      </c>
      <c r="BU5" s="331">
        <f t="shared" si="7"/>
        <v>46203</v>
      </c>
      <c r="BV5" s="331">
        <f t="shared" si="7"/>
        <v>46203</v>
      </c>
      <c r="BW5" s="331">
        <f t="shared" si="7"/>
        <v>46203</v>
      </c>
      <c r="BX5" s="332"/>
      <c r="BY5" s="331">
        <f>CP_Yr_4</f>
        <v>43800</v>
      </c>
      <c r="BZ5" s="331">
        <f>CP_Yr_5</f>
        <v>44166</v>
      </c>
      <c r="CA5" s="331">
        <f>Stub</f>
        <v>44377</v>
      </c>
      <c r="CB5" s="331">
        <f>Yr_1</f>
        <v>44742</v>
      </c>
      <c r="CC5" s="331">
        <f>Yr_2</f>
        <v>45107</v>
      </c>
      <c r="CD5" s="331">
        <f>Yr_3</f>
        <v>45473</v>
      </c>
      <c r="CE5" s="331">
        <f>Yr_4</f>
        <v>45838</v>
      </c>
      <c r="CF5" s="331">
        <f>Yr_5</f>
        <v>46203</v>
      </c>
      <c r="CG5" s="332"/>
      <c r="CH5" s="331">
        <f>CP_Yr_4</f>
        <v>43800</v>
      </c>
      <c r="CI5" s="331">
        <f>CP_Yr_5</f>
        <v>44166</v>
      </c>
      <c r="CJ5" s="331">
        <f>Stub</f>
        <v>44377</v>
      </c>
      <c r="CK5" s="331">
        <f>Yr_1</f>
        <v>44742</v>
      </c>
      <c r="CL5" s="331">
        <f>Yr_2</f>
        <v>45107</v>
      </c>
      <c r="CM5" s="331">
        <f>Yr_3</f>
        <v>45473</v>
      </c>
      <c r="CN5" s="331">
        <f>Yr_4</f>
        <v>45838</v>
      </c>
      <c r="CO5" s="331">
        <f>Yr_5</f>
        <v>46203</v>
      </c>
      <c r="CP5" s="332"/>
      <c r="CQ5" s="331">
        <f>CP_Yr_4</f>
        <v>43800</v>
      </c>
      <c r="CR5" s="331">
        <f>CP_Yr_5</f>
        <v>44166</v>
      </c>
      <c r="CS5" s="331">
        <f>Stub</f>
        <v>44377</v>
      </c>
      <c r="CT5" s="331">
        <f>Yr_1</f>
        <v>44742</v>
      </c>
      <c r="CU5" s="331">
        <f>Yr_2</f>
        <v>45107</v>
      </c>
      <c r="CV5" s="331">
        <f>Yr_3</f>
        <v>45473</v>
      </c>
      <c r="CW5" s="331">
        <f>Yr_4</f>
        <v>45838</v>
      </c>
      <c r="CX5" s="331">
        <f>Yr_5</f>
        <v>46203</v>
      </c>
    </row>
    <row r="6" spans="2:109">
      <c r="B6" s="6"/>
      <c r="C6" s="6"/>
      <c r="D6" s="6"/>
      <c r="E6" s="6"/>
      <c r="F6" s="6"/>
      <c r="G6" s="6"/>
      <c r="H6" s="6"/>
      <c r="I6" s="6"/>
      <c r="J6" s="47"/>
      <c r="K6" s="47"/>
      <c r="L6" s="47"/>
      <c r="M6" s="47"/>
      <c r="N6" s="47"/>
      <c r="O6" s="47"/>
      <c r="P6" s="47"/>
      <c r="Q6" s="47"/>
      <c r="S6" s="47"/>
      <c r="T6" s="47"/>
      <c r="U6" s="47"/>
      <c r="V6" s="47"/>
      <c r="W6" s="47"/>
      <c r="X6" s="47"/>
      <c r="Y6" s="47"/>
      <c r="Z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Y6" s="47"/>
      <c r="BZ6" s="47"/>
      <c r="CA6" s="47"/>
      <c r="CB6" s="47"/>
      <c r="CC6" s="47"/>
      <c r="CD6" s="47"/>
      <c r="CE6" s="47"/>
      <c r="CF6" s="47"/>
      <c r="CH6" s="82"/>
      <c r="CI6" s="82"/>
      <c r="CJ6" s="82"/>
      <c r="CK6" s="82"/>
      <c r="CL6" s="82"/>
      <c r="CM6" s="82"/>
      <c r="CN6" s="82"/>
      <c r="CO6" s="82"/>
      <c r="CQ6" s="47"/>
      <c r="CR6" s="47"/>
      <c r="CS6" s="47"/>
      <c r="CT6" s="47"/>
      <c r="CU6" s="47"/>
      <c r="CV6" s="47"/>
      <c r="CW6" s="47"/>
      <c r="CX6" s="47"/>
      <c r="DE6" s="1" t="str">
        <f>E6&amp;G6</f>
        <v/>
      </c>
    </row>
    <row r="7" spans="2:109">
      <c r="B7" s="6"/>
      <c r="C7" s="8" t="s">
        <v>554</v>
      </c>
      <c r="D7" s="6"/>
      <c r="E7" s="6"/>
      <c r="F7" s="6"/>
      <c r="G7" s="6"/>
      <c r="H7" s="6"/>
      <c r="I7" s="6"/>
      <c r="J7" s="47"/>
      <c r="K7" s="47"/>
      <c r="L7" s="47"/>
      <c r="M7" s="47"/>
      <c r="N7" s="47"/>
      <c r="O7" s="47"/>
      <c r="P7" s="47"/>
      <c r="Q7" s="47"/>
      <c r="S7" s="47"/>
      <c r="T7" s="47"/>
      <c r="U7" s="47"/>
      <c r="V7" s="47"/>
      <c r="W7" s="47"/>
      <c r="X7" s="47"/>
      <c r="Y7" s="47"/>
      <c r="Z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Y7" s="47"/>
      <c r="BZ7" s="47"/>
      <c r="CA7" s="47"/>
      <c r="CB7" s="47"/>
      <c r="CC7" s="47"/>
      <c r="CD7" s="47"/>
      <c r="CE7" s="47"/>
      <c r="CF7" s="47"/>
      <c r="CH7" s="82"/>
      <c r="CI7" s="82"/>
      <c r="CJ7" s="82"/>
      <c r="CK7" s="82"/>
      <c r="CL7" s="82"/>
      <c r="CM7" s="82"/>
      <c r="CN7" s="82"/>
      <c r="CO7" s="82"/>
      <c r="CQ7" s="47"/>
      <c r="CR7" s="47"/>
      <c r="CS7" s="47"/>
      <c r="CT7" s="47"/>
      <c r="CU7" s="47"/>
      <c r="CV7" s="47"/>
      <c r="CW7" s="47"/>
      <c r="CX7" s="47"/>
      <c r="DE7" s="1" t="str">
        <f t="shared" ref="DE7:DE47" si="8">E7&amp;G7</f>
        <v/>
      </c>
    </row>
    <row r="8" spans="2:109">
      <c r="B8" s="6"/>
      <c r="C8" s="6" t="s">
        <v>408</v>
      </c>
      <c r="D8" s="6" t="s">
        <v>687</v>
      </c>
      <c r="E8" s="6" t="s">
        <v>44</v>
      </c>
      <c r="F8" s="6" t="s">
        <v>55</v>
      </c>
      <c r="G8" s="6" t="s">
        <v>10</v>
      </c>
      <c r="H8" s="6" t="s">
        <v>741</v>
      </c>
      <c r="I8" s="6" t="s">
        <v>186</v>
      </c>
      <c r="J8" s="47"/>
      <c r="K8" s="47"/>
      <c r="L8" s="47"/>
      <c r="M8" s="47">
        <v>0</v>
      </c>
      <c r="N8" s="47">
        <v>0</v>
      </c>
      <c r="O8" s="47">
        <v>0</v>
      </c>
      <c r="P8" s="47"/>
      <c r="Q8" s="47"/>
      <c r="S8" s="47">
        <f>INDEX(Lab_Mat!$K$6:$N$9,MATCH($H8,Lab_Mat!$J$6:$J$9,0),MATCH($S$4,Lab_Mat!$K$5:$N$5,0))*J8*HLOOKUP(S$5,Escalators!$I$25:$U$30,3,FALSE)</f>
        <v>0</v>
      </c>
      <c r="T8" s="47">
        <f>INDEX(Lab_Mat!$K$6:$N$9,MATCH($H8,Lab_Mat!$J$6:$J$9,0),MATCH($S$4,Lab_Mat!$K$5:$N$5,0))*K8*HLOOKUP(T$5,Escalators!$I$25:$U$30,3,FALSE)</f>
        <v>0</v>
      </c>
      <c r="U8" s="47">
        <f>INDEX(Lab_Mat!$K$6:$N$9,MATCH($H8,Lab_Mat!$J$6:$J$9,0),MATCH($S$4,Lab_Mat!$K$5:$N$5,0))*L8*HLOOKUP(U$5,Escalators!$I$25:$U$30,3,FALSE)</f>
        <v>0</v>
      </c>
      <c r="V8" s="47">
        <f>INDEX(Lab_Mat!$K$6:$N$9,MATCH($H8,Lab_Mat!$J$6:$J$9,0),MATCH($S$4,Lab_Mat!$K$5:$N$5,0))*M8*HLOOKUP(V$5,Escalators!$I$25:$U$30,3,FALSE)</f>
        <v>0</v>
      </c>
      <c r="W8" s="47">
        <f>INDEX(Lab_Mat!$K$6:$N$9,MATCH($H8,Lab_Mat!$J$6:$J$9,0),MATCH($S$4,Lab_Mat!$K$5:$N$5,0))*N8*HLOOKUP(W$5,Escalators!$I$25:$U$30,3,FALSE)</f>
        <v>0</v>
      </c>
      <c r="X8" s="47">
        <f>INDEX(Lab_Mat!$K$6:$N$9,MATCH($H8,Lab_Mat!$J$6:$J$9,0),MATCH($S$4,Lab_Mat!$K$5:$N$5,0))*O8*HLOOKUP(X$5,Escalators!$I$25:$U$30,3,FALSE)</f>
        <v>0</v>
      </c>
      <c r="Y8" s="47">
        <f>INDEX(Lab_Mat!$K$6:$N$9,MATCH($H8,Lab_Mat!$J$6:$J$9,0),MATCH($S$4,Lab_Mat!$K$5:$N$5,0))*P8*HLOOKUP(Y$5,Escalators!$I$25:$U$30,3,FALSE)</f>
        <v>0</v>
      </c>
      <c r="Z8" s="47">
        <f>INDEX(Lab_Mat!$K$6:$N$9,MATCH($H8,Lab_Mat!$J$6:$J$9,0),MATCH($S$4,Lab_Mat!$K$5:$N$5,0))*Q8*HLOOKUP(Z$5,Escalators!$I$25:$U$30,3,FALSE)</f>
        <v>0</v>
      </c>
      <c r="AB8" s="47">
        <f>INDEX(Lab_Mat!$K$6:$N$9,MATCH($H8,Lab_Mat!$J$6:$J$9,0),MATCH($AG$4,Lab_Mat!$K$5:$N$5,0))*$J8*INDEX(Act_Type_Repex_Splits,MATCH($I8,Act_Type_Repex,0),MATCH(AB$4,Mat_Type,0))*INDEX(Escalators!$I$44:$Q$49,MATCH(AB$4,Escalators!$C$44:$C$49,0),MATCH(AB$5,Escalators!$I$43:$Q$43,0))</f>
        <v>0</v>
      </c>
      <c r="AC8" s="47">
        <f>INDEX(Lab_Mat!$K$6:$N$9,MATCH($H8,Lab_Mat!$J$6:$J$9,0),MATCH($AG$4,Lab_Mat!$K$5:$N$5,0))*$J8*INDEX(Act_Type_Repex_Splits,MATCH($I8,Act_Type_Repex,0),MATCH(AC$4,Mat_Type,0))*INDEX(Escalators!$I$44:$Q$49,MATCH(AC$4,Escalators!$C$44:$C$49,0),MATCH(AC$5,Escalators!$I$43:$Q$43,0))</f>
        <v>0</v>
      </c>
      <c r="AD8" s="47">
        <f>INDEX(Lab_Mat!$K$6:$N$9,MATCH($H8,Lab_Mat!$J$6:$J$9,0),MATCH($AG$4,Lab_Mat!$K$5:$N$5,0))*$J8*INDEX(Act_Type_Repex_Splits,MATCH($I8,Act_Type_Repex,0),MATCH(AD$4,Mat_Type,0))*INDEX(Escalators!$I$44:$Q$49,MATCH(AD$4,Escalators!$C$44:$C$49,0),MATCH(AD$5,Escalators!$I$43:$Q$43,0))</f>
        <v>0</v>
      </c>
      <c r="AE8" s="47">
        <f>INDEX(Lab_Mat!$K$6:$N$9,MATCH($H8,Lab_Mat!$J$6:$J$9,0),MATCH($AG$4,Lab_Mat!$K$5:$N$5,0))*$J8*INDEX(Act_Type_Repex_Splits,MATCH($I8,Act_Type_Repex,0),MATCH(AE$4,Mat_Type,0))*INDEX(Escalators!$I$44:$Q$49,MATCH(AE$4,Escalators!$C$44:$C$49,0),MATCH(AE$5,Escalators!$I$43:$Q$43,0))</f>
        <v>0</v>
      </c>
      <c r="AF8" s="47">
        <f>INDEX(Lab_Mat!$K$6:$N$9,MATCH($H8,Lab_Mat!$J$6:$J$9,0),MATCH($AG$4,Lab_Mat!$K$5:$N$5,0))*$J8*INDEX(Act_Type_Repex_Splits,MATCH($I8,Act_Type_Repex,0),MATCH(AF$4,Mat_Type,0))*INDEX(Escalators!$I$44:$Q$49,MATCH(AF$4,Escalators!$C$44:$C$49,0),MATCH(AF$5,Escalators!$I$43:$Q$43,0))</f>
        <v>0</v>
      </c>
      <c r="AG8" s="47">
        <f>SUM(AB8:AF8)</f>
        <v>0</v>
      </c>
      <c r="AH8" s="47">
        <f>INDEX(Lab_Mat!$K$6:$N$9,MATCH($H8,Lab_Mat!$J$6:$J$9,0),MATCH($AY$4,Lab_Mat!$K$5:$N$5,0))*$K8*INDEX(Act_Type_Repex_Splits,MATCH($I8,Act_Type_Repex,0),MATCH(AH$4,Mat_Type,0))*INDEX(Escalators!$I$44:$U$49,MATCH(AH$4,Escalators!$C$44:$C$49,0),MATCH(AH$5,Escalators!$I$43:$U$43,0))</f>
        <v>0</v>
      </c>
      <c r="AI8" s="47">
        <f>INDEX(Lab_Mat!$K$6:$N$9,MATCH($H8,Lab_Mat!$J$6:$J$9,0),MATCH($AY$4,Lab_Mat!$K$5:$N$5,0))*$K8*INDEX(Act_Type_Repex_Splits,MATCH($I8,Act_Type_Repex,0),MATCH(AI$4,Mat_Type,0))*INDEX(Escalators!$I$44:$U$49,MATCH(AI$4,Escalators!$C$44:$C$49,0),MATCH(AI$5,Escalators!$I$43:$U$43,0))</f>
        <v>0</v>
      </c>
      <c r="AJ8" s="47">
        <f>INDEX(Lab_Mat!$K$6:$N$9,MATCH($H8,Lab_Mat!$J$6:$J$9,0),MATCH($AY$4,Lab_Mat!$K$5:$N$5,0))*$K8*INDEX(Act_Type_Repex_Splits,MATCH($I8,Act_Type_Repex,0),MATCH(AJ$4,Mat_Type,0))*INDEX(Escalators!$I$44:$U$49,MATCH(AJ$4,Escalators!$C$44:$C$49,0),MATCH(AJ$5,Escalators!$I$43:$U$43,0))</f>
        <v>0</v>
      </c>
      <c r="AK8" s="47">
        <f>INDEX(Lab_Mat!$K$6:$N$9,MATCH($H8,Lab_Mat!$J$6:$J$9,0),MATCH($AY$4,Lab_Mat!$K$5:$N$5,0))*$K8*INDEX(Act_Type_Repex_Splits,MATCH($I8,Act_Type_Repex,0),MATCH(AK$4,Mat_Type,0))*INDEX(Escalators!$I$44:$U$49,MATCH(AK$4,Escalators!$C$44:$C$49,0),MATCH(AK$5,Escalators!$I$43:$U$43,0))</f>
        <v>0</v>
      </c>
      <c r="AL8" s="47">
        <f>INDEX(Lab_Mat!$K$6:$N$9,MATCH($H8,Lab_Mat!$J$6:$J$9,0),MATCH($AY$4,Lab_Mat!$K$5:$N$5,0))*$K8*INDEX(Act_Type_Repex_Splits,MATCH($I8,Act_Type_Repex,0),MATCH(AL$4,Mat_Type,0))*INDEX(Escalators!$I$44:$U$49,MATCH(AL$4,Escalators!$C$44:$C$49,0),MATCH(AL$5,Escalators!$I$43:$U$43,0))</f>
        <v>0</v>
      </c>
      <c r="AM8" s="47">
        <f>SUM(AH8:AL8)</f>
        <v>0</v>
      </c>
      <c r="AN8" s="47">
        <f>INDEX(Lab_Mat!$K$6:$N$9,MATCH($H8,Lab_Mat!$J$6:$J$9,0),MATCH($AY$4,Lab_Mat!$K$5:$N$5,0))*$L8*INDEX(Act_Type_Repex_Splits,MATCH($I8,Act_Type_Repex,0),MATCH(AN$4,Mat_Type,0))*INDEX(Escalators!$I$44:$U$49,MATCH(AN$4,Escalators!$C$44:$C$49,0),MATCH(AN$5,Escalators!$I$43:$U$43,0))</f>
        <v>0</v>
      </c>
      <c r="AO8" s="47">
        <f>INDEX(Lab_Mat!$K$6:$N$9,MATCH($H8,Lab_Mat!$J$6:$J$9,0),MATCH($AY$4,Lab_Mat!$K$5:$N$5,0))*$L8*INDEX(Act_Type_Repex_Splits,MATCH($I8,Act_Type_Repex,0),MATCH(AO$4,Mat_Type,0))*INDEX(Escalators!$I$44:$U$49,MATCH(AO$4,Escalators!$C$44:$C$49,0),MATCH(AO$5,Escalators!$I$43:$U$43,0))</f>
        <v>0</v>
      </c>
      <c r="AP8" s="47">
        <f>INDEX(Lab_Mat!$K$6:$N$9,MATCH($H8,Lab_Mat!$J$6:$J$9,0),MATCH($AY$4,Lab_Mat!$K$5:$N$5,0))*$L8*INDEX(Act_Type_Repex_Splits,MATCH($I8,Act_Type_Repex,0),MATCH(AP$4,Mat_Type,0))*INDEX(Escalators!$I$44:$U$49,MATCH(AP$4,Escalators!$C$44:$C$49,0),MATCH(AP$5,Escalators!$I$43:$U$43,0))</f>
        <v>0</v>
      </c>
      <c r="AQ8" s="47">
        <f>INDEX(Lab_Mat!$K$6:$N$9,MATCH($H8,Lab_Mat!$J$6:$J$9,0),MATCH($AY$4,Lab_Mat!$K$5:$N$5,0))*$L8*INDEX(Act_Type_Repex_Splits,MATCH($I8,Act_Type_Repex,0),MATCH(AQ$4,Mat_Type,0))*INDEX(Escalators!$I$44:$U$49,MATCH(AQ$4,Escalators!$C$44:$C$49,0),MATCH(AQ$5,Escalators!$I$43:$U$43,0))</f>
        <v>0</v>
      </c>
      <c r="AR8" s="47">
        <f>INDEX(Lab_Mat!$K$6:$N$9,MATCH($H8,Lab_Mat!$J$6:$J$9,0),MATCH($AY$4,Lab_Mat!$K$5:$N$5,0))*$L8*INDEX(Act_Type_Repex_Splits,MATCH($I8,Act_Type_Repex,0),MATCH(AR$4,Mat_Type,0))*INDEX(Escalators!$I$44:$U$49,MATCH(AR$4,Escalators!$C$44:$C$49,0),MATCH(AR$5,Escalators!$I$43:$U$43,0))</f>
        <v>0</v>
      </c>
      <c r="AS8" s="47">
        <f>SUM(AN8:AR8)</f>
        <v>0</v>
      </c>
      <c r="AT8" s="47">
        <f>INDEX(Lab_Mat!$K$6:$N$9,MATCH($H8,Lab_Mat!$J$6:$J$9,0),MATCH($AY$4,Lab_Mat!$K$5:$N$5,0))*$M8*INDEX(Act_Type_Repex_Splits,MATCH($I8,Act_Type_Repex,0),MATCH(AT$4,Mat_Type,0))*INDEX(Escalators!$I$44:$U$49,MATCH(AT$4,Escalators!$C$44:$C$49,0),MATCH(AT$5,Escalators!$I$43:$U$43,0))</f>
        <v>0</v>
      </c>
      <c r="AU8" s="47">
        <f>INDEX(Lab_Mat!$K$6:$N$9,MATCH($H8,Lab_Mat!$J$6:$J$9,0),MATCH($AY$4,Lab_Mat!$K$5:$N$5,0))*$M8*INDEX(Act_Type_Repex_Splits,MATCH($I8,Act_Type_Repex,0),MATCH(AU$4,Mat_Type,0))*INDEX(Escalators!$I$44:$U$49,MATCH(AU$4,Escalators!$C$44:$C$49,0),MATCH(AU$5,Escalators!$I$43:$U$43,0))</f>
        <v>0</v>
      </c>
      <c r="AV8" s="47">
        <f>INDEX(Lab_Mat!$K$6:$N$9,MATCH($H8,Lab_Mat!$J$6:$J$9,0),MATCH($AY$4,Lab_Mat!$K$5:$N$5,0))*$M8*INDEX(Act_Type_Repex_Splits,MATCH($I8,Act_Type_Repex,0),MATCH(AV$4,Mat_Type,0))*INDEX(Escalators!$I$44:$U$49,MATCH(AV$4,Escalators!$C$44:$C$49,0),MATCH(AV$5,Escalators!$I$43:$U$43,0))</f>
        <v>0</v>
      </c>
      <c r="AW8" s="47">
        <f>INDEX(Lab_Mat!$K$6:$N$9,MATCH($H8,Lab_Mat!$J$6:$J$9,0),MATCH($AY$4,Lab_Mat!$K$5:$N$5,0))*$M8*INDEX(Act_Type_Repex_Splits,MATCH($I8,Act_Type_Repex,0),MATCH(AW$4,Mat_Type,0))*INDEX(Escalators!$I$44:$U$49,MATCH(AW$4,Escalators!$C$44:$C$49,0),MATCH(AW$5,Escalators!$I$43:$U$43,0))</f>
        <v>0</v>
      </c>
      <c r="AX8" s="47">
        <f>INDEX(Lab_Mat!$K$6:$N$9,MATCH($H8,Lab_Mat!$J$6:$J$9,0),MATCH($AY$4,Lab_Mat!$K$5:$N$5,0))*$M8*INDEX(Act_Type_Repex_Splits,MATCH($I8,Act_Type_Repex,0),MATCH(AX$4,Mat_Type,0))*INDEX(Escalators!$I$44:$U$49,MATCH(AX$4,Escalators!$C$44:$C$49,0),MATCH(AX$5,Escalators!$I$43:$U$43,0))</f>
        <v>0</v>
      </c>
      <c r="AY8" s="47">
        <f>SUM(AT8:AX8)</f>
        <v>0</v>
      </c>
      <c r="AZ8" s="47">
        <f>INDEX(Lab_Mat!$K$6:$N$9,MATCH($H8,Lab_Mat!$J$6:$J$9,0),MATCH($BE$4,Lab_Mat!$K$5:$N$5,0))*$N8*INDEX(Act_Type_Repex_Splits,MATCH($I8,Act_Type_Repex,0),MATCH(AZ$4,Mat_Type,0))*INDEX(Escalators!$I$44:$U$49,MATCH(AZ$4,Escalators!$C$44:$C$49,0),MATCH(AZ$5,Escalators!$I$43:$U$43,0))</f>
        <v>0</v>
      </c>
      <c r="BA8" s="47">
        <f>INDEX(Lab_Mat!$K$6:$N$9,MATCH($H8,Lab_Mat!$J$6:$J$9,0),MATCH($BE$4,Lab_Mat!$K$5:$N$5,0))*$N8*INDEX(Act_Type_Repex_Splits,MATCH($I8,Act_Type_Repex,0),MATCH(BA$4,Mat_Type,0))*INDEX(Escalators!$I$44:$U$49,MATCH(BA$4,Escalators!$C$44:$C$49,0),MATCH(BA$5,Escalators!$I$43:$U$43,0))</f>
        <v>0</v>
      </c>
      <c r="BB8" s="47">
        <f>INDEX(Lab_Mat!$K$6:$N$9,MATCH($H8,Lab_Mat!$J$6:$J$9,0),MATCH($BE$4,Lab_Mat!$K$5:$N$5,0))*$N8*INDEX(Act_Type_Repex_Splits,MATCH($I8,Act_Type_Repex,0),MATCH(BB$4,Mat_Type,0))*INDEX(Escalators!$I$44:$U$49,MATCH(BB$4,Escalators!$C$44:$C$49,0),MATCH(BB$5,Escalators!$I$43:$U$43,0))</f>
        <v>0</v>
      </c>
      <c r="BC8" s="47">
        <f>INDEX(Lab_Mat!$K$6:$N$9,MATCH($H8,Lab_Mat!$J$6:$J$9,0),MATCH($BE$4,Lab_Mat!$K$5:$N$5,0))*$N8*INDEX(Act_Type_Repex_Splits,MATCH($I8,Act_Type_Repex,0),MATCH(BC$4,Mat_Type,0))*INDEX(Escalators!$I$44:$U$49,MATCH(BC$4,Escalators!$C$44:$C$49,0),MATCH(BC$5,Escalators!$I$43:$U$43,0))</f>
        <v>0</v>
      </c>
      <c r="BD8" s="47">
        <f>INDEX(Lab_Mat!$K$6:$N$9,MATCH($H8,Lab_Mat!$J$6:$J$9,0),MATCH($BE$4,Lab_Mat!$K$5:$N$5,0))*$N8*INDEX(Act_Type_Repex_Splits,MATCH($I8,Act_Type_Repex,0),MATCH(BD$4,Mat_Type,0))*INDEX(Escalators!$I$44:$U$49,MATCH(BD$4,Escalators!$C$44:$C$49,0),MATCH(BD$5,Escalators!$I$43:$U$43,0))</f>
        <v>0</v>
      </c>
      <c r="BE8" s="47">
        <f>SUM(AZ8:BD8)</f>
        <v>0</v>
      </c>
      <c r="BF8" s="47">
        <f>INDEX(Lab_Mat!$K$6:$N$9,MATCH($H8,Lab_Mat!$J$6:$J$9,0),MATCH($BK$4,Lab_Mat!$K$5:$N$5,0))*$O8*INDEX(Act_Type_Repex_Splits,MATCH($I8,Act_Type_Repex,0),MATCH(BF$4,Mat_Type,0))*INDEX(Escalators!$I$44:$U$49,MATCH(BF$4,Escalators!$C$44:$C$49,0),MATCH(BF$5,Escalators!$I$43:$U$43,0))</f>
        <v>0</v>
      </c>
      <c r="BG8" s="47">
        <f>INDEX(Lab_Mat!$K$6:$N$9,MATCH($H8,Lab_Mat!$J$6:$J$9,0),MATCH($BK$4,Lab_Mat!$K$5:$N$5,0))*$O8*INDEX(Act_Type_Repex_Splits,MATCH($I8,Act_Type_Repex,0),MATCH(BG$4,Mat_Type,0))*INDEX(Escalators!$I$44:$U$49,MATCH(BG$4,Escalators!$C$44:$C$49,0),MATCH(BG$5,Escalators!$I$43:$U$43,0))</f>
        <v>0</v>
      </c>
      <c r="BH8" s="47">
        <f>INDEX(Lab_Mat!$K$6:$N$9,MATCH($H8,Lab_Mat!$J$6:$J$9,0),MATCH($BK$4,Lab_Mat!$K$5:$N$5,0))*$O8*INDEX(Act_Type_Repex_Splits,MATCH($I8,Act_Type_Repex,0),MATCH(BH$4,Mat_Type,0))*INDEX(Escalators!$I$44:$U$49,MATCH(BH$4,Escalators!$C$44:$C$49,0),MATCH(BH$5,Escalators!$I$43:$U$43,0))</f>
        <v>0</v>
      </c>
      <c r="BI8" s="47">
        <f>INDEX(Lab_Mat!$K$6:$N$9,MATCH($H8,Lab_Mat!$J$6:$J$9,0),MATCH($BK$4,Lab_Mat!$K$5:$N$5,0))*$O8*INDEX(Act_Type_Repex_Splits,MATCH($I8,Act_Type_Repex,0),MATCH(BI$4,Mat_Type,0))*INDEX(Escalators!$I$44:$U$49,MATCH(BI$4,Escalators!$C$44:$C$49,0),MATCH(BI$5,Escalators!$I$43:$U$43,0))</f>
        <v>0</v>
      </c>
      <c r="BJ8" s="47">
        <f>INDEX(Lab_Mat!$K$6:$N$9,MATCH($H8,Lab_Mat!$J$6:$J$9,0),MATCH($BK$4,Lab_Mat!$K$5:$N$5,0))*$O8*INDEX(Act_Type_Repex_Splits,MATCH($I8,Act_Type_Repex,0),MATCH(BJ$4,Mat_Type,0))*INDEX(Escalators!$I$44:$U$49,MATCH(BJ$4,Escalators!$C$44:$C$49,0),MATCH(BJ$5,Escalators!$I$43:$U$43,0))</f>
        <v>0</v>
      </c>
      <c r="BK8" s="47">
        <f>SUM(BF8:BJ8)</f>
        <v>0</v>
      </c>
      <c r="BL8" s="47">
        <f>INDEX(Lab_Mat!$K$6:$N$9,MATCH($H8,Lab_Mat!$J$6:$J$9,0),MATCH($BQ$4,Lab_Mat!$K$5:$N$5,0))*$P8*INDEX(Act_Type_Repex_Splits,MATCH($I8,Act_Type_Repex,0),MATCH(BL$4,Mat_Type,0))*INDEX(Escalators!$I$44:$U$49,MATCH(BL$4,Escalators!$C$44:$C$49,0),MATCH(BL$5,Escalators!$I$43:$U$43,0))</f>
        <v>0</v>
      </c>
      <c r="BM8" s="47">
        <f>INDEX(Lab_Mat!$K$6:$N$9,MATCH($H8,Lab_Mat!$J$6:$J$9,0),MATCH($BQ$4,Lab_Mat!$K$5:$N$5,0))*$P8*INDEX(Act_Type_Repex_Splits,MATCH($I8,Act_Type_Repex,0),MATCH(BM$4,Mat_Type,0))*INDEX(Escalators!$I$44:$U$49,MATCH(BM$4,Escalators!$C$44:$C$49,0),MATCH(BM$5,Escalators!$I$43:$U$43,0))</f>
        <v>0</v>
      </c>
      <c r="BN8" s="47">
        <f>INDEX(Lab_Mat!$K$6:$N$9,MATCH($H8,Lab_Mat!$J$6:$J$9,0),MATCH($BQ$4,Lab_Mat!$K$5:$N$5,0))*$P8*INDEX(Act_Type_Repex_Splits,MATCH($I8,Act_Type_Repex,0),MATCH(BN$4,Mat_Type,0))*INDEX(Escalators!$I$44:$U$49,MATCH(BN$4,Escalators!$C$44:$C$49,0),MATCH(BN$5,Escalators!$I$43:$U$43,0))</f>
        <v>0</v>
      </c>
      <c r="BO8" s="47">
        <f>INDEX(Lab_Mat!$K$6:$N$9,MATCH($H8,Lab_Mat!$J$6:$J$9,0),MATCH($BQ$4,Lab_Mat!$K$5:$N$5,0))*$P8*INDEX(Act_Type_Repex_Splits,MATCH($I8,Act_Type_Repex,0),MATCH(BO$4,Mat_Type,0))*INDEX(Escalators!$I$44:$U$49,MATCH(BO$4,Escalators!$C$44:$C$49,0),MATCH(BO$5,Escalators!$I$43:$U$43,0))</f>
        <v>0</v>
      </c>
      <c r="BP8" s="47">
        <f>INDEX(Lab_Mat!$K$6:$N$9,MATCH($H8,Lab_Mat!$J$6:$J$9,0),MATCH($BQ$4,Lab_Mat!$K$5:$N$5,0))*$P8*INDEX(Act_Type_Repex_Splits,MATCH($I8,Act_Type_Repex,0),MATCH(BP$4,Mat_Type,0))*INDEX(Escalators!$I$44:$U$49,MATCH(BP$4,Escalators!$C$44:$C$49,0),MATCH(BP$5,Escalators!$I$43:$U$43,0))</f>
        <v>0</v>
      </c>
      <c r="BQ8" s="47">
        <f>SUM(BL8:BP8)</f>
        <v>0</v>
      </c>
      <c r="BR8" s="47">
        <f>INDEX(Lab_Mat!$K$6:$N$9,MATCH($H8,Lab_Mat!$J$6:$J$9,0),MATCH($BW$4,Lab_Mat!$K$5:$N$5,0))*$Q8*INDEX(Act_Type_Repex_Splits,MATCH($I8,Act_Type_Repex,0),MATCH(BR$4,Mat_Type,0))*INDEX(Escalators!$I$44:$U$49,MATCH(BR$4,Escalators!$C$44:$C$49,0),MATCH(BR$5,Escalators!$I$43:$U$43,0))</f>
        <v>0</v>
      </c>
      <c r="BS8" s="47">
        <f>INDEX(Lab_Mat!$K$6:$N$9,MATCH($H8,Lab_Mat!$J$6:$J$9,0),MATCH($BW$4,Lab_Mat!$K$5:$N$5,0))*$Q8*INDEX(Act_Type_Repex_Splits,MATCH($I8,Act_Type_Repex,0),MATCH(BS$4,Mat_Type,0))*INDEX(Escalators!$I$44:$U$49,MATCH(BS$4,Escalators!$C$44:$C$49,0),MATCH(BS$5,Escalators!$I$43:$U$43,0))</f>
        <v>0</v>
      </c>
      <c r="BT8" s="47">
        <f>INDEX(Lab_Mat!$K$6:$N$9,MATCH($H8,Lab_Mat!$J$6:$J$9,0),MATCH($BW$4,Lab_Mat!$K$5:$N$5,0))*$Q8*INDEX(Act_Type_Repex_Splits,MATCH($I8,Act_Type_Repex,0),MATCH(BT$4,Mat_Type,0))*INDEX(Escalators!$I$44:$U$49,MATCH(BT$4,Escalators!$C$44:$C$49,0),MATCH(BT$5,Escalators!$I$43:$U$43,0))</f>
        <v>0</v>
      </c>
      <c r="BU8" s="47">
        <f>INDEX(Lab_Mat!$K$6:$N$9,MATCH($H8,Lab_Mat!$J$6:$J$9,0),MATCH($BW$4,Lab_Mat!$K$5:$N$5,0))*$Q8*INDEX(Act_Type_Repex_Splits,MATCH($I8,Act_Type_Repex,0),MATCH(BU$4,Mat_Type,0))*INDEX(Escalators!$I$44:$U$49,MATCH(BU$4,Escalators!$C$44:$C$49,0),MATCH(BU$5,Escalators!$I$43:$U$43,0))</f>
        <v>0</v>
      </c>
      <c r="BV8" s="47">
        <f>INDEX(Lab_Mat!$K$6:$N$9,MATCH($H8,Lab_Mat!$J$6:$J$9,0),MATCH($BW$4,Lab_Mat!$K$5:$N$5,0))*$Q8*INDEX(Act_Type_Repex_Splits,MATCH($I8,Act_Type_Repex,0),MATCH(BV$4,Mat_Type,0))*INDEX(Escalators!$I$44:$U$49,MATCH(BV$4,Escalators!$C$44:$C$49,0),MATCH(BV$5,Escalators!$I$43:$U$43,0))</f>
        <v>0</v>
      </c>
      <c r="BW8" s="47">
        <f>SUM(BR8:BV8)</f>
        <v>0</v>
      </c>
      <c r="BY8" s="47">
        <f>INDEX(Lab_Mat!$K$6:$N$9,MATCH($H8,Lab_Mat!$J$6:$J$9,0),MATCH($BY$4,Lab_Mat!$K$5:$N$5,0))*J8*HLOOKUP(BY$5,Escalators!$I$25:$U$30,6,FALSE)</f>
        <v>0</v>
      </c>
      <c r="BZ8" s="47">
        <f>INDEX(Lab_Mat!$K$6:$N$9,MATCH($H8,Lab_Mat!$J$6:$J$9,0),MATCH($BY$4,Lab_Mat!$K$5:$N$5,0))*K8*HLOOKUP(BZ$5,Escalators!$I$25:$U$30,6,FALSE)</f>
        <v>0</v>
      </c>
      <c r="CA8" s="47">
        <f>INDEX(Lab_Mat!$K$6:$N$9,MATCH($H8,Lab_Mat!$J$6:$J$9,0),MATCH($BY$4,Lab_Mat!$K$5:$N$5,0))*L8*HLOOKUP(CA$5,Escalators!$I$25:$U$30,6,FALSE)</f>
        <v>0</v>
      </c>
      <c r="CB8" s="47">
        <f>INDEX(Lab_Mat!$K$6:$N$9,MATCH($H8,Lab_Mat!$J$6:$J$9,0),MATCH($BY$4,Lab_Mat!$K$5:$N$5,0))*M8*HLOOKUP(CB$5,Escalators!$I$25:$U$30,6,FALSE)</f>
        <v>0</v>
      </c>
      <c r="CC8" s="47">
        <f>INDEX(Lab_Mat!$K$6:$N$9,MATCH($H8,Lab_Mat!$J$6:$J$9,0),MATCH($BY$4,Lab_Mat!$K$5:$N$5,0))*N8*HLOOKUP(CC$5,Escalators!$I$25:$U$30,6,FALSE)</f>
        <v>0</v>
      </c>
      <c r="CD8" s="47">
        <f>INDEX(Lab_Mat!$K$6:$N$9,MATCH($H8,Lab_Mat!$J$6:$J$9,0),MATCH($BY$4,Lab_Mat!$K$5:$N$5,0))*O8*HLOOKUP(CD$5,Escalators!$I$25:$U$30,6,FALSE)</f>
        <v>0</v>
      </c>
      <c r="CE8" s="47">
        <f>INDEX(Lab_Mat!$K$6:$N$9,MATCH($H8,Lab_Mat!$J$6:$J$9,0),MATCH($BY$4,Lab_Mat!$K$5:$N$5,0))*P8*HLOOKUP(CE$5,Escalators!$I$25:$U$30,6,FALSE)</f>
        <v>0</v>
      </c>
      <c r="CF8" s="47">
        <f>INDEX(Lab_Mat!$K$6:$N$9,MATCH($H8,Lab_Mat!$J$6:$J$9,0),MATCH($BY$4,Lab_Mat!$K$5:$N$5,0))*Q8*HLOOKUP(CF$5,Escalators!$I$25:$U$30,6,FALSE)</f>
        <v>0</v>
      </c>
      <c r="CH8" s="82">
        <f>INDEX(Lab_Mat!$K$6:$N$9,MATCH($H8,Lab_Mat!$J$6:$J$9,0),MATCH($CH$4,Lab_Mat!$K$5:$N$5,0))*J8</f>
        <v>0</v>
      </c>
      <c r="CI8" s="82">
        <f>INDEX(Lab_Mat!$K$6:$N$9,MATCH($H8,Lab_Mat!$J$6:$J$9,0),MATCH($CH$4,Lab_Mat!$K$5:$N$5,0))*K8</f>
        <v>0</v>
      </c>
      <c r="CJ8" s="82">
        <f>INDEX(Lab_Mat!$K$6:$N$9,MATCH($H8,Lab_Mat!$J$6:$J$9,0),MATCH($CH$4,Lab_Mat!$K$5:$N$5,0))*L8</f>
        <v>0</v>
      </c>
      <c r="CK8" s="82">
        <f>INDEX(Lab_Mat!$K$6:$N$9,MATCH($H8,Lab_Mat!$J$6:$J$9,0),MATCH($CH$4,Lab_Mat!$K$5:$N$5,0))*M8</f>
        <v>0</v>
      </c>
      <c r="CL8" s="82">
        <f>INDEX(Lab_Mat!$K$6:$N$9,MATCH($H8,Lab_Mat!$J$6:$J$9,0),MATCH($CH$4,Lab_Mat!$K$5:$N$5,0))*N8</f>
        <v>0</v>
      </c>
      <c r="CM8" s="82">
        <f>INDEX(Lab_Mat!$K$6:$N$9,MATCH($H8,Lab_Mat!$J$6:$J$9,0),MATCH($CH$4,Lab_Mat!$K$5:$N$5,0))*O8</f>
        <v>0</v>
      </c>
      <c r="CN8" s="82">
        <f>INDEX(Lab_Mat!$K$6:$N$9,MATCH($H8,Lab_Mat!$J$6:$J$9,0),MATCH($CH$4,Lab_Mat!$K$5:$N$5,0))*P8</f>
        <v>0</v>
      </c>
      <c r="CO8" s="82">
        <f>INDEX(Lab_Mat!$K$6:$N$9,MATCH($H8,Lab_Mat!$J$6:$J$9,0),MATCH($CH$4,Lab_Mat!$K$5:$N$5,0))*Q8</f>
        <v>0</v>
      </c>
      <c r="CQ8" s="47">
        <f t="shared" ref="CQ8:CQ13" si="9">S8+AG8+BY8+CH8</f>
        <v>0</v>
      </c>
      <c r="CR8" s="47">
        <f t="shared" ref="CR8:CR13" si="10">T8+AM8+BZ8+CI8</f>
        <v>0</v>
      </c>
      <c r="CS8" s="47">
        <f>U8+AS8+CA8+CJ8</f>
        <v>0</v>
      </c>
      <c r="CT8" s="47">
        <f t="shared" ref="CT8:CT13" si="11">V8+AY8+CB8+CK8</f>
        <v>0</v>
      </c>
      <c r="CU8" s="47">
        <f t="shared" ref="CU8:CU13" si="12">W8+BE8+CC8+CL8</f>
        <v>0</v>
      </c>
      <c r="CV8" s="47">
        <f t="shared" ref="CV8:CV13" si="13">X8+BK8+CD8+CM8</f>
        <v>0</v>
      </c>
      <c r="CW8" s="47">
        <f t="shared" ref="CW8:CW13" si="14">Y8+BQ8+CE8+CN8</f>
        <v>0</v>
      </c>
      <c r="CX8" s="47">
        <f t="shared" ref="CX8:CX13" si="15">Z8+BW8+CF8+CO8</f>
        <v>0</v>
      </c>
      <c r="CY8" s="39"/>
      <c r="CZ8" s="39"/>
      <c r="DA8" s="39"/>
      <c r="DB8" s="39"/>
      <c r="DC8" s="39"/>
    </row>
    <row r="9" spans="2:109">
      <c r="B9" s="6"/>
      <c r="C9" s="6" t="s">
        <v>409</v>
      </c>
      <c r="D9" s="6" t="s">
        <v>687</v>
      </c>
      <c r="E9" s="6" t="s">
        <v>45</v>
      </c>
      <c r="F9" s="6" t="s">
        <v>55</v>
      </c>
      <c r="G9" s="6" t="s">
        <v>10</v>
      </c>
      <c r="H9" s="6" t="s">
        <v>555</v>
      </c>
      <c r="I9" s="6" t="s">
        <v>186</v>
      </c>
      <c r="J9" s="47"/>
      <c r="K9" s="47"/>
      <c r="L9" s="47"/>
      <c r="M9" s="47">
        <v>0</v>
      </c>
      <c r="N9" s="47">
        <v>0</v>
      </c>
      <c r="O9" s="47">
        <v>0</v>
      </c>
      <c r="P9" s="47"/>
      <c r="Q9" s="47"/>
      <c r="S9" s="47">
        <f>INDEX(Lab_Mat!$K$6:$N$9,MATCH($H9,Lab_Mat!$J$6:$J$9,0),MATCH($S$4,Lab_Mat!$K$5:$N$5,0))*J9*HLOOKUP(S$5,Escalators!$I$25:$U$30,3,FALSE)</f>
        <v>0</v>
      </c>
      <c r="T9" s="47">
        <f>INDEX(Lab_Mat!$K$6:$N$9,MATCH($H9,Lab_Mat!$J$6:$J$9,0),MATCH($S$4,Lab_Mat!$K$5:$N$5,0))*K9*HLOOKUP(T$5,Escalators!$I$25:$U$30,3,FALSE)</f>
        <v>0</v>
      </c>
      <c r="U9" s="47">
        <f>INDEX(Lab_Mat!$K$6:$N$9,MATCH($H9,Lab_Mat!$J$6:$J$9,0),MATCH($S$4,Lab_Mat!$K$5:$N$5,0))*L9*HLOOKUP(U$5,Escalators!$I$25:$U$30,3,FALSE)</f>
        <v>0</v>
      </c>
      <c r="V9" s="47">
        <f>INDEX(Lab_Mat!$K$6:$N$9,MATCH($H9,Lab_Mat!$J$6:$J$9,0),MATCH($S$4,Lab_Mat!$K$5:$N$5,0))*M9*HLOOKUP(V$5,Escalators!$I$25:$U$30,3,FALSE)</f>
        <v>0</v>
      </c>
      <c r="W9" s="47">
        <f>INDEX(Lab_Mat!$K$6:$N$9,MATCH($H9,Lab_Mat!$J$6:$J$9,0),MATCH($S$4,Lab_Mat!$K$5:$N$5,0))*N9*HLOOKUP(W$5,Escalators!$I$25:$U$30,3,FALSE)</f>
        <v>0</v>
      </c>
      <c r="X9" s="47">
        <f>INDEX(Lab_Mat!$K$6:$N$9,MATCH($H9,Lab_Mat!$J$6:$J$9,0),MATCH($S$4,Lab_Mat!$K$5:$N$5,0))*O9*HLOOKUP(X$5,Escalators!$I$25:$U$30,3,FALSE)</f>
        <v>0</v>
      </c>
      <c r="Y9" s="47">
        <f>INDEX(Lab_Mat!$K$6:$N$9,MATCH($H9,Lab_Mat!$J$6:$J$9,0),MATCH($S$4,Lab_Mat!$K$5:$N$5,0))*P9*HLOOKUP(Y$5,Escalators!$I$25:$U$30,3,FALSE)</f>
        <v>0</v>
      </c>
      <c r="Z9" s="47">
        <f>INDEX(Lab_Mat!$K$6:$N$9,MATCH($H9,Lab_Mat!$J$6:$J$9,0),MATCH($S$4,Lab_Mat!$K$5:$N$5,0))*Q9*HLOOKUP(Z$5,Escalators!$I$25:$U$30,3,FALSE)</f>
        <v>0</v>
      </c>
      <c r="AB9" s="47">
        <f>INDEX(Lab_Mat!$K$6:$N$9,MATCH($H9,Lab_Mat!$J$6:$J$9,0),MATCH($AG$4,Lab_Mat!$K$5:$N$5,0))*$J9*INDEX(Act_Type_Repex_Splits,MATCH($I9,Act_Type_Repex,0),MATCH(AB$4,Mat_Type,0))*INDEX(Escalators!$I$44:$Q$49,MATCH(AB$4,Escalators!$C$44:$C$49,0),MATCH(AB$5,Escalators!$I$43:$Q$43,0))</f>
        <v>0</v>
      </c>
      <c r="AC9" s="47">
        <f>INDEX(Lab_Mat!$K$6:$N$9,MATCH($H9,Lab_Mat!$J$6:$J$9,0),MATCH($AG$4,Lab_Mat!$K$5:$N$5,0))*$J9*INDEX(Act_Type_Repex_Splits,MATCH($I9,Act_Type_Repex,0),MATCH(AC$4,Mat_Type,0))*INDEX(Escalators!$I$44:$Q$49,MATCH(AC$4,Escalators!$C$44:$C$49,0),MATCH(AC$5,Escalators!$I$43:$Q$43,0))</f>
        <v>0</v>
      </c>
      <c r="AD9" s="47">
        <f>INDEX(Lab_Mat!$K$6:$N$9,MATCH($H9,Lab_Mat!$J$6:$J$9,0),MATCH($AG$4,Lab_Mat!$K$5:$N$5,0))*$J9*INDEX(Act_Type_Repex_Splits,MATCH($I9,Act_Type_Repex,0),MATCH(AD$4,Mat_Type,0))*INDEX(Escalators!$I$44:$Q$49,MATCH(AD$4,Escalators!$C$44:$C$49,0),MATCH(AD$5,Escalators!$I$43:$Q$43,0))</f>
        <v>0</v>
      </c>
      <c r="AE9" s="47">
        <f>INDEX(Lab_Mat!$K$6:$N$9,MATCH($H9,Lab_Mat!$J$6:$J$9,0),MATCH($AG$4,Lab_Mat!$K$5:$N$5,0))*$J9*INDEX(Act_Type_Repex_Splits,MATCH($I9,Act_Type_Repex,0),MATCH(AE$4,Mat_Type,0))*INDEX(Escalators!$I$44:$Q$49,MATCH(AE$4,Escalators!$C$44:$C$49,0),MATCH(AE$5,Escalators!$I$43:$Q$43,0))</f>
        <v>0</v>
      </c>
      <c r="AF9" s="47">
        <f>INDEX(Lab_Mat!$K$6:$N$9,MATCH($H9,Lab_Mat!$J$6:$J$9,0),MATCH($AG$4,Lab_Mat!$K$5:$N$5,0))*$J9*INDEX(Act_Type_Repex_Splits,MATCH($I9,Act_Type_Repex,0),MATCH(AF$4,Mat_Type,0))*INDEX(Escalators!$I$44:$Q$49,MATCH(AF$4,Escalators!$C$44:$C$49,0),MATCH(AF$5,Escalators!$I$43:$Q$43,0))</f>
        <v>0</v>
      </c>
      <c r="AG9" s="47">
        <f t="shared" ref="AG9:AG13" si="16">SUM(AB9:AF9)</f>
        <v>0</v>
      </c>
      <c r="AH9" s="47">
        <f>INDEX(Lab_Mat!$K$6:$N$9,MATCH($H9,Lab_Mat!$J$6:$J$9,0),MATCH($AY$4,Lab_Mat!$K$5:$N$5,0))*$K9*INDEX(Act_Type_Repex_Splits,MATCH($I9,Act_Type_Repex,0),MATCH(AH$4,Mat_Type,0))*INDEX(Escalators!$I$44:$U$49,MATCH(AH$4,Escalators!$C$44:$C$49,0),MATCH(AH$5,Escalators!$I$43:$U$43,0))</f>
        <v>0</v>
      </c>
      <c r="AI9" s="47">
        <f>INDEX(Lab_Mat!$K$6:$N$9,MATCH($H9,Lab_Mat!$J$6:$J$9,0),MATCH($AY$4,Lab_Mat!$K$5:$N$5,0))*$K9*INDEX(Act_Type_Repex_Splits,MATCH($I9,Act_Type_Repex,0),MATCH(AI$4,Mat_Type,0))*INDEX(Escalators!$I$44:$U$49,MATCH(AI$4,Escalators!$C$44:$C$49,0),MATCH(AI$5,Escalators!$I$43:$U$43,0))</f>
        <v>0</v>
      </c>
      <c r="AJ9" s="47">
        <f>INDEX(Lab_Mat!$K$6:$N$9,MATCH($H9,Lab_Mat!$J$6:$J$9,0),MATCH($AY$4,Lab_Mat!$K$5:$N$5,0))*$K9*INDEX(Act_Type_Repex_Splits,MATCH($I9,Act_Type_Repex,0),MATCH(AJ$4,Mat_Type,0))*INDEX(Escalators!$I$44:$U$49,MATCH(AJ$4,Escalators!$C$44:$C$49,0),MATCH(AJ$5,Escalators!$I$43:$U$43,0))</f>
        <v>0</v>
      </c>
      <c r="AK9" s="47">
        <f>INDEX(Lab_Mat!$K$6:$N$9,MATCH($H9,Lab_Mat!$J$6:$J$9,0),MATCH($AY$4,Lab_Mat!$K$5:$N$5,0))*$K9*INDEX(Act_Type_Repex_Splits,MATCH($I9,Act_Type_Repex,0),MATCH(AK$4,Mat_Type,0))*INDEX(Escalators!$I$44:$U$49,MATCH(AK$4,Escalators!$C$44:$C$49,0),MATCH(AK$5,Escalators!$I$43:$U$43,0))</f>
        <v>0</v>
      </c>
      <c r="AL9" s="47">
        <f>INDEX(Lab_Mat!$K$6:$N$9,MATCH($H9,Lab_Mat!$J$6:$J$9,0),MATCH($AY$4,Lab_Mat!$K$5:$N$5,0))*$K9*INDEX(Act_Type_Repex_Splits,MATCH($I9,Act_Type_Repex,0),MATCH(AL$4,Mat_Type,0))*INDEX(Escalators!$I$44:$U$49,MATCH(AL$4,Escalators!$C$44:$C$49,0),MATCH(AL$5,Escalators!$I$43:$U$43,0))</f>
        <v>0</v>
      </c>
      <c r="AM9" s="47">
        <f t="shared" ref="AM9:AM13" si="17">SUM(AH9:AL9)</f>
        <v>0</v>
      </c>
      <c r="AN9" s="47">
        <f>INDEX(Lab_Mat!$K$6:$N$9,MATCH($H9,Lab_Mat!$J$6:$J$9,0),MATCH($AY$4,Lab_Mat!$K$5:$N$5,0))*$L9*INDEX(Act_Type_Repex_Splits,MATCH($I9,Act_Type_Repex,0),MATCH(AN$4,Mat_Type,0))*INDEX(Escalators!$I$44:$U$49,MATCH(AN$4,Escalators!$C$44:$C$49,0),MATCH(AN$5,Escalators!$I$43:$U$43,0))</f>
        <v>0</v>
      </c>
      <c r="AO9" s="47">
        <f>INDEX(Lab_Mat!$K$6:$N$9,MATCH($H9,Lab_Mat!$J$6:$J$9,0),MATCH($AY$4,Lab_Mat!$K$5:$N$5,0))*$L9*INDEX(Act_Type_Repex_Splits,MATCH($I9,Act_Type_Repex,0),MATCH(AO$4,Mat_Type,0))*INDEX(Escalators!$I$44:$U$49,MATCH(AO$4,Escalators!$C$44:$C$49,0),MATCH(AO$5,Escalators!$I$43:$U$43,0))</f>
        <v>0</v>
      </c>
      <c r="AP9" s="47">
        <f>INDEX(Lab_Mat!$K$6:$N$9,MATCH($H9,Lab_Mat!$J$6:$J$9,0),MATCH($AY$4,Lab_Mat!$K$5:$N$5,0))*$L9*INDEX(Act_Type_Repex_Splits,MATCH($I9,Act_Type_Repex,0),MATCH(AP$4,Mat_Type,0))*INDEX(Escalators!$I$44:$U$49,MATCH(AP$4,Escalators!$C$44:$C$49,0),MATCH(AP$5,Escalators!$I$43:$U$43,0))</f>
        <v>0</v>
      </c>
      <c r="AQ9" s="47">
        <f>INDEX(Lab_Mat!$K$6:$N$9,MATCH($H9,Lab_Mat!$J$6:$J$9,0),MATCH($AY$4,Lab_Mat!$K$5:$N$5,0))*$L9*INDEX(Act_Type_Repex_Splits,MATCH($I9,Act_Type_Repex,0),MATCH(AQ$4,Mat_Type,0))*INDEX(Escalators!$I$44:$U$49,MATCH(AQ$4,Escalators!$C$44:$C$49,0),MATCH(AQ$5,Escalators!$I$43:$U$43,0))</f>
        <v>0</v>
      </c>
      <c r="AR9" s="47">
        <f>INDEX(Lab_Mat!$K$6:$N$9,MATCH($H9,Lab_Mat!$J$6:$J$9,0),MATCH($AY$4,Lab_Mat!$K$5:$N$5,0))*$L9*INDEX(Act_Type_Repex_Splits,MATCH($I9,Act_Type_Repex,0),MATCH(AR$4,Mat_Type,0))*INDEX(Escalators!$I$44:$U$49,MATCH(AR$4,Escalators!$C$44:$C$49,0),MATCH(AR$5,Escalators!$I$43:$U$43,0))</f>
        <v>0</v>
      </c>
      <c r="AS9" s="47">
        <f t="shared" ref="AS9:AS13" si="18">SUM(AN9:AR9)</f>
        <v>0</v>
      </c>
      <c r="AT9" s="47">
        <f>INDEX(Lab_Mat!$K$6:$N$9,MATCH($H9,Lab_Mat!$J$6:$J$9,0),MATCH($AY$4,Lab_Mat!$K$5:$N$5,0))*$M9*INDEX(Act_Type_Repex_Splits,MATCH($I9,Act_Type_Repex,0),MATCH(AT$4,Mat_Type,0))*INDEX(Escalators!$I$44:$U$49,MATCH(AT$4,Escalators!$C$44:$C$49,0),MATCH(AT$5,Escalators!$I$43:$U$43,0))</f>
        <v>0</v>
      </c>
      <c r="AU9" s="47">
        <f>INDEX(Lab_Mat!$K$6:$N$9,MATCH($H9,Lab_Mat!$J$6:$J$9,0),MATCH($AY$4,Lab_Mat!$K$5:$N$5,0))*$M9*INDEX(Act_Type_Repex_Splits,MATCH($I9,Act_Type_Repex,0),MATCH(AU$4,Mat_Type,0))*INDEX(Escalators!$I$44:$U$49,MATCH(AU$4,Escalators!$C$44:$C$49,0),MATCH(AU$5,Escalators!$I$43:$U$43,0))</f>
        <v>0</v>
      </c>
      <c r="AV9" s="47">
        <f>INDEX(Lab_Mat!$K$6:$N$9,MATCH($H9,Lab_Mat!$J$6:$J$9,0),MATCH($AY$4,Lab_Mat!$K$5:$N$5,0))*$M9*INDEX(Act_Type_Repex_Splits,MATCH($I9,Act_Type_Repex,0),MATCH(AV$4,Mat_Type,0))*INDEX(Escalators!$I$44:$U$49,MATCH(AV$4,Escalators!$C$44:$C$49,0),MATCH(AV$5,Escalators!$I$43:$U$43,0))</f>
        <v>0</v>
      </c>
      <c r="AW9" s="47">
        <f>INDEX(Lab_Mat!$K$6:$N$9,MATCH($H9,Lab_Mat!$J$6:$J$9,0),MATCH($AY$4,Lab_Mat!$K$5:$N$5,0))*$M9*INDEX(Act_Type_Repex_Splits,MATCH($I9,Act_Type_Repex,0),MATCH(AW$4,Mat_Type,0))*INDEX(Escalators!$I$44:$U$49,MATCH(AW$4,Escalators!$C$44:$C$49,0),MATCH(AW$5,Escalators!$I$43:$U$43,0))</f>
        <v>0</v>
      </c>
      <c r="AX9" s="47">
        <f>INDEX(Lab_Mat!$K$6:$N$9,MATCH($H9,Lab_Mat!$J$6:$J$9,0),MATCH($AY$4,Lab_Mat!$K$5:$N$5,0))*$M9*INDEX(Act_Type_Repex_Splits,MATCH($I9,Act_Type_Repex,0),MATCH(AX$4,Mat_Type,0))*INDEX(Escalators!$I$44:$U$49,MATCH(AX$4,Escalators!$C$44:$C$49,0),MATCH(AX$5,Escalators!$I$43:$U$43,0))</f>
        <v>0</v>
      </c>
      <c r="AY9" s="47">
        <f t="shared" ref="AY9:AY13" si="19">SUM(AT9:AX9)</f>
        <v>0</v>
      </c>
      <c r="AZ9" s="47">
        <f>INDEX(Lab_Mat!$K$6:$N$9,MATCH($H9,Lab_Mat!$J$6:$J$9,0),MATCH($BE$4,Lab_Mat!$K$5:$N$5,0))*$N9*INDEX(Act_Type_Repex_Splits,MATCH($I9,Act_Type_Repex,0),MATCH(AZ$4,Mat_Type,0))*INDEX(Escalators!$I$44:$U$49,MATCH(AZ$4,Escalators!$C$44:$C$49,0),MATCH(AZ$5,Escalators!$I$43:$U$43,0))</f>
        <v>0</v>
      </c>
      <c r="BA9" s="47">
        <f>INDEX(Lab_Mat!$K$6:$N$9,MATCH($H9,Lab_Mat!$J$6:$J$9,0),MATCH($BE$4,Lab_Mat!$K$5:$N$5,0))*$N9*INDEX(Act_Type_Repex_Splits,MATCH($I9,Act_Type_Repex,0),MATCH(BA$4,Mat_Type,0))*INDEX(Escalators!$I$44:$U$49,MATCH(BA$4,Escalators!$C$44:$C$49,0),MATCH(BA$5,Escalators!$I$43:$U$43,0))</f>
        <v>0</v>
      </c>
      <c r="BB9" s="47">
        <f>INDEX(Lab_Mat!$K$6:$N$9,MATCH($H9,Lab_Mat!$J$6:$J$9,0),MATCH($BE$4,Lab_Mat!$K$5:$N$5,0))*$N9*INDEX(Act_Type_Repex_Splits,MATCH($I9,Act_Type_Repex,0),MATCH(BB$4,Mat_Type,0))*INDEX(Escalators!$I$44:$U$49,MATCH(BB$4,Escalators!$C$44:$C$49,0),MATCH(BB$5,Escalators!$I$43:$U$43,0))</f>
        <v>0</v>
      </c>
      <c r="BC9" s="47">
        <f>INDEX(Lab_Mat!$K$6:$N$9,MATCH($H9,Lab_Mat!$J$6:$J$9,0),MATCH($BE$4,Lab_Mat!$K$5:$N$5,0))*$N9*INDEX(Act_Type_Repex_Splits,MATCH($I9,Act_Type_Repex,0),MATCH(BC$4,Mat_Type,0))*INDEX(Escalators!$I$44:$U$49,MATCH(BC$4,Escalators!$C$44:$C$49,0),MATCH(BC$5,Escalators!$I$43:$U$43,0))</f>
        <v>0</v>
      </c>
      <c r="BD9" s="47">
        <f>INDEX(Lab_Mat!$K$6:$N$9,MATCH($H9,Lab_Mat!$J$6:$J$9,0),MATCH($BE$4,Lab_Mat!$K$5:$N$5,0))*$N9*INDEX(Act_Type_Repex_Splits,MATCH($I9,Act_Type_Repex,0),MATCH(BD$4,Mat_Type,0))*INDEX(Escalators!$I$44:$U$49,MATCH(BD$4,Escalators!$C$44:$C$49,0),MATCH(BD$5,Escalators!$I$43:$U$43,0))</f>
        <v>0</v>
      </c>
      <c r="BE9" s="47">
        <f t="shared" ref="BE9:BE13" si="20">SUM(AZ9:BD9)</f>
        <v>0</v>
      </c>
      <c r="BF9" s="47">
        <f>INDEX(Lab_Mat!$K$6:$N$9,MATCH($H9,Lab_Mat!$J$6:$J$9,0),MATCH($BK$4,Lab_Mat!$K$5:$N$5,0))*$O9*INDEX(Act_Type_Repex_Splits,MATCH($I9,Act_Type_Repex,0),MATCH(BF$4,Mat_Type,0))*INDEX(Escalators!$I$44:$U$49,MATCH(BF$4,Escalators!$C$44:$C$49,0),MATCH(BF$5,Escalators!$I$43:$U$43,0))</f>
        <v>0</v>
      </c>
      <c r="BG9" s="47">
        <f>INDEX(Lab_Mat!$K$6:$N$9,MATCH($H9,Lab_Mat!$J$6:$J$9,0),MATCH($BK$4,Lab_Mat!$K$5:$N$5,0))*$O9*INDEX(Act_Type_Repex_Splits,MATCH($I9,Act_Type_Repex,0),MATCH(BG$4,Mat_Type,0))*INDEX(Escalators!$I$44:$U$49,MATCH(BG$4,Escalators!$C$44:$C$49,0),MATCH(BG$5,Escalators!$I$43:$U$43,0))</f>
        <v>0</v>
      </c>
      <c r="BH9" s="47">
        <f>INDEX(Lab_Mat!$K$6:$N$9,MATCH($H9,Lab_Mat!$J$6:$J$9,0),MATCH($BK$4,Lab_Mat!$K$5:$N$5,0))*$O9*INDEX(Act_Type_Repex_Splits,MATCH($I9,Act_Type_Repex,0),MATCH(BH$4,Mat_Type,0))*INDEX(Escalators!$I$44:$U$49,MATCH(BH$4,Escalators!$C$44:$C$49,0),MATCH(BH$5,Escalators!$I$43:$U$43,0))</f>
        <v>0</v>
      </c>
      <c r="BI9" s="47">
        <f>INDEX(Lab_Mat!$K$6:$N$9,MATCH($H9,Lab_Mat!$J$6:$J$9,0),MATCH($BK$4,Lab_Mat!$K$5:$N$5,0))*$O9*INDEX(Act_Type_Repex_Splits,MATCH($I9,Act_Type_Repex,0),MATCH(BI$4,Mat_Type,0))*INDEX(Escalators!$I$44:$U$49,MATCH(BI$4,Escalators!$C$44:$C$49,0),MATCH(BI$5,Escalators!$I$43:$U$43,0))</f>
        <v>0</v>
      </c>
      <c r="BJ9" s="47">
        <f>INDEX(Lab_Mat!$K$6:$N$9,MATCH($H9,Lab_Mat!$J$6:$J$9,0),MATCH($BK$4,Lab_Mat!$K$5:$N$5,0))*$O9*INDEX(Act_Type_Repex_Splits,MATCH($I9,Act_Type_Repex,0),MATCH(BJ$4,Mat_Type,0))*INDEX(Escalators!$I$44:$U$49,MATCH(BJ$4,Escalators!$C$44:$C$49,0),MATCH(BJ$5,Escalators!$I$43:$U$43,0))</f>
        <v>0</v>
      </c>
      <c r="BK9" s="47">
        <f t="shared" ref="BK9:BK13" si="21">SUM(BF9:BJ9)</f>
        <v>0</v>
      </c>
      <c r="BL9" s="47">
        <f>INDEX(Lab_Mat!$K$6:$N$9,MATCH($H9,Lab_Mat!$J$6:$J$9,0),MATCH($BQ$4,Lab_Mat!$K$5:$N$5,0))*$P9*INDEX(Act_Type_Repex_Splits,MATCH($I9,Act_Type_Repex,0),MATCH(BL$4,Mat_Type,0))*INDEX(Escalators!$I$44:$U$49,MATCH(BL$4,Escalators!$C$44:$C$49,0),MATCH(BL$5,Escalators!$I$43:$U$43,0))</f>
        <v>0</v>
      </c>
      <c r="BM9" s="47">
        <f>INDEX(Lab_Mat!$K$6:$N$9,MATCH($H9,Lab_Mat!$J$6:$J$9,0),MATCH($BQ$4,Lab_Mat!$K$5:$N$5,0))*$P9*INDEX(Act_Type_Repex_Splits,MATCH($I9,Act_Type_Repex,0),MATCH(BM$4,Mat_Type,0))*INDEX(Escalators!$I$44:$U$49,MATCH(BM$4,Escalators!$C$44:$C$49,0),MATCH(BM$5,Escalators!$I$43:$U$43,0))</f>
        <v>0</v>
      </c>
      <c r="BN9" s="47">
        <f>INDEX(Lab_Mat!$K$6:$N$9,MATCH($H9,Lab_Mat!$J$6:$J$9,0),MATCH($BQ$4,Lab_Mat!$K$5:$N$5,0))*$P9*INDEX(Act_Type_Repex_Splits,MATCH($I9,Act_Type_Repex,0),MATCH(BN$4,Mat_Type,0))*INDEX(Escalators!$I$44:$U$49,MATCH(BN$4,Escalators!$C$44:$C$49,0),MATCH(BN$5,Escalators!$I$43:$U$43,0))</f>
        <v>0</v>
      </c>
      <c r="BO9" s="47">
        <f>INDEX(Lab_Mat!$K$6:$N$9,MATCH($H9,Lab_Mat!$J$6:$J$9,0),MATCH($BQ$4,Lab_Mat!$K$5:$N$5,0))*$P9*INDEX(Act_Type_Repex_Splits,MATCH($I9,Act_Type_Repex,0),MATCH(BO$4,Mat_Type,0))*INDEX(Escalators!$I$44:$U$49,MATCH(BO$4,Escalators!$C$44:$C$49,0),MATCH(BO$5,Escalators!$I$43:$U$43,0))</f>
        <v>0</v>
      </c>
      <c r="BP9" s="47">
        <f>INDEX(Lab_Mat!$K$6:$N$9,MATCH($H9,Lab_Mat!$J$6:$J$9,0),MATCH($BQ$4,Lab_Mat!$K$5:$N$5,0))*$P9*INDEX(Act_Type_Repex_Splits,MATCH($I9,Act_Type_Repex,0),MATCH(BP$4,Mat_Type,0))*INDEX(Escalators!$I$44:$U$49,MATCH(BP$4,Escalators!$C$44:$C$49,0),MATCH(BP$5,Escalators!$I$43:$U$43,0))</f>
        <v>0</v>
      </c>
      <c r="BQ9" s="47">
        <f t="shared" ref="BQ9:BQ13" si="22">SUM(BL9:BP9)</f>
        <v>0</v>
      </c>
      <c r="BR9" s="47">
        <f>INDEX(Lab_Mat!$K$6:$N$9,MATCH($H9,Lab_Mat!$J$6:$J$9,0),MATCH($BW$4,Lab_Mat!$K$5:$N$5,0))*$Q9*INDEX(Act_Type_Repex_Splits,MATCH($I9,Act_Type_Repex,0),MATCH(BR$4,Mat_Type,0))*INDEX(Escalators!$I$44:$U$49,MATCH(BR$4,Escalators!$C$44:$C$49,0),MATCH(BR$5,Escalators!$I$43:$U$43,0))</f>
        <v>0</v>
      </c>
      <c r="BS9" s="47">
        <f>INDEX(Lab_Mat!$K$6:$N$9,MATCH($H9,Lab_Mat!$J$6:$J$9,0),MATCH($BW$4,Lab_Mat!$K$5:$N$5,0))*$Q9*INDEX(Act_Type_Repex_Splits,MATCH($I9,Act_Type_Repex,0),MATCH(BS$4,Mat_Type,0))*INDEX(Escalators!$I$44:$U$49,MATCH(BS$4,Escalators!$C$44:$C$49,0),MATCH(BS$5,Escalators!$I$43:$U$43,0))</f>
        <v>0</v>
      </c>
      <c r="BT9" s="47">
        <f>INDEX(Lab_Mat!$K$6:$N$9,MATCH($H9,Lab_Mat!$J$6:$J$9,0),MATCH($BW$4,Lab_Mat!$K$5:$N$5,0))*$Q9*INDEX(Act_Type_Repex_Splits,MATCH($I9,Act_Type_Repex,0),MATCH(BT$4,Mat_Type,0))*INDEX(Escalators!$I$44:$U$49,MATCH(BT$4,Escalators!$C$44:$C$49,0),MATCH(BT$5,Escalators!$I$43:$U$43,0))</f>
        <v>0</v>
      </c>
      <c r="BU9" s="47">
        <f>INDEX(Lab_Mat!$K$6:$N$9,MATCH($H9,Lab_Mat!$J$6:$J$9,0),MATCH($BW$4,Lab_Mat!$K$5:$N$5,0))*$Q9*INDEX(Act_Type_Repex_Splits,MATCH($I9,Act_Type_Repex,0),MATCH(BU$4,Mat_Type,0))*INDEX(Escalators!$I$44:$U$49,MATCH(BU$4,Escalators!$C$44:$C$49,0),MATCH(BU$5,Escalators!$I$43:$U$43,0))</f>
        <v>0</v>
      </c>
      <c r="BV9" s="47">
        <f>INDEX(Lab_Mat!$K$6:$N$9,MATCH($H9,Lab_Mat!$J$6:$J$9,0),MATCH($BW$4,Lab_Mat!$K$5:$N$5,0))*$Q9*INDEX(Act_Type_Repex_Splits,MATCH($I9,Act_Type_Repex,0),MATCH(BV$4,Mat_Type,0))*INDEX(Escalators!$I$44:$U$49,MATCH(BV$4,Escalators!$C$44:$C$49,0),MATCH(BV$5,Escalators!$I$43:$U$43,0))</f>
        <v>0</v>
      </c>
      <c r="BW9" s="47">
        <f t="shared" ref="BW9:BW13" si="23">SUM(BR9:BV9)</f>
        <v>0</v>
      </c>
      <c r="BY9" s="47">
        <f>INDEX(Lab_Mat!$K$6:$N$9,MATCH($H9,Lab_Mat!$J$6:$J$9,0),MATCH($BY$4,Lab_Mat!$K$5:$N$5,0))*J9*HLOOKUP(BY$5,Escalators!$I$25:$U$30,6,FALSE)</f>
        <v>0</v>
      </c>
      <c r="BZ9" s="47">
        <f>INDEX(Lab_Mat!$K$6:$N$9,MATCH($H9,Lab_Mat!$J$6:$J$9,0),MATCH($BY$4,Lab_Mat!$K$5:$N$5,0))*K9*HLOOKUP(BZ$5,Escalators!$I$25:$U$30,6,FALSE)</f>
        <v>0</v>
      </c>
      <c r="CA9" s="47">
        <f>INDEX(Lab_Mat!$K$6:$N$9,MATCH($H9,Lab_Mat!$J$6:$J$9,0),MATCH($BY$4,Lab_Mat!$K$5:$N$5,0))*L9*HLOOKUP(CA$5,Escalators!$I$25:$U$30,6,FALSE)</f>
        <v>0</v>
      </c>
      <c r="CB9" s="47">
        <f>INDEX(Lab_Mat!$K$6:$N$9,MATCH($H9,Lab_Mat!$J$6:$J$9,0),MATCH($BY$4,Lab_Mat!$K$5:$N$5,0))*M9*HLOOKUP(CB$5,Escalators!$I$25:$U$30,6,FALSE)</f>
        <v>0</v>
      </c>
      <c r="CC9" s="47">
        <f>INDEX(Lab_Mat!$K$6:$N$9,MATCH($H9,Lab_Mat!$J$6:$J$9,0),MATCH($BY$4,Lab_Mat!$K$5:$N$5,0))*N9*HLOOKUP(CC$5,Escalators!$I$25:$U$30,6,FALSE)</f>
        <v>0</v>
      </c>
      <c r="CD9" s="47">
        <f>INDEX(Lab_Mat!$K$6:$N$9,MATCH($H9,Lab_Mat!$J$6:$J$9,0),MATCH($BY$4,Lab_Mat!$K$5:$N$5,0))*O9*HLOOKUP(CD$5,Escalators!$I$25:$U$30,6,FALSE)</f>
        <v>0</v>
      </c>
      <c r="CE9" s="47">
        <f>INDEX(Lab_Mat!$K$6:$N$9,MATCH($H9,Lab_Mat!$J$6:$J$9,0),MATCH($BY$4,Lab_Mat!$K$5:$N$5,0))*P9*HLOOKUP(CE$5,Escalators!$I$25:$U$30,6,FALSE)</f>
        <v>0</v>
      </c>
      <c r="CF9" s="47">
        <f>INDEX(Lab_Mat!$K$6:$N$9,MATCH($H9,Lab_Mat!$J$6:$J$9,0),MATCH($BY$4,Lab_Mat!$K$5:$N$5,0))*Q9*HLOOKUP(CF$5,Escalators!$I$25:$U$30,6,FALSE)</f>
        <v>0</v>
      </c>
      <c r="CH9" s="82">
        <f>INDEX(Lab_Mat!$K$6:$N$9,MATCH($H9,Lab_Mat!$J$6:$J$9,0),MATCH($CH$4,Lab_Mat!$K$5:$N$5,0))*J9</f>
        <v>0</v>
      </c>
      <c r="CI9" s="82">
        <f>INDEX(Lab_Mat!$K$6:$N$9,MATCH($H9,Lab_Mat!$J$6:$J$9,0),MATCH($CH$4,Lab_Mat!$K$5:$N$5,0))*K9</f>
        <v>0</v>
      </c>
      <c r="CJ9" s="82">
        <f>INDEX(Lab_Mat!$K$6:$N$9,MATCH($H9,Lab_Mat!$J$6:$J$9,0),MATCH($CH$4,Lab_Mat!$K$5:$N$5,0))*L9</f>
        <v>0</v>
      </c>
      <c r="CK9" s="82">
        <f>INDEX(Lab_Mat!$K$6:$N$9,MATCH($H9,Lab_Mat!$J$6:$J$9,0),MATCH($CH$4,Lab_Mat!$K$5:$N$5,0))*M9</f>
        <v>0</v>
      </c>
      <c r="CL9" s="82">
        <f>INDEX(Lab_Mat!$K$6:$N$9,MATCH($H9,Lab_Mat!$J$6:$J$9,0),MATCH($CH$4,Lab_Mat!$K$5:$N$5,0))*N9</f>
        <v>0</v>
      </c>
      <c r="CM9" s="82">
        <f>INDEX(Lab_Mat!$K$6:$N$9,MATCH($H9,Lab_Mat!$J$6:$J$9,0),MATCH($CH$4,Lab_Mat!$K$5:$N$5,0))*O9</f>
        <v>0</v>
      </c>
      <c r="CN9" s="82">
        <f>INDEX(Lab_Mat!$K$6:$N$9,MATCH($H9,Lab_Mat!$J$6:$J$9,0),MATCH($CH$4,Lab_Mat!$K$5:$N$5,0))*P9</f>
        <v>0</v>
      </c>
      <c r="CO9" s="82">
        <f>INDEX(Lab_Mat!$K$6:$N$9,MATCH($H9,Lab_Mat!$J$6:$J$9,0),MATCH($CH$4,Lab_Mat!$K$5:$N$5,0))*Q9</f>
        <v>0</v>
      </c>
      <c r="CQ9" s="47">
        <f t="shared" si="9"/>
        <v>0</v>
      </c>
      <c r="CR9" s="47">
        <f t="shared" si="10"/>
        <v>0</v>
      </c>
      <c r="CS9" s="47">
        <f t="shared" ref="CS9:CS36" si="24">U9+AS9+CA9+CJ9</f>
        <v>0</v>
      </c>
      <c r="CT9" s="47">
        <f t="shared" si="11"/>
        <v>0</v>
      </c>
      <c r="CU9" s="47">
        <f t="shared" si="12"/>
        <v>0</v>
      </c>
      <c r="CV9" s="47">
        <f t="shared" si="13"/>
        <v>0</v>
      </c>
      <c r="CW9" s="47">
        <f t="shared" si="14"/>
        <v>0</v>
      </c>
      <c r="CX9" s="47">
        <f t="shared" si="15"/>
        <v>0</v>
      </c>
      <c r="CY9" s="39"/>
      <c r="CZ9" s="39"/>
      <c r="DA9" s="39"/>
      <c r="DB9" s="39"/>
      <c r="DC9" s="39"/>
    </row>
    <row r="10" spans="2:109">
      <c r="B10" s="6"/>
      <c r="C10" s="6" t="s">
        <v>410</v>
      </c>
      <c r="D10" s="6" t="s">
        <v>687</v>
      </c>
      <c r="E10" s="6" t="s">
        <v>45</v>
      </c>
      <c r="F10" s="6" t="s">
        <v>55</v>
      </c>
      <c r="G10" s="6" t="s">
        <v>150</v>
      </c>
      <c r="H10" s="6" t="s">
        <v>556</v>
      </c>
      <c r="I10" s="6" t="s">
        <v>203</v>
      </c>
      <c r="J10" s="47"/>
      <c r="K10" s="47"/>
      <c r="L10" s="47"/>
      <c r="M10" s="47">
        <v>0</v>
      </c>
      <c r="N10" s="47">
        <v>0</v>
      </c>
      <c r="O10" s="47">
        <v>0</v>
      </c>
      <c r="P10" s="47"/>
      <c r="Q10" s="47"/>
      <c r="S10" s="47">
        <f>INDEX(Lab_Mat!$K$6:$N$9,MATCH($H10,Lab_Mat!$J$6:$J$9,0),MATCH($S$4,Lab_Mat!$K$5:$N$5,0))*J10*HLOOKUP(S$5,Escalators!$I$25:$U$30,3,FALSE)</f>
        <v>0</v>
      </c>
      <c r="T10" s="47">
        <f>INDEX(Lab_Mat!$K$6:$N$9,MATCH($H10,Lab_Mat!$J$6:$J$9,0),MATCH($S$4,Lab_Mat!$K$5:$N$5,0))*K10*HLOOKUP(T$5,Escalators!$I$25:$U$30,3,FALSE)</f>
        <v>0</v>
      </c>
      <c r="U10" s="47">
        <f>INDEX(Lab_Mat!$K$6:$N$9,MATCH($H10,Lab_Mat!$J$6:$J$9,0),MATCH($S$4,Lab_Mat!$K$5:$N$5,0))*L10*HLOOKUP(U$5,Escalators!$I$25:$U$30,3,FALSE)</f>
        <v>0</v>
      </c>
      <c r="V10" s="47">
        <f>INDEX(Lab_Mat!$K$6:$N$9,MATCH($H10,Lab_Mat!$J$6:$J$9,0),MATCH($S$4,Lab_Mat!$K$5:$N$5,0))*M10*HLOOKUP(V$5,Escalators!$I$25:$U$30,3,FALSE)</f>
        <v>0</v>
      </c>
      <c r="W10" s="47">
        <f>INDEX(Lab_Mat!$K$6:$N$9,MATCH($H10,Lab_Mat!$J$6:$J$9,0),MATCH($S$4,Lab_Mat!$K$5:$N$5,0))*N10*HLOOKUP(W$5,Escalators!$I$25:$U$30,3,FALSE)</f>
        <v>0</v>
      </c>
      <c r="X10" s="47">
        <f>INDEX(Lab_Mat!$K$6:$N$9,MATCH($H10,Lab_Mat!$J$6:$J$9,0),MATCH($S$4,Lab_Mat!$K$5:$N$5,0))*O10*HLOOKUP(X$5,Escalators!$I$25:$U$30,3,FALSE)</f>
        <v>0</v>
      </c>
      <c r="Y10" s="47">
        <f>INDEX(Lab_Mat!$K$6:$N$9,MATCH($H10,Lab_Mat!$J$6:$J$9,0),MATCH($S$4,Lab_Mat!$K$5:$N$5,0))*P10*HLOOKUP(Y$5,Escalators!$I$25:$U$30,3,FALSE)</f>
        <v>0</v>
      </c>
      <c r="Z10" s="47">
        <f>INDEX(Lab_Mat!$K$6:$N$9,MATCH($H10,Lab_Mat!$J$6:$J$9,0),MATCH($S$4,Lab_Mat!$K$5:$N$5,0))*Q10*HLOOKUP(Z$5,Escalators!$I$25:$U$30,3,FALSE)</f>
        <v>0</v>
      </c>
      <c r="AB10" s="47">
        <f>INDEX(Lab_Mat!$K$6:$N$9,MATCH($H10,Lab_Mat!$J$6:$J$9,0),MATCH($AG$4,Lab_Mat!$K$5:$N$5,0))*$J10*INDEX(Act_Type_Repex_Splits,MATCH($I10,Act_Type_Repex,0),MATCH(AB$4,Mat_Type,0))*INDEX(Escalators!$I$44:$Q$49,MATCH(AB$4,Escalators!$C$44:$C$49,0),MATCH(AB$5,Escalators!$I$43:$Q$43,0))</f>
        <v>0</v>
      </c>
      <c r="AC10" s="47">
        <f>INDEX(Lab_Mat!$K$6:$N$9,MATCH($H10,Lab_Mat!$J$6:$J$9,0),MATCH($AG$4,Lab_Mat!$K$5:$N$5,0))*$J10*INDEX(Act_Type_Repex_Splits,MATCH($I10,Act_Type_Repex,0),MATCH(AC$4,Mat_Type,0))*INDEX(Escalators!$I$44:$Q$49,MATCH(AC$4,Escalators!$C$44:$C$49,0),MATCH(AC$5,Escalators!$I$43:$Q$43,0))</f>
        <v>0</v>
      </c>
      <c r="AD10" s="47">
        <f>INDEX(Lab_Mat!$K$6:$N$9,MATCH($H10,Lab_Mat!$J$6:$J$9,0),MATCH($AG$4,Lab_Mat!$K$5:$N$5,0))*$J10*INDEX(Act_Type_Repex_Splits,MATCH($I10,Act_Type_Repex,0),MATCH(AD$4,Mat_Type,0))*INDEX(Escalators!$I$44:$Q$49,MATCH(AD$4,Escalators!$C$44:$C$49,0),MATCH(AD$5,Escalators!$I$43:$Q$43,0))</f>
        <v>0</v>
      </c>
      <c r="AE10" s="47">
        <f>INDEX(Lab_Mat!$K$6:$N$9,MATCH($H10,Lab_Mat!$J$6:$J$9,0),MATCH($AG$4,Lab_Mat!$K$5:$N$5,0))*$J10*INDEX(Act_Type_Repex_Splits,MATCH($I10,Act_Type_Repex,0),MATCH(AE$4,Mat_Type,0))*INDEX(Escalators!$I$44:$Q$49,MATCH(AE$4,Escalators!$C$44:$C$49,0),MATCH(AE$5,Escalators!$I$43:$Q$43,0))</f>
        <v>0</v>
      </c>
      <c r="AF10" s="47">
        <f>INDEX(Lab_Mat!$K$6:$N$9,MATCH($H10,Lab_Mat!$J$6:$J$9,0),MATCH($AG$4,Lab_Mat!$K$5:$N$5,0))*$J10*INDEX(Act_Type_Repex_Splits,MATCH($I10,Act_Type_Repex,0),MATCH(AF$4,Mat_Type,0))*INDEX(Escalators!$I$44:$Q$49,MATCH(AF$4,Escalators!$C$44:$C$49,0),MATCH(AF$5,Escalators!$I$43:$Q$43,0))</f>
        <v>0</v>
      </c>
      <c r="AG10" s="47">
        <f t="shared" si="16"/>
        <v>0</v>
      </c>
      <c r="AH10" s="47">
        <f>INDEX(Lab_Mat!$K$6:$N$9,MATCH($H10,Lab_Mat!$J$6:$J$9,0),MATCH($AY$4,Lab_Mat!$K$5:$N$5,0))*$K10*INDEX(Act_Type_Repex_Splits,MATCH($I10,Act_Type_Repex,0),MATCH(AH$4,Mat_Type,0))*INDEX(Escalators!$I$44:$U$49,MATCH(AH$4,Escalators!$C$44:$C$49,0),MATCH(AH$5,Escalators!$I$43:$U$43,0))</f>
        <v>0</v>
      </c>
      <c r="AI10" s="47">
        <f>INDEX(Lab_Mat!$K$6:$N$9,MATCH($H10,Lab_Mat!$J$6:$J$9,0),MATCH($AY$4,Lab_Mat!$K$5:$N$5,0))*$K10*INDEX(Act_Type_Repex_Splits,MATCH($I10,Act_Type_Repex,0),MATCH(AI$4,Mat_Type,0))*INDEX(Escalators!$I$44:$U$49,MATCH(AI$4,Escalators!$C$44:$C$49,0),MATCH(AI$5,Escalators!$I$43:$U$43,0))</f>
        <v>0</v>
      </c>
      <c r="AJ10" s="47">
        <f>INDEX(Lab_Mat!$K$6:$N$9,MATCH($H10,Lab_Mat!$J$6:$J$9,0),MATCH($AY$4,Lab_Mat!$K$5:$N$5,0))*$K10*INDEX(Act_Type_Repex_Splits,MATCH($I10,Act_Type_Repex,0),MATCH(AJ$4,Mat_Type,0))*INDEX(Escalators!$I$44:$U$49,MATCH(AJ$4,Escalators!$C$44:$C$49,0),MATCH(AJ$5,Escalators!$I$43:$U$43,0))</f>
        <v>0</v>
      </c>
      <c r="AK10" s="47">
        <f>INDEX(Lab_Mat!$K$6:$N$9,MATCH($H10,Lab_Mat!$J$6:$J$9,0),MATCH($AY$4,Lab_Mat!$K$5:$N$5,0))*$K10*INDEX(Act_Type_Repex_Splits,MATCH($I10,Act_Type_Repex,0),MATCH(AK$4,Mat_Type,0))*INDEX(Escalators!$I$44:$U$49,MATCH(AK$4,Escalators!$C$44:$C$49,0),MATCH(AK$5,Escalators!$I$43:$U$43,0))</f>
        <v>0</v>
      </c>
      <c r="AL10" s="47">
        <f>INDEX(Lab_Mat!$K$6:$N$9,MATCH($H10,Lab_Mat!$J$6:$J$9,0),MATCH($AY$4,Lab_Mat!$K$5:$N$5,0))*$K10*INDEX(Act_Type_Repex_Splits,MATCH($I10,Act_Type_Repex,0),MATCH(AL$4,Mat_Type,0))*INDEX(Escalators!$I$44:$U$49,MATCH(AL$4,Escalators!$C$44:$C$49,0),MATCH(AL$5,Escalators!$I$43:$U$43,0))</f>
        <v>0</v>
      </c>
      <c r="AM10" s="47">
        <f t="shared" si="17"/>
        <v>0</v>
      </c>
      <c r="AN10" s="47">
        <f>INDEX(Lab_Mat!$K$6:$N$9,MATCH($H10,Lab_Mat!$J$6:$J$9,0),MATCH($AY$4,Lab_Mat!$K$5:$N$5,0))*$L10*INDEX(Act_Type_Repex_Splits,MATCH($I10,Act_Type_Repex,0),MATCH(AN$4,Mat_Type,0))*INDEX(Escalators!$I$44:$U$49,MATCH(AN$4,Escalators!$C$44:$C$49,0),MATCH(AN$5,Escalators!$I$43:$U$43,0))</f>
        <v>0</v>
      </c>
      <c r="AO10" s="47">
        <f>INDEX(Lab_Mat!$K$6:$N$9,MATCH($H10,Lab_Mat!$J$6:$J$9,0),MATCH($AY$4,Lab_Mat!$K$5:$N$5,0))*$L10*INDEX(Act_Type_Repex_Splits,MATCH($I10,Act_Type_Repex,0),MATCH(AO$4,Mat_Type,0))*INDEX(Escalators!$I$44:$U$49,MATCH(AO$4,Escalators!$C$44:$C$49,0),MATCH(AO$5,Escalators!$I$43:$U$43,0))</f>
        <v>0</v>
      </c>
      <c r="AP10" s="47">
        <f>INDEX(Lab_Mat!$K$6:$N$9,MATCH($H10,Lab_Mat!$J$6:$J$9,0),MATCH($AY$4,Lab_Mat!$K$5:$N$5,0))*$L10*INDEX(Act_Type_Repex_Splits,MATCH($I10,Act_Type_Repex,0),MATCH(AP$4,Mat_Type,0))*INDEX(Escalators!$I$44:$U$49,MATCH(AP$4,Escalators!$C$44:$C$49,0),MATCH(AP$5,Escalators!$I$43:$U$43,0))</f>
        <v>0</v>
      </c>
      <c r="AQ10" s="47">
        <f>INDEX(Lab_Mat!$K$6:$N$9,MATCH($H10,Lab_Mat!$J$6:$J$9,0),MATCH($AY$4,Lab_Mat!$K$5:$N$5,0))*$L10*INDEX(Act_Type_Repex_Splits,MATCH($I10,Act_Type_Repex,0),MATCH(AQ$4,Mat_Type,0))*INDEX(Escalators!$I$44:$U$49,MATCH(AQ$4,Escalators!$C$44:$C$49,0),MATCH(AQ$5,Escalators!$I$43:$U$43,0))</f>
        <v>0</v>
      </c>
      <c r="AR10" s="47">
        <f>INDEX(Lab_Mat!$K$6:$N$9,MATCH($H10,Lab_Mat!$J$6:$J$9,0),MATCH($AY$4,Lab_Mat!$K$5:$N$5,0))*$L10*INDEX(Act_Type_Repex_Splits,MATCH($I10,Act_Type_Repex,0),MATCH(AR$4,Mat_Type,0))*INDEX(Escalators!$I$44:$U$49,MATCH(AR$4,Escalators!$C$44:$C$49,0),MATCH(AR$5,Escalators!$I$43:$U$43,0))</f>
        <v>0</v>
      </c>
      <c r="AS10" s="47">
        <f t="shared" si="18"/>
        <v>0</v>
      </c>
      <c r="AT10" s="47">
        <f>INDEX(Lab_Mat!$K$6:$N$9,MATCH($H10,Lab_Mat!$J$6:$J$9,0),MATCH($AY$4,Lab_Mat!$K$5:$N$5,0))*$M10*INDEX(Act_Type_Repex_Splits,MATCH($I10,Act_Type_Repex,0),MATCH(AT$4,Mat_Type,0))*INDEX(Escalators!$I$44:$U$49,MATCH(AT$4,Escalators!$C$44:$C$49,0),MATCH(AT$5,Escalators!$I$43:$U$43,0))</f>
        <v>0</v>
      </c>
      <c r="AU10" s="47">
        <f>INDEX(Lab_Mat!$K$6:$N$9,MATCH($H10,Lab_Mat!$J$6:$J$9,0),MATCH($AY$4,Lab_Mat!$K$5:$N$5,0))*$M10*INDEX(Act_Type_Repex_Splits,MATCH($I10,Act_Type_Repex,0),MATCH(AU$4,Mat_Type,0))*INDEX(Escalators!$I$44:$U$49,MATCH(AU$4,Escalators!$C$44:$C$49,0),MATCH(AU$5,Escalators!$I$43:$U$43,0))</f>
        <v>0</v>
      </c>
      <c r="AV10" s="47">
        <f>INDEX(Lab_Mat!$K$6:$N$9,MATCH($H10,Lab_Mat!$J$6:$J$9,0),MATCH($AY$4,Lab_Mat!$K$5:$N$5,0))*$M10*INDEX(Act_Type_Repex_Splits,MATCH($I10,Act_Type_Repex,0),MATCH(AV$4,Mat_Type,0))*INDEX(Escalators!$I$44:$U$49,MATCH(AV$4,Escalators!$C$44:$C$49,0),MATCH(AV$5,Escalators!$I$43:$U$43,0))</f>
        <v>0</v>
      </c>
      <c r="AW10" s="47">
        <f>INDEX(Lab_Mat!$K$6:$N$9,MATCH($H10,Lab_Mat!$J$6:$J$9,0),MATCH($AY$4,Lab_Mat!$K$5:$N$5,0))*$M10*INDEX(Act_Type_Repex_Splits,MATCH($I10,Act_Type_Repex,0),MATCH(AW$4,Mat_Type,0))*INDEX(Escalators!$I$44:$U$49,MATCH(AW$4,Escalators!$C$44:$C$49,0),MATCH(AW$5,Escalators!$I$43:$U$43,0))</f>
        <v>0</v>
      </c>
      <c r="AX10" s="47">
        <f>INDEX(Lab_Mat!$K$6:$N$9,MATCH($H10,Lab_Mat!$J$6:$J$9,0),MATCH($AY$4,Lab_Mat!$K$5:$N$5,0))*$M10*INDEX(Act_Type_Repex_Splits,MATCH($I10,Act_Type_Repex,0),MATCH(AX$4,Mat_Type,0))*INDEX(Escalators!$I$44:$U$49,MATCH(AX$4,Escalators!$C$44:$C$49,0),MATCH(AX$5,Escalators!$I$43:$U$43,0))</f>
        <v>0</v>
      </c>
      <c r="AY10" s="47">
        <f t="shared" si="19"/>
        <v>0</v>
      </c>
      <c r="AZ10" s="47">
        <f>INDEX(Lab_Mat!$K$6:$N$9,MATCH($H10,Lab_Mat!$J$6:$J$9,0),MATCH($BE$4,Lab_Mat!$K$5:$N$5,0))*$N10*INDEX(Act_Type_Repex_Splits,MATCH($I10,Act_Type_Repex,0),MATCH(AZ$4,Mat_Type,0))*INDEX(Escalators!$I$44:$U$49,MATCH(AZ$4,Escalators!$C$44:$C$49,0),MATCH(AZ$5,Escalators!$I$43:$U$43,0))</f>
        <v>0</v>
      </c>
      <c r="BA10" s="47">
        <f>INDEX(Lab_Mat!$K$6:$N$9,MATCH($H10,Lab_Mat!$J$6:$J$9,0),MATCH($BE$4,Lab_Mat!$K$5:$N$5,0))*$N10*INDEX(Act_Type_Repex_Splits,MATCH($I10,Act_Type_Repex,0),MATCH(BA$4,Mat_Type,0))*INDEX(Escalators!$I$44:$U$49,MATCH(BA$4,Escalators!$C$44:$C$49,0),MATCH(BA$5,Escalators!$I$43:$U$43,0))</f>
        <v>0</v>
      </c>
      <c r="BB10" s="47">
        <f>INDEX(Lab_Mat!$K$6:$N$9,MATCH($H10,Lab_Mat!$J$6:$J$9,0),MATCH($BE$4,Lab_Mat!$K$5:$N$5,0))*$N10*INDEX(Act_Type_Repex_Splits,MATCH($I10,Act_Type_Repex,0),MATCH(BB$4,Mat_Type,0))*INDEX(Escalators!$I$44:$U$49,MATCH(BB$4,Escalators!$C$44:$C$49,0),MATCH(BB$5,Escalators!$I$43:$U$43,0))</f>
        <v>0</v>
      </c>
      <c r="BC10" s="47">
        <f>INDEX(Lab_Mat!$K$6:$N$9,MATCH($H10,Lab_Mat!$J$6:$J$9,0),MATCH($BE$4,Lab_Mat!$K$5:$N$5,0))*$N10*INDEX(Act_Type_Repex_Splits,MATCH($I10,Act_Type_Repex,0),MATCH(BC$4,Mat_Type,0))*INDEX(Escalators!$I$44:$U$49,MATCH(BC$4,Escalators!$C$44:$C$49,0),MATCH(BC$5,Escalators!$I$43:$U$43,0))</f>
        <v>0</v>
      </c>
      <c r="BD10" s="47">
        <f>INDEX(Lab_Mat!$K$6:$N$9,MATCH($H10,Lab_Mat!$J$6:$J$9,0),MATCH($BE$4,Lab_Mat!$K$5:$N$5,0))*$N10*INDEX(Act_Type_Repex_Splits,MATCH($I10,Act_Type_Repex,0),MATCH(BD$4,Mat_Type,0))*INDEX(Escalators!$I$44:$U$49,MATCH(BD$4,Escalators!$C$44:$C$49,0),MATCH(BD$5,Escalators!$I$43:$U$43,0))</f>
        <v>0</v>
      </c>
      <c r="BE10" s="47">
        <f t="shared" si="20"/>
        <v>0</v>
      </c>
      <c r="BF10" s="47">
        <f>INDEX(Lab_Mat!$K$6:$N$9,MATCH($H10,Lab_Mat!$J$6:$J$9,0),MATCH($BK$4,Lab_Mat!$K$5:$N$5,0))*$O10*INDEX(Act_Type_Repex_Splits,MATCH($I10,Act_Type_Repex,0),MATCH(BF$4,Mat_Type,0))*INDEX(Escalators!$I$44:$U$49,MATCH(BF$4,Escalators!$C$44:$C$49,0),MATCH(BF$5,Escalators!$I$43:$U$43,0))</f>
        <v>0</v>
      </c>
      <c r="BG10" s="47">
        <f>INDEX(Lab_Mat!$K$6:$N$9,MATCH($H10,Lab_Mat!$J$6:$J$9,0),MATCH($BK$4,Lab_Mat!$K$5:$N$5,0))*$O10*INDEX(Act_Type_Repex_Splits,MATCH($I10,Act_Type_Repex,0),MATCH(BG$4,Mat_Type,0))*INDEX(Escalators!$I$44:$U$49,MATCH(BG$4,Escalators!$C$44:$C$49,0),MATCH(BG$5,Escalators!$I$43:$U$43,0))</f>
        <v>0</v>
      </c>
      <c r="BH10" s="47">
        <f>INDEX(Lab_Mat!$K$6:$N$9,MATCH($H10,Lab_Mat!$J$6:$J$9,0),MATCH($BK$4,Lab_Mat!$K$5:$N$5,0))*$O10*INDEX(Act_Type_Repex_Splits,MATCH($I10,Act_Type_Repex,0),MATCH(BH$4,Mat_Type,0))*INDEX(Escalators!$I$44:$U$49,MATCH(BH$4,Escalators!$C$44:$C$49,0),MATCH(BH$5,Escalators!$I$43:$U$43,0))</f>
        <v>0</v>
      </c>
      <c r="BI10" s="47">
        <f>INDEX(Lab_Mat!$K$6:$N$9,MATCH($H10,Lab_Mat!$J$6:$J$9,0),MATCH($BK$4,Lab_Mat!$K$5:$N$5,0))*$O10*INDEX(Act_Type_Repex_Splits,MATCH($I10,Act_Type_Repex,0),MATCH(BI$4,Mat_Type,0))*INDEX(Escalators!$I$44:$U$49,MATCH(BI$4,Escalators!$C$44:$C$49,0),MATCH(BI$5,Escalators!$I$43:$U$43,0))</f>
        <v>0</v>
      </c>
      <c r="BJ10" s="47">
        <f>INDEX(Lab_Mat!$K$6:$N$9,MATCH($H10,Lab_Mat!$J$6:$J$9,0),MATCH($BK$4,Lab_Mat!$K$5:$N$5,0))*$O10*INDEX(Act_Type_Repex_Splits,MATCH($I10,Act_Type_Repex,0),MATCH(BJ$4,Mat_Type,0))*INDEX(Escalators!$I$44:$U$49,MATCH(BJ$4,Escalators!$C$44:$C$49,0),MATCH(BJ$5,Escalators!$I$43:$U$43,0))</f>
        <v>0</v>
      </c>
      <c r="BK10" s="47">
        <f t="shared" si="21"/>
        <v>0</v>
      </c>
      <c r="BL10" s="47">
        <f>INDEX(Lab_Mat!$K$6:$N$9,MATCH($H10,Lab_Mat!$J$6:$J$9,0),MATCH($BQ$4,Lab_Mat!$K$5:$N$5,0))*$P10*INDEX(Act_Type_Repex_Splits,MATCH($I10,Act_Type_Repex,0),MATCH(BL$4,Mat_Type,0))*INDEX(Escalators!$I$44:$U$49,MATCH(BL$4,Escalators!$C$44:$C$49,0),MATCH(BL$5,Escalators!$I$43:$U$43,0))</f>
        <v>0</v>
      </c>
      <c r="BM10" s="47">
        <f>INDEX(Lab_Mat!$K$6:$N$9,MATCH($H10,Lab_Mat!$J$6:$J$9,0),MATCH($BQ$4,Lab_Mat!$K$5:$N$5,0))*$P10*INDEX(Act_Type_Repex_Splits,MATCH($I10,Act_Type_Repex,0),MATCH(BM$4,Mat_Type,0))*INDEX(Escalators!$I$44:$U$49,MATCH(BM$4,Escalators!$C$44:$C$49,0),MATCH(BM$5,Escalators!$I$43:$U$43,0))</f>
        <v>0</v>
      </c>
      <c r="BN10" s="47">
        <f>INDEX(Lab_Mat!$K$6:$N$9,MATCH($H10,Lab_Mat!$J$6:$J$9,0),MATCH($BQ$4,Lab_Mat!$K$5:$N$5,0))*$P10*INDEX(Act_Type_Repex_Splits,MATCH($I10,Act_Type_Repex,0),MATCH(BN$4,Mat_Type,0))*INDEX(Escalators!$I$44:$U$49,MATCH(BN$4,Escalators!$C$44:$C$49,0),MATCH(BN$5,Escalators!$I$43:$U$43,0))</f>
        <v>0</v>
      </c>
      <c r="BO10" s="47">
        <f>INDEX(Lab_Mat!$K$6:$N$9,MATCH($H10,Lab_Mat!$J$6:$J$9,0),MATCH($BQ$4,Lab_Mat!$K$5:$N$5,0))*$P10*INDEX(Act_Type_Repex_Splits,MATCH($I10,Act_Type_Repex,0),MATCH(BO$4,Mat_Type,0))*INDEX(Escalators!$I$44:$U$49,MATCH(BO$4,Escalators!$C$44:$C$49,0),MATCH(BO$5,Escalators!$I$43:$U$43,0))</f>
        <v>0</v>
      </c>
      <c r="BP10" s="47">
        <f>INDEX(Lab_Mat!$K$6:$N$9,MATCH($H10,Lab_Mat!$J$6:$J$9,0),MATCH($BQ$4,Lab_Mat!$K$5:$N$5,0))*$P10*INDEX(Act_Type_Repex_Splits,MATCH($I10,Act_Type_Repex,0),MATCH(BP$4,Mat_Type,0))*INDEX(Escalators!$I$44:$U$49,MATCH(BP$4,Escalators!$C$44:$C$49,0),MATCH(BP$5,Escalators!$I$43:$U$43,0))</f>
        <v>0</v>
      </c>
      <c r="BQ10" s="47">
        <f t="shared" si="22"/>
        <v>0</v>
      </c>
      <c r="BR10" s="47">
        <f>INDEX(Lab_Mat!$K$6:$N$9,MATCH($H10,Lab_Mat!$J$6:$J$9,0),MATCH($BW$4,Lab_Mat!$K$5:$N$5,0))*$Q10*INDEX(Act_Type_Repex_Splits,MATCH($I10,Act_Type_Repex,0),MATCH(BR$4,Mat_Type,0))*INDEX(Escalators!$I$44:$U$49,MATCH(BR$4,Escalators!$C$44:$C$49,0),MATCH(BR$5,Escalators!$I$43:$U$43,0))</f>
        <v>0</v>
      </c>
      <c r="BS10" s="47">
        <f>INDEX(Lab_Mat!$K$6:$N$9,MATCH($H10,Lab_Mat!$J$6:$J$9,0),MATCH($BW$4,Lab_Mat!$K$5:$N$5,0))*$Q10*INDEX(Act_Type_Repex_Splits,MATCH($I10,Act_Type_Repex,0),MATCH(BS$4,Mat_Type,0))*INDEX(Escalators!$I$44:$U$49,MATCH(BS$4,Escalators!$C$44:$C$49,0),MATCH(BS$5,Escalators!$I$43:$U$43,0))</f>
        <v>0</v>
      </c>
      <c r="BT10" s="47">
        <f>INDEX(Lab_Mat!$K$6:$N$9,MATCH($H10,Lab_Mat!$J$6:$J$9,0),MATCH($BW$4,Lab_Mat!$K$5:$N$5,0))*$Q10*INDEX(Act_Type_Repex_Splits,MATCH($I10,Act_Type_Repex,0),MATCH(BT$4,Mat_Type,0))*INDEX(Escalators!$I$44:$U$49,MATCH(BT$4,Escalators!$C$44:$C$49,0),MATCH(BT$5,Escalators!$I$43:$U$43,0))</f>
        <v>0</v>
      </c>
      <c r="BU10" s="47">
        <f>INDEX(Lab_Mat!$K$6:$N$9,MATCH($H10,Lab_Mat!$J$6:$J$9,0),MATCH($BW$4,Lab_Mat!$K$5:$N$5,0))*$Q10*INDEX(Act_Type_Repex_Splits,MATCH($I10,Act_Type_Repex,0),MATCH(BU$4,Mat_Type,0))*INDEX(Escalators!$I$44:$U$49,MATCH(BU$4,Escalators!$C$44:$C$49,0),MATCH(BU$5,Escalators!$I$43:$U$43,0))</f>
        <v>0</v>
      </c>
      <c r="BV10" s="47">
        <f>INDEX(Lab_Mat!$K$6:$N$9,MATCH($H10,Lab_Mat!$J$6:$J$9,0),MATCH($BW$4,Lab_Mat!$K$5:$N$5,0))*$Q10*INDEX(Act_Type_Repex_Splits,MATCH($I10,Act_Type_Repex,0),MATCH(BV$4,Mat_Type,0))*INDEX(Escalators!$I$44:$U$49,MATCH(BV$4,Escalators!$C$44:$C$49,0),MATCH(BV$5,Escalators!$I$43:$U$43,0))</f>
        <v>0</v>
      </c>
      <c r="BW10" s="47">
        <f t="shared" si="23"/>
        <v>0</v>
      </c>
      <c r="BY10" s="47">
        <f>INDEX(Lab_Mat!$K$6:$N$9,MATCH($H10,Lab_Mat!$J$6:$J$9,0),MATCH($BY$4,Lab_Mat!$K$5:$N$5,0))*J10*HLOOKUP(BY$5,Escalators!$I$25:$U$30,6,FALSE)</f>
        <v>0</v>
      </c>
      <c r="BZ10" s="47">
        <f>INDEX(Lab_Mat!$K$6:$N$9,MATCH($H10,Lab_Mat!$J$6:$J$9,0),MATCH($BY$4,Lab_Mat!$K$5:$N$5,0))*K10*HLOOKUP(BZ$5,Escalators!$I$25:$U$30,6,FALSE)</f>
        <v>0</v>
      </c>
      <c r="CA10" s="47">
        <f>INDEX(Lab_Mat!$K$6:$N$9,MATCH($H10,Lab_Mat!$J$6:$J$9,0),MATCH($BY$4,Lab_Mat!$K$5:$N$5,0))*L10*HLOOKUP(CA$5,Escalators!$I$25:$U$30,6,FALSE)</f>
        <v>0</v>
      </c>
      <c r="CB10" s="47">
        <f>INDEX(Lab_Mat!$K$6:$N$9,MATCH($H10,Lab_Mat!$J$6:$J$9,0),MATCH($BY$4,Lab_Mat!$K$5:$N$5,0))*M10*HLOOKUP(CB$5,Escalators!$I$25:$U$30,6,FALSE)</f>
        <v>0</v>
      </c>
      <c r="CC10" s="47">
        <f>INDEX(Lab_Mat!$K$6:$N$9,MATCH($H10,Lab_Mat!$J$6:$J$9,0),MATCH($BY$4,Lab_Mat!$K$5:$N$5,0))*N10*HLOOKUP(CC$5,Escalators!$I$25:$U$30,6,FALSE)</f>
        <v>0</v>
      </c>
      <c r="CD10" s="47">
        <f>INDEX(Lab_Mat!$K$6:$N$9,MATCH($H10,Lab_Mat!$J$6:$J$9,0),MATCH($BY$4,Lab_Mat!$K$5:$N$5,0))*O10*HLOOKUP(CD$5,Escalators!$I$25:$U$30,6,FALSE)</f>
        <v>0</v>
      </c>
      <c r="CE10" s="47">
        <f>INDEX(Lab_Mat!$K$6:$N$9,MATCH($H10,Lab_Mat!$J$6:$J$9,0),MATCH($BY$4,Lab_Mat!$K$5:$N$5,0))*P10*HLOOKUP(CE$5,Escalators!$I$25:$U$30,6,FALSE)</f>
        <v>0</v>
      </c>
      <c r="CF10" s="47">
        <f>INDEX(Lab_Mat!$K$6:$N$9,MATCH($H10,Lab_Mat!$J$6:$J$9,0),MATCH($BY$4,Lab_Mat!$K$5:$N$5,0))*Q10*HLOOKUP(CF$5,Escalators!$I$25:$U$30,6,FALSE)</f>
        <v>0</v>
      </c>
      <c r="CH10" s="82">
        <f>INDEX(Lab_Mat!$K$6:$N$9,MATCH($H10,Lab_Mat!$J$6:$J$9,0),MATCH($CH$4,Lab_Mat!$K$5:$N$5,0))*J10</f>
        <v>0</v>
      </c>
      <c r="CI10" s="82">
        <f>INDEX(Lab_Mat!$K$6:$N$9,MATCH($H10,Lab_Mat!$J$6:$J$9,0),MATCH($CH$4,Lab_Mat!$K$5:$N$5,0))*K10</f>
        <v>0</v>
      </c>
      <c r="CJ10" s="82">
        <f>INDEX(Lab_Mat!$K$6:$N$9,MATCH($H10,Lab_Mat!$J$6:$J$9,0),MATCH($CH$4,Lab_Mat!$K$5:$N$5,0))*L10</f>
        <v>0</v>
      </c>
      <c r="CK10" s="82">
        <f>INDEX(Lab_Mat!$K$6:$N$9,MATCH($H10,Lab_Mat!$J$6:$J$9,0),MATCH($CH$4,Lab_Mat!$K$5:$N$5,0))*M10</f>
        <v>0</v>
      </c>
      <c r="CL10" s="82">
        <f>INDEX(Lab_Mat!$K$6:$N$9,MATCH($H10,Lab_Mat!$J$6:$J$9,0),MATCH($CH$4,Lab_Mat!$K$5:$N$5,0))*N10</f>
        <v>0</v>
      </c>
      <c r="CM10" s="82">
        <f>INDEX(Lab_Mat!$K$6:$N$9,MATCH($H10,Lab_Mat!$J$6:$J$9,0),MATCH($CH$4,Lab_Mat!$K$5:$N$5,0))*O10</f>
        <v>0</v>
      </c>
      <c r="CN10" s="82">
        <f>INDEX(Lab_Mat!$K$6:$N$9,MATCH($H10,Lab_Mat!$J$6:$J$9,0),MATCH($CH$4,Lab_Mat!$K$5:$N$5,0))*P10</f>
        <v>0</v>
      </c>
      <c r="CO10" s="82">
        <f>INDEX(Lab_Mat!$K$6:$N$9,MATCH($H10,Lab_Mat!$J$6:$J$9,0),MATCH($CH$4,Lab_Mat!$K$5:$N$5,0))*Q10</f>
        <v>0</v>
      </c>
      <c r="CQ10" s="47">
        <f t="shared" si="9"/>
        <v>0</v>
      </c>
      <c r="CR10" s="47">
        <f t="shared" si="10"/>
        <v>0</v>
      </c>
      <c r="CS10" s="47">
        <f t="shared" si="24"/>
        <v>0</v>
      </c>
      <c r="CT10" s="47">
        <f t="shared" si="11"/>
        <v>0</v>
      </c>
      <c r="CU10" s="47">
        <f t="shared" si="12"/>
        <v>0</v>
      </c>
      <c r="CV10" s="47">
        <f t="shared" si="13"/>
        <v>0</v>
      </c>
      <c r="CW10" s="47">
        <f t="shared" si="14"/>
        <v>0</v>
      </c>
      <c r="CX10" s="47">
        <f t="shared" si="15"/>
        <v>0</v>
      </c>
      <c r="CY10" s="39"/>
      <c r="CZ10" s="39"/>
      <c r="DA10" s="39"/>
      <c r="DB10" s="39"/>
      <c r="DC10" s="39"/>
    </row>
    <row r="11" spans="2:109">
      <c r="B11" s="6"/>
      <c r="C11" s="6" t="s">
        <v>411</v>
      </c>
      <c r="D11" s="6" t="s">
        <v>687</v>
      </c>
      <c r="E11" s="6" t="s">
        <v>48</v>
      </c>
      <c r="F11" s="6" t="s">
        <v>55</v>
      </c>
      <c r="G11" s="6" t="s">
        <v>10</v>
      </c>
      <c r="H11" s="6" t="s">
        <v>741</v>
      </c>
      <c r="I11" s="6" t="s">
        <v>204</v>
      </c>
      <c r="J11" s="47"/>
      <c r="K11" s="47"/>
      <c r="L11" s="47"/>
      <c r="M11" s="47">
        <v>0</v>
      </c>
      <c r="N11" s="47">
        <v>0</v>
      </c>
      <c r="O11" s="47">
        <v>0</v>
      </c>
      <c r="P11" s="47"/>
      <c r="Q11" s="47"/>
      <c r="S11" s="47">
        <f>INDEX(Lab_Mat!$K$6:$N$9,MATCH($H11,Lab_Mat!$J$6:$J$9,0),MATCH($S$4,Lab_Mat!$K$5:$N$5,0))*J11*HLOOKUP(S$5,Escalators!$I$25:$U$30,3,FALSE)</f>
        <v>0</v>
      </c>
      <c r="T11" s="47">
        <f>INDEX(Lab_Mat!$K$6:$N$9,MATCH($H11,Lab_Mat!$J$6:$J$9,0),MATCH($S$4,Lab_Mat!$K$5:$N$5,0))*K11*HLOOKUP(T$5,Escalators!$I$25:$U$30,3,FALSE)</f>
        <v>0</v>
      </c>
      <c r="U11" s="47">
        <f>INDEX(Lab_Mat!$K$6:$N$9,MATCH($H11,Lab_Mat!$J$6:$J$9,0),MATCH($S$4,Lab_Mat!$K$5:$N$5,0))*L11*HLOOKUP(U$5,Escalators!$I$25:$U$30,3,FALSE)</f>
        <v>0</v>
      </c>
      <c r="V11" s="47">
        <f>INDEX(Lab_Mat!$K$6:$N$9,MATCH($H11,Lab_Mat!$J$6:$J$9,0),MATCH($S$4,Lab_Mat!$K$5:$N$5,0))*M11*HLOOKUP(V$5,Escalators!$I$25:$U$30,3,FALSE)</f>
        <v>0</v>
      </c>
      <c r="W11" s="47">
        <f>INDEX(Lab_Mat!$K$6:$N$9,MATCH($H11,Lab_Mat!$J$6:$J$9,0),MATCH($S$4,Lab_Mat!$K$5:$N$5,0))*N11*HLOOKUP(W$5,Escalators!$I$25:$U$30,3,FALSE)</f>
        <v>0</v>
      </c>
      <c r="X11" s="47">
        <f>INDEX(Lab_Mat!$K$6:$N$9,MATCH($H11,Lab_Mat!$J$6:$J$9,0),MATCH($S$4,Lab_Mat!$K$5:$N$5,0))*O11*HLOOKUP(X$5,Escalators!$I$25:$U$30,3,FALSE)</f>
        <v>0</v>
      </c>
      <c r="Y11" s="47">
        <f>INDEX(Lab_Mat!$K$6:$N$9,MATCH($H11,Lab_Mat!$J$6:$J$9,0),MATCH($S$4,Lab_Mat!$K$5:$N$5,0))*P11*HLOOKUP(Y$5,Escalators!$I$25:$U$30,3,FALSE)</f>
        <v>0</v>
      </c>
      <c r="Z11" s="47">
        <f>INDEX(Lab_Mat!$K$6:$N$9,MATCH($H11,Lab_Mat!$J$6:$J$9,0),MATCH($S$4,Lab_Mat!$K$5:$N$5,0))*Q11*HLOOKUP(Z$5,Escalators!$I$25:$U$30,3,FALSE)</f>
        <v>0</v>
      </c>
      <c r="AB11" s="47">
        <f>INDEX(Lab_Mat!$K$6:$N$9,MATCH($H11,Lab_Mat!$J$6:$J$9,0),MATCH($AG$4,Lab_Mat!$K$5:$N$5,0))*$J11*INDEX(Act_Type_Repex_Splits,MATCH($I11,Act_Type_Repex,0),MATCH(AB$4,Mat_Type,0))*INDEX(Escalators!$I$44:$Q$49,MATCH(AB$4,Escalators!$C$44:$C$49,0),MATCH(AB$5,Escalators!$I$43:$Q$43,0))</f>
        <v>0</v>
      </c>
      <c r="AC11" s="47">
        <f>INDEX(Lab_Mat!$K$6:$N$9,MATCH($H11,Lab_Mat!$J$6:$J$9,0),MATCH($AG$4,Lab_Mat!$K$5:$N$5,0))*$J11*INDEX(Act_Type_Repex_Splits,MATCH($I11,Act_Type_Repex,0),MATCH(AC$4,Mat_Type,0))*INDEX(Escalators!$I$44:$Q$49,MATCH(AC$4,Escalators!$C$44:$C$49,0),MATCH(AC$5,Escalators!$I$43:$Q$43,0))</f>
        <v>0</v>
      </c>
      <c r="AD11" s="47">
        <f>INDEX(Lab_Mat!$K$6:$N$9,MATCH($H11,Lab_Mat!$J$6:$J$9,0),MATCH($AG$4,Lab_Mat!$K$5:$N$5,0))*$J11*INDEX(Act_Type_Repex_Splits,MATCH($I11,Act_Type_Repex,0),MATCH(AD$4,Mat_Type,0))*INDEX(Escalators!$I$44:$Q$49,MATCH(AD$4,Escalators!$C$44:$C$49,0),MATCH(AD$5,Escalators!$I$43:$Q$43,0))</f>
        <v>0</v>
      </c>
      <c r="AE11" s="47">
        <f>INDEX(Lab_Mat!$K$6:$N$9,MATCH($H11,Lab_Mat!$J$6:$J$9,0),MATCH($AG$4,Lab_Mat!$K$5:$N$5,0))*$J11*INDEX(Act_Type_Repex_Splits,MATCH($I11,Act_Type_Repex,0),MATCH(AE$4,Mat_Type,0))*INDEX(Escalators!$I$44:$Q$49,MATCH(AE$4,Escalators!$C$44:$C$49,0),MATCH(AE$5,Escalators!$I$43:$Q$43,0))</f>
        <v>0</v>
      </c>
      <c r="AF11" s="47">
        <f>INDEX(Lab_Mat!$K$6:$N$9,MATCH($H11,Lab_Mat!$J$6:$J$9,0),MATCH($AG$4,Lab_Mat!$K$5:$N$5,0))*$J11*INDEX(Act_Type_Repex_Splits,MATCH($I11,Act_Type_Repex,0),MATCH(AF$4,Mat_Type,0))*INDEX(Escalators!$I$44:$Q$49,MATCH(AF$4,Escalators!$C$44:$C$49,0),MATCH(AF$5,Escalators!$I$43:$Q$43,0))</f>
        <v>0</v>
      </c>
      <c r="AG11" s="47">
        <f t="shared" si="16"/>
        <v>0</v>
      </c>
      <c r="AH11" s="47">
        <f>INDEX(Lab_Mat!$K$6:$N$9,MATCH($H11,Lab_Mat!$J$6:$J$9,0),MATCH($AY$4,Lab_Mat!$K$5:$N$5,0))*$K11*INDEX(Act_Type_Repex_Splits,MATCH($I11,Act_Type_Repex,0),MATCH(AH$4,Mat_Type,0))*INDEX(Escalators!$I$44:$U$49,MATCH(AH$4,Escalators!$C$44:$C$49,0),MATCH(AH$5,Escalators!$I$43:$U$43,0))</f>
        <v>0</v>
      </c>
      <c r="AI11" s="47">
        <f>INDEX(Lab_Mat!$K$6:$N$9,MATCH($H11,Lab_Mat!$J$6:$J$9,0),MATCH($AY$4,Lab_Mat!$K$5:$N$5,0))*$K11*INDEX(Act_Type_Repex_Splits,MATCH($I11,Act_Type_Repex,0),MATCH(AI$4,Mat_Type,0))*INDEX(Escalators!$I$44:$U$49,MATCH(AI$4,Escalators!$C$44:$C$49,0),MATCH(AI$5,Escalators!$I$43:$U$43,0))</f>
        <v>0</v>
      </c>
      <c r="AJ11" s="47">
        <f>INDEX(Lab_Mat!$K$6:$N$9,MATCH($H11,Lab_Mat!$J$6:$J$9,0),MATCH($AY$4,Lab_Mat!$K$5:$N$5,0))*$K11*INDEX(Act_Type_Repex_Splits,MATCH($I11,Act_Type_Repex,0),MATCH(AJ$4,Mat_Type,0))*INDEX(Escalators!$I$44:$U$49,MATCH(AJ$4,Escalators!$C$44:$C$49,0),MATCH(AJ$5,Escalators!$I$43:$U$43,0))</f>
        <v>0</v>
      </c>
      <c r="AK11" s="47">
        <f>INDEX(Lab_Mat!$K$6:$N$9,MATCH($H11,Lab_Mat!$J$6:$J$9,0),MATCH($AY$4,Lab_Mat!$K$5:$N$5,0))*$K11*INDEX(Act_Type_Repex_Splits,MATCH($I11,Act_Type_Repex,0),MATCH(AK$4,Mat_Type,0))*INDEX(Escalators!$I$44:$U$49,MATCH(AK$4,Escalators!$C$44:$C$49,0),MATCH(AK$5,Escalators!$I$43:$U$43,0))</f>
        <v>0</v>
      </c>
      <c r="AL11" s="47">
        <f>INDEX(Lab_Mat!$K$6:$N$9,MATCH($H11,Lab_Mat!$J$6:$J$9,0),MATCH($AY$4,Lab_Mat!$K$5:$N$5,0))*$K11*INDEX(Act_Type_Repex_Splits,MATCH($I11,Act_Type_Repex,0),MATCH(AL$4,Mat_Type,0))*INDEX(Escalators!$I$44:$U$49,MATCH(AL$4,Escalators!$C$44:$C$49,0),MATCH(AL$5,Escalators!$I$43:$U$43,0))</f>
        <v>0</v>
      </c>
      <c r="AM11" s="47">
        <f t="shared" si="17"/>
        <v>0</v>
      </c>
      <c r="AN11" s="47">
        <f>INDEX(Lab_Mat!$K$6:$N$9,MATCH($H11,Lab_Mat!$J$6:$J$9,0),MATCH($AY$4,Lab_Mat!$K$5:$N$5,0))*$L11*INDEX(Act_Type_Repex_Splits,MATCH($I11,Act_Type_Repex,0),MATCH(AN$4,Mat_Type,0))*INDEX(Escalators!$I$44:$U$49,MATCH(AN$4,Escalators!$C$44:$C$49,0),MATCH(AN$5,Escalators!$I$43:$U$43,0))</f>
        <v>0</v>
      </c>
      <c r="AO11" s="47">
        <f>INDEX(Lab_Mat!$K$6:$N$9,MATCH($H11,Lab_Mat!$J$6:$J$9,0),MATCH($AY$4,Lab_Mat!$K$5:$N$5,0))*$L11*INDEX(Act_Type_Repex_Splits,MATCH($I11,Act_Type_Repex,0),MATCH(AO$4,Mat_Type,0))*INDEX(Escalators!$I$44:$U$49,MATCH(AO$4,Escalators!$C$44:$C$49,0),MATCH(AO$5,Escalators!$I$43:$U$43,0))</f>
        <v>0</v>
      </c>
      <c r="AP11" s="47">
        <f>INDEX(Lab_Mat!$K$6:$N$9,MATCH($H11,Lab_Mat!$J$6:$J$9,0),MATCH($AY$4,Lab_Mat!$K$5:$N$5,0))*$L11*INDEX(Act_Type_Repex_Splits,MATCH($I11,Act_Type_Repex,0),MATCH(AP$4,Mat_Type,0))*INDEX(Escalators!$I$44:$U$49,MATCH(AP$4,Escalators!$C$44:$C$49,0),MATCH(AP$5,Escalators!$I$43:$U$43,0))</f>
        <v>0</v>
      </c>
      <c r="AQ11" s="47">
        <f>INDEX(Lab_Mat!$K$6:$N$9,MATCH($H11,Lab_Mat!$J$6:$J$9,0),MATCH($AY$4,Lab_Mat!$K$5:$N$5,0))*$L11*INDEX(Act_Type_Repex_Splits,MATCH($I11,Act_Type_Repex,0),MATCH(AQ$4,Mat_Type,0))*INDEX(Escalators!$I$44:$U$49,MATCH(AQ$4,Escalators!$C$44:$C$49,0),MATCH(AQ$5,Escalators!$I$43:$U$43,0))</f>
        <v>0</v>
      </c>
      <c r="AR11" s="47">
        <f>INDEX(Lab_Mat!$K$6:$N$9,MATCH($H11,Lab_Mat!$J$6:$J$9,0),MATCH($AY$4,Lab_Mat!$K$5:$N$5,0))*$L11*INDEX(Act_Type_Repex_Splits,MATCH($I11,Act_Type_Repex,0),MATCH(AR$4,Mat_Type,0))*INDEX(Escalators!$I$44:$U$49,MATCH(AR$4,Escalators!$C$44:$C$49,0),MATCH(AR$5,Escalators!$I$43:$U$43,0))</f>
        <v>0</v>
      </c>
      <c r="AS11" s="47">
        <f t="shared" si="18"/>
        <v>0</v>
      </c>
      <c r="AT11" s="47">
        <f>INDEX(Lab_Mat!$K$6:$N$9,MATCH($H11,Lab_Mat!$J$6:$J$9,0),MATCH($AY$4,Lab_Mat!$K$5:$N$5,0))*$M11*INDEX(Act_Type_Repex_Splits,MATCH($I11,Act_Type_Repex,0),MATCH(AT$4,Mat_Type,0))*INDEX(Escalators!$I$44:$U$49,MATCH(AT$4,Escalators!$C$44:$C$49,0),MATCH(AT$5,Escalators!$I$43:$U$43,0))</f>
        <v>0</v>
      </c>
      <c r="AU11" s="47">
        <f>INDEX(Lab_Mat!$K$6:$N$9,MATCH($H11,Lab_Mat!$J$6:$J$9,0),MATCH($AY$4,Lab_Mat!$K$5:$N$5,0))*$M11*INDEX(Act_Type_Repex_Splits,MATCH($I11,Act_Type_Repex,0),MATCH(AU$4,Mat_Type,0))*INDEX(Escalators!$I$44:$U$49,MATCH(AU$4,Escalators!$C$44:$C$49,0),MATCH(AU$5,Escalators!$I$43:$U$43,0))</f>
        <v>0</v>
      </c>
      <c r="AV11" s="47">
        <f>INDEX(Lab_Mat!$K$6:$N$9,MATCH($H11,Lab_Mat!$J$6:$J$9,0),MATCH($AY$4,Lab_Mat!$K$5:$N$5,0))*$M11*INDEX(Act_Type_Repex_Splits,MATCH($I11,Act_Type_Repex,0),MATCH(AV$4,Mat_Type,0))*INDEX(Escalators!$I$44:$U$49,MATCH(AV$4,Escalators!$C$44:$C$49,0),MATCH(AV$5,Escalators!$I$43:$U$43,0))</f>
        <v>0</v>
      </c>
      <c r="AW11" s="47">
        <f>INDEX(Lab_Mat!$K$6:$N$9,MATCH($H11,Lab_Mat!$J$6:$J$9,0),MATCH($AY$4,Lab_Mat!$K$5:$N$5,0))*$M11*INDEX(Act_Type_Repex_Splits,MATCH($I11,Act_Type_Repex,0),MATCH(AW$4,Mat_Type,0))*INDEX(Escalators!$I$44:$U$49,MATCH(AW$4,Escalators!$C$44:$C$49,0),MATCH(AW$5,Escalators!$I$43:$U$43,0))</f>
        <v>0</v>
      </c>
      <c r="AX11" s="47">
        <f>INDEX(Lab_Mat!$K$6:$N$9,MATCH($H11,Lab_Mat!$J$6:$J$9,0),MATCH($AY$4,Lab_Mat!$K$5:$N$5,0))*$M11*INDEX(Act_Type_Repex_Splits,MATCH($I11,Act_Type_Repex,0),MATCH(AX$4,Mat_Type,0))*INDEX(Escalators!$I$44:$U$49,MATCH(AX$4,Escalators!$C$44:$C$49,0),MATCH(AX$5,Escalators!$I$43:$U$43,0))</f>
        <v>0</v>
      </c>
      <c r="AY11" s="47">
        <f t="shared" si="19"/>
        <v>0</v>
      </c>
      <c r="AZ11" s="47">
        <f>INDEX(Lab_Mat!$K$6:$N$9,MATCH($H11,Lab_Mat!$J$6:$J$9,0),MATCH($BE$4,Lab_Mat!$K$5:$N$5,0))*$N11*INDEX(Act_Type_Repex_Splits,MATCH($I11,Act_Type_Repex,0),MATCH(AZ$4,Mat_Type,0))*INDEX(Escalators!$I$44:$U$49,MATCH(AZ$4,Escalators!$C$44:$C$49,0),MATCH(AZ$5,Escalators!$I$43:$U$43,0))</f>
        <v>0</v>
      </c>
      <c r="BA11" s="47">
        <f>INDEX(Lab_Mat!$K$6:$N$9,MATCH($H11,Lab_Mat!$J$6:$J$9,0),MATCH($BE$4,Lab_Mat!$K$5:$N$5,0))*$N11*INDEX(Act_Type_Repex_Splits,MATCH($I11,Act_Type_Repex,0),MATCH(BA$4,Mat_Type,0))*INDEX(Escalators!$I$44:$U$49,MATCH(BA$4,Escalators!$C$44:$C$49,0),MATCH(BA$5,Escalators!$I$43:$U$43,0))</f>
        <v>0</v>
      </c>
      <c r="BB11" s="47">
        <f>INDEX(Lab_Mat!$K$6:$N$9,MATCH($H11,Lab_Mat!$J$6:$J$9,0),MATCH($BE$4,Lab_Mat!$K$5:$N$5,0))*$N11*INDEX(Act_Type_Repex_Splits,MATCH($I11,Act_Type_Repex,0),MATCH(BB$4,Mat_Type,0))*INDEX(Escalators!$I$44:$U$49,MATCH(BB$4,Escalators!$C$44:$C$49,0),MATCH(BB$5,Escalators!$I$43:$U$43,0))</f>
        <v>0</v>
      </c>
      <c r="BC11" s="47">
        <f>INDEX(Lab_Mat!$K$6:$N$9,MATCH($H11,Lab_Mat!$J$6:$J$9,0),MATCH($BE$4,Lab_Mat!$K$5:$N$5,0))*$N11*INDEX(Act_Type_Repex_Splits,MATCH($I11,Act_Type_Repex,0),MATCH(BC$4,Mat_Type,0))*INDEX(Escalators!$I$44:$U$49,MATCH(BC$4,Escalators!$C$44:$C$49,0),MATCH(BC$5,Escalators!$I$43:$U$43,0))</f>
        <v>0</v>
      </c>
      <c r="BD11" s="47">
        <f>INDEX(Lab_Mat!$K$6:$N$9,MATCH($H11,Lab_Mat!$J$6:$J$9,0),MATCH($BE$4,Lab_Mat!$K$5:$N$5,0))*$N11*INDEX(Act_Type_Repex_Splits,MATCH($I11,Act_Type_Repex,0),MATCH(BD$4,Mat_Type,0))*INDEX(Escalators!$I$44:$U$49,MATCH(BD$4,Escalators!$C$44:$C$49,0),MATCH(BD$5,Escalators!$I$43:$U$43,0))</f>
        <v>0</v>
      </c>
      <c r="BE11" s="47">
        <f t="shared" si="20"/>
        <v>0</v>
      </c>
      <c r="BF11" s="47">
        <f>INDEX(Lab_Mat!$K$6:$N$9,MATCH($H11,Lab_Mat!$J$6:$J$9,0),MATCH($BK$4,Lab_Mat!$K$5:$N$5,0))*$O11*INDEX(Act_Type_Repex_Splits,MATCH($I11,Act_Type_Repex,0),MATCH(BF$4,Mat_Type,0))*INDEX(Escalators!$I$44:$U$49,MATCH(BF$4,Escalators!$C$44:$C$49,0),MATCH(BF$5,Escalators!$I$43:$U$43,0))</f>
        <v>0</v>
      </c>
      <c r="BG11" s="47">
        <f>INDEX(Lab_Mat!$K$6:$N$9,MATCH($H11,Lab_Mat!$J$6:$J$9,0),MATCH($BK$4,Lab_Mat!$K$5:$N$5,0))*$O11*INDEX(Act_Type_Repex_Splits,MATCH($I11,Act_Type_Repex,0),MATCH(BG$4,Mat_Type,0))*INDEX(Escalators!$I$44:$U$49,MATCH(BG$4,Escalators!$C$44:$C$49,0),MATCH(BG$5,Escalators!$I$43:$U$43,0))</f>
        <v>0</v>
      </c>
      <c r="BH11" s="47">
        <f>INDEX(Lab_Mat!$K$6:$N$9,MATCH($H11,Lab_Mat!$J$6:$J$9,0),MATCH($BK$4,Lab_Mat!$K$5:$N$5,0))*$O11*INDEX(Act_Type_Repex_Splits,MATCH($I11,Act_Type_Repex,0),MATCH(BH$4,Mat_Type,0))*INDEX(Escalators!$I$44:$U$49,MATCH(BH$4,Escalators!$C$44:$C$49,0),MATCH(BH$5,Escalators!$I$43:$U$43,0))</f>
        <v>0</v>
      </c>
      <c r="BI11" s="47">
        <f>INDEX(Lab_Mat!$K$6:$N$9,MATCH($H11,Lab_Mat!$J$6:$J$9,0),MATCH($BK$4,Lab_Mat!$K$5:$N$5,0))*$O11*INDEX(Act_Type_Repex_Splits,MATCH($I11,Act_Type_Repex,0),MATCH(BI$4,Mat_Type,0))*INDEX(Escalators!$I$44:$U$49,MATCH(BI$4,Escalators!$C$44:$C$49,0),MATCH(BI$5,Escalators!$I$43:$U$43,0))</f>
        <v>0</v>
      </c>
      <c r="BJ11" s="47">
        <f>INDEX(Lab_Mat!$K$6:$N$9,MATCH($H11,Lab_Mat!$J$6:$J$9,0),MATCH($BK$4,Lab_Mat!$K$5:$N$5,0))*$O11*INDEX(Act_Type_Repex_Splits,MATCH($I11,Act_Type_Repex,0),MATCH(BJ$4,Mat_Type,0))*INDEX(Escalators!$I$44:$U$49,MATCH(BJ$4,Escalators!$C$44:$C$49,0),MATCH(BJ$5,Escalators!$I$43:$U$43,0))</f>
        <v>0</v>
      </c>
      <c r="BK11" s="47">
        <f t="shared" si="21"/>
        <v>0</v>
      </c>
      <c r="BL11" s="47">
        <f>INDEX(Lab_Mat!$K$6:$N$9,MATCH($H11,Lab_Mat!$J$6:$J$9,0),MATCH($BQ$4,Lab_Mat!$K$5:$N$5,0))*$P11*INDEX(Act_Type_Repex_Splits,MATCH($I11,Act_Type_Repex,0),MATCH(BL$4,Mat_Type,0))*INDEX(Escalators!$I$44:$U$49,MATCH(BL$4,Escalators!$C$44:$C$49,0),MATCH(BL$5,Escalators!$I$43:$U$43,0))</f>
        <v>0</v>
      </c>
      <c r="BM11" s="47">
        <f>INDEX(Lab_Mat!$K$6:$N$9,MATCH($H11,Lab_Mat!$J$6:$J$9,0),MATCH($BQ$4,Lab_Mat!$K$5:$N$5,0))*$P11*INDEX(Act_Type_Repex_Splits,MATCH($I11,Act_Type_Repex,0),MATCH(BM$4,Mat_Type,0))*INDEX(Escalators!$I$44:$U$49,MATCH(BM$4,Escalators!$C$44:$C$49,0),MATCH(BM$5,Escalators!$I$43:$U$43,0))</f>
        <v>0</v>
      </c>
      <c r="BN11" s="47">
        <f>INDEX(Lab_Mat!$K$6:$N$9,MATCH($H11,Lab_Mat!$J$6:$J$9,0),MATCH($BQ$4,Lab_Mat!$K$5:$N$5,0))*$P11*INDEX(Act_Type_Repex_Splits,MATCH($I11,Act_Type_Repex,0),MATCH(BN$4,Mat_Type,0))*INDEX(Escalators!$I$44:$U$49,MATCH(BN$4,Escalators!$C$44:$C$49,0),MATCH(BN$5,Escalators!$I$43:$U$43,0))</f>
        <v>0</v>
      </c>
      <c r="BO11" s="47">
        <f>INDEX(Lab_Mat!$K$6:$N$9,MATCH($H11,Lab_Mat!$J$6:$J$9,0),MATCH($BQ$4,Lab_Mat!$K$5:$N$5,0))*$P11*INDEX(Act_Type_Repex_Splits,MATCH($I11,Act_Type_Repex,0),MATCH(BO$4,Mat_Type,0))*INDEX(Escalators!$I$44:$U$49,MATCH(BO$4,Escalators!$C$44:$C$49,0),MATCH(BO$5,Escalators!$I$43:$U$43,0))</f>
        <v>0</v>
      </c>
      <c r="BP11" s="47">
        <f>INDEX(Lab_Mat!$K$6:$N$9,MATCH($H11,Lab_Mat!$J$6:$J$9,0),MATCH($BQ$4,Lab_Mat!$K$5:$N$5,0))*$P11*INDEX(Act_Type_Repex_Splits,MATCH($I11,Act_Type_Repex,0),MATCH(BP$4,Mat_Type,0))*INDEX(Escalators!$I$44:$U$49,MATCH(BP$4,Escalators!$C$44:$C$49,0),MATCH(BP$5,Escalators!$I$43:$U$43,0))</f>
        <v>0</v>
      </c>
      <c r="BQ11" s="47">
        <f t="shared" si="22"/>
        <v>0</v>
      </c>
      <c r="BR11" s="47">
        <f>INDEX(Lab_Mat!$K$6:$N$9,MATCH($H11,Lab_Mat!$J$6:$J$9,0),MATCH($BW$4,Lab_Mat!$K$5:$N$5,0))*$Q11*INDEX(Act_Type_Repex_Splits,MATCH($I11,Act_Type_Repex,0),MATCH(BR$4,Mat_Type,0))*INDEX(Escalators!$I$44:$U$49,MATCH(BR$4,Escalators!$C$44:$C$49,0),MATCH(BR$5,Escalators!$I$43:$U$43,0))</f>
        <v>0</v>
      </c>
      <c r="BS11" s="47">
        <f>INDEX(Lab_Mat!$K$6:$N$9,MATCH($H11,Lab_Mat!$J$6:$J$9,0),MATCH($BW$4,Lab_Mat!$K$5:$N$5,0))*$Q11*INDEX(Act_Type_Repex_Splits,MATCH($I11,Act_Type_Repex,0),MATCH(BS$4,Mat_Type,0))*INDEX(Escalators!$I$44:$U$49,MATCH(BS$4,Escalators!$C$44:$C$49,0),MATCH(BS$5,Escalators!$I$43:$U$43,0))</f>
        <v>0</v>
      </c>
      <c r="BT11" s="47">
        <f>INDEX(Lab_Mat!$K$6:$N$9,MATCH($H11,Lab_Mat!$J$6:$J$9,0),MATCH($BW$4,Lab_Mat!$K$5:$N$5,0))*$Q11*INDEX(Act_Type_Repex_Splits,MATCH($I11,Act_Type_Repex,0),MATCH(BT$4,Mat_Type,0))*INDEX(Escalators!$I$44:$U$49,MATCH(BT$4,Escalators!$C$44:$C$49,0),MATCH(BT$5,Escalators!$I$43:$U$43,0))</f>
        <v>0</v>
      </c>
      <c r="BU11" s="47">
        <f>INDEX(Lab_Mat!$K$6:$N$9,MATCH($H11,Lab_Mat!$J$6:$J$9,0),MATCH($BW$4,Lab_Mat!$K$5:$N$5,0))*$Q11*INDEX(Act_Type_Repex_Splits,MATCH($I11,Act_Type_Repex,0),MATCH(BU$4,Mat_Type,0))*INDEX(Escalators!$I$44:$U$49,MATCH(BU$4,Escalators!$C$44:$C$49,0),MATCH(BU$5,Escalators!$I$43:$U$43,0))</f>
        <v>0</v>
      </c>
      <c r="BV11" s="47">
        <f>INDEX(Lab_Mat!$K$6:$N$9,MATCH($H11,Lab_Mat!$J$6:$J$9,0),MATCH($BW$4,Lab_Mat!$K$5:$N$5,0))*$Q11*INDEX(Act_Type_Repex_Splits,MATCH($I11,Act_Type_Repex,0),MATCH(BV$4,Mat_Type,0))*INDEX(Escalators!$I$44:$U$49,MATCH(BV$4,Escalators!$C$44:$C$49,0),MATCH(BV$5,Escalators!$I$43:$U$43,0))</f>
        <v>0</v>
      </c>
      <c r="BW11" s="47">
        <f t="shared" si="23"/>
        <v>0</v>
      </c>
      <c r="BY11" s="47">
        <f>INDEX(Lab_Mat!$K$6:$N$9,MATCH($H11,Lab_Mat!$J$6:$J$9,0),MATCH($BY$4,Lab_Mat!$K$5:$N$5,0))*J11*HLOOKUP(BY$5,Escalators!$I$25:$U$30,6,FALSE)</f>
        <v>0</v>
      </c>
      <c r="BZ11" s="47">
        <f>INDEX(Lab_Mat!$K$6:$N$9,MATCH($H11,Lab_Mat!$J$6:$J$9,0),MATCH($BY$4,Lab_Mat!$K$5:$N$5,0))*K11*HLOOKUP(BZ$5,Escalators!$I$25:$U$30,6,FALSE)</f>
        <v>0</v>
      </c>
      <c r="CA11" s="47">
        <f>INDEX(Lab_Mat!$K$6:$N$9,MATCH($H11,Lab_Mat!$J$6:$J$9,0),MATCH($BY$4,Lab_Mat!$K$5:$N$5,0))*L11*HLOOKUP(CA$5,Escalators!$I$25:$U$30,6,FALSE)</f>
        <v>0</v>
      </c>
      <c r="CB11" s="47">
        <f>INDEX(Lab_Mat!$K$6:$N$9,MATCH($H11,Lab_Mat!$J$6:$J$9,0),MATCH($BY$4,Lab_Mat!$K$5:$N$5,0))*M11*HLOOKUP(CB$5,Escalators!$I$25:$U$30,6,FALSE)</f>
        <v>0</v>
      </c>
      <c r="CC11" s="47">
        <f>INDEX(Lab_Mat!$K$6:$N$9,MATCH($H11,Lab_Mat!$J$6:$J$9,0),MATCH($BY$4,Lab_Mat!$K$5:$N$5,0))*N11*HLOOKUP(CC$5,Escalators!$I$25:$U$30,6,FALSE)</f>
        <v>0</v>
      </c>
      <c r="CD11" s="47">
        <f>INDEX(Lab_Mat!$K$6:$N$9,MATCH($H11,Lab_Mat!$J$6:$J$9,0),MATCH($BY$4,Lab_Mat!$K$5:$N$5,0))*O11*HLOOKUP(CD$5,Escalators!$I$25:$U$30,6,FALSE)</f>
        <v>0</v>
      </c>
      <c r="CE11" s="47">
        <f>INDEX(Lab_Mat!$K$6:$N$9,MATCH($H11,Lab_Mat!$J$6:$J$9,0),MATCH($BY$4,Lab_Mat!$K$5:$N$5,0))*P11*HLOOKUP(CE$5,Escalators!$I$25:$U$30,6,FALSE)</f>
        <v>0</v>
      </c>
      <c r="CF11" s="47">
        <f>INDEX(Lab_Mat!$K$6:$N$9,MATCH($H11,Lab_Mat!$J$6:$J$9,0),MATCH($BY$4,Lab_Mat!$K$5:$N$5,0))*Q11*HLOOKUP(CF$5,Escalators!$I$25:$U$30,6,FALSE)</f>
        <v>0</v>
      </c>
      <c r="CH11" s="82">
        <f>INDEX(Lab_Mat!$K$6:$N$9,MATCH($H11,Lab_Mat!$J$6:$J$9,0),MATCH($CH$4,Lab_Mat!$K$5:$N$5,0))*J11</f>
        <v>0</v>
      </c>
      <c r="CI11" s="82">
        <f>INDEX(Lab_Mat!$K$6:$N$9,MATCH($H11,Lab_Mat!$J$6:$J$9,0),MATCH($CH$4,Lab_Mat!$K$5:$N$5,0))*K11</f>
        <v>0</v>
      </c>
      <c r="CJ11" s="82">
        <f>INDEX(Lab_Mat!$K$6:$N$9,MATCH($H11,Lab_Mat!$J$6:$J$9,0),MATCH($CH$4,Lab_Mat!$K$5:$N$5,0))*L11</f>
        <v>0</v>
      </c>
      <c r="CK11" s="82">
        <f>INDEX(Lab_Mat!$K$6:$N$9,MATCH($H11,Lab_Mat!$J$6:$J$9,0),MATCH($CH$4,Lab_Mat!$K$5:$N$5,0))*M11</f>
        <v>0</v>
      </c>
      <c r="CL11" s="82">
        <f>INDEX(Lab_Mat!$K$6:$N$9,MATCH($H11,Lab_Mat!$J$6:$J$9,0),MATCH($CH$4,Lab_Mat!$K$5:$N$5,0))*N11</f>
        <v>0</v>
      </c>
      <c r="CM11" s="82">
        <f>INDEX(Lab_Mat!$K$6:$N$9,MATCH($H11,Lab_Mat!$J$6:$J$9,0),MATCH($CH$4,Lab_Mat!$K$5:$N$5,0))*O11</f>
        <v>0</v>
      </c>
      <c r="CN11" s="82">
        <f>INDEX(Lab_Mat!$K$6:$N$9,MATCH($H11,Lab_Mat!$J$6:$J$9,0),MATCH($CH$4,Lab_Mat!$K$5:$N$5,0))*P11</f>
        <v>0</v>
      </c>
      <c r="CO11" s="82">
        <f>INDEX(Lab_Mat!$K$6:$N$9,MATCH($H11,Lab_Mat!$J$6:$J$9,0),MATCH($CH$4,Lab_Mat!$K$5:$N$5,0))*Q11</f>
        <v>0</v>
      </c>
      <c r="CQ11" s="47">
        <f t="shared" si="9"/>
        <v>0</v>
      </c>
      <c r="CR11" s="47">
        <f t="shared" si="10"/>
        <v>0</v>
      </c>
      <c r="CS11" s="47">
        <f t="shared" si="24"/>
        <v>0</v>
      </c>
      <c r="CT11" s="47">
        <f t="shared" si="11"/>
        <v>0</v>
      </c>
      <c r="CU11" s="47">
        <f t="shared" si="12"/>
        <v>0</v>
      </c>
      <c r="CV11" s="47">
        <f t="shared" si="13"/>
        <v>0</v>
      </c>
      <c r="CW11" s="47">
        <f t="shared" si="14"/>
        <v>0</v>
      </c>
      <c r="CX11" s="47">
        <f t="shared" si="15"/>
        <v>0</v>
      </c>
      <c r="CY11" s="39"/>
      <c r="CZ11" s="39"/>
      <c r="DA11" s="39"/>
      <c r="DB11" s="39"/>
      <c r="DC11" s="39"/>
    </row>
    <row r="12" spans="2:109">
      <c r="B12" s="6"/>
      <c r="C12" s="6" t="s">
        <v>412</v>
      </c>
      <c r="D12" s="6" t="s">
        <v>687</v>
      </c>
      <c r="E12" s="6" t="s">
        <v>48</v>
      </c>
      <c r="F12" s="6" t="s">
        <v>55</v>
      </c>
      <c r="G12" s="6" t="s">
        <v>150</v>
      </c>
      <c r="H12" s="6" t="s">
        <v>741</v>
      </c>
      <c r="I12" s="6" t="s">
        <v>204</v>
      </c>
      <c r="J12" s="47"/>
      <c r="K12" s="47"/>
      <c r="L12" s="47"/>
      <c r="M12" s="47">
        <v>0</v>
      </c>
      <c r="N12" s="47">
        <v>0</v>
      </c>
      <c r="O12" s="47">
        <v>0</v>
      </c>
      <c r="P12" s="47"/>
      <c r="Q12" s="47"/>
      <c r="S12" s="47">
        <f>INDEX(Lab_Mat!$K$6:$N$9,MATCH($H12,Lab_Mat!$J$6:$J$9,0),MATCH($S$4,Lab_Mat!$K$5:$N$5,0))*J12*HLOOKUP(S$5,Escalators!$I$25:$U$30,3,FALSE)</f>
        <v>0</v>
      </c>
      <c r="T12" s="47">
        <f>INDEX(Lab_Mat!$K$6:$N$9,MATCH($H12,Lab_Mat!$J$6:$J$9,0),MATCH($S$4,Lab_Mat!$K$5:$N$5,0))*K12*HLOOKUP(T$5,Escalators!$I$25:$U$30,3,FALSE)</f>
        <v>0</v>
      </c>
      <c r="U12" s="47">
        <f>INDEX(Lab_Mat!$K$6:$N$9,MATCH($H12,Lab_Mat!$J$6:$J$9,0),MATCH($S$4,Lab_Mat!$K$5:$N$5,0))*L12*HLOOKUP(U$5,Escalators!$I$25:$U$30,3,FALSE)</f>
        <v>0</v>
      </c>
      <c r="V12" s="47">
        <f>INDEX(Lab_Mat!$K$6:$N$9,MATCH($H12,Lab_Mat!$J$6:$J$9,0),MATCH($S$4,Lab_Mat!$K$5:$N$5,0))*M12*HLOOKUP(V$5,Escalators!$I$25:$U$30,3,FALSE)</f>
        <v>0</v>
      </c>
      <c r="W12" s="47">
        <f>INDEX(Lab_Mat!$K$6:$N$9,MATCH($H12,Lab_Mat!$J$6:$J$9,0),MATCH($S$4,Lab_Mat!$K$5:$N$5,0))*N12*HLOOKUP(W$5,Escalators!$I$25:$U$30,3,FALSE)</f>
        <v>0</v>
      </c>
      <c r="X12" s="47">
        <f>INDEX(Lab_Mat!$K$6:$N$9,MATCH($H12,Lab_Mat!$J$6:$J$9,0),MATCH($S$4,Lab_Mat!$K$5:$N$5,0))*O12*HLOOKUP(X$5,Escalators!$I$25:$U$30,3,FALSE)</f>
        <v>0</v>
      </c>
      <c r="Y12" s="47">
        <f>INDEX(Lab_Mat!$K$6:$N$9,MATCH($H12,Lab_Mat!$J$6:$J$9,0),MATCH($S$4,Lab_Mat!$K$5:$N$5,0))*P12*HLOOKUP(Y$5,Escalators!$I$25:$U$30,3,FALSE)</f>
        <v>0</v>
      </c>
      <c r="Z12" s="47">
        <f>INDEX(Lab_Mat!$K$6:$N$9,MATCH($H12,Lab_Mat!$J$6:$J$9,0),MATCH($S$4,Lab_Mat!$K$5:$N$5,0))*Q12*HLOOKUP(Z$5,Escalators!$I$25:$U$30,3,FALSE)</f>
        <v>0</v>
      </c>
      <c r="AB12" s="47">
        <f>INDEX(Lab_Mat!$K$6:$N$9,MATCH($H12,Lab_Mat!$J$6:$J$9,0),MATCH($AG$4,Lab_Mat!$K$5:$N$5,0))*$J12*INDEX(Act_Type_Repex_Splits,MATCH($I12,Act_Type_Repex,0),MATCH(AB$4,Mat_Type,0))*INDEX(Escalators!$I$44:$Q$49,MATCH(AB$4,Escalators!$C$44:$C$49,0),MATCH(AB$5,Escalators!$I$43:$Q$43,0))</f>
        <v>0</v>
      </c>
      <c r="AC12" s="47">
        <f>INDEX(Lab_Mat!$K$6:$N$9,MATCH($H12,Lab_Mat!$J$6:$J$9,0),MATCH($AG$4,Lab_Mat!$K$5:$N$5,0))*$J12*INDEX(Act_Type_Repex_Splits,MATCH($I12,Act_Type_Repex,0),MATCH(AC$4,Mat_Type,0))*INDEX(Escalators!$I$44:$Q$49,MATCH(AC$4,Escalators!$C$44:$C$49,0),MATCH(AC$5,Escalators!$I$43:$Q$43,0))</f>
        <v>0</v>
      </c>
      <c r="AD12" s="47">
        <f>INDEX(Lab_Mat!$K$6:$N$9,MATCH($H12,Lab_Mat!$J$6:$J$9,0),MATCH($AG$4,Lab_Mat!$K$5:$N$5,0))*$J12*INDEX(Act_Type_Repex_Splits,MATCH($I12,Act_Type_Repex,0),MATCH(AD$4,Mat_Type,0))*INDEX(Escalators!$I$44:$Q$49,MATCH(AD$4,Escalators!$C$44:$C$49,0),MATCH(AD$5,Escalators!$I$43:$Q$43,0))</f>
        <v>0</v>
      </c>
      <c r="AE12" s="47">
        <f>INDEX(Lab_Mat!$K$6:$N$9,MATCH($H12,Lab_Mat!$J$6:$J$9,0),MATCH($AG$4,Lab_Mat!$K$5:$N$5,0))*$J12*INDEX(Act_Type_Repex_Splits,MATCH($I12,Act_Type_Repex,0),MATCH(AE$4,Mat_Type,0))*INDEX(Escalators!$I$44:$Q$49,MATCH(AE$4,Escalators!$C$44:$C$49,0),MATCH(AE$5,Escalators!$I$43:$Q$43,0))</f>
        <v>0</v>
      </c>
      <c r="AF12" s="47">
        <f>INDEX(Lab_Mat!$K$6:$N$9,MATCH($H12,Lab_Mat!$J$6:$J$9,0),MATCH($AG$4,Lab_Mat!$K$5:$N$5,0))*$J12*INDEX(Act_Type_Repex_Splits,MATCH($I12,Act_Type_Repex,0),MATCH(AF$4,Mat_Type,0))*INDEX(Escalators!$I$44:$Q$49,MATCH(AF$4,Escalators!$C$44:$C$49,0),MATCH(AF$5,Escalators!$I$43:$Q$43,0))</f>
        <v>0</v>
      </c>
      <c r="AG12" s="47">
        <f t="shared" si="16"/>
        <v>0</v>
      </c>
      <c r="AH12" s="47">
        <f>INDEX(Lab_Mat!$K$6:$N$9,MATCH($H12,Lab_Mat!$J$6:$J$9,0),MATCH($AY$4,Lab_Mat!$K$5:$N$5,0))*$K12*INDEX(Act_Type_Repex_Splits,MATCH($I12,Act_Type_Repex,0),MATCH(AH$4,Mat_Type,0))*INDEX(Escalators!$I$44:$U$49,MATCH(AH$4,Escalators!$C$44:$C$49,0),MATCH(AH$5,Escalators!$I$43:$U$43,0))</f>
        <v>0</v>
      </c>
      <c r="AI12" s="47">
        <f>INDEX(Lab_Mat!$K$6:$N$9,MATCH($H12,Lab_Mat!$J$6:$J$9,0),MATCH($AY$4,Lab_Mat!$K$5:$N$5,0))*$K12*INDEX(Act_Type_Repex_Splits,MATCH($I12,Act_Type_Repex,0),MATCH(AI$4,Mat_Type,0))*INDEX(Escalators!$I$44:$U$49,MATCH(AI$4,Escalators!$C$44:$C$49,0),MATCH(AI$5,Escalators!$I$43:$U$43,0))</f>
        <v>0</v>
      </c>
      <c r="AJ12" s="47">
        <f>INDEX(Lab_Mat!$K$6:$N$9,MATCH($H12,Lab_Mat!$J$6:$J$9,0),MATCH($AY$4,Lab_Mat!$K$5:$N$5,0))*$K12*INDEX(Act_Type_Repex_Splits,MATCH($I12,Act_Type_Repex,0),MATCH(AJ$4,Mat_Type,0))*INDEX(Escalators!$I$44:$U$49,MATCH(AJ$4,Escalators!$C$44:$C$49,0),MATCH(AJ$5,Escalators!$I$43:$U$43,0))</f>
        <v>0</v>
      </c>
      <c r="AK12" s="47">
        <f>INDEX(Lab_Mat!$K$6:$N$9,MATCH($H12,Lab_Mat!$J$6:$J$9,0),MATCH($AY$4,Lab_Mat!$K$5:$N$5,0))*$K12*INDEX(Act_Type_Repex_Splits,MATCH($I12,Act_Type_Repex,0),MATCH(AK$4,Mat_Type,0))*INDEX(Escalators!$I$44:$U$49,MATCH(AK$4,Escalators!$C$44:$C$49,0),MATCH(AK$5,Escalators!$I$43:$U$43,0))</f>
        <v>0</v>
      </c>
      <c r="AL12" s="47">
        <f>INDEX(Lab_Mat!$K$6:$N$9,MATCH($H12,Lab_Mat!$J$6:$J$9,0),MATCH($AY$4,Lab_Mat!$K$5:$N$5,0))*$K12*INDEX(Act_Type_Repex_Splits,MATCH($I12,Act_Type_Repex,0),MATCH(AL$4,Mat_Type,0))*INDEX(Escalators!$I$44:$U$49,MATCH(AL$4,Escalators!$C$44:$C$49,0),MATCH(AL$5,Escalators!$I$43:$U$43,0))</f>
        <v>0</v>
      </c>
      <c r="AM12" s="47">
        <f t="shared" si="17"/>
        <v>0</v>
      </c>
      <c r="AN12" s="47">
        <f>INDEX(Lab_Mat!$K$6:$N$9,MATCH($H12,Lab_Mat!$J$6:$J$9,0),MATCH($AY$4,Lab_Mat!$K$5:$N$5,0))*$L12*INDEX(Act_Type_Repex_Splits,MATCH($I12,Act_Type_Repex,0),MATCH(AN$4,Mat_Type,0))*INDEX(Escalators!$I$44:$U$49,MATCH(AN$4,Escalators!$C$44:$C$49,0),MATCH(AN$5,Escalators!$I$43:$U$43,0))</f>
        <v>0</v>
      </c>
      <c r="AO12" s="47">
        <f>INDEX(Lab_Mat!$K$6:$N$9,MATCH($H12,Lab_Mat!$J$6:$J$9,0),MATCH($AY$4,Lab_Mat!$K$5:$N$5,0))*$L12*INDEX(Act_Type_Repex_Splits,MATCH($I12,Act_Type_Repex,0),MATCH(AO$4,Mat_Type,0))*INDEX(Escalators!$I$44:$U$49,MATCH(AO$4,Escalators!$C$44:$C$49,0),MATCH(AO$5,Escalators!$I$43:$U$43,0))</f>
        <v>0</v>
      </c>
      <c r="AP12" s="47">
        <f>INDEX(Lab_Mat!$K$6:$N$9,MATCH($H12,Lab_Mat!$J$6:$J$9,0),MATCH($AY$4,Lab_Mat!$K$5:$N$5,0))*$L12*INDEX(Act_Type_Repex_Splits,MATCH($I12,Act_Type_Repex,0),MATCH(AP$4,Mat_Type,0))*INDEX(Escalators!$I$44:$U$49,MATCH(AP$4,Escalators!$C$44:$C$49,0),MATCH(AP$5,Escalators!$I$43:$U$43,0))</f>
        <v>0</v>
      </c>
      <c r="AQ12" s="47">
        <f>INDEX(Lab_Mat!$K$6:$N$9,MATCH($H12,Lab_Mat!$J$6:$J$9,0),MATCH($AY$4,Lab_Mat!$K$5:$N$5,0))*$L12*INDEX(Act_Type_Repex_Splits,MATCH($I12,Act_Type_Repex,0),MATCH(AQ$4,Mat_Type,0))*INDEX(Escalators!$I$44:$U$49,MATCH(AQ$4,Escalators!$C$44:$C$49,0),MATCH(AQ$5,Escalators!$I$43:$U$43,0))</f>
        <v>0</v>
      </c>
      <c r="AR12" s="47">
        <f>INDEX(Lab_Mat!$K$6:$N$9,MATCH($H12,Lab_Mat!$J$6:$J$9,0),MATCH($AY$4,Lab_Mat!$K$5:$N$5,0))*$L12*INDEX(Act_Type_Repex_Splits,MATCH($I12,Act_Type_Repex,0),MATCH(AR$4,Mat_Type,0))*INDEX(Escalators!$I$44:$U$49,MATCH(AR$4,Escalators!$C$44:$C$49,0),MATCH(AR$5,Escalators!$I$43:$U$43,0))</f>
        <v>0</v>
      </c>
      <c r="AS12" s="47">
        <f t="shared" si="18"/>
        <v>0</v>
      </c>
      <c r="AT12" s="47">
        <f>INDEX(Lab_Mat!$K$6:$N$9,MATCH($H12,Lab_Mat!$J$6:$J$9,0),MATCH($AY$4,Lab_Mat!$K$5:$N$5,0))*$M12*INDEX(Act_Type_Repex_Splits,MATCH($I12,Act_Type_Repex,0),MATCH(AT$4,Mat_Type,0))*INDEX(Escalators!$I$44:$U$49,MATCH(AT$4,Escalators!$C$44:$C$49,0),MATCH(AT$5,Escalators!$I$43:$U$43,0))</f>
        <v>0</v>
      </c>
      <c r="AU12" s="47">
        <f>INDEX(Lab_Mat!$K$6:$N$9,MATCH($H12,Lab_Mat!$J$6:$J$9,0),MATCH($AY$4,Lab_Mat!$K$5:$N$5,0))*$M12*INDEX(Act_Type_Repex_Splits,MATCH($I12,Act_Type_Repex,0),MATCH(AU$4,Mat_Type,0))*INDEX(Escalators!$I$44:$U$49,MATCH(AU$4,Escalators!$C$44:$C$49,0),MATCH(AU$5,Escalators!$I$43:$U$43,0))</f>
        <v>0</v>
      </c>
      <c r="AV12" s="47">
        <f>INDEX(Lab_Mat!$K$6:$N$9,MATCH($H12,Lab_Mat!$J$6:$J$9,0),MATCH($AY$4,Lab_Mat!$K$5:$N$5,0))*$M12*INDEX(Act_Type_Repex_Splits,MATCH($I12,Act_Type_Repex,0),MATCH(AV$4,Mat_Type,0))*INDEX(Escalators!$I$44:$U$49,MATCH(AV$4,Escalators!$C$44:$C$49,0),MATCH(AV$5,Escalators!$I$43:$U$43,0))</f>
        <v>0</v>
      </c>
      <c r="AW12" s="47">
        <f>INDEX(Lab_Mat!$K$6:$N$9,MATCH($H12,Lab_Mat!$J$6:$J$9,0),MATCH($AY$4,Lab_Mat!$K$5:$N$5,0))*$M12*INDEX(Act_Type_Repex_Splits,MATCH($I12,Act_Type_Repex,0),MATCH(AW$4,Mat_Type,0))*INDEX(Escalators!$I$44:$U$49,MATCH(AW$4,Escalators!$C$44:$C$49,0),MATCH(AW$5,Escalators!$I$43:$U$43,0))</f>
        <v>0</v>
      </c>
      <c r="AX12" s="47">
        <f>INDEX(Lab_Mat!$K$6:$N$9,MATCH($H12,Lab_Mat!$J$6:$J$9,0),MATCH($AY$4,Lab_Mat!$K$5:$N$5,0))*$M12*INDEX(Act_Type_Repex_Splits,MATCH($I12,Act_Type_Repex,0),MATCH(AX$4,Mat_Type,0))*INDEX(Escalators!$I$44:$U$49,MATCH(AX$4,Escalators!$C$44:$C$49,0),MATCH(AX$5,Escalators!$I$43:$U$43,0))</f>
        <v>0</v>
      </c>
      <c r="AY12" s="47">
        <f t="shared" si="19"/>
        <v>0</v>
      </c>
      <c r="AZ12" s="47">
        <f>INDEX(Lab_Mat!$K$6:$N$9,MATCH($H12,Lab_Mat!$J$6:$J$9,0),MATCH($BE$4,Lab_Mat!$K$5:$N$5,0))*$N12*INDEX(Act_Type_Repex_Splits,MATCH($I12,Act_Type_Repex,0),MATCH(AZ$4,Mat_Type,0))*INDEX(Escalators!$I$44:$U$49,MATCH(AZ$4,Escalators!$C$44:$C$49,0),MATCH(AZ$5,Escalators!$I$43:$U$43,0))</f>
        <v>0</v>
      </c>
      <c r="BA12" s="47">
        <f>INDEX(Lab_Mat!$K$6:$N$9,MATCH($H12,Lab_Mat!$J$6:$J$9,0),MATCH($BE$4,Lab_Mat!$K$5:$N$5,0))*$N12*INDEX(Act_Type_Repex_Splits,MATCH($I12,Act_Type_Repex,0),MATCH(BA$4,Mat_Type,0))*INDEX(Escalators!$I$44:$U$49,MATCH(BA$4,Escalators!$C$44:$C$49,0),MATCH(BA$5,Escalators!$I$43:$U$43,0))</f>
        <v>0</v>
      </c>
      <c r="BB12" s="47">
        <f>INDEX(Lab_Mat!$K$6:$N$9,MATCH($H12,Lab_Mat!$J$6:$J$9,0),MATCH($BE$4,Lab_Mat!$K$5:$N$5,0))*$N12*INDEX(Act_Type_Repex_Splits,MATCH($I12,Act_Type_Repex,0),MATCH(BB$4,Mat_Type,0))*INDEX(Escalators!$I$44:$U$49,MATCH(BB$4,Escalators!$C$44:$C$49,0),MATCH(BB$5,Escalators!$I$43:$U$43,0))</f>
        <v>0</v>
      </c>
      <c r="BC12" s="47">
        <f>INDEX(Lab_Mat!$K$6:$N$9,MATCH($H12,Lab_Mat!$J$6:$J$9,0),MATCH($BE$4,Lab_Mat!$K$5:$N$5,0))*$N12*INDEX(Act_Type_Repex_Splits,MATCH($I12,Act_Type_Repex,0),MATCH(BC$4,Mat_Type,0))*INDEX(Escalators!$I$44:$U$49,MATCH(BC$4,Escalators!$C$44:$C$49,0),MATCH(BC$5,Escalators!$I$43:$U$43,0))</f>
        <v>0</v>
      </c>
      <c r="BD12" s="47">
        <f>INDEX(Lab_Mat!$K$6:$N$9,MATCH($H12,Lab_Mat!$J$6:$J$9,0),MATCH($BE$4,Lab_Mat!$K$5:$N$5,0))*$N12*INDEX(Act_Type_Repex_Splits,MATCH($I12,Act_Type_Repex,0),MATCH(BD$4,Mat_Type,0))*INDEX(Escalators!$I$44:$U$49,MATCH(BD$4,Escalators!$C$44:$C$49,0),MATCH(BD$5,Escalators!$I$43:$U$43,0))</f>
        <v>0</v>
      </c>
      <c r="BE12" s="47">
        <f t="shared" si="20"/>
        <v>0</v>
      </c>
      <c r="BF12" s="47">
        <f>INDEX(Lab_Mat!$K$6:$N$9,MATCH($H12,Lab_Mat!$J$6:$J$9,0),MATCH($BK$4,Lab_Mat!$K$5:$N$5,0))*$O12*INDEX(Act_Type_Repex_Splits,MATCH($I12,Act_Type_Repex,0),MATCH(BF$4,Mat_Type,0))*INDEX(Escalators!$I$44:$U$49,MATCH(BF$4,Escalators!$C$44:$C$49,0),MATCH(BF$5,Escalators!$I$43:$U$43,0))</f>
        <v>0</v>
      </c>
      <c r="BG12" s="47">
        <f>INDEX(Lab_Mat!$K$6:$N$9,MATCH($H12,Lab_Mat!$J$6:$J$9,0),MATCH($BK$4,Lab_Mat!$K$5:$N$5,0))*$O12*INDEX(Act_Type_Repex_Splits,MATCH($I12,Act_Type_Repex,0),MATCH(BG$4,Mat_Type,0))*INDEX(Escalators!$I$44:$U$49,MATCH(BG$4,Escalators!$C$44:$C$49,0),MATCH(BG$5,Escalators!$I$43:$U$43,0))</f>
        <v>0</v>
      </c>
      <c r="BH12" s="47">
        <f>INDEX(Lab_Mat!$K$6:$N$9,MATCH($H12,Lab_Mat!$J$6:$J$9,0),MATCH($BK$4,Lab_Mat!$K$5:$N$5,0))*$O12*INDEX(Act_Type_Repex_Splits,MATCH($I12,Act_Type_Repex,0),MATCH(BH$4,Mat_Type,0))*INDEX(Escalators!$I$44:$U$49,MATCH(BH$4,Escalators!$C$44:$C$49,0),MATCH(BH$5,Escalators!$I$43:$U$43,0))</f>
        <v>0</v>
      </c>
      <c r="BI12" s="47">
        <f>INDEX(Lab_Mat!$K$6:$N$9,MATCH($H12,Lab_Mat!$J$6:$J$9,0),MATCH($BK$4,Lab_Mat!$K$5:$N$5,0))*$O12*INDEX(Act_Type_Repex_Splits,MATCH($I12,Act_Type_Repex,0),MATCH(BI$4,Mat_Type,0))*INDEX(Escalators!$I$44:$U$49,MATCH(BI$4,Escalators!$C$44:$C$49,0),MATCH(BI$5,Escalators!$I$43:$U$43,0))</f>
        <v>0</v>
      </c>
      <c r="BJ12" s="47">
        <f>INDEX(Lab_Mat!$K$6:$N$9,MATCH($H12,Lab_Mat!$J$6:$J$9,0),MATCH($BK$4,Lab_Mat!$K$5:$N$5,0))*$O12*INDEX(Act_Type_Repex_Splits,MATCH($I12,Act_Type_Repex,0),MATCH(BJ$4,Mat_Type,0))*INDEX(Escalators!$I$44:$U$49,MATCH(BJ$4,Escalators!$C$44:$C$49,0),MATCH(BJ$5,Escalators!$I$43:$U$43,0))</f>
        <v>0</v>
      </c>
      <c r="BK12" s="47">
        <f t="shared" si="21"/>
        <v>0</v>
      </c>
      <c r="BL12" s="47">
        <f>INDEX(Lab_Mat!$K$6:$N$9,MATCH($H12,Lab_Mat!$J$6:$J$9,0),MATCH($BQ$4,Lab_Mat!$K$5:$N$5,0))*$P12*INDEX(Act_Type_Repex_Splits,MATCH($I12,Act_Type_Repex,0),MATCH(BL$4,Mat_Type,0))*INDEX(Escalators!$I$44:$U$49,MATCH(BL$4,Escalators!$C$44:$C$49,0),MATCH(BL$5,Escalators!$I$43:$U$43,0))</f>
        <v>0</v>
      </c>
      <c r="BM12" s="47">
        <f>INDEX(Lab_Mat!$K$6:$N$9,MATCH($H12,Lab_Mat!$J$6:$J$9,0),MATCH($BQ$4,Lab_Mat!$K$5:$N$5,0))*$P12*INDEX(Act_Type_Repex_Splits,MATCH($I12,Act_Type_Repex,0),MATCH(BM$4,Mat_Type,0))*INDEX(Escalators!$I$44:$U$49,MATCH(BM$4,Escalators!$C$44:$C$49,0),MATCH(BM$5,Escalators!$I$43:$U$43,0))</f>
        <v>0</v>
      </c>
      <c r="BN12" s="47">
        <f>INDEX(Lab_Mat!$K$6:$N$9,MATCH($H12,Lab_Mat!$J$6:$J$9,0),MATCH($BQ$4,Lab_Mat!$K$5:$N$5,0))*$P12*INDEX(Act_Type_Repex_Splits,MATCH($I12,Act_Type_Repex,0),MATCH(BN$4,Mat_Type,0))*INDEX(Escalators!$I$44:$U$49,MATCH(BN$4,Escalators!$C$44:$C$49,0),MATCH(BN$5,Escalators!$I$43:$U$43,0))</f>
        <v>0</v>
      </c>
      <c r="BO12" s="47">
        <f>INDEX(Lab_Mat!$K$6:$N$9,MATCH($H12,Lab_Mat!$J$6:$J$9,0),MATCH($BQ$4,Lab_Mat!$K$5:$N$5,0))*$P12*INDEX(Act_Type_Repex_Splits,MATCH($I12,Act_Type_Repex,0),MATCH(BO$4,Mat_Type,0))*INDEX(Escalators!$I$44:$U$49,MATCH(BO$4,Escalators!$C$44:$C$49,0),MATCH(BO$5,Escalators!$I$43:$U$43,0))</f>
        <v>0</v>
      </c>
      <c r="BP12" s="47">
        <f>INDEX(Lab_Mat!$K$6:$N$9,MATCH($H12,Lab_Mat!$J$6:$J$9,0),MATCH($BQ$4,Lab_Mat!$K$5:$N$5,0))*$P12*INDEX(Act_Type_Repex_Splits,MATCH($I12,Act_Type_Repex,0),MATCH(BP$4,Mat_Type,0))*INDEX(Escalators!$I$44:$U$49,MATCH(BP$4,Escalators!$C$44:$C$49,0),MATCH(BP$5,Escalators!$I$43:$U$43,0))</f>
        <v>0</v>
      </c>
      <c r="BQ12" s="47">
        <f t="shared" si="22"/>
        <v>0</v>
      </c>
      <c r="BR12" s="47">
        <f>INDEX(Lab_Mat!$K$6:$N$9,MATCH($H12,Lab_Mat!$J$6:$J$9,0),MATCH($BW$4,Lab_Mat!$K$5:$N$5,0))*$Q12*INDEX(Act_Type_Repex_Splits,MATCH($I12,Act_Type_Repex,0),MATCH(BR$4,Mat_Type,0))*INDEX(Escalators!$I$44:$U$49,MATCH(BR$4,Escalators!$C$44:$C$49,0),MATCH(BR$5,Escalators!$I$43:$U$43,0))</f>
        <v>0</v>
      </c>
      <c r="BS12" s="47">
        <f>INDEX(Lab_Mat!$K$6:$N$9,MATCH($H12,Lab_Mat!$J$6:$J$9,0),MATCH($BW$4,Lab_Mat!$K$5:$N$5,0))*$Q12*INDEX(Act_Type_Repex_Splits,MATCH($I12,Act_Type_Repex,0),MATCH(BS$4,Mat_Type,0))*INDEX(Escalators!$I$44:$U$49,MATCH(BS$4,Escalators!$C$44:$C$49,0),MATCH(BS$5,Escalators!$I$43:$U$43,0))</f>
        <v>0</v>
      </c>
      <c r="BT12" s="47">
        <f>INDEX(Lab_Mat!$K$6:$N$9,MATCH($H12,Lab_Mat!$J$6:$J$9,0),MATCH($BW$4,Lab_Mat!$K$5:$N$5,0))*$Q12*INDEX(Act_Type_Repex_Splits,MATCH($I12,Act_Type_Repex,0),MATCH(BT$4,Mat_Type,0))*INDEX(Escalators!$I$44:$U$49,MATCH(BT$4,Escalators!$C$44:$C$49,0),MATCH(BT$5,Escalators!$I$43:$U$43,0))</f>
        <v>0</v>
      </c>
      <c r="BU12" s="47">
        <f>INDEX(Lab_Mat!$K$6:$N$9,MATCH($H12,Lab_Mat!$J$6:$J$9,0),MATCH($BW$4,Lab_Mat!$K$5:$N$5,0))*$Q12*INDEX(Act_Type_Repex_Splits,MATCH($I12,Act_Type_Repex,0),MATCH(BU$4,Mat_Type,0))*INDEX(Escalators!$I$44:$U$49,MATCH(BU$4,Escalators!$C$44:$C$49,0),MATCH(BU$5,Escalators!$I$43:$U$43,0))</f>
        <v>0</v>
      </c>
      <c r="BV12" s="47">
        <f>INDEX(Lab_Mat!$K$6:$N$9,MATCH($H12,Lab_Mat!$J$6:$J$9,0),MATCH($BW$4,Lab_Mat!$K$5:$N$5,0))*$Q12*INDEX(Act_Type_Repex_Splits,MATCH($I12,Act_Type_Repex,0),MATCH(BV$4,Mat_Type,0))*INDEX(Escalators!$I$44:$U$49,MATCH(BV$4,Escalators!$C$44:$C$49,0),MATCH(BV$5,Escalators!$I$43:$U$43,0))</f>
        <v>0</v>
      </c>
      <c r="BW12" s="47">
        <f t="shared" si="23"/>
        <v>0</v>
      </c>
      <c r="BY12" s="47">
        <f>INDEX(Lab_Mat!$K$6:$N$9,MATCH($H12,Lab_Mat!$J$6:$J$9,0),MATCH($BY$4,Lab_Mat!$K$5:$N$5,0))*J12*HLOOKUP(BY$5,Escalators!$I$25:$U$30,6,FALSE)</f>
        <v>0</v>
      </c>
      <c r="BZ12" s="47">
        <f>INDEX(Lab_Mat!$K$6:$N$9,MATCH($H12,Lab_Mat!$J$6:$J$9,0),MATCH($BY$4,Lab_Mat!$K$5:$N$5,0))*K12*HLOOKUP(BZ$5,Escalators!$I$25:$U$30,6,FALSE)</f>
        <v>0</v>
      </c>
      <c r="CA12" s="47">
        <f>INDEX(Lab_Mat!$K$6:$N$9,MATCH($H12,Lab_Mat!$J$6:$J$9,0),MATCH($BY$4,Lab_Mat!$K$5:$N$5,0))*L12*HLOOKUP(CA$5,Escalators!$I$25:$U$30,6,FALSE)</f>
        <v>0</v>
      </c>
      <c r="CB12" s="47">
        <f>INDEX(Lab_Mat!$K$6:$N$9,MATCH($H12,Lab_Mat!$J$6:$J$9,0),MATCH($BY$4,Lab_Mat!$K$5:$N$5,0))*M12*HLOOKUP(CB$5,Escalators!$I$25:$U$30,6,FALSE)</f>
        <v>0</v>
      </c>
      <c r="CC12" s="47">
        <f>INDEX(Lab_Mat!$K$6:$N$9,MATCH($H12,Lab_Mat!$J$6:$J$9,0),MATCH($BY$4,Lab_Mat!$K$5:$N$5,0))*N12*HLOOKUP(CC$5,Escalators!$I$25:$U$30,6,FALSE)</f>
        <v>0</v>
      </c>
      <c r="CD12" s="47">
        <f>INDEX(Lab_Mat!$K$6:$N$9,MATCH($H12,Lab_Mat!$J$6:$J$9,0),MATCH($BY$4,Lab_Mat!$K$5:$N$5,0))*O12*HLOOKUP(CD$5,Escalators!$I$25:$U$30,6,FALSE)</f>
        <v>0</v>
      </c>
      <c r="CE12" s="47">
        <f>INDEX(Lab_Mat!$K$6:$N$9,MATCH($H12,Lab_Mat!$J$6:$J$9,0),MATCH($BY$4,Lab_Mat!$K$5:$N$5,0))*P12*HLOOKUP(CE$5,Escalators!$I$25:$U$30,6,FALSE)</f>
        <v>0</v>
      </c>
      <c r="CF12" s="47">
        <f>INDEX(Lab_Mat!$K$6:$N$9,MATCH($H12,Lab_Mat!$J$6:$J$9,0),MATCH($BY$4,Lab_Mat!$K$5:$N$5,0))*Q12*HLOOKUP(CF$5,Escalators!$I$25:$U$30,6,FALSE)</f>
        <v>0</v>
      </c>
      <c r="CH12" s="82">
        <f>INDEX(Lab_Mat!$K$6:$N$9,MATCH($H12,Lab_Mat!$J$6:$J$9,0),MATCH($CH$4,Lab_Mat!$K$5:$N$5,0))*J12</f>
        <v>0</v>
      </c>
      <c r="CI12" s="82">
        <f>INDEX(Lab_Mat!$K$6:$N$9,MATCH($H12,Lab_Mat!$J$6:$J$9,0),MATCH($CH$4,Lab_Mat!$K$5:$N$5,0))*K12</f>
        <v>0</v>
      </c>
      <c r="CJ12" s="82">
        <f>INDEX(Lab_Mat!$K$6:$N$9,MATCH($H12,Lab_Mat!$J$6:$J$9,0),MATCH($CH$4,Lab_Mat!$K$5:$N$5,0))*L12</f>
        <v>0</v>
      </c>
      <c r="CK12" s="82">
        <f>INDEX(Lab_Mat!$K$6:$N$9,MATCH($H12,Lab_Mat!$J$6:$J$9,0),MATCH($CH$4,Lab_Mat!$K$5:$N$5,0))*M12</f>
        <v>0</v>
      </c>
      <c r="CL12" s="82">
        <f>INDEX(Lab_Mat!$K$6:$N$9,MATCH($H12,Lab_Mat!$J$6:$J$9,0),MATCH($CH$4,Lab_Mat!$K$5:$N$5,0))*N12</f>
        <v>0</v>
      </c>
      <c r="CM12" s="82">
        <f>INDEX(Lab_Mat!$K$6:$N$9,MATCH($H12,Lab_Mat!$J$6:$J$9,0),MATCH($CH$4,Lab_Mat!$K$5:$N$5,0))*O12</f>
        <v>0</v>
      </c>
      <c r="CN12" s="82">
        <f>INDEX(Lab_Mat!$K$6:$N$9,MATCH($H12,Lab_Mat!$J$6:$J$9,0),MATCH($CH$4,Lab_Mat!$K$5:$N$5,0))*P12</f>
        <v>0</v>
      </c>
      <c r="CO12" s="82">
        <f>INDEX(Lab_Mat!$K$6:$N$9,MATCH($H12,Lab_Mat!$J$6:$J$9,0),MATCH($CH$4,Lab_Mat!$K$5:$N$5,0))*Q12</f>
        <v>0</v>
      </c>
      <c r="CQ12" s="47">
        <f t="shared" si="9"/>
        <v>0</v>
      </c>
      <c r="CR12" s="47">
        <f t="shared" si="10"/>
        <v>0</v>
      </c>
      <c r="CS12" s="47">
        <f t="shared" si="24"/>
        <v>0</v>
      </c>
      <c r="CT12" s="47">
        <f t="shared" si="11"/>
        <v>0</v>
      </c>
      <c r="CU12" s="47">
        <f t="shared" si="12"/>
        <v>0</v>
      </c>
      <c r="CV12" s="47">
        <f t="shared" si="13"/>
        <v>0</v>
      </c>
      <c r="CW12" s="47">
        <f t="shared" si="14"/>
        <v>0</v>
      </c>
      <c r="CX12" s="47">
        <f t="shared" si="15"/>
        <v>0</v>
      </c>
      <c r="CY12" s="39"/>
      <c r="CZ12" s="39"/>
      <c r="DA12" s="39"/>
      <c r="DB12" s="39"/>
      <c r="DC12" s="39"/>
    </row>
    <row r="13" spans="2:109">
      <c r="B13" s="6"/>
      <c r="C13" s="6" t="s">
        <v>413</v>
      </c>
      <c r="D13" s="6" t="s">
        <v>687</v>
      </c>
      <c r="E13" s="6" t="s">
        <v>50</v>
      </c>
      <c r="F13" s="6" t="s">
        <v>55</v>
      </c>
      <c r="G13" s="6" t="s">
        <v>34</v>
      </c>
      <c r="H13" s="6" t="s">
        <v>557</v>
      </c>
      <c r="I13" s="6" t="s">
        <v>5</v>
      </c>
      <c r="J13" s="47"/>
      <c r="K13" s="47"/>
      <c r="L13" s="47"/>
      <c r="M13" s="47">
        <v>0</v>
      </c>
      <c r="N13" s="47">
        <v>0</v>
      </c>
      <c r="O13" s="47">
        <v>0</v>
      </c>
      <c r="P13" s="47"/>
      <c r="Q13" s="47"/>
      <c r="S13" s="47">
        <f>INDEX(Lab_Mat!$K$6:$N$9,MATCH($H13,Lab_Mat!$J$6:$J$9,0),MATCH($S$4,Lab_Mat!$K$5:$N$5,0))*J13*HLOOKUP(S$5,Escalators!$I$25:$U$30,3,FALSE)</f>
        <v>0</v>
      </c>
      <c r="T13" s="47">
        <f>INDEX(Lab_Mat!$K$6:$N$9,MATCH($H13,Lab_Mat!$J$6:$J$9,0),MATCH($S$4,Lab_Mat!$K$5:$N$5,0))*K13*HLOOKUP(T$5,Escalators!$I$25:$U$30,3,FALSE)</f>
        <v>0</v>
      </c>
      <c r="U13" s="47">
        <f>INDEX(Lab_Mat!$K$6:$N$9,MATCH($H13,Lab_Mat!$J$6:$J$9,0),MATCH($S$4,Lab_Mat!$K$5:$N$5,0))*L13*HLOOKUP(U$5,Escalators!$I$25:$U$30,3,FALSE)</f>
        <v>0</v>
      </c>
      <c r="V13" s="47">
        <f>INDEX(Lab_Mat!$K$6:$N$9,MATCH($H13,Lab_Mat!$J$6:$J$9,0),MATCH($S$4,Lab_Mat!$K$5:$N$5,0))*M13*HLOOKUP(V$5,Escalators!$I$25:$U$30,3,FALSE)</f>
        <v>0</v>
      </c>
      <c r="W13" s="47">
        <f>INDEX(Lab_Mat!$K$6:$N$9,MATCH($H13,Lab_Mat!$J$6:$J$9,0),MATCH($S$4,Lab_Mat!$K$5:$N$5,0))*N13*HLOOKUP(W$5,Escalators!$I$25:$U$30,3,FALSE)</f>
        <v>0</v>
      </c>
      <c r="X13" s="47">
        <f>INDEX(Lab_Mat!$K$6:$N$9,MATCH($H13,Lab_Mat!$J$6:$J$9,0),MATCH($S$4,Lab_Mat!$K$5:$N$5,0))*O13*HLOOKUP(X$5,Escalators!$I$25:$U$30,3,FALSE)</f>
        <v>0</v>
      </c>
      <c r="Y13" s="47">
        <f>INDEX(Lab_Mat!$K$6:$N$9,MATCH($H13,Lab_Mat!$J$6:$J$9,0),MATCH($S$4,Lab_Mat!$K$5:$N$5,0))*P13*HLOOKUP(Y$5,Escalators!$I$25:$U$30,3,FALSE)</f>
        <v>0</v>
      </c>
      <c r="Z13" s="47">
        <f>INDEX(Lab_Mat!$K$6:$N$9,MATCH($H13,Lab_Mat!$J$6:$J$9,0),MATCH($S$4,Lab_Mat!$K$5:$N$5,0))*Q13*HLOOKUP(Z$5,Escalators!$I$25:$U$30,3,FALSE)</f>
        <v>0</v>
      </c>
      <c r="AB13" s="47">
        <f>INDEX(Lab_Mat!$K$6:$N$9,MATCH($H13,Lab_Mat!$J$6:$J$9,0),MATCH($AG$4,Lab_Mat!$K$5:$N$5,0))*$J13*INDEX(Act_Type_Repex_Splits,MATCH($I13,Act_Type_Repex,0),MATCH(AB$4,Mat_Type,0))*INDEX(Escalators!$I$44:$Q$49,MATCH(AB$4,Escalators!$C$44:$C$49,0),MATCH(AB$5,Escalators!$I$43:$Q$43,0))</f>
        <v>0</v>
      </c>
      <c r="AC13" s="47">
        <f>INDEX(Lab_Mat!$K$6:$N$9,MATCH($H13,Lab_Mat!$J$6:$J$9,0),MATCH($AG$4,Lab_Mat!$K$5:$N$5,0))*$J13*INDEX(Act_Type_Repex_Splits,MATCH($I13,Act_Type_Repex,0),MATCH(AC$4,Mat_Type,0))*INDEX(Escalators!$I$44:$Q$49,MATCH(AC$4,Escalators!$C$44:$C$49,0),MATCH(AC$5,Escalators!$I$43:$Q$43,0))</f>
        <v>0</v>
      </c>
      <c r="AD13" s="47">
        <f>INDEX(Lab_Mat!$K$6:$N$9,MATCH($H13,Lab_Mat!$J$6:$J$9,0),MATCH($AG$4,Lab_Mat!$K$5:$N$5,0))*$J13*INDEX(Act_Type_Repex_Splits,MATCH($I13,Act_Type_Repex,0),MATCH(AD$4,Mat_Type,0))*INDEX(Escalators!$I$44:$Q$49,MATCH(AD$4,Escalators!$C$44:$C$49,0),MATCH(AD$5,Escalators!$I$43:$Q$43,0))</f>
        <v>0</v>
      </c>
      <c r="AE13" s="47">
        <f>INDEX(Lab_Mat!$K$6:$N$9,MATCH($H13,Lab_Mat!$J$6:$J$9,0),MATCH($AG$4,Lab_Mat!$K$5:$N$5,0))*$J13*INDEX(Act_Type_Repex_Splits,MATCH($I13,Act_Type_Repex,0),MATCH(AE$4,Mat_Type,0))*INDEX(Escalators!$I$44:$Q$49,MATCH(AE$4,Escalators!$C$44:$C$49,0),MATCH(AE$5,Escalators!$I$43:$Q$43,0))</f>
        <v>0</v>
      </c>
      <c r="AF13" s="47">
        <f>INDEX(Lab_Mat!$K$6:$N$9,MATCH($H13,Lab_Mat!$J$6:$J$9,0),MATCH($AG$4,Lab_Mat!$K$5:$N$5,0))*$J13*INDEX(Act_Type_Repex_Splits,MATCH($I13,Act_Type_Repex,0),MATCH(AF$4,Mat_Type,0))*INDEX(Escalators!$I$44:$Q$49,MATCH(AF$4,Escalators!$C$44:$C$49,0),MATCH(AF$5,Escalators!$I$43:$Q$43,0))</f>
        <v>0</v>
      </c>
      <c r="AG13" s="47">
        <f t="shared" si="16"/>
        <v>0</v>
      </c>
      <c r="AH13" s="47">
        <f>INDEX(Lab_Mat!$K$6:$N$9,MATCH($H13,Lab_Mat!$J$6:$J$9,0),MATCH($AY$4,Lab_Mat!$K$5:$N$5,0))*$K13*INDEX(Act_Type_Repex_Splits,MATCH($I13,Act_Type_Repex,0),MATCH(AH$4,Mat_Type,0))*INDEX(Escalators!$I$44:$U$49,MATCH(AH$4,Escalators!$C$44:$C$49,0),MATCH(AH$5,Escalators!$I$43:$U$43,0))</f>
        <v>0</v>
      </c>
      <c r="AI13" s="47">
        <f>INDEX(Lab_Mat!$K$6:$N$9,MATCH($H13,Lab_Mat!$J$6:$J$9,0),MATCH($AY$4,Lab_Mat!$K$5:$N$5,0))*$K13*INDEX(Act_Type_Repex_Splits,MATCH($I13,Act_Type_Repex,0),MATCH(AI$4,Mat_Type,0))*INDEX(Escalators!$I$44:$U$49,MATCH(AI$4,Escalators!$C$44:$C$49,0),MATCH(AI$5,Escalators!$I$43:$U$43,0))</f>
        <v>0</v>
      </c>
      <c r="AJ13" s="47">
        <f>INDEX(Lab_Mat!$K$6:$N$9,MATCH($H13,Lab_Mat!$J$6:$J$9,0),MATCH($AY$4,Lab_Mat!$K$5:$N$5,0))*$K13*INDEX(Act_Type_Repex_Splits,MATCH($I13,Act_Type_Repex,0),MATCH(AJ$4,Mat_Type,0))*INDEX(Escalators!$I$44:$U$49,MATCH(AJ$4,Escalators!$C$44:$C$49,0),MATCH(AJ$5,Escalators!$I$43:$U$43,0))</f>
        <v>0</v>
      </c>
      <c r="AK13" s="47">
        <f>INDEX(Lab_Mat!$K$6:$N$9,MATCH($H13,Lab_Mat!$J$6:$J$9,0),MATCH($AY$4,Lab_Mat!$K$5:$N$5,0))*$K13*INDEX(Act_Type_Repex_Splits,MATCH($I13,Act_Type_Repex,0),MATCH(AK$4,Mat_Type,0))*INDEX(Escalators!$I$44:$U$49,MATCH(AK$4,Escalators!$C$44:$C$49,0),MATCH(AK$5,Escalators!$I$43:$U$43,0))</f>
        <v>0</v>
      </c>
      <c r="AL13" s="47">
        <f>INDEX(Lab_Mat!$K$6:$N$9,MATCH($H13,Lab_Mat!$J$6:$J$9,0),MATCH($AY$4,Lab_Mat!$K$5:$N$5,0))*$K13*INDEX(Act_Type_Repex_Splits,MATCH($I13,Act_Type_Repex,0),MATCH(AL$4,Mat_Type,0))*INDEX(Escalators!$I$44:$U$49,MATCH(AL$4,Escalators!$C$44:$C$49,0),MATCH(AL$5,Escalators!$I$43:$U$43,0))</f>
        <v>0</v>
      </c>
      <c r="AM13" s="47">
        <f t="shared" si="17"/>
        <v>0</v>
      </c>
      <c r="AN13" s="47">
        <f>INDEX(Lab_Mat!$K$6:$N$9,MATCH($H13,Lab_Mat!$J$6:$J$9,0),MATCH($AY$4,Lab_Mat!$K$5:$N$5,0))*$L13*INDEX(Act_Type_Repex_Splits,MATCH($I13,Act_Type_Repex,0),MATCH(AN$4,Mat_Type,0))*INDEX(Escalators!$I$44:$U$49,MATCH(AN$4,Escalators!$C$44:$C$49,0),MATCH(AN$5,Escalators!$I$43:$U$43,0))</f>
        <v>0</v>
      </c>
      <c r="AO13" s="47">
        <f>INDEX(Lab_Mat!$K$6:$N$9,MATCH($H13,Lab_Mat!$J$6:$J$9,0),MATCH($AY$4,Lab_Mat!$K$5:$N$5,0))*$L13*INDEX(Act_Type_Repex_Splits,MATCH($I13,Act_Type_Repex,0),MATCH(AO$4,Mat_Type,0))*INDEX(Escalators!$I$44:$U$49,MATCH(AO$4,Escalators!$C$44:$C$49,0),MATCH(AO$5,Escalators!$I$43:$U$43,0))</f>
        <v>0</v>
      </c>
      <c r="AP13" s="47">
        <f>INDEX(Lab_Mat!$K$6:$N$9,MATCH($H13,Lab_Mat!$J$6:$J$9,0),MATCH($AY$4,Lab_Mat!$K$5:$N$5,0))*$L13*INDEX(Act_Type_Repex_Splits,MATCH($I13,Act_Type_Repex,0),MATCH(AP$4,Mat_Type,0))*INDEX(Escalators!$I$44:$U$49,MATCH(AP$4,Escalators!$C$44:$C$49,0),MATCH(AP$5,Escalators!$I$43:$U$43,0))</f>
        <v>0</v>
      </c>
      <c r="AQ13" s="47">
        <f>INDEX(Lab_Mat!$K$6:$N$9,MATCH($H13,Lab_Mat!$J$6:$J$9,0),MATCH($AY$4,Lab_Mat!$K$5:$N$5,0))*$L13*INDEX(Act_Type_Repex_Splits,MATCH($I13,Act_Type_Repex,0),MATCH(AQ$4,Mat_Type,0))*INDEX(Escalators!$I$44:$U$49,MATCH(AQ$4,Escalators!$C$44:$C$49,0),MATCH(AQ$5,Escalators!$I$43:$U$43,0))</f>
        <v>0</v>
      </c>
      <c r="AR13" s="47">
        <f>INDEX(Lab_Mat!$K$6:$N$9,MATCH($H13,Lab_Mat!$J$6:$J$9,0),MATCH($AY$4,Lab_Mat!$K$5:$N$5,0))*$L13*INDEX(Act_Type_Repex_Splits,MATCH($I13,Act_Type_Repex,0),MATCH(AR$4,Mat_Type,0))*INDEX(Escalators!$I$44:$U$49,MATCH(AR$4,Escalators!$C$44:$C$49,0),MATCH(AR$5,Escalators!$I$43:$U$43,0))</f>
        <v>0</v>
      </c>
      <c r="AS13" s="47">
        <f t="shared" si="18"/>
        <v>0</v>
      </c>
      <c r="AT13" s="47">
        <f>INDEX(Lab_Mat!$K$6:$N$9,MATCH($H13,Lab_Mat!$J$6:$J$9,0),MATCH($AY$4,Lab_Mat!$K$5:$N$5,0))*$M13*INDEX(Act_Type_Repex_Splits,MATCH($I13,Act_Type_Repex,0),MATCH(AT$4,Mat_Type,0))*INDEX(Escalators!$I$44:$U$49,MATCH(AT$4,Escalators!$C$44:$C$49,0),MATCH(AT$5,Escalators!$I$43:$U$43,0))</f>
        <v>0</v>
      </c>
      <c r="AU13" s="47">
        <f>INDEX(Lab_Mat!$K$6:$N$9,MATCH($H13,Lab_Mat!$J$6:$J$9,0),MATCH($AY$4,Lab_Mat!$K$5:$N$5,0))*$M13*INDEX(Act_Type_Repex_Splits,MATCH($I13,Act_Type_Repex,0),MATCH(AU$4,Mat_Type,0))*INDEX(Escalators!$I$44:$U$49,MATCH(AU$4,Escalators!$C$44:$C$49,0),MATCH(AU$5,Escalators!$I$43:$U$43,0))</f>
        <v>0</v>
      </c>
      <c r="AV13" s="47">
        <f>INDEX(Lab_Mat!$K$6:$N$9,MATCH($H13,Lab_Mat!$J$6:$J$9,0),MATCH($AY$4,Lab_Mat!$K$5:$N$5,0))*$M13*INDEX(Act_Type_Repex_Splits,MATCH($I13,Act_Type_Repex,0),MATCH(AV$4,Mat_Type,0))*INDEX(Escalators!$I$44:$U$49,MATCH(AV$4,Escalators!$C$44:$C$49,0),MATCH(AV$5,Escalators!$I$43:$U$43,0))</f>
        <v>0</v>
      </c>
      <c r="AW13" s="47">
        <f>INDEX(Lab_Mat!$K$6:$N$9,MATCH($H13,Lab_Mat!$J$6:$J$9,0),MATCH($AY$4,Lab_Mat!$K$5:$N$5,0))*$M13*INDEX(Act_Type_Repex_Splits,MATCH($I13,Act_Type_Repex,0),MATCH(AW$4,Mat_Type,0))*INDEX(Escalators!$I$44:$U$49,MATCH(AW$4,Escalators!$C$44:$C$49,0),MATCH(AW$5,Escalators!$I$43:$U$43,0))</f>
        <v>0</v>
      </c>
      <c r="AX13" s="47">
        <f>INDEX(Lab_Mat!$K$6:$N$9,MATCH($H13,Lab_Mat!$J$6:$J$9,0),MATCH($AY$4,Lab_Mat!$K$5:$N$5,0))*$M13*INDEX(Act_Type_Repex_Splits,MATCH($I13,Act_Type_Repex,0),MATCH(AX$4,Mat_Type,0))*INDEX(Escalators!$I$44:$U$49,MATCH(AX$4,Escalators!$C$44:$C$49,0),MATCH(AX$5,Escalators!$I$43:$U$43,0))</f>
        <v>0</v>
      </c>
      <c r="AY13" s="47">
        <f t="shared" si="19"/>
        <v>0</v>
      </c>
      <c r="AZ13" s="47">
        <f>INDEX(Lab_Mat!$K$6:$N$9,MATCH($H13,Lab_Mat!$J$6:$J$9,0),MATCH($BE$4,Lab_Mat!$K$5:$N$5,0))*$N13*INDEX(Act_Type_Repex_Splits,MATCH($I13,Act_Type_Repex,0),MATCH(AZ$4,Mat_Type,0))*INDEX(Escalators!$I$44:$U$49,MATCH(AZ$4,Escalators!$C$44:$C$49,0),MATCH(AZ$5,Escalators!$I$43:$U$43,0))</f>
        <v>0</v>
      </c>
      <c r="BA13" s="47">
        <f>INDEX(Lab_Mat!$K$6:$N$9,MATCH($H13,Lab_Mat!$J$6:$J$9,0),MATCH($BE$4,Lab_Mat!$K$5:$N$5,0))*$N13*INDEX(Act_Type_Repex_Splits,MATCH($I13,Act_Type_Repex,0),MATCH(BA$4,Mat_Type,0))*INDEX(Escalators!$I$44:$U$49,MATCH(BA$4,Escalators!$C$44:$C$49,0),MATCH(BA$5,Escalators!$I$43:$U$43,0))</f>
        <v>0</v>
      </c>
      <c r="BB13" s="47">
        <f>INDEX(Lab_Mat!$K$6:$N$9,MATCH($H13,Lab_Mat!$J$6:$J$9,0),MATCH($BE$4,Lab_Mat!$K$5:$N$5,0))*$N13*INDEX(Act_Type_Repex_Splits,MATCH($I13,Act_Type_Repex,0),MATCH(BB$4,Mat_Type,0))*INDEX(Escalators!$I$44:$U$49,MATCH(BB$4,Escalators!$C$44:$C$49,0),MATCH(BB$5,Escalators!$I$43:$U$43,0))</f>
        <v>0</v>
      </c>
      <c r="BC13" s="47">
        <f>INDEX(Lab_Mat!$K$6:$N$9,MATCH($H13,Lab_Mat!$J$6:$J$9,0),MATCH($BE$4,Lab_Mat!$K$5:$N$5,0))*$N13*INDEX(Act_Type_Repex_Splits,MATCH($I13,Act_Type_Repex,0),MATCH(BC$4,Mat_Type,0))*INDEX(Escalators!$I$44:$U$49,MATCH(BC$4,Escalators!$C$44:$C$49,0),MATCH(BC$5,Escalators!$I$43:$U$43,0))</f>
        <v>0</v>
      </c>
      <c r="BD13" s="47">
        <f>INDEX(Lab_Mat!$K$6:$N$9,MATCH($H13,Lab_Mat!$J$6:$J$9,0),MATCH($BE$4,Lab_Mat!$K$5:$N$5,0))*$N13*INDEX(Act_Type_Repex_Splits,MATCH($I13,Act_Type_Repex,0),MATCH(BD$4,Mat_Type,0))*INDEX(Escalators!$I$44:$U$49,MATCH(BD$4,Escalators!$C$44:$C$49,0),MATCH(BD$5,Escalators!$I$43:$U$43,0))</f>
        <v>0</v>
      </c>
      <c r="BE13" s="47">
        <f t="shared" si="20"/>
        <v>0</v>
      </c>
      <c r="BF13" s="47">
        <f>INDEX(Lab_Mat!$K$6:$N$9,MATCH($H13,Lab_Mat!$J$6:$J$9,0),MATCH($BK$4,Lab_Mat!$K$5:$N$5,0))*$O13*INDEX(Act_Type_Repex_Splits,MATCH($I13,Act_Type_Repex,0),MATCH(BF$4,Mat_Type,0))*INDEX(Escalators!$I$44:$U$49,MATCH(BF$4,Escalators!$C$44:$C$49,0),MATCH(BF$5,Escalators!$I$43:$U$43,0))</f>
        <v>0</v>
      </c>
      <c r="BG13" s="47">
        <f>INDEX(Lab_Mat!$K$6:$N$9,MATCH($H13,Lab_Mat!$J$6:$J$9,0),MATCH($BK$4,Lab_Mat!$K$5:$N$5,0))*$O13*INDEX(Act_Type_Repex_Splits,MATCH($I13,Act_Type_Repex,0),MATCH(BG$4,Mat_Type,0))*INDEX(Escalators!$I$44:$U$49,MATCH(BG$4,Escalators!$C$44:$C$49,0),MATCH(BG$5,Escalators!$I$43:$U$43,0))</f>
        <v>0</v>
      </c>
      <c r="BH13" s="47">
        <f>INDEX(Lab_Mat!$K$6:$N$9,MATCH($H13,Lab_Mat!$J$6:$J$9,0),MATCH($BK$4,Lab_Mat!$K$5:$N$5,0))*$O13*INDEX(Act_Type_Repex_Splits,MATCH($I13,Act_Type_Repex,0),MATCH(BH$4,Mat_Type,0))*INDEX(Escalators!$I$44:$U$49,MATCH(BH$4,Escalators!$C$44:$C$49,0),MATCH(BH$5,Escalators!$I$43:$U$43,0))</f>
        <v>0</v>
      </c>
      <c r="BI13" s="47">
        <f>INDEX(Lab_Mat!$K$6:$N$9,MATCH($H13,Lab_Mat!$J$6:$J$9,0),MATCH($BK$4,Lab_Mat!$K$5:$N$5,0))*$O13*INDEX(Act_Type_Repex_Splits,MATCH($I13,Act_Type_Repex,0),MATCH(BI$4,Mat_Type,0))*INDEX(Escalators!$I$44:$U$49,MATCH(BI$4,Escalators!$C$44:$C$49,0),MATCH(BI$5,Escalators!$I$43:$U$43,0))</f>
        <v>0</v>
      </c>
      <c r="BJ13" s="47">
        <f>INDEX(Lab_Mat!$K$6:$N$9,MATCH($H13,Lab_Mat!$J$6:$J$9,0),MATCH($BK$4,Lab_Mat!$K$5:$N$5,0))*$O13*INDEX(Act_Type_Repex_Splits,MATCH($I13,Act_Type_Repex,0),MATCH(BJ$4,Mat_Type,0))*INDEX(Escalators!$I$44:$U$49,MATCH(BJ$4,Escalators!$C$44:$C$49,0),MATCH(BJ$5,Escalators!$I$43:$U$43,0))</f>
        <v>0</v>
      </c>
      <c r="BK13" s="47">
        <f t="shared" si="21"/>
        <v>0</v>
      </c>
      <c r="BL13" s="47">
        <f>INDEX(Lab_Mat!$K$6:$N$9,MATCH($H13,Lab_Mat!$J$6:$J$9,0),MATCH($BQ$4,Lab_Mat!$K$5:$N$5,0))*$P13*INDEX(Act_Type_Repex_Splits,MATCH($I13,Act_Type_Repex,0),MATCH(BL$4,Mat_Type,0))*INDEX(Escalators!$I$44:$U$49,MATCH(BL$4,Escalators!$C$44:$C$49,0),MATCH(BL$5,Escalators!$I$43:$U$43,0))</f>
        <v>0</v>
      </c>
      <c r="BM13" s="47">
        <f>INDEX(Lab_Mat!$K$6:$N$9,MATCH($H13,Lab_Mat!$J$6:$J$9,0),MATCH($BQ$4,Lab_Mat!$K$5:$N$5,0))*$P13*INDEX(Act_Type_Repex_Splits,MATCH($I13,Act_Type_Repex,0),MATCH(BM$4,Mat_Type,0))*INDEX(Escalators!$I$44:$U$49,MATCH(BM$4,Escalators!$C$44:$C$49,0),MATCH(BM$5,Escalators!$I$43:$U$43,0))</f>
        <v>0</v>
      </c>
      <c r="BN13" s="47">
        <f>INDEX(Lab_Mat!$K$6:$N$9,MATCH($H13,Lab_Mat!$J$6:$J$9,0),MATCH($BQ$4,Lab_Mat!$K$5:$N$5,0))*$P13*INDEX(Act_Type_Repex_Splits,MATCH($I13,Act_Type_Repex,0),MATCH(BN$4,Mat_Type,0))*INDEX(Escalators!$I$44:$U$49,MATCH(BN$4,Escalators!$C$44:$C$49,0),MATCH(BN$5,Escalators!$I$43:$U$43,0))</f>
        <v>0</v>
      </c>
      <c r="BO13" s="47">
        <f>INDEX(Lab_Mat!$K$6:$N$9,MATCH($H13,Lab_Mat!$J$6:$J$9,0),MATCH($BQ$4,Lab_Mat!$K$5:$N$5,0))*$P13*INDEX(Act_Type_Repex_Splits,MATCH($I13,Act_Type_Repex,0),MATCH(BO$4,Mat_Type,0))*INDEX(Escalators!$I$44:$U$49,MATCH(BO$4,Escalators!$C$44:$C$49,0),MATCH(BO$5,Escalators!$I$43:$U$43,0))</f>
        <v>0</v>
      </c>
      <c r="BP13" s="47">
        <f>INDEX(Lab_Mat!$K$6:$N$9,MATCH($H13,Lab_Mat!$J$6:$J$9,0),MATCH($BQ$4,Lab_Mat!$K$5:$N$5,0))*$P13*INDEX(Act_Type_Repex_Splits,MATCH($I13,Act_Type_Repex,0),MATCH(BP$4,Mat_Type,0))*INDEX(Escalators!$I$44:$U$49,MATCH(BP$4,Escalators!$C$44:$C$49,0),MATCH(BP$5,Escalators!$I$43:$U$43,0))</f>
        <v>0</v>
      </c>
      <c r="BQ13" s="47">
        <f t="shared" si="22"/>
        <v>0</v>
      </c>
      <c r="BR13" s="47">
        <f>INDEX(Lab_Mat!$K$6:$N$9,MATCH($H13,Lab_Mat!$J$6:$J$9,0),MATCH($BW$4,Lab_Mat!$K$5:$N$5,0))*$Q13*INDEX(Act_Type_Repex_Splits,MATCH($I13,Act_Type_Repex,0),MATCH(BR$4,Mat_Type,0))*INDEX(Escalators!$I$44:$U$49,MATCH(BR$4,Escalators!$C$44:$C$49,0),MATCH(BR$5,Escalators!$I$43:$U$43,0))</f>
        <v>0</v>
      </c>
      <c r="BS13" s="47">
        <f>INDEX(Lab_Mat!$K$6:$N$9,MATCH($H13,Lab_Mat!$J$6:$J$9,0),MATCH($BW$4,Lab_Mat!$K$5:$N$5,0))*$Q13*INDEX(Act_Type_Repex_Splits,MATCH($I13,Act_Type_Repex,0),MATCH(BS$4,Mat_Type,0))*INDEX(Escalators!$I$44:$U$49,MATCH(BS$4,Escalators!$C$44:$C$49,0),MATCH(BS$5,Escalators!$I$43:$U$43,0))</f>
        <v>0</v>
      </c>
      <c r="BT13" s="47">
        <f>INDEX(Lab_Mat!$K$6:$N$9,MATCH($H13,Lab_Mat!$J$6:$J$9,0),MATCH($BW$4,Lab_Mat!$K$5:$N$5,0))*$Q13*INDEX(Act_Type_Repex_Splits,MATCH($I13,Act_Type_Repex,0),MATCH(BT$4,Mat_Type,0))*INDEX(Escalators!$I$44:$U$49,MATCH(BT$4,Escalators!$C$44:$C$49,0),MATCH(BT$5,Escalators!$I$43:$U$43,0))</f>
        <v>0</v>
      </c>
      <c r="BU13" s="47">
        <f>INDEX(Lab_Mat!$K$6:$N$9,MATCH($H13,Lab_Mat!$J$6:$J$9,0),MATCH($BW$4,Lab_Mat!$K$5:$N$5,0))*$Q13*INDEX(Act_Type_Repex_Splits,MATCH($I13,Act_Type_Repex,0),MATCH(BU$4,Mat_Type,0))*INDEX(Escalators!$I$44:$U$49,MATCH(BU$4,Escalators!$C$44:$C$49,0),MATCH(BU$5,Escalators!$I$43:$U$43,0))</f>
        <v>0</v>
      </c>
      <c r="BV13" s="47">
        <f>INDEX(Lab_Mat!$K$6:$N$9,MATCH($H13,Lab_Mat!$J$6:$J$9,0),MATCH($BW$4,Lab_Mat!$K$5:$N$5,0))*$Q13*INDEX(Act_Type_Repex_Splits,MATCH($I13,Act_Type_Repex,0),MATCH(BV$4,Mat_Type,0))*INDEX(Escalators!$I$44:$U$49,MATCH(BV$4,Escalators!$C$44:$C$49,0),MATCH(BV$5,Escalators!$I$43:$U$43,0))</f>
        <v>0</v>
      </c>
      <c r="BW13" s="47">
        <f t="shared" si="23"/>
        <v>0</v>
      </c>
      <c r="BY13" s="47">
        <f>INDEX(Lab_Mat!$K$6:$N$9,MATCH($H13,Lab_Mat!$J$6:$J$9,0),MATCH($BY$4,Lab_Mat!$K$5:$N$5,0))*J13*HLOOKUP(BY$5,Escalators!$I$25:$U$30,6,FALSE)</f>
        <v>0</v>
      </c>
      <c r="BZ13" s="47">
        <f>INDEX(Lab_Mat!$K$6:$N$9,MATCH($H13,Lab_Mat!$J$6:$J$9,0),MATCH($BY$4,Lab_Mat!$K$5:$N$5,0))*K13*HLOOKUP(BZ$5,Escalators!$I$25:$U$30,6,FALSE)</f>
        <v>0</v>
      </c>
      <c r="CA13" s="47">
        <f>INDEX(Lab_Mat!$K$6:$N$9,MATCH($H13,Lab_Mat!$J$6:$J$9,0),MATCH($BY$4,Lab_Mat!$K$5:$N$5,0))*L13*HLOOKUP(CA$5,Escalators!$I$25:$U$30,6,FALSE)</f>
        <v>0</v>
      </c>
      <c r="CB13" s="47">
        <f>INDEX(Lab_Mat!$K$6:$N$9,MATCH($H13,Lab_Mat!$J$6:$J$9,0),MATCH($BY$4,Lab_Mat!$K$5:$N$5,0))*M13*HLOOKUP(CB$5,Escalators!$I$25:$U$30,6,FALSE)</f>
        <v>0</v>
      </c>
      <c r="CC13" s="47">
        <f>INDEX(Lab_Mat!$K$6:$N$9,MATCH($H13,Lab_Mat!$J$6:$J$9,0),MATCH($BY$4,Lab_Mat!$K$5:$N$5,0))*N13*HLOOKUP(CC$5,Escalators!$I$25:$U$30,6,FALSE)</f>
        <v>0</v>
      </c>
      <c r="CD13" s="47">
        <f>INDEX(Lab_Mat!$K$6:$N$9,MATCH($H13,Lab_Mat!$J$6:$J$9,0),MATCH($BY$4,Lab_Mat!$K$5:$N$5,0))*O13*HLOOKUP(CD$5,Escalators!$I$25:$U$30,6,FALSE)</f>
        <v>0</v>
      </c>
      <c r="CE13" s="47">
        <f>INDEX(Lab_Mat!$K$6:$N$9,MATCH($H13,Lab_Mat!$J$6:$J$9,0),MATCH($BY$4,Lab_Mat!$K$5:$N$5,0))*P13*HLOOKUP(CE$5,Escalators!$I$25:$U$30,6,FALSE)</f>
        <v>0</v>
      </c>
      <c r="CF13" s="47">
        <f>INDEX(Lab_Mat!$K$6:$N$9,MATCH($H13,Lab_Mat!$J$6:$J$9,0),MATCH($BY$4,Lab_Mat!$K$5:$N$5,0))*Q13*HLOOKUP(CF$5,Escalators!$I$25:$U$30,6,FALSE)</f>
        <v>0</v>
      </c>
      <c r="CH13" s="82">
        <f>INDEX(Lab_Mat!$K$6:$N$9,MATCH($H13,Lab_Mat!$J$6:$J$9,0),MATCH($CH$4,Lab_Mat!$K$5:$N$5,0))*J13</f>
        <v>0</v>
      </c>
      <c r="CI13" s="82">
        <f>INDEX(Lab_Mat!$K$6:$N$9,MATCH($H13,Lab_Mat!$J$6:$J$9,0),MATCH($CH$4,Lab_Mat!$K$5:$N$5,0))*K13</f>
        <v>0</v>
      </c>
      <c r="CJ13" s="82">
        <f>INDEX(Lab_Mat!$K$6:$N$9,MATCH($H13,Lab_Mat!$J$6:$J$9,0),MATCH($CH$4,Lab_Mat!$K$5:$N$5,0))*L13</f>
        <v>0</v>
      </c>
      <c r="CK13" s="82">
        <f>INDEX(Lab_Mat!$K$6:$N$9,MATCH($H13,Lab_Mat!$J$6:$J$9,0),MATCH($CH$4,Lab_Mat!$K$5:$N$5,0))*M13</f>
        <v>0</v>
      </c>
      <c r="CL13" s="82">
        <f>INDEX(Lab_Mat!$K$6:$N$9,MATCH($H13,Lab_Mat!$J$6:$J$9,0),MATCH($CH$4,Lab_Mat!$K$5:$N$5,0))*N13</f>
        <v>0</v>
      </c>
      <c r="CM13" s="82">
        <f>INDEX(Lab_Mat!$K$6:$N$9,MATCH($H13,Lab_Mat!$J$6:$J$9,0),MATCH($CH$4,Lab_Mat!$K$5:$N$5,0))*O13</f>
        <v>0</v>
      </c>
      <c r="CN13" s="82">
        <f>INDEX(Lab_Mat!$K$6:$N$9,MATCH($H13,Lab_Mat!$J$6:$J$9,0),MATCH($CH$4,Lab_Mat!$K$5:$N$5,0))*P13</f>
        <v>0</v>
      </c>
      <c r="CO13" s="82">
        <f>INDEX(Lab_Mat!$K$6:$N$9,MATCH($H13,Lab_Mat!$J$6:$J$9,0),MATCH($CH$4,Lab_Mat!$K$5:$N$5,0))*Q13</f>
        <v>0</v>
      </c>
      <c r="CQ13" s="47">
        <f t="shared" si="9"/>
        <v>0</v>
      </c>
      <c r="CR13" s="47">
        <f t="shared" si="10"/>
        <v>0</v>
      </c>
      <c r="CS13" s="47">
        <f t="shared" si="24"/>
        <v>0</v>
      </c>
      <c r="CT13" s="47">
        <f t="shared" si="11"/>
        <v>0</v>
      </c>
      <c r="CU13" s="47">
        <f t="shared" si="12"/>
        <v>0</v>
      </c>
      <c r="CV13" s="47">
        <f t="shared" si="13"/>
        <v>0</v>
      </c>
      <c r="CW13" s="47">
        <f t="shared" si="14"/>
        <v>0</v>
      </c>
      <c r="CX13" s="47">
        <f t="shared" si="15"/>
        <v>0</v>
      </c>
      <c r="CY13" s="39"/>
      <c r="CZ13" s="39"/>
      <c r="DA13" s="39"/>
      <c r="DB13" s="39"/>
      <c r="DC13" s="39"/>
    </row>
    <row r="14" spans="2:109">
      <c r="B14" s="6"/>
      <c r="C14" s="6"/>
      <c r="D14" s="6"/>
      <c r="E14" s="6"/>
      <c r="F14" s="6"/>
      <c r="G14" s="6"/>
      <c r="H14" s="6"/>
      <c r="I14" s="6"/>
      <c r="J14" s="47"/>
      <c r="K14" s="47"/>
      <c r="L14" s="47"/>
      <c r="M14" s="47"/>
      <c r="N14" s="47"/>
      <c r="O14" s="47"/>
      <c r="P14" s="47"/>
      <c r="Q14" s="47"/>
      <c r="S14" s="47"/>
      <c r="T14" s="47"/>
      <c r="U14" s="47"/>
      <c r="V14" s="47"/>
      <c r="W14" s="47"/>
      <c r="X14" s="47"/>
      <c r="Y14" s="47"/>
      <c r="Z14" s="47"/>
      <c r="AB14" s="6"/>
      <c r="AC14" s="6"/>
      <c r="AD14" s="6"/>
      <c r="AE14" s="6"/>
      <c r="AF14" s="6"/>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Y14" s="47"/>
      <c r="BZ14" s="47"/>
      <c r="CA14" s="47"/>
      <c r="CB14" s="47"/>
      <c r="CC14" s="47"/>
      <c r="CD14" s="47"/>
      <c r="CE14" s="47"/>
      <c r="CF14" s="47"/>
      <c r="CH14" s="82"/>
      <c r="CI14" s="82"/>
      <c r="CJ14" s="82"/>
      <c r="CK14" s="82"/>
      <c r="CL14" s="82"/>
      <c r="CM14" s="82"/>
      <c r="CN14" s="82"/>
      <c r="CO14" s="82"/>
      <c r="CQ14" s="47">
        <f t="shared" ref="CQ14:CQ18" si="25">S14+AG14+BY14+CH14</f>
        <v>0</v>
      </c>
      <c r="CR14" s="47">
        <f t="shared" ref="CR14:CR18" si="26">T14+AM14+BZ14+CI14</f>
        <v>0</v>
      </c>
      <c r="CS14" s="47">
        <f t="shared" si="24"/>
        <v>0</v>
      </c>
      <c r="CT14" s="47">
        <f t="shared" ref="CT14:CT18" si="27">V14+AY14+CB14+CK14</f>
        <v>0</v>
      </c>
      <c r="CU14" s="47">
        <f t="shared" ref="CU14:CU18" si="28">W14+BE14+CC14+CL14</f>
        <v>0</v>
      </c>
      <c r="CV14" s="47">
        <f t="shared" ref="CV14:CV18" si="29">X14+BK14+CD14+CM14</f>
        <v>0</v>
      </c>
      <c r="CW14" s="47">
        <f t="shared" ref="CW14:CW18" si="30">Y14+BQ14+CE14+CN14</f>
        <v>0</v>
      </c>
      <c r="CX14" s="47">
        <f t="shared" ref="CX14:CX18" si="31">Z14+BW14+CF14+CO14</f>
        <v>0</v>
      </c>
    </row>
    <row r="15" spans="2:109">
      <c r="B15" s="6"/>
      <c r="C15" s="64" t="s">
        <v>408</v>
      </c>
      <c r="D15" s="6" t="s">
        <v>688</v>
      </c>
      <c r="E15" s="6" t="s">
        <v>44</v>
      </c>
      <c r="F15" s="6" t="s">
        <v>55</v>
      </c>
      <c r="G15" s="6" t="s">
        <v>10</v>
      </c>
      <c r="H15" s="6" t="s">
        <v>741</v>
      </c>
      <c r="I15" s="6" t="s">
        <v>186</v>
      </c>
      <c r="J15" s="47"/>
      <c r="K15" s="47"/>
      <c r="L15" s="47"/>
      <c r="M15" s="47">
        <v>2359.4685778400476</v>
      </c>
      <c r="N15" s="47">
        <v>1008.9199335561024</v>
      </c>
      <c r="O15" s="47">
        <v>0</v>
      </c>
      <c r="P15" s="47"/>
      <c r="Q15" s="47"/>
      <c r="S15" s="47">
        <f>INDEX(Lab_Mat!$K$6:$N$9,MATCH($H15,Lab_Mat!$J$6:$J$9,0),MATCH($S$4,Lab_Mat!$K$5:$N$5,0))*J15*HLOOKUP(S$5,Escalators!$I$25:$U$30,3,FALSE)</f>
        <v>0</v>
      </c>
      <c r="T15" s="47">
        <f>INDEX(Lab_Mat!$K$6:$N$9,MATCH($H15,Lab_Mat!$J$6:$J$9,0),MATCH($S$4,Lab_Mat!$K$5:$N$5,0))*K15*HLOOKUP(T$5,Escalators!$I$25:$U$30,3,FALSE)</f>
        <v>0</v>
      </c>
      <c r="U15" s="47">
        <f>INDEX(Lab_Mat!$K$6:$N$9,MATCH($H15,Lab_Mat!$J$6:$J$9,0),MATCH($S$4,Lab_Mat!$K$5:$N$5,0))*L15*HLOOKUP(U$5,Escalators!$I$25:$U$30,3,FALSE)</f>
        <v>0</v>
      </c>
      <c r="V15" s="47">
        <f>INDEX(Lab_Mat!$K$6:$N$9,MATCH($H15,Lab_Mat!$J$6:$J$9,0),MATCH($S$4,Lab_Mat!$K$5:$N$5,0))*M15*HLOOKUP(V$5,Escalators!$I$25:$U$30,3,FALSE)</f>
        <v>448.10320878245517</v>
      </c>
      <c r="W15" s="47">
        <f>INDEX(Lab_Mat!$K$6:$N$9,MATCH($H15,Lab_Mat!$J$6:$J$9,0),MATCH($S$4,Lab_Mat!$K$5:$N$5,0))*N15*HLOOKUP(W$5,Escalators!$I$25:$U$30,3,FALSE)</f>
        <v>192.56161540359045</v>
      </c>
      <c r="X15" s="47">
        <f>INDEX(Lab_Mat!$K$6:$N$9,MATCH($H15,Lab_Mat!$J$6:$J$9,0),MATCH($S$4,Lab_Mat!$K$5:$N$5,0))*O15*HLOOKUP(X$5,Escalators!$I$25:$U$30,3,FALSE)</f>
        <v>0</v>
      </c>
      <c r="Y15" s="47">
        <f>INDEX(Lab_Mat!$K$6:$N$9,MATCH($H15,Lab_Mat!$J$6:$J$9,0),MATCH($S$4,Lab_Mat!$K$5:$N$5,0))*P15*HLOOKUP(Y$5,Escalators!$I$25:$U$30,3,FALSE)</f>
        <v>0</v>
      </c>
      <c r="Z15" s="47">
        <f>INDEX(Lab_Mat!$K$6:$N$9,MATCH($H15,Lab_Mat!$J$6:$J$9,0),MATCH($S$4,Lab_Mat!$K$5:$N$5,0))*Q15*HLOOKUP(Z$5,Escalators!$I$25:$U$30,3,FALSE)</f>
        <v>0</v>
      </c>
      <c r="AB15" s="47">
        <f>INDEX(Lab_Mat!$K$6:$N$9,MATCH($H15,Lab_Mat!$J$6:$J$9,0),MATCH($AG$4,Lab_Mat!$K$5:$N$5,0))*$J15*INDEX(Act_Type_Repex_Splits,MATCH($I15,Act_Type_Repex,0),MATCH(AB$4,Mat_Type,0))*INDEX(Escalators!$I$44:$Q$49,MATCH(AB$4,Escalators!$C$44:$C$49,0),MATCH(AB$5,Escalators!$I$43:$Q$43,0))</f>
        <v>0</v>
      </c>
      <c r="AC15" s="47">
        <f>INDEX(Lab_Mat!$K$6:$N$9,MATCH($H15,Lab_Mat!$J$6:$J$9,0),MATCH($AG$4,Lab_Mat!$K$5:$N$5,0))*$J15*INDEX(Act_Type_Repex_Splits,MATCH($I15,Act_Type_Repex,0),MATCH(AC$4,Mat_Type,0))*INDEX(Escalators!$I$44:$Q$49,MATCH(AC$4,Escalators!$C$44:$C$49,0),MATCH(AC$5,Escalators!$I$43:$Q$43,0))</f>
        <v>0</v>
      </c>
      <c r="AD15" s="47">
        <f>INDEX(Lab_Mat!$K$6:$N$9,MATCH($H15,Lab_Mat!$J$6:$J$9,0),MATCH($AG$4,Lab_Mat!$K$5:$N$5,0))*$J15*INDEX(Act_Type_Repex_Splits,MATCH($I15,Act_Type_Repex,0),MATCH(AD$4,Mat_Type,0))*INDEX(Escalators!$I$44:$Q$49,MATCH(AD$4,Escalators!$C$44:$C$49,0),MATCH(AD$5,Escalators!$I$43:$Q$43,0))</f>
        <v>0</v>
      </c>
      <c r="AE15" s="47">
        <f>INDEX(Lab_Mat!$K$6:$N$9,MATCH($H15,Lab_Mat!$J$6:$J$9,0),MATCH($AG$4,Lab_Mat!$K$5:$N$5,0))*$J15*INDEX(Act_Type_Repex_Splits,MATCH($I15,Act_Type_Repex,0),MATCH(AE$4,Mat_Type,0))*INDEX(Escalators!$I$44:$Q$49,MATCH(AE$4,Escalators!$C$44:$C$49,0),MATCH(AE$5,Escalators!$I$43:$Q$43,0))</f>
        <v>0</v>
      </c>
      <c r="AF15" s="47">
        <f>INDEX(Lab_Mat!$K$6:$N$9,MATCH($H15,Lab_Mat!$J$6:$J$9,0),MATCH($AG$4,Lab_Mat!$K$5:$N$5,0))*$J15*INDEX(Act_Type_Repex_Splits,MATCH($I15,Act_Type_Repex,0),MATCH(AF$4,Mat_Type,0))*INDEX(Escalators!$I$44:$Q$49,MATCH(AF$4,Escalators!$C$44:$C$49,0),MATCH(AF$5,Escalators!$I$43:$Q$43,0))</f>
        <v>0</v>
      </c>
      <c r="AG15" s="47">
        <f>SUM(AB15:AF15)</f>
        <v>0</v>
      </c>
      <c r="AH15" s="47">
        <f>INDEX(Lab_Mat!$K$6:$N$9,MATCH($H15,Lab_Mat!$J$6:$J$9,0),MATCH($AY$4,Lab_Mat!$K$5:$N$5,0))*$K15*INDEX(Act_Type_Repex_Splits,MATCH($I15,Act_Type_Repex,0),MATCH(AH$4,Mat_Type,0))*INDEX(Escalators!$I$44:$U$49,MATCH(AH$4,Escalators!$C$44:$C$49,0),MATCH(AH$5,Escalators!$I$43:$U$43,0))</f>
        <v>0</v>
      </c>
      <c r="AI15" s="47">
        <f>INDEX(Lab_Mat!$K$6:$N$9,MATCH($H15,Lab_Mat!$J$6:$J$9,0),MATCH($AY$4,Lab_Mat!$K$5:$N$5,0))*$K15*INDEX(Act_Type_Repex_Splits,MATCH($I15,Act_Type_Repex,0),MATCH(AI$4,Mat_Type,0))*INDEX(Escalators!$I$44:$U$49,MATCH(AI$4,Escalators!$C$44:$C$49,0),MATCH(AI$5,Escalators!$I$43:$U$43,0))</f>
        <v>0</v>
      </c>
      <c r="AJ15" s="47">
        <f>INDEX(Lab_Mat!$K$6:$N$9,MATCH($H15,Lab_Mat!$J$6:$J$9,0),MATCH($AY$4,Lab_Mat!$K$5:$N$5,0))*$K15*INDEX(Act_Type_Repex_Splits,MATCH($I15,Act_Type_Repex,0),MATCH(AJ$4,Mat_Type,0))*INDEX(Escalators!$I$44:$U$49,MATCH(AJ$4,Escalators!$C$44:$C$49,0),MATCH(AJ$5,Escalators!$I$43:$U$43,0))</f>
        <v>0</v>
      </c>
      <c r="AK15" s="47">
        <f>INDEX(Lab_Mat!$K$6:$N$9,MATCH($H15,Lab_Mat!$J$6:$J$9,0),MATCH($AY$4,Lab_Mat!$K$5:$N$5,0))*$K15*INDEX(Act_Type_Repex_Splits,MATCH($I15,Act_Type_Repex,0),MATCH(AK$4,Mat_Type,0))*INDEX(Escalators!$I$44:$U$49,MATCH(AK$4,Escalators!$C$44:$C$49,0),MATCH(AK$5,Escalators!$I$43:$U$43,0))</f>
        <v>0</v>
      </c>
      <c r="AL15" s="47">
        <f>INDEX(Lab_Mat!$K$6:$N$9,MATCH($H15,Lab_Mat!$J$6:$J$9,0),MATCH($AY$4,Lab_Mat!$K$5:$N$5,0))*$K15*INDEX(Act_Type_Repex_Splits,MATCH($I15,Act_Type_Repex,0),MATCH(AL$4,Mat_Type,0))*INDEX(Escalators!$I$44:$U$49,MATCH(AL$4,Escalators!$C$44:$C$49,0),MATCH(AL$5,Escalators!$I$43:$U$43,0))</f>
        <v>0</v>
      </c>
      <c r="AM15" s="47">
        <f>SUM(AH15:AL15)</f>
        <v>0</v>
      </c>
      <c r="AN15" s="47">
        <f>INDEX(Lab_Mat!$K$6:$N$9,MATCH($H15,Lab_Mat!$J$6:$J$9,0),MATCH($AY$4,Lab_Mat!$K$5:$N$5,0))*$L15*INDEX(Act_Type_Repex_Splits,MATCH($I15,Act_Type_Repex,0),MATCH(AN$4,Mat_Type,0))*INDEX(Escalators!$I$44:$U$49,MATCH(AN$4,Escalators!$C$44:$C$49,0),MATCH(AN$5,Escalators!$I$43:$U$43,0))</f>
        <v>0</v>
      </c>
      <c r="AO15" s="47">
        <f>INDEX(Lab_Mat!$K$6:$N$9,MATCH($H15,Lab_Mat!$J$6:$J$9,0),MATCH($AY$4,Lab_Mat!$K$5:$N$5,0))*$L15*INDEX(Act_Type_Repex_Splits,MATCH($I15,Act_Type_Repex,0),MATCH(AO$4,Mat_Type,0))*INDEX(Escalators!$I$44:$U$49,MATCH(AO$4,Escalators!$C$44:$C$49,0),MATCH(AO$5,Escalators!$I$43:$U$43,0))</f>
        <v>0</v>
      </c>
      <c r="AP15" s="47">
        <f>INDEX(Lab_Mat!$K$6:$N$9,MATCH($H15,Lab_Mat!$J$6:$J$9,0),MATCH($AY$4,Lab_Mat!$K$5:$N$5,0))*$L15*INDEX(Act_Type_Repex_Splits,MATCH($I15,Act_Type_Repex,0),MATCH(AP$4,Mat_Type,0))*INDEX(Escalators!$I$44:$U$49,MATCH(AP$4,Escalators!$C$44:$C$49,0),MATCH(AP$5,Escalators!$I$43:$U$43,0))</f>
        <v>0</v>
      </c>
      <c r="AQ15" s="47">
        <f>INDEX(Lab_Mat!$K$6:$N$9,MATCH($H15,Lab_Mat!$J$6:$J$9,0),MATCH($AY$4,Lab_Mat!$K$5:$N$5,0))*$L15*INDEX(Act_Type_Repex_Splits,MATCH($I15,Act_Type_Repex,0),MATCH(AQ$4,Mat_Type,0))*INDEX(Escalators!$I$44:$U$49,MATCH(AQ$4,Escalators!$C$44:$C$49,0),MATCH(AQ$5,Escalators!$I$43:$U$43,0))</f>
        <v>0</v>
      </c>
      <c r="AR15" s="47">
        <f>INDEX(Lab_Mat!$K$6:$N$9,MATCH($H15,Lab_Mat!$J$6:$J$9,0),MATCH($AY$4,Lab_Mat!$K$5:$N$5,0))*$L15*INDEX(Act_Type_Repex_Splits,MATCH($I15,Act_Type_Repex,0),MATCH(AR$4,Mat_Type,0))*INDEX(Escalators!$I$44:$U$49,MATCH(AR$4,Escalators!$C$44:$C$49,0),MATCH(AR$5,Escalators!$I$43:$U$43,0))</f>
        <v>0</v>
      </c>
      <c r="AS15" s="47">
        <f>SUM(AN15:AR15)</f>
        <v>0</v>
      </c>
      <c r="AT15" s="47">
        <f>INDEX(Lab_Mat!$K$6:$N$9,MATCH($H15,Lab_Mat!$J$6:$J$9,0),MATCH($AY$4,Lab_Mat!$K$5:$N$5,0))*$M15*INDEX(Act_Type_Repex_Splits,MATCH($I15,Act_Type_Repex,0),MATCH(AT$4,Mat_Type,0))*INDEX(Escalators!$I$44:$U$49,MATCH(AT$4,Escalators!$C$44:$C$49,0),MATCH(AT$5,Escalators!$I$43:$U$43,0))</f>
        <v>0</v>
      </c>
      <c r="AU15" s="47">
        <f>INDEX(Lab_Mat!$K$6:$N$9,MATCH($H15,Lab_Mat!$J$6:$J$9,0),MATCH($AY$4,Lab_Mat!$K$5:$N$5,0))*$M15*INDEX(Act_Type_Repex_Splits,MATCH($I15,Act_Type_Repex,0),MATCH(AU$4,Mat_Type,0))*INDEX(Escalators!$I$44:$U$49,MATCH(AU$4,Escalators!$C$44:$C$49,0),MATCH(AU$5,Escalators!$I$43:$U$43,0))</f>
        <v>383.20291763668268</v>
      </c>
      <c r="AV15" s="47">
        <f>INDEX(Lab_Mat!$K$6:$N$9,MATCH($H15,Lab_Mat!$J$6:$J$9,0),MATCH($AY$4,Lab_Mat!$K$5:$N$5,0))*$M15*INDEX(Act_Type_Repex_Splits,MATCH($I15,Act_Type_Repex,0),MATCH(AV$4,Mat_Type,0))*INDEX(Escalators!$I$44:$U$49,MATCH(AV$4,Escalators!$C$44:$C$49,0),MATCH(AV$5,Escalators!$I$43:$U$43,0))</f>
        <v>766.40583527336537</v>
      </c>
      <c r="AW15" s="47">
        <f>INDEX(Lab_Mat!$K$6:$N$9,MATCH($H15,Lab_Mat!$J$6:$J$9,0),MATCH($AY$4,Lab_Mat!$K$5:$N$5,0))*$M15*INDEX(Act_Type_Repex_Splits,MATCH($I15,Act_Type_Repex,0),MATCH(AW$4,Mat_Type,0))*INDEX(Escalators!$I$44:$U$49,MATCH(AW$4,Escalators!$C$44:$C$49,0),MATCH(AW$5,Escalators!$I$43:$U$43,0))</f>
        <v>127.73430587889423</v>
      </c>
      <c r="AX15" s="47">
        <f>INDEX(Lab_Mat!$K$6:$N$9,MATCH($H15,Lab_Mat!$J$6:$J$9,0),MATCH($AY$4,Lab_Mat!$K$5:$N$5,0))*$M15*INDEX(Act_Type_Repex_Splits,MATCH($I15,Act_Type_Repex,0),MATCH(AX$4,Mat_Type,0))*INDEX(Escalators!$I$44:$U$49,MATCH(AX$4,Escalators!$C$44:$C$49,0),MATCH(AX$5,Escalators!$I$43:$U$43,0))</f>
        <v>0</v>
      </c>
      <c r="AY15" s="47">
        <f>SUM(AT15:AX15)</f>
        <v>1277.3430587889422</v>
      </c>
      <c r="AZ15" s="47">
        <f>INDEX(Lab_Mat!$K$6:$N$9,MATCH($H15,Lab_Mat!$J$6:$J$9,0),MATCH($BE$4,Lab_Mat!$K$5:$N$5,0))*$N15*INDEX(Act_Type_Repex_Splits,MATCH($I15,Act_Type_Repex,0),MATCH(AZ$4,Mat_Type,0))*INDEX(Escalators!$I$44:$U$49,MATCH(AZ$4,Escalators!$C$44:$C$49,0),MATCH(AZ$5,Escalators!$I$43:$U$43,0))</f>
        <v>0</v>
      </c>
      <c r="BA15" s="47">
        <f>INDEX(Lab_Mat!$K$6:$N$9,MATCH($H15,Lab_Mat!$J$6:$J$9,0),MATCH($BE$4,Lab_Mat!$K$5:$N$5,0))*$N15*INDEX(Act_Type_Repex_Splits,MATCH($I15,Act_Type_Repex,0),MATCH(BA$4,Mat_Type,0))*INDEX(Escalators!$I$44:$U$49,MATCH(BA$4,Escalators!$C$44:$C$49,0),MATCH(BA$5,Escalators!$I$43:$U$43,0))</f>
        <v>163.85938165552298</v>
      </c>
      <c r="BB15" s="47">
        <f>INDEX(Lab_Mat!$K$6:$N$9,MATCH($H15,Lab_Mat!$J$6:$J$9,0),MATCH($BE$4,Lab_Mat!$K$5:$N$5,0))*$N15*INDEX(Act_Type_Repex_Splits,MATCH($I15,Act_Type_Repex,0),MATCH(BB$4,Mat_Type,0))*INDEX(Escalators!$I$44:$U$49,MATCH(BB$4,Escalators!$C$44:$C$49,0),MATCH(BB$5,Escalators!$I$43:$U$43,0))</f>
        <v>327.71876331104596</v>
      </c>
      <c r="BC15" s="47">
        <f>INDEX(Lab_Mat!$K$6:$N$9,MATCH($H15,Lab_Mat!$J$6:$J$9,0),MATCH($BE$4,Lab_Mat!$K$5:$N$5,0))*$N15*INDEX(Act_Type_Repex_Splits,MATCH($I15,Act_Type_Repex,0),MATCH(BC$4,Mat_Type,0))*INDEX(Escalators!$I$44:$U$49,MATCH(BC$4,Escalators!$C$44:$C$49,0),MATCH(BC$5,Escalators!$I$43:$U$43,0))</f>
        <v>54.619793885174332</v>
      </c>
      <c r="BD15" s="47">
        <f>INDEX(Lab_Mat!$K$6:$N$9,MATCH($H15,Lab_Mat!$J$6:$J$9,0),MATCH($BE$4,Lab_Mat!$K$5:$N$5,0))*$N15*INDEX(Act_Type_Repex_Splits,MATCH($I15,Act_Type_Repex,0),MATCH(BD$4,Mat_Type,0))*INDEX(Escalators!$I$44:$U$49,MATCH(BD$4,Escalators!$C$44:$C$49,0),MATCH(BD$5,Escalators!$I$43:$U$43,0))</f>
        <v>0</v>
      </c>
      <c r="BE15" s="47">
        <f>SUM(AZ15:BD15)</f>
        <v>546.19793885174329</v>
      </c>
      <c r="BF15" s="47">
        <f>INDEX(Lab_Mat!$K$6:$N$9,MATCH($H15,Lab_Mat!$J$6:$J$9,0),MATCH($BK$4,Lab_Mat!$K$5:$N$5,0))*$O15*INDEX(Act_Type_Repex_Splits,MATCH($I15,Act_Type_Repex,0),MATCH(BF$4,Mat_Type,0))*INDEX(Escalators!$I$44:$U$49,MATCH(BF$4,Escalators!$C$44:$C$49,0),MATCH(BF$5,Escalators!$I$43:$U$43,0))</f>
        <v>0</v>
      </c>
      <c r="BG15" s="47">
        <f>INDEX(Lab_Mat!$K$6:$N$9,MATCH($H15,Lab_Mat!$J$6:$J$9,0),MATCH($BK$4,Lab_Mat!$K$5:$N$5,0))*$O15*INDEX(Act_Type_Repex_Splits,MATCH($I15,Act_Type_Repex,0),MATCH(BG$4,Mat_Type,0))*INDEX(Escalators!$I$44:$U$49,MATCH(BG$4,Escalators!$C$44:$C$49,0),MATCH(BG$5,Escalators!$I$43:$U$43,0))</f>
        <v>0</v>
      </c>
      <c r="BH15" s="47">
        <f>INDEX(Lab_Mat!$K$6:$N$9,MATCH($H15,Lab_Mat!$J$6:$J$9,0),MATCH($BK$4,Lab_Mat!$K$5:$N$5,0))*$O15*INDEX(Act_Type_Repex_Splits,MATCH($I15,Act_Type_Repex,0),MATCH(BH$4,Mat_Type,0))*INDEX(Escalators!$I$44:$U$49,MATCH(BH$4,Escalators!$C$44:$C$49,0),MATCH(BH$5,Escalators!$I$43:$U$43,0))</f>
        <v>0</v>
      </c>
      <c r="BI15" s="47">
        <f>INDEX(Lab_Mat!$K$6:$N$9,MATCH($H15,Lab_Mat!$J$6:$J$9,0),MATCH($BK$4,Lab_Mat!$K$5:$N$5,0))*$O15*INDEX(Act_Type_Repex_Splits,MATCH($I15,Act_Type_Repex,0),MATCH(BI$4,Mat_Type,0))*INDEX(Escalators!$I$44:$U$49,MATCH(BI$4,Escalators!$C$44:$C$49,0),MATCH(BI$5,Escalators!$I$43:$U$43,0))</f>
        <v>0</v>
      </c>
      <c r="BJ15" s="47">
        <f>INDEX(Lab_Mat!$K$6:$N$9,MATCH($H15,Lab_Mat!$J$6:$J$9,0),MATCH($BK$4,Lab_Mat!$K$5:$N$5,0))*$O15*INDEX(Act_Type_Repex_Splits,MATCH($I15,Act_Type_Repex,0),MATCH(BJ$4,Mat_Type,0))*INDEX(Escalators!$I$44:$U$49,MATCH(BJ$4,Escalators!$C$44:$C$49,0),MATCH(BJ$5,Escalators!$I$43:$U$43,0))</f>
        <v>0</v>
      </c>
      <c r="BK15" s="47">
        <f>SUM(BF15:BJ15)</f>
        <v>0</v>
      </c>
      <c r="BL15" s="47">
        <f>INDEX(Lab_Mat!$K$6:$N$9,MATCH($H15,Lab_Mat!$J$6:$J$9,0),MATCH($BQ$4,Lab_Mat!$K$5:$N$5,0))*$P15*INDEX(Act_Type_Repex_Splits,MATCH($I15,Act_Type_Repex,0),MATCH(BL$4,Mat_Type,0))*INDEX(Escalators!$I$44:$U$49,MATCH(BL$4,Escalators!$C$44:$C$49,0),MATCH(BL$5,Escalators!$I$43:$U$43,0))</f>
        <v>0</v>
      </c>
      <c r="BM15" s="47">
        <f>INDEX(Lab_Mat!$K$6:$N$9,MATCH($H15,Lab_Mat!$J$6:$J$9,0),MATCH($BQ$4,Lab_Mat!$K$5:$N$5,0))*$P15*INDEX(Act_Type_Repex_Splits,MATCH($I15,Act_Type_Repex,0),MATCH(BM$4,Mat_Type,0))*INDEX(Escalators!$I$44:$U$49,MATCH(BM$4,Escalators!$C$44:$C$49,0),MATCH(BM$5,Escalators!$I$43:$U$43,0))</f>
        <v>0</v>
      </c>
      <c r="BN15" s="47">
        <f>INDEX(Lab_Mat!$K$6:$N$9,MATCH($H15,Lab_Mat!$J$6:$J$9,0),MATCH($BQ$4,Lab_Mat!$K$5:$N$5,0))*$P15*INDEX(Act_Type_Repex_Splits,MATCH($I15,Act_Type_Repex,0),MATCH(BN$4,Mat_Type,0))*INDEX(Escalators!$I$44:$U$49,MATCH(BN$4,Escalators!$C$44:$C$49,0),MATCH(BN$5,Escalators!$I$43:$U$43,0))</f>
        <v>0</v>
      </c>
      <c r="BO15" s="47">
        <f>INDEX(Lab_Mat!$K$6:$N$9,MATCH($H15,Lab_Mat!$J$6:$J$9,0),MATCH($BQ$4,Lab_Mat!$K$5:$N$5,0))*$P15*INDEX(Act_Type_Repex_Splits,MATCH($I15,Act_Type_Repex,0),MATCH(BO$4,Mat_Type,0))*INDEX(Escalators!$I$44:$U$49,MATCH(BO$4,Escalators!$C$44:$C$49,0),MATCH(BO$5,Escalators!$I$43:$U$43,0))</f>
        <v>0</v>
      </c>
      <c r="BP15" s="47">
        <f>INDEX(Lab_Mat!$K$6:$N$9,MATCH($H15,Lab_Mat!$J$6:$J$9,0),MATCH($BQ$4,Lab_Mat!$K$5:$N$5,0))*$P15*INDEX(Act_Type_Repex_Splits,MATCH($I15,Act_Type_Repex,0),MATCH(BP$4,Mat_Type,0))*INDEX(Escalators!$I$44:$U$49,MATCH(BP$4,Escalators!$C$44:$C$49,0),MATCH(BP$5,Escalators!$I$43:$U$43,0))</f>
        <v>0</v>
      </c>
      <c r="BQ15" s="47">
        <f>SUM(BL15:BP15)</f>
        <v>0</v>
      </c>
      <c r="BR15" s="47">
        <f>INDEX(Lab_Mat!$K$6:$N$9,MATCH($H15,Lab_Mat!$J$6:$J$9,0),MATCH($BW$4,Lab_Mat!$K$5:$N$5,0))*$Q15*INDEX(Act_Type_Repex_Splits,MATCH($I15,Act_Type_Repex,0),MATCH(BR$4,Mat_Type,0))*INDEX(Escalators!$I$44:$U$49,MATCH(BR$4,Escalators!$C$44:$C$49,0),MATCH(BR$5,Escalators!$I$43:$U$43,0))</f>
        <v>0</v>
      </c>
      <c r="BS15" s="47">
        <f>INDEX(Lab_Mat!$K$6:$N$9,MATCH($H15,Lab_Mat!$J$6:$J$9,0),MATCH($BW$4,Lab_Mat!$K$5:$N$5,0))*$Q15*INDEX(Act_Type_Repex_Splits,MATCH($I15,Act_Type_Repex,0),MATCH(BS$4,Mat_Type,0))*INDEX(Escalators!$I$44:$U$49,MATCH(BS$4,Escalators!$C$44:$C$49,0),MATCH(BS$5,Escalators!$I$43:$U$43,0))</f>
        <v>0</v>
      </c>
      <c r="BT15" s="47">
        <f>INDEX(Lab_Mat!$K$6:$N$9,MATCH($H15,Lab_Mat!$J$6:$J$9,0),MATCH($BW$4,Lab_Mat!$K$5:$N$5,0))*$Q15*INDEX(Act_Type_Repex_Splits,MATCH($I15,Act_Type_Repex,0),MATCH(BT$4,Mat_Type,0))*INDEX(Escalators!$I$44:$U$49,MATCH(BT$4,Escalators!$C$44:$C$49,0),MATCH(BT$5,Escalators!$I$43:$U$43,0))</f>
        <v>0</v>
      </c>
      <c r="BU15" s="47">
        <f>INDEX(Lab_Mat!$K$6:$N$9,MATCH($H15,Lab_Mat!$J$6:$J$9,0),MATCH($BW$4,Lab_Mat!$K$5:$N$5,0))*$Q15*INDEX(Act_Type_Repex_Splits,MATCH($I15,Act_Type_Repex,0),MATCH(BU$4,Mat_Type,0))*INDEX(Escalators!$I$44:$U$49,MATCH(BU$4,Escalators!$C$44:$C$49,0),MATCH(BU$5,Escalators!$I$43:$U$43,0))</f>
        <v>0</v>
      </c>
      <c r="BV15" s="47">
        <f>INDEX(Lab_Mat!$K$6:$N$9,MATCH($H15,Lab_Mat!$J$6:$J$9,0),MATCH($BW$4,Lab_Mat!$K$5:$N$5,0))*$Q15*INDEX(Act_Type_Repex_Splits,MATCH($I15,Act_Type_Repex,0),MATCH(BV$4,Mat_Type,0))*INDEX(Escalators!$I$44:$U$49,MATCH(BV$4,Escalators!$C$44:$C$49,0),MATCH(BV$5,Escalators!$I$43:$U$43,0))</f>
        <v>0</v>
      </c>
      <c r="BW15" s="47">
        <f>SUM(BR15:BV15)</f>
        <v>0</v>
      </c>
      <c r="BY15" s="47">
        <f>INDEX(Lab_Mat!$K$6:$N$9,MATCH($H15,Lab_Mat!$J$6:$J$9,0),MATCH($BY$4,Lab_Mat!$K$5:$N$5,0))*J15*HLOOKUP(BY$5,Escalators!$I$25:$U$30,6,FALSE)</f>
        <v>0</v>
      </c>
      <c r="BZ15" s="47">
        <f>INDEX(Lab_Mat!$K$6:$N$9,MATCH($H15,Lab_Mat!$J$6:$J$9,0),MATCH($BY$4,Lab_Mat!$K$5:$N$5,0))*K15*HLOOKUP(BZ$5,Escalators!$I$25:$U$30,6,FALSE)</f>
        <v>0</v>
      </c>
      <c r="CA15" s="47">
        <f>INDEX(Lab_Mat!$K$6:$N$9,MATCH($H15,Lab_Mat!$J$6:$J$9,0),MATCH($BY$4,Lab_Mat!$K$5:$N$5,0))*L15*HLOOKUP(CA$5,Escalators!$I$25:$U$30,6,FALSE)</f>
        <v>0</v>
      </c>
      <c r="CB15" s="47">
        <f>INDEX(Lab_Mat!$K$6:$N$9,MATCH($H15,Lab_Mat!$J$6:$J$9,0),MATCH($BY$4,Lab_Mat!$K$5:$N$5,0))*M15*HLOOKUP(CB$5,Escalators!$I$25:$U$30,6,FALSE)</f>
        <v>463.75841770565415</v>
      </c>
      <c r="CC15" s="47">
        <f>INDEX(Lab_Mat!$K$6:$N$9,MATCH($H15,Lab_Mat!$J$6:$J$9,0),MATCH($BY$4,Lab_Mat!$K$5:$N$5,0))*N15*HLOOKUP(CC$5,Escalators!$I$25:$U$30,6,FALSE)</f>
        <v>198.30529483295842</v>
      </c>
      <c r="CD15" s="47">
        <f>INDEX(Lab_Mat!$K$6:$N$9,MATCH($H15,Lab_Mat!$J$6:$J$9,0),MATCH($BY$4,Lab_Mat!$K$5:$N$5,0))*O15*HLOOKUP(CD$5,Escalators!$I$25:$U$30,6,FALSE)</f>
        <v>0</v>
      </c>
      <c r="CE15" s="47">
        <f>INDEX(Lab_Mat!$K$6:$N$9,MATCH($H15,Lab_Mat!$J$6:$J$9,0),MATCH($BY$4,Lab_Mat!$K$5:$N$5,0))*P15*HLOOKUP(CE$5,Escalators!$I$25:$U$30,6,FALSE)</f>
        <v>0</v>
      </c>
      <c r="CF15" s="47">
        <f>INDEX(Lab_Mat!$K$6:$N$9,MATCH($H15,Lab_Mat!$J$6:$J$9,0),MATCH($BY$4,Lab_Mat!$K$5:$N$5,0))*Q15*HLOOKUP(CF$5,Escalators!$I$25:$U$30,6,FALSE)</f>
        <v>0</v>
      </c>
      <c r="CH15" s="82">
        <f>INDEX(Lab_Mat!$K$6:$N$9,MATCH($H15,Lab_Mat!$J$6:$J$9,0),MATCH($CH$4,Lab_Mat!$K$5:$N$5,0))*J15</f>
        <v>0</v>
      </c>
      <c r="CI15" s="82">
        <f>INDEX(Lab_Mat!$K$6:$N$9,MATCH($H15,Lab_Mat!$J$6:$J$9,0),MATCH($CH$4,Lab_Mat!$K$5:$N$5,0))*K15</f>
        <v>0</v>
      </c>
      <c r="CJ15" s="82">
        <f>INDEX(Lab_Mat!$K$6:$N$9,MATCH($H15,Lab_Mat!$J$6:$J$9,0),MATCH($CH$4,Lab_Mat!$K$5:$N$5,0))*L15</f>
        <v>0</v>
      </c>
      <c r="CK15" s="82">
        <f>INDEX(Lab_Mat!$K$6:$N$9,MATCH($H15,Lab_Mat!$J$6:$J$9,0),MATCH($CH$4,Lab_Mat!$K$5:$N$5,0))*M15</f>
        <v>184.45262728480037</v>
      </c>
      <c r="CL15" s="82">
        <f>INDEX(Lab_Mat!$K$6:$N$9,MATCH($H15,Lab_Mat!$J$6:$J$9,0),MATCH($CH$4,Lab_Mat!$K$5:$N$5,0))*N15</f>
        <v>78.872816621610113</v>
      </c>
      <c r="CM15" s="82">
        <f>INDEX(Lab_Mat!$K$6:$N$9,MATCH($H15,Lab_Mat!$J$6:$J$9,0),MATCH($CH$4,Lab_Mat!$K$5:$N$5,0))*O15</f>
        <v>0</v>
      </c>
      <c r="CN15" s="82">
        <f>INDEX(Lab_Mat!$K$6:$N$9,MATCH($H15,Lab_Mat!$J$6:$J$9,0),MATCH($CH$4,Lab_Mat!$K$5:$N$5,0))*P15</f>
        <v>0</v>
      </c>
      <c r="CO15" s="82">
        <f>INDEX(Lab_Mat!$K$6:$N$9,MATCH($H15,Lab_Mat!$J$6:$J$9,0),MATCH($CH$4,Lab_Mat!$K$5:$N$5,0))*Q15</f>
        <v>0</v>
      </c>
      <c r="CQ15" s="47">
        <f t="shared" si="25"/>
        <v>0</v>
      </c>
      <c r="CR15" s="47">
        <f t="shared" si="26"/>
        <v>0</v>
      </c>
      <c r="CS15" s="47">
        <f t="shared" si="24"/>
        <v>0</v>
      </c>
      <c r="CT15" s="47">
        <f t="shared" si="27"/>
        <v>2373.6573125618515</v>
      </c>
      <c r="CU15" s="47">
        <f t="shared" si="28"/>
        <v>1015.9376657099024</v>
      </c>
      <c r="CV15" s="47">
        <f t="shared" si="29"/>
        <v>0</v>
      </c>
      <c r="CW15" s="47">
        <f t="shared" si="30"/>
        <v>0</v>
      </c>
      <c r="CX15" s="47">
        <f t="shared" si="31"/>
        <v>0</v>
      </c>
      <c r="CY15" s="56"/>
    </row>
    <row r="16" spans="2:109">
      <c r="B16" s="6"/>
      <c r="C16" s="6" t="s">
        <v>409</v>
      </c>
      <c r="D16" s="6" t="s">
        <v>688</v>
      </c>
      <c r="E16" s="6" t="s">
        <v>45</v>
      </c>
      <c r="F16" s="6" t="s">
        <v>55</v>
      </c>
      <c r="G16" s="6" t="s">
        <v>10</v>
      </c>
      <c r="H16" s="6" t="s">
        <v>555</v>
      </c>
      <c r="I16" s="6" t="s">
        <v>186</v>
      </c>
      <c r="J16" s="47"/>
      <c r="K16" s="47"/>
      <c r="L16" s="47"/>
      <c r="M16" s="47">
        <v>1487.9347865858472</v>
      </c>
      <c r="N16" s="47">
        <v>636.2479585942491</v>
      </c>
      <c r="O16" s="47">
        <v>0</v>
      </c>
      <c r="P16" s="47"/>
      <c r="Q16" s="47"/>
      <c r="S16" s="47">
        <f>INDEX(Lab_Mat!$K$6:$N$9,MATCH($H16,Lab_Mat!$J$6:$J$9,0),MATCH($S$4,Lab_Mat!$K$5:$N$5,0))*J16*HLOOKUP(S$5,Escalators!$I$25:$U$30,3,FALSE)</f>
        <v>0</v>
      </c>
      <c r="T16" s="47">
        <f>INDEX(Lab_Mat!$K$6:$N$9,MATCH($H16,Lab_Mat!$J$6:$J$9,0),MATCH($S$4,Lab_Mat!$K$5:$N$5,0))*K16*HLOOKUP(T$5,Escalators!$I$25:$U$30,3,FALSE)</f>
        <v>0</v>
      </c>
      <c r="U16" s="47">
        <f>INDEX(Lab_Mat!$K$6:$N$9,MATCH($H16,Lab_Mat!$J$6:$J$9,0),MATCH($S$4,Lab_Mat!$K$5:$N$5,0))*L16*HLOOKUP(U$5,Escalators!$I$25:$U$30,3,FALSE)</f>
        <v>0</v>
      </c>
      <c r="V16" s="47">
        <f>INDEX(Lab_Mat!$K$6:$N$9,MATCH($H16,Lab_Mat!$J$6:$J$9,0),MATCH($S$4,Lab_Mat!$K$5:$N$5,0))*M16*HLOOKUP(V$5,Escalators!$I$25:$U$30,3,FALSE)</f>
        <v>245.33458845175798</v>
      </c>
      <c r="W16" s="47">
        <f>INDEX(Lab_Mat!$K$6:$N$9,MATCH($H16,Lab_Mat!$J$6:$J$9,0),MATCH($S$4,Lab_Mat!$K$5:$N$5,0))*N16*HLOOKUP(W$5,Escalators!$I$25:$U$30,3,FALSE)</f>
        <v>105.42666006567381</v>
      </c>
      <c r="X16" s="47">
        <f>INDEX(Lab_Mat!$K$6:$N$9,MATCH($H16,Lab_Mat!$J$6:$J$9,0),MATCH($S$4,Lab_Mat!$K$5:$N$5,0))*O16*HLOOKUP(X$5,Escalators!$I$25:$U$30,3,FALSE)</f>
        <v>0</v>
      </c>
      <c r="Y16" s="47">
        <f>INDEX(Lab_Mat!$K$6:$N$9,MATCH($H16,Lab_Mat!$J$6:$J$9,0),MATCH($S$4,Lab_Mat!$K$5:$N$5,0))*P16*HLOOKUP(Y$5,Escalators!$I$25:$U$30,3,FALSE)</f>
        <v>0</v>
      </c>
      <c r="Z16" s="47">
        <f>INDEX(Lab_Mat!$K$6:$N$9,MATCH($H16,Lab_Mat!$J$6:$J$9,0),MATCH($S$4,Lab_Mat!$K$5:$N$5,0))*Q16*HLOOKUP(Z$5,Escalators!$I$25:$U$30,3,FALSE)</f>
        <v>0</v>
      </c>
      <c r="AB16" s="47">
        <f>INDEX(Lab_Mat!$K$6:$N$9,MATCH($H16,Lab_Mat!$J$6:$J$9,0),MATCH($AG$4,Lab_Mat!$K$5:$N$5,0))*$J16*INDEX(Act_Type_Repex_Splits,MATCH($I16,Act_Type_Repex,0),MATCH(AB$4,Mat_Type,0))*INDEX(Escalators!$I$44:$Q$49,MATCH(AB$4,Escalators!$C$44:$C$49,0),MATCH(AB$5,Escalators!$I$43:$Q$43,0))</f>
        <v>0</v>
      </c>
      <c r="AC16" s="47">
        <f>INDEX(Lab_Mat!$K$6:$N$9,MATCH($H16,Lab_Mat!$J$6:$J$9,0),MATCH($AG$4,Lab_Mat!$K$5:$N$5,0))*$J16*INDEX(Act_Type_Repex_Splits,MATCH($I16,Act_Type_Repex,0),MATCH(AC$4,Mat_Type,0))*INDEX(Escalators!$I$44:$Q$49,MATCH(AC$4,Escalators!$C$44:$C$49,0),MATCH(AC$5,Escalators!$I$43:$Q$43,0))</f>
        <v>0</v>
      </c>
      <c r="AD16" s="47">
        <f>INDEX(Lab_Mat!$K$6:$N$9,MATCH($H16,Lab_Mat!$J$6:$J$9,0),MATCH($AG$4,Lab_Mat!$K$5:$N$5,0))*$J16*INDEX(Act_Type_Repex_Splits,MATCH($I16,Act_Type_Repex,0),MATCH(AD$4,Mat_Type,0))*INDEX(Escalators!$I$44:$Q$49,MATCH(AD$4,Escalators!$C$44:$C$49,0),MATCH(AD$5,Escalators!$I$43:$Q$43,0))</f>
        <v>0</v>
      </c>
      <c r="AE16" s="47">
        <f>INDEX(Lab_Mat!$K$6:$N$9,MATCH($H16,Lab_Mat!$J$6:$J$9,0),MATCH($AG$4,Lab_Mat!$K$5:$N$5,0))*$J16*INDEX(Act_Type_Repex_Splits,MATCH($I16,Act_Type_Repex,0),MATCH(AE$4,Mat_Type,0))*INDEX(Escalators!$I$44:$Q$49,MATCH(AE$4,Escalators!$C$44:$C$49,0),MATCH(AE$5,Escalators!$I$43:$Q$43,0))</f>
        <v>0</v>
      </c>
      <c r="AF16" s="47">
        <f>INDEX(Lab_Mat!$K$6:$N$9,MATCH($H16,Lab_Mat!$J$6:$J$9,0),MATCH($AG$4,Lab_Mat!$K$5:$N$5,0))*$J16*INDEX(Act_Type_Repex_Splits,MATCH($I16,Act_Type_Repex,0),MATCH(AF$4,Mat_Type,0))*INDEX(Escalators!$I$44:$Q$49,MATCH(AF$4,Escalators!$C$44:$C$49,0),MATCH(AF$5,Escalators!$I$43:$Q$43,0))</f>
        <v>0</v>
      </c>
      <c r="AG16" s="47">
        <f t="shared" ref="AG16:AG20" si="32">SUM(AB16:AF16)</f>
        <v>0</v>
      </c>
      <c r="AH16" s="47">
        <f>INDEX(Lab_Mat!$K$6:$N$9,MATCH($H16,Lab_Mat!$J$6:$J$9,0),MATCH($AY$4,Lab_Mat!$K$5:$N$5,0))*$K16*INDEX(Act_Type_Repex_Splits,MATCH($I16,Act_Type_Repex,0),MATCH(AH$4,Mat_Type,0))*INDEX(Escalators!$I$44:$U$49,MATCH(AH$4,Escalators!$C$44:$C$49,0),MATCH(AH$5,Escalators!$I$43:$U$43,0))</f>
        <v>0</v>
      </c>
      <c r="AI16" s="47">
        <f>INDEX(Lab_Mat!$K$6:$N$9,MATCH($H16,Lab_Mat!$J$6:$J$9,0),MATCH($AY$4,Lab_Mat!$K$5:$N$5,0))*$K16*INDEX(Act_Type_Repex_Splits,MATCH($I16,Act_Type_Repex,0),MATCH(AI$4,Mat_Type,0))*INDEX(Escalators!$I$44:$U$49,MATCH(AI$4,Escalators!$C$44:$C$49,0),MATCH(AI$5,Escalators!$I$43:$U$43,0))</f>
        <v>0</v>
      </c>
      <c r="AJ16" s="47">
        <f>INDEX(Lab_Mat!$K$6:$N$9,MATCH($H16,Lab_Mat!$J$6:$J$9,0),MATCH($AY$4,Lab_Mat!$K$5:$N$5,0))*$K16*INDEX(Act_Type_Repex_Splits,MATCH($I16,Act_Type_Repex,0),MATCH(AJ$4,Mat_Type,0))*INDEX(Escalators!$I$44:$U$49,MATCH(AJ$4,Escalators!$C$44:$C$49,0),MATCH(AJ$5,Escalators!$I$43:$U$43,0))</f>
        <v>0</v>
      </c>
      <c r="AK16" s="47">
        <f>INDEX(Lab_Mat!$K$6:$N$9,MATCH($H16,Lab_Mat!$J$6:$J$9,0),MATCH($AY$4,Lab_Mat!$K$5:$N$5,0))*$K16*INDEX(Act_Type_Repex_Splits,MATCH($I16,Act_Type_Repex,0),MATCH(AK$4,Mat_Type,0))*INDEX(Escalators!$I$44:$U$49,MATCH(AK$4,Escalators!$C$44:$C$49,0),MATCH(AK$5,Escalators!$I$43:$U$43,0))</f>
        <v>0</v>
      </c>
      <c r="AL16" s="47">
        <f>INDEX(Lab_Mat!$K$6:$N$9,MATCH($H16,Lab_Mat!$J$6:$J$9,0),MATCH($AY$4,Lab_Mat!$K$5:$N$5,0))*$K16*INDEX(Act_Type_Repex_Splits,MATCH($I16,Act_Type_Repex,0),MATCH(AL$4,Mat_Type,0))*INDEX(Escalators!$I$44:$U$49,MATCH(AL$4,Escalators!$C$44:$C$49,0),MATCH(AL$5,Escalators!$I$43:$U$43,0))</f>
        <v>0</v>
      </c>
      <c r="AM16" s="47">
        <f t="shared" ref="AM16:AM20" si="33">SUM(AH16:AL16)</f>
        <v>0</v>
      </c>
      <c r="AN16" s="47">
        <f>INDEX(Lab_Mat!$K$6:$N$9,MATCH($H16,Lab_Mat!$J$6:$J$9,0),MATCH($AY$4,Lab_Mat!$K$5:$N$5,0))*$L16*INDEX(Act_Type_Repex_Splits,MATCH($I16,Act_Type_Repex,0),MATCH(AN$4,Mat_Type,0))*INDEX(Escalators!$I$44:$U$49,MATCH(AN$4,Escalators!$C$44:$C$49,0),MATCH(AN$5,Escalators!$I$43:$U$43,0))</f>
        <v>0</v>
      </c>
      <c r="AO16" s="47">
        <f>INDEX(Lab_Mat!$K$6:$N$9,MATCH($H16,Lab_Mat!$J$6:$J$9,0),MATCH($AY$4,Lab_Mat!$K$5:$N$5,0))*$L16*INDEX(Act_Type_Repex_Splits,MATCH($I16,Act_Type_Repex,0),MATCH(AO$4,Mat_Type,0))*INDEX(Escalators!$I$44:$U$49,MATCH(AO$4,Escalators!$C$44:$C$49,0),MATCH(AO$5,Escalators!$I$43:$U$43,0))</f>
        <v>0</v>
      </c>
      <c r="AP16" s="47">
        <f>INDEX(Lab_Mat!$K$6:$N$9,MATCH($H16,Lab_Mat!$J$6:$J$9,0),MATCH($AY$4,Lab_Mat!$K$5:$N$5,0))*$L16*INDEX(Act_Type_Repex_Splits,MATCH($I16,Act_Type_Repex,0),MATCH(AP$4,Mat_Type,0))*INDEX(Escalators!$I$44:$U$49,MATCH(AP$4,Escalators!$C$44:$C$49,0),MATCH(AP$5,Escalators!$I$43:$U$43,0))</f>
        <v>0</v>
      </c>
      <c r="AQ16" s="47">
        <f>INDEX(Lab_Mat!$K$6:$N$9,MATCH($H16,Lab_Mat!$J$6:$J$9,0),MATCH($AY$4,Lab_Mat!$K$5:$N$5,0))*$L16*INDEX(Act_Type_Repex_Splits,MATCH($I16,Act_Type_Repex,0),MATCH(AQ$4,Mat_Type,0))*INDEX(Escalators!$I$44:$U$49,MATCH(AQ$4,Escalators!$C$44:$C$49,0),MATCH(AQ$5,Escalators!$I$43:$U$43,0))</f>
        <v>0</v>
      </c>
      <c r="AR16" s="47">
        <f>INDEX(Lab_Mat!$K$6:$N$9,MATCH($H16,Lab_Mat!$J$6:$J$9,0),MATCH($AY$4,Lab_Mat!$K$5:$N$5,0))*$L16*INDEX(Act_Type_Repex_Splits,MATCH($I16,Act_Type_Repex,0),MATCH(AR$4,Mat_Type,0))*INDEX(Escalators!$I$44:$U$49,MATCH(AR$4,Escalators!$C$44:$C$49,0),MATCH(AR$5,Escalators!$I$43:$U$43,0))</f>
        <v>0</v>
      </c>
      <c r="AS16" s="47">
        <f t="shared" ref="AS16:AS20" si="34">SUM(AN16:AR16)</f>
        <v>0</v>
      </c>
      <c r="AT16" s="47">
        <f>INDEX(Lab_Mat!$K$6:$N$9,MATCH($H16,Lab_Mat!$J$6:$J$9,0),MATCH($AY$4,Lab_Mat!$K$5:$N$5,0))*$M16*INDEX(Act_Type_Repex_Splits,MATCH($I16,Act_Type_Repex,0),MATCH(AT$4,Mat_Type,0))*INDEX(Escalators!$I$44:$U$49,MATCH(AT$4,Escalators!$C$44:$C$49,0),MATCH(AT$5,Escalators!$I$43:$U$43,0))</f>
        <v>0</v>
      </c>
      <c r="AU16" s="47">
        <f>INDEX(Lab_Mat!$K$6:$N$9,MATCH($H16,Lab_Mat!$J$6:$J$9,0),MATCH($AY$4,Lab_Mat!$K$5:$N$5,0))*$M16*INDEX(Act_Type_Repex_Splits,MATCH($I16,Act_Type_Repex,0),MATCH(AU$4,Mat_Type,0))*INDEX(Escalators!$I$44:$U$49,MATCH(AU$4,Escalators!$C$44:$C$49,0),MATCH(AU$5,Escalators!$I$43:$U$43,0))</f>
        <v>148.68110940951649</v>
      </c>
      <c r="AV16" s="47">
        <f>INDEX(Lab_Mat!$K$6:$N$9,MATCH($H16,Lab_Mat!$J$6:$J$9,0),MATCH($AY$4,Lab_Mat!$K$5:$N$5,0))*$M16*INDEX(Act_Type_Repex_Splits,MATCH($I16,Act_Type_Repex,0),MATCH(AV$4,Mat_Type,0))*INDEX(Escalators!$I$44:$U$49,MATCH(AV$4,Escalators!$C$44:$C$49,0),MATCH(AV$5,Escalators!$I$43:$U$43,0))</f>
        <v>297.36221881903299</v>
      </c>
      <c r="AW16" s="47">
        <f>INDEX(Lab_Mat!$K$6:$N$9,MATCH($H16,Lab_Mat!$J$6:$J$9,0),MATCH($AY$4,Lab_Mat!$K$5:$N$5,0))*$M16*INDEX(Act_Type_Repex_Splits,MATCH($I16,Act_Type_Repex,0),MATCH(AW$4,Mat_Type,0))*INDEX(Escalators!$I$44:$U$49,MATCH(AW$4,Escalators!$C$44:$C$49,0),MATCH(AW$5,Escalators!$I$43:$U$43,0))</f>
        <v>49.560369803172172</v>
      </c>
      <c r="AX16" s="47">
        <f>INDEX(Lab_Mat!$K$6:$N$9,MATCH($H16,Lab_Mat!$J$6:$J$9,0),MATCH($AY$4,Lab_Mat!$K$5:$N$5,0))*$M16*INDEX(Act_Type_Repex_Splits,MATCH($I16,Act_Type_Repex,0),MATCH(AX$4,Mat_Type,0))*INDEX(Escalators!$I$44:$U$49,MATCH(AX$4,Escalators!$C$44:$C$49,0),MATCH(AX$5,Escalators!$I$43:$U$43,0))</f>
        <v>0</v>
      </c>
      <c r="AY16" s="47">
        <f t="shared" ref="AY16:AY20" si="35">SUM(AT16:AX16)</f>
        <v>495.60369803172171</v>
      </c>
      <c r="AZ16" s="47">
        <f>INDEX(Lab_Mat!$K$6:$N$9,MATCH($H16,Lab_Mat!$J$6:$J$9,0),MATCH($BE$4,Lab_Mat!$K$5:$N$5,0))*$N16*INDEX(Act_Type_Repex_Splits,MATCH($I16,Act_Type_Repex,0),MATCH(AZ$4,Mat_Type,0))*INDEX(Escalators!$I$44:$U$49,MATCH(AZ$4,Escalators!$C$44:$C$49,0),MATCH(AZ$5,Escalators!$I$43:$U$43,0))</f>
        <v>0</v>
      </c>
      <c r="BA16" s="47">
        <f>INDEX(Lab_Mat!$K$6:$N$9,MATCH($H16,Lab_Mat!$J$6:$J$9,0),MATCH($BE$4,Lab_Mat!$K$5:$N$5,0))*$N16*INDEX(Act_Type_Repex_Splits,MATCH($I16,Act_Type_Repex,0),MATCH(BA$4,Mat_Type,0))*INDEX(Escalators!$I$44:$U$49,MATCH(BA$4,Escalators!$C$44:$C$49,0),MATCH(BA$5,Escalators!$I$43:$U$43,0))</f>
        <v>63.576746236569825</v>
      </c>
      <c r="BB16" s="47">
        <f>INDEX(Lab_Mat!$K$6:$N$9,MATCH($H16,Lab_Mat!$J$6:$J$9,0),MATCH($BE$4,Lab_Mat!$K$5:$N$5,0))*$N16*INDEX(Act_Type_Repex_Splits,MATCH($I16,Act_Type_Repex,0),MATCH(BB$4,Mat_Type,0))*INDEX(Escalators!$I$44:$U$49,MATCH(BB$4,Escalators!$C$44:$C$49,0),MATCH(BB$5,Escalators!$I$43:$U$43,0))</f>
        <v>127.15349247313965</v>
      </c>
      <c r="BC16" s="47">
        <f>INDEX(Lab_Mat!$K$6:$N$9,MATCH($H16,Lab_Mat!$J$6:$J$9,0),MATCH($BE$4,Lab_Mat!$K$5:$N$5,0))*$N16*INDEX(Act_Type_Repex_Splits,MATCH($I16,Act_Type_Repex,0),MATCH(BC$4,Mat_Type,0))*INDEX(Escalators!$I$44:$U$49,MATCH(BC$4,Escalators!$C$44:$C$49,0),MATCH(BC$5,Escalators!$I$43:$U$43,0))</f>
        <v>21.192248745523276</v>
      </c>
      <c r="BD16" s="47">
        <f>INDEX(Lab_Mat!$K$6:$N$9,MATCH($H16,Lab_Mat!$J$6:$J$9,0),MATCH($BE$4,Lab_Mat!$K$5:$N$5,0))*$N16*INDEX(Act_Type_Repex_Splits,MATCH($I16,Act_Type_Repex,0),MATCH(BD$4,Mat_Type,0))*INDEX(Escalators!$I$44:$U$49,MATCH(BD$4,Escalators!$C$44:$C$49,0),MATCH(BD$5,Escalators!$I$43:$U$43,0))</f>
        <v>0</v>
      </c>
      <c r="BE16" s="47">
        <f t="shared" ref="BE16:BE20" si="36">SUM(AZ16:BD16)</f>
        <v>211.92248745523275</v>
      </c>
      <c r="BF16" s="47">
        <f>INDEX(Lab_Mat!$K$6:$N$9,MATCH($H16,Lab_Mat!$J$6:$J$9,0),MATCH($BK$4,Lab_Mat!$K$5:$N$5,0))*$O16*INDEX(Act_Type_Repex_Splits,MATCH($I16,Act_Type_Repex,0),MATCH(BF$4,Mat_Type,0))*INDEX(Escalators!$I$44:$U$49,MATCH(BF$4,Escalators!$C$44:$C$49,0),MATCH(BF$5,Escalators!$I$43:$U$43,0))</f>
        <v>0</v>
      </c>
      <c r="BG16" s="47">
        <f>INDEX(Lab_Mat!$K$6:$N$9,MATCH($H16,Lab_Mat!$J$6:$J$9,0),MATCH($BK$4,Lab_Mat!$K$5:$N$5,0))*$O16*INDEX(Act_Type_Repex_Splits,MATCH($I16,Act_Type_Repex,0),MATCH(BG$4,Mat_Type,0))*INDEX(Escalators!$I$44:$U$49,MATCH(BG$4,Escalators!$C$44:$C$49,0),MATCH(BG$5,Escalators!$I$43:$U$43,0))</f>
        <v>0</v>
      </c>
      <c r="BH16" s="47">
        <f>INDEX(Lab_Mat!$K$6:$N$9,MATCH($H16,Lab_Mat!$J$6:$J$9,0),MATCH($BK$4,Lab_Mat!$K$5:$N$5,0))*$O16*INDEX(Act_Type_Repex_Splits,MATCH($I16,Act_Type_Repex,0),MATCH(BH$4,Mat_Type,0))*INDEX(Escalators!$I$44:$U$49,MATCH(BH$4,Escalators!$C$44:$C$49,0),MATCH(BH$5,Escalators!$I$43:$U$43,0))</f>
        <v>0</v>
      </c>
      <c r="BI16" s="47">
        <f>INDEX(Lab_Mat!$K$6:$N$9,MATCH($H16,Lab_Mat!$J$6:$J$9,0),MATCH($BK$4,Lab_Mat!$K$5:$N$5,0))*$O16*INDEX(Act_Type_Repex_Splits,MATCH($I16,Act_Type_Repex,0),MATCH(BI$4,Mat_Type,0))*INDEX(Escalators!$I$44:$U$49,MATCH(BI$4,Escalators!$C$44:$C$49,0),MATCH(BI$5,Escalators!$I$43:$U$43,0))</f>
        <v>0</v>
      </c>
      <c r="BJ16" s="47">
        <f>INDEX(Lab_Mat!$K$6:$N$9,MATCH($H16,Lab_Mat!$J$6:$J$9,0),MATCH($BK$4,Lab_Mat!$K$5:$N$5,0))*$O16*INDEX(Act_Type_Repex_Splits,MATCH($I16,Act_Type_Repex,0),MATCH(BJ$4,Mat_Type,0))*INDEX(Escalators!$I$44:$U$49,MATCH(BJ$4,Escalators!$C$44:$C$49,0),MATCH(BJ$5,Escalators!$I$43:$U$43,0))</f>
        <v>0</v>
      </c>
      <c r="BK16" s="47">
        <f t="shared" ref="BK16:BK20" si="37">SUM(BF16:BJ16)</f>
        <v>0</v>
      </c>
      <c r="BL16" s="47">
        <f>INDEX(Lab_Mat!$K$6:$N$9,MATCH($H16,Lab_Mat!$J$6:$J$9,0),MATCH($BQ$4,Lab_Mat!$K$5:$N$5,0))*$P16*INDEX(Act_Type_Repex_Splits,MATCH($I16,Act_Type_Repex,0),MATCH(BL$4,Mat_Type,0))*INDEX(Escalators!$I$44:$U$49,MATCH(BL$4,Escalators!$C$44:$C$49,0),MATCH(BL$5,Escalators!$I$43:$U$43,0))</f>
        <v>0</v>
      </c>
      <c r="BM16" s="47">
        <f>INDEX(Lab_Mat!$K$6:$N$9,MATCH($H16,Lab_Mat!$J$6:$J$9,0),MATCH($BQ$4,Lab_Mat!$K$5:$N$5,0))*$P16*INDEX(Act_Type_Repex_Splits,MATCH($I16,Act_Type_Repex,0),MATCH(BM$4,Mat_Type,0))*INDEX(Escalators!$I$44:$U$49,MATCH(BM$4,Escalators!$C$44:$C$49,0),MATCH(BM$5,Escalators!$I$43:$U$43,0))</f>
        <v>0</v>
      </c>
      <c r="BN16" s="47">
        <f>INDEX(Lab_Mat!$K$6:$N$9,MATCH($H16,Lab_Mat!$J$6:$J$9,0),MATCH($BQ$4,Lab_Mat!$K$5:$N$5,0))*$P16*INDEX(Act_Type_Repex_Splits,MATCH($I16,Act_Type_Repex,0),MATCH(BN$4,Mat_Type,0))*INDEX(Escalators!$I$44:$U$49,MATCH(BN$4,Escalators!$C$44:$C$49,0),MATCH(BN$5,Escalators!$I$43:$U$43,0))</f>
        <v>0</v>
      </c>
      <c r="BO16" s="47">
        <f>INDEX(Lab_Mat!$K$6:$N$9,MATCH($H16,Lab_Mat!$J$6:$J$9,0),MATCH($BQ$4,Lab_Mat!$K$5:$N$5,0))*$P16*INDEX(Act_Type_Repex_Splits,MATCH($I16,Act_Type_Repex,0),MATCH(BO$4,Mat_Type,0))*INDEX(Escalators!$I$44:$U$49,MATCH(BO$4,Escalators!$C$44:$C$49,0),MATCH(BO$5,Escalators!$I$43:$U$43,0))</f>
        <v>0</v>
      </c>
      <c r="BP16" s="47">
        <f>INDEX(Lab_Mat!$K$6:$N$9,MATCH($H16,Lab_Mat!$J$6:$J$9,0),MATCH($BQ$4,Lab_Mat!$K$5:$N$5,0))*$P16*INDEX(Act_Type_Repex_Splits,MATCH($I16,Act_Type_Repex,0),MATCH(BP$4,Mat_Type,0))*INDEX(Escalators!$I$44:$U$49,MATCH(BP$4,Escalators!$C$44:$C$49,0),MATCH(BP$5,Escalators!$I$43:$U$43,0))</f>
        <v>0</v>
      </c>
      <c r="BQ16" s="47">
        <f t="shared" ref="BQ16:BQ20" si="38">SUM(BL16:BP16)</f>
        <v>0</v>
      </c>
      <c r="BR16" s="47">
        <f>INDEX(Lab_Mat!$K$6:$N$9,MATCH($H16,Lab_Mat!$J$6:$J$9,0),MATCH($BW$4,Lab_Mat!$K$5:$N$5,0))*$Q16*INDEX(Act_Type_Repex_Splits,MATCH($I16,Act_Type_Repex,0),MATCH(BR$4,Mat_Type,0))*INDEX(Escalators!$I$44:$U$49,MATCH(BR$4,Escalators!$C$44:$C$49,0),MATCH(BR$5,Escalators!$I$43:$U$43,0))</f>
        <v>0</v>
      </c>
      <c r="BS16" s="47">
        <f>INDEX(Lab_Mat!$K$6:$N$9,MATCH($H16,Lab_Mat!$J$6:$J$9,0),MATCH($BW$4,Lab_Mat!$K$5:$N$5,0))*$Q16*INDEX(Act_Type_Repex_Splits,MATCH($I16,Act_Type_Repex,0),MATCH(BS$4,Mat_Type,0))*INDEX(Escalators!$I$44:$U$49,MATCH(BS$4,Escalators!$C$44:$C$49,0),MATCH(BS$5,Escalators!$I$43:$U$43,0))</f>
        <v>0</v>
      </c>
      <c r="BT16" s="47">
        <f>INDEX(Lab_Mat!$K$6:$N$9,MATCH($H16,Lab_Mat!$J$6:$J$9,0),MATCH($BW$4,Lab_Mat!$K$5:$N$5,0))*$Q16*INDEX(Act_Type_Repex_Splits,MATCH($I16,Act_Type_Repex,0),MATCH(BT$4,Mat_Type,0))*INDEX(Escalators!$I$44:$U$49,MATCH(BT$4,Escalators!$C$44:$C$49,0),MATCH(BT$5,Escalators!$I$43:$U$43,0))</f>
        <v>0</v>
      </c>
      <c r="BU16" s="47">
        <f>INDEX(Lab_Mat!$K$6:$N$9,MATCH($H16,Lab_Mat!$J$6:$J$9,0),MATCH($BW$4,Lab_Mat!$K$5:$N$5,0))*$Q16*INDEX(Act_Type_Repex_Splits,MATCH($I16,Act_Type_Repex,0),MATCH(BU$4,Mat_Type,0))*INDEX(Escalators!$I$44:$U$49,MATCH(BU$4,Escalators!$C$44:$C$49,0),MATCH(BU$5,Escalators!$I$43:$U$43,0))</f>
        <v>0</v>
      </c>
      <c r="BV16" s="47">
        <f>INDEX(Lab_Mat!$K$6:$N$9,MATCH($H16,Lab_Mat!$J$6:$J$9,0),MATCH($BW$4,Lab_Mat!$K$5:$N$5,0))*$Q16*INDEX(Act_Type_Repex_Splits,MATCH($I16,Act_Type_Repex,0),MATCH(BV$4,Mat_Type,0))*INDEX(Escalators!$I$44:$U$49,MATCH(BV$4,Escalators!$C$44:$C$49,0),MATCH(BV$5,Escalators!$I$43:$U$43,0))</f>
        <v>0</v>
      </c>
      <c r="BW16" s="47">
        <f t="shared" ref="BW16:BW20" si="39">SUM(BR16:BV16)</f>
        <v>0</v>
      </c>
      <c r="BY16" s="47">
        <f>INDEX(Lab_Mat!$K$6:$N$9,MATCH($H16,Lab_Mat!$J$6:$J$9,0),MATCH($BY$4,Lab_Mat!$K$5:$N$5,0))*J16*HLOOKUP(BY$5,Escalators!$I$25:$U$30,6,FALSE)</f>
        <v>0</v>
      </c>
      <c r="BZ16" s="47">
        <f>INDEX(Lab_Mat!$K$6:$N$9,MATCH($H16,Lab_Mat!$J$6:$J$9,0),MATCH($BY$4,Lab_Mat!$K$5:$N$5,0))*K16*HLOOKUP(BZ$5,Escalators!$I$25:$U$30,6,FALSE)</f>
        <v>0</v>
      </c>
      <c r="CA16" s="47">
        <f>INDEX(Lab_Mat!$K$6:$N$9,MATCH($H16,Lab_Mat!$J$6:$J$9,0),MATCH($BY$4,Lab_Mat!$K$5:$N$5,0))*L16*HLOOKUP(CA$5,Escalators!$I$25:$U$30,6,FALSE)</f>
        <v>0</v>
      </c>
      <c r="CB16" s="47">
        <f>INDEX(Lab_Mat!$K$6:$N$9,MATCH($H16,Lab_Mat!$J$6:$J$9,0),MATCH($BY$4,Lab_Mat!$K$5:$N$5,0))*M16*HLOOKUP(CB$5,Escalators!$I$25:$U$30,6,FALSE)</f>
        <v>561.78674323086409</v>
      </c>
      <c r="CC16" s="47">
        <f>INDEX(Lab_Mat!$K$6:$N$9,MATCH($H16,Lab_Mat!$J$6:$J$9,0),MATCH($BY$4,Lab_Mat!$K$5:$N$5,0))*N16*HLOOKUP(CC$5,Escalators!$I$25:$U$30,6,FALSE)</f>
        <v>240.22267089144799</v>
      </c>
      <c r="CD16" s="47">
        <f>INDEX(Lab_Mat!$K$6:$N$9,MATCH($H16,Lab_Mat!$J$6:$J$9,0),MATCH($BY$4,Lab_Mat!$K$5:$N$5,0))*O16*HLOOKUP(CD$5,Escalators!$I$25:$U$30,6,FALSE)</f>
        <v>0</v>
      </c>
      <c r="CE16" s="47">
        <f>INDEX(Lab_Mat!$K$6:$N$9,MATCH($H16,Lab_Mat!$J$6:$J$9,0),MATCH($BY$4,Lab_Mat!$K$5:$N$5,0))*P16*HLOOKUP(CE$5,Escalators!$I$25:$U$30,6,FALSE)</f>
        <v>0</v>
      </c>
      <c r="CF16" s="47">
        <f>INDEX(Lab_Mat!$K$6:$N$9,MATCH($H16,Lab_Mat!$J$6:$J$9,0),MATCH($BY$4,Lab_Mat!$K$5:$N$5,0))*Q16*HLOOKUP(CF$5,Escalators!$I$25:$U$30,6,FALSE)</f>
        <v>0</v>
      </c>
      <c r="CH16" s="82">
        <f>INDEX(Lab_Mat!$K$6:$N$9,MATCH($H16,Lab_Mat!$J$6:$J$9,0),MATCH($CH$4,Lab_Mat!$K$5:$N$5,0))*J16</f>
        <v>0</v>
      </c>
      <c r="CI16" s="82">
        <f>INDEX(Lab_Mat!$K$6:$N$9,MATCH($H16,Lab_Mat!$J$6:$J$9,0),MATCH($CH$4,Lab_Mat!$K$5:$N$5,0))*K16</f>
        <v>0</v>
      </c>
      <c r="CJ16" s="82">
        <f>INDEX(Lab_Mat!$K$6:$N$9,MATCH($H16,Lab_Mat!$J$6:$J$9,0),MATCH($CH$4,Lab_Mat!$K$5:$N$5,0))*L16</f>
        <v>0</v>
      </c>
      <c r="CK16" s="82">
        <f>INDEX(Lab_Mat!$K$6:$N$9,MATCH($H16,Lab_Mat!$J$6:$J$9,0),MATCH($CH$4,Lab_Mat!$K$5:$N$5,0))*M16</f>
        <v>192.97802838886938</v>
      </c>
      <c r="CL16" s="82">
        <f>INDEX(Lab_Mat!$K$6:$N$9,MATCH($H16,Lab_Mat!$J$6:$J$9,0),MATCH($CH$4,Lab_Mat!$K$5:$N$5,0))*N16</f>
        <v>82.518318492768984</v>
      </c>
      <c r="CM16" s="82">
        <f>INDEX(Lab_Mat!$K$6:$N$9,MATCH($H16,Lab_Mat!$J$6:$J$9,0),MATCH($CH$4,Lab_Mat!$K$5:$N$5,0))*O16</f>
        <v>0</v>
      </c>
      <c r="CN16" s="82">
        <f>INDEX(Lab_Mat!$K$6:$N$9,MATCH($H16,Lab_Mat!$J$6:$J$9,0),MATCH($CH$4,Lab_Mat!$K$5:$N$5,0))*P16</f>
        <v>0</v>
      </c>
      <c r="CO16" s="82">
        <f>INDEX(Lab_Mat!$K$6:$N$9,MATCH($H16,Lab_Mat!$J$6:$J$9,0),MATCH($CH$4,Lab_Mat!$K$5:$N$5,0))*Q16</f>
        <v>0</v>
      </c>
      <c r="CQ16" s="47">
        <f t="shared" si="25"/>
        <v>0</v>
      </c>
      <c r="CR16" s="47">
        <f t="shared" si="26"/>
        <v>0</v>
      </c>
      <c r="CS16" s="47">
        <f t="shared" si="24"/>
        <v>0</v>
      </c>
      <c r="CT16" s="47">
        <f t="shared" si="27"/>
        <v>1495.7030581032132</v>
      </c>
      <c r="CU16" s="47">
        <f t="shared" si="28"/>
        <v>640.09013690512359</v>
      </c>
      <c r="CV16" s="47">
        <f t="shared" si="29"/>
        <v>0</v>
      </c>
      <c r="CW16" s="47">
        <f t="shared" si="30"/>
        <v>0</v>
      </c>
      <c r="CX16" s="47">
        <f t="shared" si="31"/>
        <v>0</v>
      </c>
      <c r="CY16" s="39"/>
      <c r="CZ16" s="39"/>
      <c r="DA16" s="39"/>
      <c r="DB16" s="39"/>
      <c r="DC16" s="39"/>
    </row>
    <row r="17" spans="2:109">
      <c r="B17" s="6"/>
      <c r="C17" s="6" t="s">
        <v>410</v>
      </c>
      <c r="D17" s="6" t="s">
        <v>688</v>
      </c>
      <c r="E17" s="6" t="s">
        <v>45</v>
      </c>
      <c r="F17" s="6" t="s">
        <v>55</v>
      </c>
      <c r="G17" s="6" t="s">
        <v>150</v>
      </c>
      <c r="H17" s="6" t="s">
        <v>556</v>
      </c>
      <c r="I17" s="6" t="s">
        <v>203</v>
      </c>
      <c r="J17" s="47"/>
      <c r="K17" s="47"/>
      <c r="L17" s="47"/>
      <c r="M17" s="47">
        <v>2231.9021798787708</v>
      </c>
      <c r="N17" s="47">
        <v>954.37193789137359</v>
      </c>
      <c r="O17" s="47">
        <v>0</v>
      </c>
      <c r="P17" s="47"/>
      <c r="Q17" s="47"/>
      <c r="S17" s="47">
        <f>INDEX(Lab_Mat!$K$6:$N$9,MATCH($H17,Lab_Mat!$J$6:$J$9,0),MATCH($S$4,Lab_Mat!$K$5:$N$5,0))*J17*HLOOKUP(S$5,Escalators!$I$25:$U$30,3,FALSE)</f>
        <v>0</v>
      </c>
      <c r="T17" s="47">
        <f>INDEX(Lab_Mat!$K$6:$N$9,MATCH($H17,Lab_Mat!$J$6:$J$9,0),MATCH($S$4,Lab_Mat!$K$5:$N$5,0))*K17*HLOOKUP(T$5,Escalators!$I$25:$U$30,3,FALSE)</f>
        <v>0</v>
      </c>
      <c r="U17" s="47">
        <f>INDEX(Lab_Mat!$K$6:$N$9,MATCH($H17,Lab_Mat!$J$6:$J$9,0),MATCH($S$4,Lab_Mat!$K$5:$N$5,0))*L17*HLOOKUP(U$5,Escalators!$I$25:$U$30,3,FALSE)</f>
        <v>0</v>
      </c>
      <c r="V17" s="47">
        <f>INDEX(Lab_Mat!$K$6:$N$9,MATCH($H17,Lab_Mat!$J$6:$J$9,0),MATCH($S$4,Lab_Mat!$K$5:$N$5,0))*M17*HLOOKUP(V$5,Escalators!$I$25:$U$30,3,FALSE)</f>
        <v>402.7007069912255</v>
      </c>
      <c r="W17" s="47">
        <f>INDEX(Lab_Mat!$K$6:$N$9,MATCH($H17,Lab_Mat!$J$6:$J$9,0),MATCH($S$4,Lab_Mat!$K$5:$N$5,0))*N17*HLOOKUP(W$5,Escalators!$I$25:$U$30,3,FALSE)</f>
        <v>173.05097830719771</v>
      </c>
      <c r="X17" s="47">
        <f>INDEX(Lab_Mat!$K$6:$N$9,MATCH($H17,Lab_Mat!$J$6:$J$9,0),MATCH($S$4,Lab_Mat!$K$5:$N$5,0))*O17*HLOOKUP(X$5,Escalators!$I$25:$U$30,3,FALSE)</f>
        <v>0</v>
      </c>
      <c r="Y17" s="47">
        <f>INDEX(Lab_Mat!$K$6:$N$9,MATCH($H17,Lab_Mat!$J$6:$J$9,0),MATCH($S$4,Lab_Mat!$K$5:$N$5,0))*P17*HLOOKUP(Y$5,Escalators!$I$25:$U$30,3,FALSE)</f>
        <v>0</v>
      </c>
      <c r="Z17" s="47">
        <f>INDEX(Lab_Mat!$K$6:$N$9,MATCH($H17,Lab_Mat!$J$6:$J$9,0),MATCH($S$4,Lab_Mat!$K$5:$N$5,0))*Q17*HLOOKUP(Z$5,Escalators!$I$25:$U$30,3,FALSE)</f>
        <v>0</v>
      </c>
      <c r="AB17" s="47">
        <f>INDEX(Lab_Mat!$K$6:$N$9,MATCH($H17,Lab_Mat!$J$6:$J$9,0),MATCH($AG$4,Lab_Mat!$K$5:$N$5,0))*$J17*INDEX(Act_Type_Repex_Splits,MATCH($I17,Act_Type_Repex,0),MATCH(AB$4,Mat_Type,0))*INDEX(Escalators!$I$44:$Q$49,MATCH(AB$4,Escalators!$C$44:$C$49,0),MATCH(AB$5,Escalators!$I$43:$Q$43,0))</f>
        <v>0</v>
      </c>
      <c r="AC17" s="47">
        <f>INDEX(Lab_Mat!$K$6:$N$9,MATCH($H17,Lab_Mat!$J$6:$J$9,0),MATCH($AG$4,Lab_Mat!$K$5:$N$5,0))*$J17*INDEX(Act_Type_Repex_Splits,MATCH($I17,Act_Type_Repex,0),MATCH(AC$4,Mat_Type,0))*INDEX(Escalators!$I$44:$Q$49,MATCH(AC$4,Escalators!$C$44:$C$49,0),MATCH(AC$5,Escalators!$I$43:$Q$43,0))</f>
        <v>0</v>
      </c>
      <c r="AD17" s="47">
        <f>INDEX(Lab_Mat!$K$6:$N$9,MATCH($H17,Lab_Mat!$J$6:$J$9,0),MATCH($AG$4,Lab_Mat!$K$5:$N$5,0))*$J17*INDEX(Act_Type_Repex_Splits,MATCH($I17,Act_Type_Repex,0),MATCH(AD$4,Mat_Type,0))*INDEX(Escalators!$I$44:$Q$49,MATCH(AD$4,Escalators!$C$44:$C$49,0),MATCH(AD$5,Escalators!$I$43:$Q$43,0))</f>
        <v>0</v>
      </c>
      <c r="AE17" s="47">
        <f>INDEX(Lab_Mat!$K$6:$N$9,MATCH($H17,Lab_Mat!$J$6:$J$9,0),MATCH($AG$4,Lab_Mat!$K$5:$N$5,0))*$J17*INDEX(Act_Type_Repex_Splits,MATCH($I17,Act_Type_Repex,0),MATCH(AE$4,Mat_Type,0))*INDEX(Escalators!$I$44:$Q$49,MATCH(AE$4,Escalators!$C$44:$C$49,0),MATCH(AE$5,Escalators!$I$43:$Q$43,0))</f>
        <v>0</v>
      </c>
      <c r="AF17" s="47">
        <f>INDEX(Lab_Mat!$K$6:$N$9,MATCH($H17,Lab_Mat!$J$6:$J$9,0),MATCH($AG$4,Lab_Mat!$K$5:$N$5,0))*$J17*INDEX(Act_Type_Repex_Splits,MATCH($I17,Act_Type_Repex,0),MATCH(AF$4,Mat_Type,0))*INDEX(Escalators!$I$44:$Q$49,MATCH(AF$4,Escalators!$C$44:$C$49,0),MATCH(AF$5,Escalators!$I$43:$Q$43,0))</f>
        <v>0</v>
      </c>
      <c r="AG17" s="47">
        <f t="shared" si="32"/>
        <v>0</v>
      </c>
      <c r="AH17" s="47">
        <f>INDEX(Lab_Mat!$K$6:$N$9,MATCH($H17,Lab_Mat!$J$6:$J$9,0),MATCH($AY$4,Lab_Mat!$K$5:$N$5,0))*$K17*INDEX(Act_Type_Repex_Splits,MATCH($I17,Act_Type_Repex,0),MATCH(AH$4,Mat_Type,0))*INDEX(Escalators!$I$44:$U$49,MATCH(AH$4,Escalators!$C$44:$C$49,0),MATCH(AH$5,Escalators!$I$43:$U$43,0))</f>
        <v>0</v>
      </c>
      <c r="AI17" s="47">
        <f>INDEX(Lab_Mat!$K$6:$N$9,MATCH($H17,Lab_Mat!$J$6:$J$9,0),MATCH($AY$4,Lab_Mat!$K$5:$N$5,0))*$K17*INDEX(Act_Type_Repex_Splits,MATCH($I17,Act_Type_Repex,0),MATCH(AI$4,Mat_Type,0))*INDEX(Escalators!$I$44:$U$49,MATCH(AI$4,Escalators!$C$44:$C$49,0),MATCH(AI$5,Escalators!$I$43:$U$43,0))</f>
        <v>0</v>
      </c>
      <c r="AJ17" s="47">
        <f>INDEX(Lab_Mat!$K$6:$N$9,MATCH($H17,Lab_Mat!$J$6:$J$9,0),MATCH($AY$4,Lab_Mat!$K$5:$N$5,0))*$K17*INDEX(Act_Type_Repex_Splits,MATCH($I17,Act_Type_Repex,0),MATCH(AJ$4,Mat_Type,0))*INDEX(Escalators!$I$44:$U$49,MATCH(AJ$4,Escalators!$C$44:$C$49,0),MATCH(AJ$5,Escalators!$I$43:$U$43,0))</f>
        <v>0</v>
      </c>
      <c r="AK17" s="47">
        <f>INDEX(Lab_Mat!$K$6:$N$9,MATCH($H17,Lab_Mat!$J$6:$J$9,0),MATCH($AY$4,Lab_Mat!$K$5:$N$5,0))*$K17*INDEX(Act_Type_Repex_Splits,MATCH($I17,Act_Type_Repex,0),MATCH(AK$4,Mat_Type,0))*INDEX(Escalators!$I$44:$U$49,MATCH(AK$4,Escalators!$C$44:$C$49,0),MATCH(AK$5,Escalators!$I$43:$U$43,0))</f>
        <v>0</v>
      </c>
      <c r="AL17" s="47">
        <f>INDEX(Lab_Mat!$K$6:$N$9,MATCH($H17,Lab_Mat!$J$6:$J$9,0),MATCH($AY$4,Lab_Mat!$K$5:$N$5,0))*$K17*INDEX(Act_Type_Repex_Splits,MATCH($I17,Act_Type_Repex,0),MATCH(AL$4,Mat_Type,0))*INDEX(Escalators!$I$44:$U$49,MATCH(AL$4,Escalators!$C$44:$C$49,0),MATCH(AL$5,Escalators!$I$43:$U$43,0))</f>
        <v>0</v>
      </c>
      <c r="AM17" s="47">
        <f t="shared" si="33"/>
        <v>0</v>
      </c>
      <c r="AN17" s="47">
        <f>INDEX(Lab_Mat!$K$6:$N$9,MATCH($H17,Lab_Mat!$J$6:$J$9,0),MATCH($AY$4,Lab_Mat!$K$5:$N$5,0))*$L17*INDEX(Act_Type_Repex_Splits,MATCH($I17,Act_Type_Repex,0),MATCH(AN$4,Mat_Type,0))*INDEX(Escalators!$I$44:$U$49,MATCH(AN$4,Escalators!$C$44:$C$49,0),MATCH(AN$5,Escalators!$I$43:$U$43,0))</f>
        <v>0</v>
      </c>
      <c r="AO17" s="47">
        <f>INDEX(Lab_Mat!$K$6:$N$9,MATCH($H17,Lab_Mat!$J$6:$J$9,0),MATCH($AY$4,Lab_Mat!$K$5:$N$5,0))*$L17*INDEX(Act_Type_Repex_Splits,MATCH($I17,Act_Type_Repex,0),MATCH(AO$4,Mat_Type,0))*INDEX(Escalators!$I$44:$U$49,MATCH(AO$4,Escalators!$C$44:$C$49,0),MATCH(AO$5,Escalators!$I$43:$U$43,0))</f>
        <v>0</v>
      </c>
      <c r="AP17" s="47">
        <f>INDEX(Lab_Mat!$K$6:$N$9,MATCH($H17,Lab_Mat!$J$6:$J$9,0),MATCH($AY$4,Lab_Mat!$K$5:$N$5,0))*$L17*INDEX(Act_Type_Repex_Splits,MATCH($I17,Act_Type_Repex,0),MATCH(AP$4,Mat_Type,0))*INDEX(Escalators!$I$44:$U$49,MATCH(AP$4,Escalators!$C$44:$C$49,0),MATCH(AP$5,Escalators!$I$43:$U$43,0))</f>
        <v>0</v>
      </c>
      <c r="AQ17" s="47">
        <f>INDEX(Lab_Mat!$K$6:$N$9,MATCH($H17,Lab_Mat!$J$6:$J$9,0),MATCH($AY$4,Lab_Mat!$K$5:$N$5,0))*$L17*INDEX(Act_Type_Repex_Splits,MATCH($I17,Act_Type_Repex,0),MATCH(AQ$4,Mat_Type,0))*INDEX(Escalators!$I$44:$U$49,MATCH(AQ$4,Escalators!$C$44:$C$49,0),MATCH(AQ$5,Escalators!$I$43:$U$43,0))</f>
        <v>0</v>
      </c>
      <c r="AR17" s="47">
        <f>INDEX(Lab_Mat!$K$6:$N$9,MATCH($H17,Lab_Mat!$J$6:$J$9,0),MATCH($AY$4,Lab_Mat!$K$5:$N$5,0))*$L17*INDEX(Act_Type_Repex_Splits,MATCH($I17,Act_Type_Repex,0),MATCH(AR$4,Mat_Type,0))*INDEX(Escalators!$I$44:$U$49,MATCH(AR$4,Escalators!$C$44:$C$49,0),MATCH(AR$5,Escalators!$I$43:$U$43,0))</f>
        <v>0</v>
      </c>
      <c r="AS17" s="47">
        <f t="shared" si="34"/>
        <v>0</v>
      </c>
      <c r="AT17" s="47">
        <f>INDEX(Lab_Mat!$K$6:$N$9,MATCH($H17,Lab_Mat!$J$6:$J$9,0),MATCH($AY$4,Lab_Mat!$K$5:$N$5,0))*$M17*INDEX(Act_Type_Repex_Splits,MATCH($I17,Act_Type_Repex,0),MATCH(AT$4,Mat_Type,0))*INDEX(Escalators!$I$44:$U$49,MATCH(AT$4,Escalators!$C$44:$C$49,0),MATCH(AT$5,Escalators!$I$43:$U$43,0))</f>
        <v>0</v>
      </c>
      <c r="AU17" s="47">
        <f>INDEX(Lab_Mat!$K$6:$N$9,MATCH($H17,Lab_Mat!$J$6:$J$9,0),MATCH($AY$4,Lab_Mat!$K$5:$N$5,0))*$M17*INDEX(Act_Type_Repex_Splits,MATCH($I17,Act_Type_Repex,0),MATCH(AU$4,Mat_Type,0))*INDEX(Escalators!$I$44:$U$49,MATCH(AU$4,Escalators!$C$44:$C$49,0),MATCH(AU$5,Escalators!$I$43:$U$43,0))</f>
        <v>0</v>
      </c>
      <c r="AV17" s="47">
        <f>INDEX(Lab_Mat!$K$6:$N$9,MATCH($H17,Lab_Mat!$J$6:$J$9,0),MATCH($AY$4,Lab_Mat!$K$5:$N$5,0))*$M17*INDEX(Act_Type_Repex_Splits,MATCH($I17,Act_Type_Repex,0),MATCH(AV$4,Mat_Type,0))*INDEX(Escalators!$I$44:$U$49,MATCH(AV$4,Escalators!$C$44:$C$49,0),MATCH(AV$5,Escalators!$I$43:$U$43,0))</f>
        <v>145.53154017762901</v>
      </c>
      <c r="AW17" s="47">
        <f>INDEX(Lab_Mat!$K$6:$N$9,MATCH($H17,Lab_Mat!$J$6:$J$9,0),MATCH($AY$4,Lab_Mat!$K$5:$N$5,0))*$M17*INDEX(Act_Type_Repex_Splits,MATCH($I17,Act_Type_Repex,0),MATCH(AW$4,Mat_Type,0))*INDEX(Escalators!$I$44:$U$49,MATCH(AW$4,Escalators!$C$44:$C$49,0),MATCH(AW$5,Escalators!$I$43:$U$43,0))</f>
        <v>0</v>
      </c>
      <c r="AX17" s="47">
        <f>INDEX(Lab_Mat!$K$6:$N$9,MATCH($H17,Lab_Mat!$J$6:$J$9,0),MATCH($AY$4,Lab_Mat!$K$5:$N$5,0))*$M17*INDEX(Act_Type_Repex_Splits,MATCH($I17,Act_Type_Repex,0),MATCH(AX$4,Mat_Type,0))*INDEX(Escalators!$I$44:$U$49,MATCH(AX$4,Escalators!$C$44:$C$49,0),MATCH(AX$5,Escalators!$I$43:$U$43,0))</f>
        <v>145.53154017762901</v>
      </c>
      <c r="AY17" s="47">
        <f t="shared" si="35"/>
        <v>291.06308035525802</v>
      </c>
      <c r="AZ17" s="47">
        <f>INDEX(Lab_Mat!$K$6:$N$9,MATCH($H17,Lab_Mat!$J$6:$J$9,0),MATCH($BE$4,Lab_Mat!$K$5:$N$5,0))*$N17*INDEX(Act_Type_Repex_Splits,MATCH($I17,Act_Type_Repex,0),MATCH(AZ$4,Mat_Type,0))*INDEX(Escalators!$I$44:$U$49,MATCH(AZ$4,Escalators!$C$44:$C$49,0),MATCH(AZ$5,Escalators!$I$43:$U$43,0))</f>
        <v>0</v>
      </c>
      <c r="BA17" s="47">
        <f>INDEX(Lab_Mat!$K$6:$N$9,MATCH($H17,Lab_Mat!$J$6:$J$9,0),MATCH($BE$4,Lab_Mat!$K$5:$N$5,0))*$N17*INDEX(Act_Type_Repex_Splits,MATCH($I17,Act_Type_Repex,0),MATCH(BA$4,Mat_Type,0))*INDEX(Escalators!$I$44:$U$49,MATCH(BA$4,Escalators!$C$44:$C$49,0),MATCH(BA$5,Escalators!$I$43:$U$43,0))</f>
        <v>0</v>
      </c>
      <c r="BB17" s="47">
        <f>INDEX(Lab_Mat!$K$6:$N$9,MATCH($H17,Lab_Mat!$J$6:$J$9,0),MATCH($BE$4,Lab_Mat!$K$5:$N$5,0))*$N17*INDEX(Act_Type_Repex_Splits,MATCH($I17,Act_Type_Repex,0),MATCH(BB$4,Mat_Type,0))*INDEX(Escalators!$I$44:$U$49,MATCH(BB$4,Escalators!$C$44:$C$49,0),MATCH(BB$5,Escalators!$I$43:$U$43,0))</f>
        <v>62.229975523024123</v>
      </c>
      <c r="BC17" s="47">
        <f>INDEX(Lab_Mat!$K$6:$N$9,MATCH($H17,Lab_Mat!$J$6:$J$9,0),MATCH($BE$4,Lab_Mat!$K$5:$N$5,0))*$N17*INDEX(Act_Type_Repex_Splits,MATCH($I17,Act_Type_Repex,0),MATCH(BC$4,Mat_Type,0))*INDEX(Escalators!$I$44:$U$49,MATCH(BC$4,Escalators!$C$44:$C$49,0),MATCH(BC$5,Escalators!$I$43:$U$43,0))</f>
        <v>0</v>
      </c>
      <c r="BD17" s="47">
        <f>INDEX(Lab_Mat!$K$6:$N$9,MATCH($H17,Lab_Mat!$J$6:$J$9,0),MATCH($BE$4,Lab_Mat!$K$5:$N$5,0))*$N17*INDEX(Act_Type_Repex_Splits,MATCH($I17,Act_Type_Repex,0),MATCH(BD$4,Mat_Type,0))*INDEX(Escalators!$I$44:$U$49,MATCH(BD$4,Escalators!$C$44:$C$49,0),MATCH(BD$5,Escalators!$I$43:$U$43,0))</f>
        <v>62.229975523024123</v>
      </c>
      <c r="BE17" s="47">
        <f t="shared" si="36"/>
        <v>124.45995104604825</v>
      </c>
      <c r="BF17" s="47">
        <f>INDEX(Lab_Mat!$K$6:$N$9,MATCH($H17,Lab_Mat!$J$6:$J$9,0),MATCH($BK$4,Lab_Mat!$K$5:$N$5,0))*$O17*INDEX(Act_Type_Repex_Splits,MATCH($I17,Act_Type_Repex,0),MATCH(BF$4,Mat_Type,0))*INDEX(Escalators!$I$44:$U$49,MATCH(BF$4,Escalators!$C$44:$C$49,0),MATCH(BF$5,Escalators!$I$43:$U$43,0))</f>
        <v>0</v>
      </c>
      <c r="BG17" s="47">
        <f>INDEX(Lab_Mat!$K$6:$N$9,MATCH($H17,Lab_Mat!$J$6:$J$9,0),MATCH($BK$4,Lab_Mat!$K$5:$N$5,0))*$O17*INDEX(Act_Type_Repex_Splits,MATCH($I17,Act_Type_Repex,0),MATCH(BG$4,Mat_Type,0))*INDEX(Escalators!$I$44:$U$49,MATCH(BG$4,Escalators!$C$44:$C$49,0),MATCH(BG$5,Escalators!$I$43:$U$43,0))</f>
        <v>0</v>
      </c>
      <c r="BH17" s="47">
        <f>INDEX(Lab_Mat!$K$6:$N$9,MATCH($H17,Lab_Mat!$J$6:$J$9,0),MATCH($BK$4,Lab_Mat!$K$5:$N$5,0))*$O17*INDEX(Act_Type_Repex_Splits,MATCH($I17,Act_Type_Repex,0),MATCH(BH$4,Mat_Type,0))*INDEX(Escalators!$I$44:$U$49,MATCH(BH$4,Escalators!$C$44:$C$49,0),MATCH(BH$5,Escalators!$I$43:$U$43,0))</f>
        <v>0</v>
      </c>
      <c r="BI17" s="47">
        <f>INDEX(Lab_Mat!$K$6:$N$9,MATCH($H17,Lab_Mat!$J$6:$J$9,0),MATCH($BK$4,Lab_Mat!$K$5:$N$5,0))*$O17*INDEX(Act_Type_Repex_Splits,MATCH($I17,Act_Type_Repex,0),MATCH(BI$4,Mat_Type,0))*INDEX(Escalators!$I$44:$U$49,MATCH(BI$4,Escalators!$C$44:$C$49,0),MATCH(BI$5,Escalators!$I$43:$U$43,0))</f>
        <v>0</v>
      </c>
      <c r="BJ17" s="47">
        <f>INDEX(Lab_Mat!$K$6:$N$9,MATCH($H17,Lab_Mat!$J$6:$J$9,0),MATCH($BK$4,Lab_Mat!$K$5:$N$5,0))*$O17*INDEX(Act_Type_Repex_Splits,MATCH($I17,Act_Type_Repex,0),MATCH(BJ$4,Mat_Type,0))*INDEX(Escalators!$I$44:$U$49,MATCH(BJ$4,Escalators!$C$44:$C$49,0),MATCH(BJ$5,Escalators!$I$43:$U$43,0))</f>
        <v>0</v>
      </c>
      <c r="BK17" s="47">
        <f t="shared" si="37"/>
        <v>0</v>
      </c>
      <c r="BL17" s="47">
        <f>INDEX(Lab_Mat!$K$6:$N$9,MATCH($H17,Lab_Mat!$J$6:$J$9,0),MATCH($BQ$4,Lab_Mat!$K$5:$N$5,0))*$P17*INDEX(Act_Type_Repex_Splits,MATCH($I17,Act_Type_Repex,0),MATCH(BL$4,Mat_Type,0))*INDEX(Escalators!$I$44:$U$49,MATCH(BL$4,Escalators!$C$44:$C$49,0),MATCH(BL$5,Escalators!$I$43:$U$43,0))</f>
        <v>0</v>
      </c>
      <c r="BM17" s="47">
        <f>INDEX(Lab_Mat!$K$6:$N$9,MATCH($H17,Lab_Mat!$J$6:$J$9,0),MATCH($BQ$4,Lab_Mat!$K$5:$N$5,0))*$P17*INDEX(Act_Type_Repex_Splits,MATCH($I17,Act_Type_Repex,0),MATCH(BM$4,Mat_Type,0))*INDEX(Escalators!$I$44:$U$49,MATCH(BM$4,Escalators!$C$44:$C$49,0),MATCH(BM$5,Escalators!$I$43:$U$43,0))</f>
        <v>0</v>
      </c>
      <c r="BN17" s="47">
        <f>INDEX(Lab_Mat!$K$6:$N$9,MATCH($H17,Lab_Mat!$J$6:$J$9,0),MATCH($BQ$4,Lab_Mat!$K$5:$N$5,0))*$P17*INDEX(Act_Type_Repex_Splits,MATCH($I17,Act_Type_Repex,0),MATCH(BN$4,Mat_Type,0))*INDEX(Escalators!$I$44:$U$49,MATCH(BN$4,Escalators!$C$44:$C$49,0),MATCH(BN$5,Escalators!$I$43:$U$43,0))</f>
        <v>0</v>
      </c>
      <c r="BO17" s="47">
        <f>INDEX(Lab_Mat!$K$6:$N$9,MATCH($H17,Lab_Mat!$J$6:$J$9,0),MATCH($BQ$4,Lab_Mat!$K$5:$N$5,0))*$P17*INDEX(Act_Type_Repex_Splits,MATCH($I17,Act_Type_Repex,0),MATCH(BO$4,Mat_Type,0))*INDEX(Escalators!$I$44:$U$49,MATCH(BO$4,Escalators!$C$44:$C$49,0),MATCH(BO$5,Escalators!$I$43:$U$43,0))</f>
        <v>0</v>
      </c>
      <c r="BP17" s="47">
        <f>INDEX(Lab_Mat!$K$6:$N$9,MATCH($H17,Lab_Mat!$J$6:$J$9,0),MATCH($BQ$4,Lab_Mat!$K$5:$N$5,0))*$P17*INDEX(Act_Type_Repex_Splits,MATCH($I17,Act_Type_Repex,0),MATCH(BP$4,Mat_Type,0))*INDEX(Escalators!$I$44:$U$49,MATCH(BP$4,Escalators!$C$44:$C$49,0),MATCH(BP$5,Escalators!$I$43:$U$43,0))</f>
        <v>0</v>
      </c>
      <c r="BQ17" s="47">
        <f t="shared" si="38"/>
        <v>0</v>
      </c>
      <c r="BR17" s="47">
        <f>INDEX(Lab_Mat!$K$6:$N$9,MATCH($H17,Lab_Mat!$J$6:$J$9,0),MATCH($BW$4,Lab_Mat!$K$5:$N$5,0))*$Q17*INDEX(Act_Type_Repex_Splits,MATCH($I17,Act_Type_Repex,0),MATCH(BR$4,Mat_Type,0))*INDEX(Escalators!$I$44:$U$49,MATCH(BR$4,Escalators!$C$44:$C$49,0),MATCH(BR$5,Escalators!$I$43:$U$43,0))</f>
        <v>0</v>
      </c>
      <c r="BS17" s="47">
        <f>INDEX(Lab_Mat!$K$6:$N$9,MATCH($H17,Lab_Mat!$J$6:$J$9,0),MATCH($BW$4,Lab_Mat!$K$5:$N$5,0))*$Q17*INDEX(Act_Type_Repex_Splits,MATCH($I17,Act_Type_Repex,0),MATCH(BS$4,Mat_Type,0))*INDEX(Escalators!$I$44:$U$49,MATCH(BS$4,Escalators!$C$44:$C$49,0),MATCH(BS$5,Escalators!$I$43:$U$43,0))</f>
        <v>0</v>
      </c>
      <c r="BT17" s="47">
        <f>INDEX(Lab_Mat!$K$6:$N$9,MATCH($H17,Lab_Mat!$J$6:$J$9,0),MATCH($BW$4,Lab_Mat!$K$5:$N$5,0))*$Q17*INDEX(Act_Type_Repex_Splits,MATCH($I17,Act_Type_Repex,0),MATCH(BT$4,Mat_Type,0))*INDEX(Escalators!$I$44:$U$49,MATCH(BT$4,Escalators!$C$44:$C$49,0),MATCH(BT$5,Escalators!$I$43:$U$43,0))</f>
        <v>0</v>
      </c>
      <c r="BU17" s="47">
        <f>INDEX(Lab_Mat!$K$6:$N$9,MATCH($H17,Lab_Mat!$J$6:$J$9,0),MATCH($BW$4,Lab_Mat!$K$5:$N$5,0))*$Q17*INDEX(Act_Type_Repex_Splits,MATCH($I17,Act_Type_Repex,0),MATCH(BU$4,Mat_Type,0))*INDEX(Escalators!$I$44:$U$49,MATCH(BU$4,Escalators!$C$44:$C$49,0),MATCH(BU$5,Escalators!$I$43:$U$43,0))</f>
        <v>0</v>
      </c>
      <c r="BV17" s="47">
        <f>INDEX(Lab_Mat!$K$6:$N$9,MATCH($H17,Lab_Mat!$J$6:$J$9,0),MATCH($BW$4,Lab_Mat!$K$5:$N$5,0))*$Q17*INDEX(Act_Type_Repex_Splits,MATCH($I17,Act_Type_Repex,0),MATCH(BV$4,Mat_Type,0))*INDEX(Escalators!$I$44:$U$49,MATCH(BV$4,Escalators!$C$44:$C$49,0),MATCH(BV$5,Escalators!$I$43:$U$43,0))</f>
        <v>0</v>
      </c>
      <c r="BW17" s="47">
        <f t="shared" si="39"/>
        <v>0</v>
      </c>
      <c r="BY17" s="47">
        <f>INDEX(Lab_Mat!$K$6:$N$9,MATCH($H17,Lab_Mat!$J$6:$J$9,0),MATCH($BY$4,Lab_Mat!$K$5:$N$5,0))*J17*HLOOKUP(BY$5,Escalators!$I$25:$U$30,6,FALSE)</f>
        <v>0</v>
      </c>
      <c r="BZ17" s="47">
        <f>INDEX(Lab_Mat!$K$6:$N$9,MATCH($H17,Lab_Mat!$J$6:$J$9,0),MATCH($BY$4,Lab_Mat!$K$5:$N$5,0))*K17*HLOOKUP(BZ$5,Escalators!$I$25:$U$30,6,FALSE)</f>
        <v>0</v>
      </c>
      <c r="CA17" s="47">
        <f>INDEX(Lab_Mat!$K$6:$N$9,MATCH($H17,Lab_Mat!$J$6:$J$9,0),MATCH($BY$4,Lab_Mat!$K$5:$N$5,0))*L17*HLOOKUP(CA$5,Escalators!$I$25:$U$30,6,FALSE)</f>
        <v>0</v>
      </c>
      <c r="CB17" s="47">
        <f>INDEX(Lab_Mat!$K$6:$N$9,MATCH($H17,Lab_Mat!$J$6:$J$9,0),MATCH($BY$4,Lab_Mat!$K$5:$N$5,0))*M17*HLOOKUP(CB$5,Escalators!$I$25:$U$30,6,FALSE)</f>
        <v>1159.9872272962732</v>
      </c>
      <c r="CC17" s="47">
        <f>INDEX(Lab_Mat!$K$6:$N$9,MATCH($H17,Lab_Mat!$J$6:$J$9,0),MATCH($BY$4,Lab_Mat!$K$5:$N$5,0))*N17*HLOOKUP(CC$5,Escalators!$I$25:$U$30,6,FALSE)</f>
        <v>496.01602974558551</v>
      </c>
      <c r="CD17" s="47">
        <f>INDEX(Lab_Mat!$K$6:$N$9,MATCH($H17,Lab_Mat!$J$6:$J$9,0),MATCH($BY$4,Lab_Mat!$K$5:$N$5,0))*O17*HLOOKUP(CD$5,Escalators!$I$25:$U$30,6,FALSE)</f>
        <v>0</v>
      </c>
      <c r="CE17" s="47">
        <f>INDEX(Lab_Mat!$K$6:$N$9,MATCH($H17,Lab_Mat!$J$6:$J$9,0),MATCH($BY$4,Lab_Mat!$K$5:$N$5,0))*P17*HLOOKUP(CE$5,Escalators!$I$25:$U$30,6,FALSE)</f>
        <v>0</v>
      </c>
      <c r="CF17" s="47">
        <f>INDEX(Lab_Mat!$K$6:$N$9,MATCH($H17,Lab_Mat!$J$6:$J$9,0),MATCH($BY$4,Lab_Mat!$K$5:$N$5,0))*Q17*HLOOKUP(CF$5,Escalators!$I$25:$U$30,6,FALSE)</f>
        <v>0</v>
      </c>
      <c r="CH17" s="82">
        <f>INDEX(Lab_Mat!$K$6:$N$9,MATCH($H17,Lab_Mat!$J$6:$J$9,0),MATCH($CH$4,Lab_Mat!$K$5:$N$5,0))*J17</f>
        <v>0</v>
      </c>
      <c r="CI17" s="82">
        <f>INDEX(Lab_Mat!$K$6:$N$9,MATCH($H17,Lab_Mat!$J$6:$J$9,0),MATCH($CH$4,Lab_Mat!$K$5:$N$5,0))*K17</f>
        <v>0</v>
      </c>
      <c r="CJ17" s="82">
        <f>INDEX(Lab_Mat!$K$6:$N$9,MATCH($H17,Lab_Mat!$J$6:$J$9,0),MATCH($CH$4,Lab_Mat!$K$5:$N$5,0))*L17</f>
        <v>0</v>
      </c>
      <c r="CK17" s="82">
        <f>INDEX(Lab_Mat!$K$6:$N$9,MATCH($H17,Lab_Mat!$J$6:$J$9,0),MATCH($CH$4,Lab_Mat!$K$5:$N$5,0))*M17</f>
        <v>390.90227567618814</v>
      </c>
      <c r="CL17" s="82">
        <f>INDEX(Lab_Mat!$K$6:$N$9,MATCH($H17,Lab_Mat!$J$6:$J$9,0),MATCH($CH$4,Lab_Mat!$K$5:$N$5,0))*N17</f>
        <v>167.15166360180501</v>
      </c>
      <c r="CM17" s="82">
        <f>INDEX(Lab_Mat!$K$6:$N$9,MATCH($H17,Lab_Mat!$J$6:$J$9,0),MATCH($CH$4,Lab_Mat!$K$5:$N$5,0))*O17</f>
        <v>0</v>
      </c>
      <c r="CN17" s="82">
        <f>INDEX(Lab_Mat!$K$6:$N$9,MATCH($H17,Lab_Mat!$J$6:$J$9,0),MATCH($CH$4,Lab_Mat!$K$5:$N$5,0))*P17</f>
        <v>0</v>
      </c>
      <c r="CO17" s="82">
        <f>INDEX(Lab_Mat!$K$6:$N$9,MATCH($H17,Lab_Mat!$J$6:$J$9,0),MATCH($CH$4,Lab_Mat!$K$5:$N$5,0))*Q17</f>
        <v>0</v>
      </c>
      <c r="CQ17" s="47">
        <f t="shared" si="25"/>
        <v>0</v>
      </c>
      <c r="CR17" s="47">
        <f t="shared" si="26"/>
        <v>0</v>
      </c>
      <c r="CS17" s="47">
        <f t="shared" si="24"/>
        <v>0</v>
      </c>
      <c r="CT17" s="47">
        <f t="shared" si="27"/>
        <v>2244.653290318945</v>
      </c>
      <c r="CU17" s="47">
        <f t="shared" si="28"/>
        <v>960.67862270063642</v>
      </c>
      <c r="CV17" s="47">
        <f t="shared" si="29"/>
        <v>0</v>
      </c>
      <c r="CW17" s="47">
        <f t="shared" si="30"/>
        <v>0</v>
      </c>
      <c r="CX17" s="47">
        <f t="shared" si="31"/>
        <v>0</v>
      </c>
      <c r="CY17" s="39"/>
      <c r="CZ17" s="39"/>
      <c r="DA17" s="39"/>
      <c r="DB17" s="39"/>
      <c r="DC17" s="39"/>
    </row>
    <row r="18" spans="2:109">
      <c r="B18" s="6"/>
      <c r="C18" s="6" t="s">
        <v>411</v>
      </c>
      <c r="D18" s="6" t="s">
        <v>688</v>
      </c>
      <c r="E18" s="6" t="s">
        <v>48</v>
      </c>
      <c r="F18" s="6" t="s">
        <v>55</v>
      </c>
      <c r="G18" s="6" t="s">
        <v>10</v>
      </c>
      <c r="H18" s="6" t="s">
        <v>741</v>
      </c>
      <c r="I18" s="6" t="s">
        <v>204</v>
      </c>
      <c r="J18" s="47"/>
      <c r="K18" s="47"/>
      <c r="L18" s="47"/>
      <c r="M18" s="47">
        <v>1695.6714179410474</v>
      </c>
      <c r="N18" s="47">
        <v>725.07712558231879</v>
      </c>
      <c r="O18" s="47">
        <v>0</v>
      </c>
      <c r="P18" s="47"/>
      <c r="Q18" s="47"/>
      <c r="S18" s="47">
        <f>INDEX(Lab_Mat!$K$6:$N$9,MATCH($H18,Lab_Mat!$J$6:$J$9,0),MATCH($S$4,Lab_Mat!$K$5:$N$5,0))*J18*HLOOKUP(S$5,Escalators!$I$25:$U$30,3,FALSE)</f>
        <v>0</v>
      </c>
      <c r="T18" s="47">
        <f>INDEX(Lab_Mat!$K$6:$N$9,MATCH($H18,Lab_Mat!$J$6:$J$9,0),MATCH($S$4,Lab_Mat!$K$5:$N$5,0))*K18*HLOOKUP(T$5,Escalators!$I$25:$U$30,3,FALSE)</f>
        <v>0</v>
      </c>
      <c r="U18" s="47">
        <f>INDEX(Lab_Mat!$K$6:$N$9,MATCH($H18,Lab_Mat!$J$6:$J$9,0),MATCH($S$4,Lab_Mat!$K$5:$N$5,0))*L18*HLOOKUP(U$5,Escalators!$I$25:$U$30,3,FALSE)</f>
        <v>0</v>
      </c>
      <c r="V18" s="47">
        <f>INDEX(Lab_Mat!$K$6:$N$9,MATCH($H18,Lab_Mat!$J$6:$J$9,0),MATCH($S$4,Lab_Mat!$K$5:$N$5,0))*M18*HLOOKUP(V$5,Escalators!$I$25:$U$30,3,FALSE)</f>
        <v>322.03683937832443</v>
      </c>
      <c r="W18" s="47">
        <f>INDEX(Lab_Mat!$K$6:$N$9,MATCH($H18,Lab_Mat!$J$6:$J$9,0),MATCH($S$4,Lab_Mat!$K$5:$N$5,0))*N18*HLOOKUP(W$5,Escalators!$I$25:$U$30,3,FALSE)</f>
        <v>138.38761427004698</v>
      </c>
      <c r="X18" s="47">
        <f>INDEX(Lab_Mat!$K$6:$N$9,MATCH($H18,Lab_Mat!$J$6:$J$9,0),MATCH($S$4,Lab_Mat!$K$5:$N$5,0))*O18*HLOOKUP(X$5,Escalators!$I$25:$U$30,3,FALSE)</f>
        <v>0</v>
      </c>
      <c r="Y18" s="47">
        <f>INDEX(Lab_Mat!$K$6:$N$9,MATCH($H18,Lab_Mat!$J$6:$J$9,0),MATCH($S$4,Lab_Mat!$K$5:$N$5,0))*P18*HLOOKUP(Y$5,Escalators!$I$25:$U$30,3,FALSE)</f>
        <v>0</v>
      </c>
      <c r="Z18" s="47">
        <f>INDEX(Lab_Mat!$K$6:$N$9,MATCH($H18,Lab_Mat!$J$6:$J$9,0),MATCH($S$4,Lab_Mat!$K$5:$N$5,0))*Q18*HLOOKUP(Z$5,Escalators!$I$25:$U$30,3,FALSE)</f>
        <v>0</v>
      </c>
      <c r="AB18" s="47">
        <f>INDEX(Lab_Mat!$K$6:$N$9,MATCH($H18,Lab_Mat!$J$6:$J$9,0),MATCH($AG$4,Lab_Mat!$K$5:$N$5,0))*$J18*INDEX(Act_Type_Repex_Splits,MATCH($I18,Act_Type_Repex,0),MATCH(AB$4,Mat_Type,0))*INDEX(Escalators!$I$44:$Q$49,MATCH(AB$4,Escalators!$C$44:$C$49,0),MATCH(AB$5,Escalators!$I$43:$Q$43,0))</f>
        <v>0</v>
      </c>
      <c r="AC18" s="47">
        <f>INDEX(Lab_Mat!$K$6:$N$9,MATCH($H18,Lab_Mat!$J$6:$J$9,0),MATCH($AG$4,Lab_Mat!$K$5:$N$5,0))*$J18*INDEX(Act_Type_Repex_Splits,MATCH($I18,Act_Type_Repex,0),MATCH(AC$4,Mat_Type,0))*INDEX(Escalators!$I$44:$Q$49,MATCH(AC$4,Escalators!$C$44:$C$49,0),MATCH(AC$5,Escalators!$I$43:$Q$43,0))</f>
        <v>0</v>
      </c>
      <c r="AD18" s="47">
        <f>INDEX(Lab_Mat!$K$6:$N$9,MATCH($H18,Lab_Mat!$J$6:$J$9,0),MATCH($AG$4,Lab_Mat!$K$5:$N$5,0))*$J18*INDEX(Act_Type_Repex_Splits,MATCH($I18,Act_Type_Repex,0),MATCH(AD$4,Mat_Type,0))*INDEX(Escalators!$I$44:$Q$49,MATCH(AD$4,Escalators!$C$44:$C$49,0),MATCH(AD$5,Escalators!$I$43:$Q$43,0))</f>
        <v>0</v>
      </c>
      <c r="AE18" s="47">
        <f>INDEX(Lab_Mat!$K$6:$N$9,MATCH($H18,Lab_Mat!$J$6:$J$9,0),MATCH($AG$4,Lab_Mat!$K$5:$N$5,0))*$J18*INDEX(Act_Type_Repex_Splits,MATCH($I18,Act_Type_Repex,0),MATCH(AE$4,Mat_Type,0))*INDEX(Escalators!$I$44:$Q$49,MATCH(AE$4,Escalators!$C$44:$C$49,0),MATCH(AE$5,Escalators!$I$43:$Q$43,0))</f>
        <v>0</v>
      </c>
      <c r="AF18" s="47">
        <f>INDEX(Lab_Mat!$K$6:$N$9,MATCH($H18,Lab_Mat!$J$6:$J$9,0),MATCH($AG$4,Lab_Mat!$K$5:$N$5,0))*$J18*INDEX(Act_Type_Repex_Splits,MATCH($I18,Act_Type_Repex,0),MATCH(AF$4,Mat_Type,0))*INDEX(Escalators!$I$44:$Q$49,MATCH(AF$4,Escalators!$C$44:$C$49,0),MATCH(AF$5,Escalators!$I$43:$Q$43,0))</f>
        <v>0</v>
      </c>
      <c r="AG18" s="47">
        <f t="shared" si="32"/>
        <v>0</v>
      </c>
      <c r="AH18" s="47">
        <f>INDEX(Lab_Mat!$K$6:$N$9,MATCH($H18,Lab_Mat!$J$6:$J$9,0),MATCH($AY$4,Lab_Mat!$K$5:$N$5,0))*$K18*INDEX(Act_Type_Repex_Splits,MATCH($I18,Act_Type_Repex,0),MATCH(AH$4,Mat_Type,0))*INDEX(Escalators!$I$44:$U$49,MATCH(AH$4,Escalators!$C$44:$C$49,0),MATCH(AH$5,Escalators!$I$43:$U$43,0))</f>
        <v>0</v>
      </c>
      <c r="AI18" s="47">
        <f>INDEX(Lab_Mat!$K$6:$N$9,MATCH($H18,Lab_Mat!$J$6:$J$9,0),MATCH($AY$4,Lab_Mat!$K$5:$N$5,0))*$K18*INDEX(Act_Type_Repex_Splits,MATCH($I18,Act_Type_Repex,0),MATCH(AI$4,Mat_Type,0))*INDEX(Escalators!$I$44:$U$49,MATCH(AI$4,Escalators!$C$44:$C$49,0),MATCH(AI$5,Escalators!$I$43:$U$43,0))</f>
        <v>0</v>
      </c>
      <c r="AJ18" s="47">
        <f>INDEX(Lab_Mat!$K$6:$N$9,MATCH($H18,Lab_Mat!$J$6:$J$9,0),MATCH($AY$4,Lab_Mat!$K$5:$N$5,0))*$K18*INDEX(Act_Type_Repex_Splits,MATCH($I18,Act_Type_Repex,0),MATCH(AJ$4,Mat_Type,0))*INDEX(Escalators!$I$44:$U$49,MATCH(AJ$4,Escalators!$C$44:$C$49,0),MATCH(AJ$5,Escalators!$I$43:$U$43,0))</f>
        <v>0</v>
      </c>
      <c r="AK18" s="47">
        <f>INDEX(Lab_Mat!$K$6:$N$9,MATCH($H18,Lab_Mat!$J$6:$J$9,0),MATCH($AY$4,Lab_Mat!$K$5:$N$5,0))*$K18*INDEX(Act_Type_Repex_Splits,MATCH($I18,Act_Type_Repex,0),MATCH(AK$4,Mat_Type,0))*INDEX(Escalators!$I$44:$U$49,MATCH(AK$4,Escalators!$C$44:$C$49,0),MATCH(AK$5,Escalators!$I$43:$U$43,0))</f>
        <v>0</v>
      </c>
      <c r="AL18" s="47">
        <f>INDEX(Lab_Mat!$K$6:$N$9,MATCH($H18,Lab_Mat!$J$6:$J$9,0),MATCH($AY$4,Lab_Mat!$K$5:$N$5,0))*$K18*INDEX(Act_Type_Repex_Splits,MATCH($I18,Act_Type_Repex,0),MATCH(AL$4,Mat_Type,0))*INDEX(Escalators!$I$44:$U$49,MATCH(AL$4,Escalators!$C$44:$C$49,0),MATCH(AL$5,Escalators!$I$43:$U$43,0))</f>
        <v>0</v>
      </c>
      <c r="AM18" s="47">
        <f t="shared" si="33"/>
        <v>0</v>
      </c>
      <c r="AN18" s="47">
        <f>INDEX(Lab_Mat!$K$6:$N$9,MATCH($H18,Lab_Mat!$J$6:$J$9,0),MATCH($AY$4,Lab_Mat!$K$5:$N$5,0))*$L18*INDEX(Act_Type_Repex_Splits,MATCH($I18,Act_Type_Repex,0),MATCH(AN$4,Mat_Type,0))*INDEX(Escalators!$I$44:$U$49,MATCH(AN$4,Escalators!$C$44:$C$49,0),MATCH(AN$5,Escalators!$I$43:$U$43,0))</f>
        <v>0</v>
      </c>
      <c r="AO18" s="47">
        <f>INDEX(Lab_Mat!$K$6:$N$9,MATCH($H18,Lab_Mat!$J$6:$J$9,0),MATCH($AY$4,Lab_Mat!$K$5:$N$5,0))*$L18*INDEX(Act_Type_Repex_Splits,MATCH($I18,Act_Type_Repex,0),MATCH(AO$4,Mat_Type,0))*INDEX(Escalators!$I$44:$U$49,MATCH(AO$4,Escalators!$C$44:$C$49,0),MATCH(AO$5,Escalators!$I$43:$U$43,0))</f>
        <v>0</v>
      </c>
      <c r="AP18" s="47">
        <f>INDEX(Lab_Mat!$K$6:$N$9,MATCH($H18,Lab_Mat!$J$6:$J$9,0),MATCH($AY$4,Lab_Mat!$K$5:$N$5,0))*$L18*INDEX(Act_Type_Repex_Splits,MATCH($I18,Act_Type_Repex,0),MATCH(AP$4,Mat_Type,0))*INDEX(Escalators!$I$44:$U$49,MATCH(AP$4,Escalators!$C$44:$C$49,0),MATCH(AP$5,Escalators!$I$43:$U$43,0))</f>
        <v>0</v>
      </c>
      <c r="AQ18" s="47">
        <f>INDEX(Lab_Mat!$K$6:$N$9,MATCH($H18,Lab_Mat!$J$6:$J$9,0),MATCH($AY$4,Lab_Mat!$K$5:$N$5,0))*$L18*INDEX(Act_Type_Repex_Splits,MATCH($I18,Act_Type_Repex,0),MATCH(AQ$4,Mat_Type,0))*INDEX(Escalators!$I$44:$U$49,MATCH(AQ$4,Escalators!$C$44:$C$49,0),MATCH(AQ$5,Escalators!$I$43:$U$43,0))</f>
        <v>0</v>
      </c>
      <c r="AR18" s="47">
        <f>INDEX(Lab_Mat!$K$6:$N$9,MATCH($H18,Lab_Mat!$J$6:$J$9,0),MATCH($AY$4,Lab_Mat!$K$5:$N$5,0))*$L18*INDEX(Act_Type_Repex_Splits,MATCH($I18,Act_Type_Repex,0),MATCH(AR$4,Mat_Type,0))*INDEX(Escalators!$I$44:$U$49,MATCH(AR$4,Escalators!$C$44:$C$49,0),MATCH(AR$5,Escalators!$I$43:$U$43,0))</f>
        <v>0</v>
      </c>
      <c r="AS18" s="47">
        <f t="shared" si="34"/>
        <v>0</v>
      </c>
      <c r="AT18" s="47">
        <f>INDEX(Lab_Mat!$K$6:$N$9,MATCH($H18,Lab_Mat!$J$6:$J$9,0),MATCH($AY$4,Lab_Mat!$K$5:$N$5,0))*$M18*INDEX(Act_Type_Repex_Splits,MATCH($I18,Act_Type_Repex,0),MATCH(AT$4,Mat_Type,0))*INDEX(Escalators!$I$44:$U$49,MATCH(AT$4,Escalators!$C$44:$C$49,0),MATCH(AT$5,Escalators!$I$43:$U$43,0))</f>
        <v>0</v>
      </c>
      <c r="AU18" s="47">
        <f>INDEX(Lab_Mat!$K$6:$N$9,MATCH($H18,Lab_Mat!$J$6:$J$9,0),MATCH($AY$4,Lab_Mat!$K$5:$N$5,0))*$M18*INDEX(Act_Type_Repex_Splits,MATCH($I18,Act_Type_Repex,0),MATCH(AU$4,Mat_Type,0))*INDEX(Escalators!$I$44:$U$49,MATCH(AU$4,Escalators!$C$44:$C$49,0),MATCH(AU$5,Escalators!$I$43:$U$43,0))</f>
        <v>0</v>
      </c>
      <c r="AV18" s="47">
        <f>INDEX(Lab_Mat!$K$6:$N$9,MATCH($H18,Lab_Mat!$J$6:$J$9,0),MATCH($AY$4,Lab_Mat!$K$5:$N$5,0))*$M18*INDEX(Act_Type_Repex_Splits,MATCH($I18,Act_Type_Repex,0),MATCH(AV$4,Mat_Type,0))*INDEX(Escalators!$I$44:$U$49,MATCH(AV$4,Escalators!$C$44:$C$49,0),MATCH(AV$5,Escalators!$I$43:$U$43,0))</f>
        <v>183.59677564993061</v>
      </c>
      <c r="AW18" s="47">
        <f>INDEX(Lab_Mat!$K$6:$N$9,MATCH($H18,Lab_Mat!$J$6:$J$9,0),MATCH($AY$4,Lab_Mat!$K$5:$N$5,0))*$M18*INDEX(Act_Type_Repex_Splits,MATCH($I18,Act_Type_Repex,0),MATCH(AW$4,Mat_Type,0))*INDEX(Escalators!$I$44:$U$49,MATCH(AW$4,Escalators!$C$44:$C$49,0),MATCH(AW$5,Escalators!$I$43:$U$43,0))</f>
        <v>0</v>
      </c>
      <c r="AX18" s="47">
        <f>INDEX(Lab_Mat!$K$6:$N$9,MATCH($H18,Lab_Mat!$J$6:$J$9,0),MATCH($AY$4,Lab_Mat!$K$5:$N$5,0))*$M18*INDEX(Act_Type_Repex_Splits,MATCH($I18,Act_Type_Repex,0),MATCH(AX$4,Mat_Type,0))*INDEX(Escalators!$I$44:$U$49,MATCH(AX$4,Escalators!$C$44:$C$49,0),MATCH(AX$5,Escalators!$I$43:$U$43,0))</f>
        <v>734.38710259972243</v>
      </c>
      <c r="AY18" s="47">
        <f t="shared" si="35"/>
        <v>917.983878249653</v>
      </c>
      <c r="AZ18" s="47">
        <f>INDEX(Lab_Mat!$K$6:$N$9,MATCH($H18,Lab_Mat!$J$6:$J$9,0),MATCH($BE$4,Lab_Mat!$K$5:$N$5,0))*$N18*INDEX(Act_Type_Repex_Splits,MATCH($I18,Act_Type_Repex,0),MATCH(AZ$4,Mat_Type,0))*INDEX(Escalators!$I$44:$U$49,MATCH(AZ$4,Escalators!$C$44:$C$49,0),MATCH(AZ$5,Escalators!$I$43:$U$43,0))</f>
        <v>0</v>
      </c>
      <c r="BA18" s="47">
        <f>INDEX(Lab_Mat!$K$6:$N$9,MATCH($H18,Lab_Mat!$J$6:$J$9,0),MATCH($BE$4,Lab_Mat!$K$5:$N$5,0))*$N18*INDEX(Act_Type_Repex_Splits,MATCH($I18,Act_Type_Repex,0),MATCH(BA$4,Mat_Type,0))*INDEX(Escalators!$I$44:$U$49,MATCH(BA$4,Escalators!$C$44:$C$49,0),MATCH(BA$5,Escalators!$I$43:$U$43,0))</f>
        <v>0</v>
      </c>
      <c r="BB18" s="47">
        <f>INDEX(Lab_Mat!$K$6:$N$9,MATCH($H18,Lab_Mat!$J$6:$J$9,0),MATCH($BE$4,Lab_Mat!$K$5:$N$5,0))*$N18*INDEX(Act_Type_Repex_Splits,MATCH($I18,Act_Type_Repex,0),MATCH(BB$4,Mat_Type,0))*INDEX(Escalators!$I$44:$U$49,MATCH(BB$4,Escalators!$C$44:$C$49,0),MATCH(BB$5,Escalators!$I$43:$U$43,0))</f>
        <v>78.506850410957227</v>
      </c>
      <c r="BC18" s="47">
        <f>INDEX(Lab_Mat!$K$6:$N$9,MATCH($H18,Lab_Mat!$J$6:$J$9,0),MATCH($BE$4,Lab_Mat!$K$5:$N$5,0))*$N18*INDEX(Act_Type_Repex_Splits,MATCH($I18,Act_Type_Repex,0),MATCH(BC$4,Mat_Type,0))*INDEX(Escalators!$I$44:$U$49,MATCH(BC$4,Escalators!$C$44:$C$49,0),MATCH(BC$5,Escalators!$I$43:$U$43,0))</f>
        <v>0</v>
      </c>
      <c r="BD18" s="47">
        <f>INDEX(Lab_Mat!$K$6:$N$9,MATCH($H18,Lab_Mat!$J$6:$J$9,0),MATCH($BE$4,Lab_Mat!$K$5:$N$5,0))*$N18*INDEX(Act_Type_Repex_Splits,MATCH($I18,Act_Type_Repex,0),MATCH(BD$4,Mat_Type,0))*INDEX(Escalators!$I$44:$U$49,MATCH(BD$4,Escalators!$C$44:$C$49,0),MATCH(BD$5,Escalators!$I$43:$U$43,0))</f>
        <v>314.02740164382891</v>
      </c>
      <c r="BE18" s="47">
        <f t="shared" si="36"/>
        <v>392.53425205478612</v>
      </c>
      <c r="BF18" s="47">
        <f>INDEX(Lab_Mat!$K$6:$N$9,MATCH($H18,Lab_Mat!$J$6:$J$9,0),MATCH($BK$4,Lab_Mat!$K$5:$N$5,0))*$O18*INDEX(Act_Type_Repex_Splits,MATCH($I18,Act_Type_Repex,0),MATCH(BF$4,Mat_Type,0))*INDEX(Escalators!$I$44:$U$49,MATCH(BF$4,Escalators!$C$44:$C$49,0),MATCH(BF$5,Escalators!$I$43:$U$43,0))</f>
        <v>0</v>
      </c>
      <c r="BG18" s="47">
        <f>INDEX(Lab_Mat!$K$6:$N$9,MATCH($H18,Lab_Mat!$J$6:$J$9,0),MATCH($BK$4,Lab_Mat!$K$5:$N$5,0))*$O18*INDEX(Act_Type_Repex_Splits,MATCH($I18,Act_Type_Repex,0),MATCH(BG$4,Mat_Type,0))*INDEX(Escalators!$I$44:$U$49,MATCH(BG$4,Escalators!$C$44:$C$49,0),MATCH(BG$5,Escalators!$I$43:$U$43,0))</f>
        <v>0</v>
      </c>
      <c r="BH18" s="47">
        <f>INDEX(Lab_Mat!$K$6:$N$9,MATCH($H18,Lab_Mat!$J$6:$J$9,0),MATCH($BK$4,Lab_Mat!$K$5:$N$5,0))*$O18*INDEX(Act_Type_Repex_Splits,MATCH($I18,Act_Type_Repex,0),MATCH(BH$4,Mat_Type,0))*INDEX(Escalators!$I$44:$U$49,MATCH(BH$4,Escalators!$C$44:$C$49,0),MATCH(BH$5,Escalators!$I$43:$U$43,0))</f>
        <v>0</v>
      </c>
      <c r="BI18" s="47">
        <f>INDEX(Lab_Mat!$K$6:$N$9,MATCH($H18,Lab_Mat!$J$6:$J$9,0),MATCH($BK$4,Lab_Mat!$K$5:$N$5,0))*$O18*INDEX(Act_Type_Repex_Splits,MATCH($I18,Act_Type_Repex,0),MATCH(BI$4,Mat_Type,0))*INDEX(Escalators!$I$44:$U$49,MATCH(BI$4,Escalators!$C$44:$C$49,0),MATCH(BI$5,Escalators!$I$43:$U$43,0))</f>
        <v>0</v>
      </c>
      <c r="BJ18" s="47">
        <f>INDEX(Lab_Mat!$K$6:$N$9,MATCH($H18,Lab_Mat!$J$6:$J$9,0),MATCH($BK$4,Lab_Mat!$K$5:$N$5,0))*$O18*INDEX(Act_Type_Repex_Splits,MATCH($I18,Act_Type_Repex,0),MATCH(BJ$4,Mat_Type,0))*INDEX(Escalators!$I$44:$U$49,MATCH(BJ$4,Escalators!$C$44:$C$49,0),MATCH(BJ$5,Escalators!$I$43:$U$43,0))</f>
        <v>0</v>
      </c>
      <c r="BK18" s="47">
        <f t="shared" si="37"/>
        <v>0</v>
      </c>
      <c r="BL18" s="47">
        <f>INDEX(Lab_Mat!$K$6:$N$9,MATCH($H18,Lab_Mat!$J$6:$J$9,0),MATCH($BQ$4,Lab_Mat!$K$5:$N$5,0))*$P18*INDEX(Act_Type_Repex_Splits,MATCH($I18,Act_Type_Repex,0),MATCH(BL$4,Mat_Type,0))*INDEX(Escalators!$I$44:$U$49,MATCH(BL$4,Escalators!$C$44:$C$49,0),MATCH(BL$5,Escalators!$I$43:$U$43,0))</f>
        <v>0</v>
      </c>
      <c r="BM18" s="47">
        <f>INDEX(Lab_Mat!$K$6:$N$9,MATCH($H18,Lab_Mat!$J$6:$J$9,0),MATCH($BQ$4,Lab_Mat!$K$5:$N$5,0))*$P18*INDEX(Act_Type_Repex_Splits,MATCH($I18,Act_Type_Repex,0),MATCH(BM$4,Mat_Type,0))*INDEX(Escalators!$I$44:$U$49,MATCH(BM$4,Escalators!$C$44:$C$49,0),MATCH(BM$5,Escalators!$I$43:$U$43,0))</f>
        <v>0</v>
      </c>
      <c r="BN18" s="47">
        <f>INDEX(Lab_Mat!$K$6:$N$9,MATCH($H18,Lab_Mat!$J$6:$J$9,0),MATCH($BQ$4,Lab_Mat!$K$5:$N$5,0))*$P18*INDEX(Act_Type_Repex_Splits,MATCH($I18,Act_Type_Repex,0),MATCH(BN$4,Mat_Type,0))*INDEX(Escalators!$I$44:$U$49,MATCH(BN$4,Escalators!$C$44:$C$49,0),MATCH(BN$5,Escalators!$I$43:$U$43,0))</f>
        <v>0</v>
      </c>
      <c r="BO18" s="47">
        <f>INDEX(Lab_Mat!$K$6:$N$9,MATCH($H18,Lab_Mat!$J$6:$J$9,0),MATCH($BQ$4,Lab_Mat!$K$5:$N$5,0))*$P18*INDEX(Act_Type_Repex_Splits,MATCH($I18,Act_Type_Repex,0),MATCH(BO$4,Mat_Type,0))*INDEX(Escalators!$I$44:$U$49,MATCH(BO$4,Escalators!$C$44:$C$49,0),MATCH(BO$5,Escalators!$I$43:$U$43,0))</f>
        <v>0</v>
      </c>
      <c r="BP18" s="47">
        <f>INDEX(Lab_Mat!$K$6:$N$9,MATCH($H18,Lab_Mat!$J$6:$J$9,0),MATCH($BQ$4,Lab_Mat!$K$5:$N$5,0))*$P18*INDEX(Act_Type_Repex_Splits,MATCH($I18,Act_Type_Repex,0),MATCH(BP$4,Mat_Type,0))*INDEX(Escalators!$I$44:$U$49,MATCH(BP$4,Escalators!$C$44:$C$49,0),MATCH(BP$5,Escalators!$I$43:$U$43,0))</f>
        <v>0</v>
      </c>
      <c r="BQ18" s="47">
        <f t="shared" si="38"/>
        <v>0</v>
      </c>
      <c r="BR18" s="47">
        <f>INDEX(Lab_Mat!$K$6:$N$9,MATCH($H18,Lab_Mat!$J$6:$J$9,0),MATCH($BW$4,Lab_Mat!$K$5:$N$5,0))*$Q18*INDEX(Act_Type_Repex_Splits,MATCH($I18,Act_Type_Repex,0),MATCH(BR$4,Mat_Type,0))*INDEX(Escalators!$I$44:$U$49,MATCH(BR$4,Escalators!$C$44:$C$49,0),MATCH(BR$5,Escalators!$I$43:$U$43,0))</f>
        <v>0</v>
      </c>
      <c r="BS18" s="47">
        <f>INDEX(Lab_Mat!$K$6:$N$9,MATCH($H18,Lab_Mat!$J$6:$J$9,0),MATCH($BW$4,Lab_Mat!$K$5:$N$5,0))*$Q18*INDEX(Act_Type_Repex_Splits,MATCH($I18,Act_Type_Repex,0),MATCH(BS$4,Mat_Type,0))*INDEX(Escalators!$I$44:$U$49,MATCH(BS$4,Escalators!$C$44:$C$49,0),MATCH(BS$5,Escalators!$I$43:$U$43,0))</f>
        <v>0</v>
      </c>
      <c r="BT18" s="47">
        <f>INDEX(Lab_Mat!$K$6:$N$9,MATCH($H18,Lab_Mat!$J$6:$J$9,0),MATCH($BW$4,Lab_Mat!$K$5:$N$5,0))*$Q18*INDEX(Act_Type_Repex_Splits,MATCH($I18,Act_Type_Repex,0),MATCH(BT$4,Mat_Type,0))*INDEX(Escalators!$I$44:$U$49,MATCH(BT$4,Escalators!$C$44:$C$49,0),MATCH(BT$5,Escalators!$I$43:$U$43,0))</f>
        <v>0</v>
      </c>
      <c r="BU18" s="47">
        <f>INDEX(Lab_Mat!$K$6:$N$9,MATCH($H18,Lab_Mat!$J$6:$J$9,0),MATCH($BW$4,Lab_Mat!$K$5:$N$5,0))*$Q18*INDEX(Act_Type_Repex_Splits,MATCH($I18,Act_Type_Repex,0),MATCH(BU$4,Mat_Type,0))*INDEX(Escalators!$I$44:$U$49,MATCH(BU$4,Escalators!$C$44:$C$49,0),MATCH(BU$5,Escalators!$I$43:$U$43,0))</f>
        <v>0</v>
      </c>
      <c r="BV18" s="47">
        <f>INDEX(Lab_Mat!$K$6:$N$9,MATCH($H18,Lab_Mat!$J$6:$J$9,0),MATCH($BW$4,Lab_Mat!$K$5:$N$5,0))*$Q18*INDEX(Act_Type_Repex_Splits,MATCH($I18,Act_Type_Repex,0),MATCH(BV$4,Mat_Type,0))*INDEX(Escalators!$I$44:$U$49,MATCH(BV$4,Escalators!$C$44:$C$49,0),MATCH(BV$5,Escalators!$I$43:$U$43,0))</f>
        <v>0</v>
      </c>
      <c r="BW18" s="47">
        <f t="shared" si="39"/>
        <v>0</v>
      </c>
      <c r="BY18" s="47">
        <f>INDEX(Lab_Mat!$K$6:$N$9,MATCH($H18,Lab_Mat!$J$6:$J$9,0),MATCH($BY$4,Lab_Mat!$K$5:$N$5,0))*J18*HLOOKUP(BY$5,Escalators!$I$25:$U$30,6,FALSE)</f>
        <v>0</v>
      </c>
      <c r="BZ18" s="47">
        <f>INDEX(Lab_Mat!$K$6:$N$9,MATCH($H18,Lab_Mat!$J$6:$J$9,0),MATCH($BY$4,Lab_Mat!$K$5:$N$5,0))*K18*HLOOKUP(BZ$5,Escalators!$I$25:$U$30,6,FALSE)</f>
        <v>0</v>
      </c>
      <c r="CA18" s="47">
        <f>INDEX(Lab_Mat!$K$6:$N$9,MATCH($H18,Lab_Mat!$J$6:$J$9,0),MATCH($BY$4,Lab_Mat!$K$5:$N$5,0))*L18*HLOOKUP(CA$5,Escalators!$I$25:$U$30,6,FALSE)</f>
        <v>0</v>
      </c>
      <c r="CB18" s="47">
        <f>INDEX(Lab_Mat!$K$6:$N$9,MATCH($H18,Lab_Mat!$J$6:$J$9,0),MATCH($BY$4,Lab_Mat!$K$5:$N$5,0))*M18*HLOOKUP(CB$5,Escalators!$I$25:$U$30,6,FALSE)</f>
        <v>333.28771619113007</v>
      </c>
      <c r="CC18" s="47">
        <f>INDEX(Lab_Mat!$K$6:$N$9,MATCH($H18,Lab_Mat!$J$6:$J$9,0),MATCH($BY$4,Lab_Mat!$K$5:$N$5,0))*N18*HLOOKUP(CC$5,Escalators!$I$25:$U$30,6,FALSE)</f>
        <v>142.51540521995275</v>
      </c>
      <c r="CD18" s="47">
        <f>INDEX(Lab_Mat!$K$6:$N$9,MATCH($H18,Lab_Mat!$J$6:$J$9,0),MATCH($BY$4,Lab_Mat!$K$5:$N$5,0))*O18*HLOOKUP(CD$5,Escalators!$I$25:$U$30,6,FALSE)</f>
        <v>0</v>
      </c>
      <c r="CE18" s="47">
        <f>INDEX(Lab_Mat!$K$6:$N$9,MATCH($H18,Lab_Mat!$J$6:$J$9,0),MATCH($BY$4,Lab_Mat!$K$5:$N$5,0))*P18*HLOOKUP(CE$5,Escalators!$I$25:$U$30,6,FALSE)</f>
        <v>0</v>
      </c>
      <c r="CF18" s="47">
        <f>INDEX(Lab_Mat!$K$6:$N$9,MATCH($H18,Lab_Mat!$J$6:$J$9,0),MATCH($BY$4,Lab_Mat!$K$5:$N$5,0))*Q18*HLOOKUP(CF$5,Escalators!$I$25:$U$30,6,FALSE)</f>
        <v>0</v>
      </c>
      <c r="CH18" s="82">
        <f>INDEX(Lab_Mat!$K$6:$N$9,MATCH($H18,Lab_Mat!$J$6:$J$9,0),MATCH($CH$4,Lab_Mat!$K$5:$N$5,0))*J18</f>
        <v>0</v>
      </c>
      <c r="CI18" s="82">
        <f>INDEX(Lab_Mat!$K$6:$N$9,MATCH($H18,Lab_Mat!$J$6:$J$9,0),MATCH($CH$4,Lab_Mat!$K$5:$N$5,0))*K18</f>
        <v>0</v>
      </c>
      <c r="CJ18" s="82">
        <f>INDEX(Lab_Mat!$K$6:$N$9,MATCH($H18,Lab_Mat!$J$6:$J$9,0),MATCH($CH$4,Lab_Mat!$K$5:$N$5,0))*L18</f>
        <v>0</v>
      </c>
      <c r="CK18" s="82">
        <f>INDEX(Lab_Mat!$K$6:$N$9,MATCH($H18,Lab_Mat!$J$6:$J$9,0),MATCH($CH$4,Lab_Mat!$K$5:$N$5,0))*M18</f>
        <v>132.55995480867651</v>
      </c>
      <c r="CL18" s="82">
        <f>INDEX(Lab_Mat!$K$6:$N$9,MATCH($H18,Lab_Mat!$J$6:$J$9,0),MATCH($CH$4,Lab_Mat!$K$5:$N$5,0))*N18</f>
        <v>56.683264212063797</v>
      </c>
      <c r="CM18" s="82">
        <f>INDEX(Lab_Mat!$K$6:$N$9,MATCH($H18,Lab_Mat!$J$6:$J$9,0),MATCH($CH$4,Lab_Mat!$K$5:$N$5,0))*O18</f>
        <v>0</v>
      </c>
      <c r="CN18" s="82">
        <f>INDEX(Lab_Mat!$K$6:$N$9,MATCH($H18,Lab_Mat!$J$6:$J$9,0),MATCH($CH$4,Lab_Mat!$K$5:$N$5,0))*P18</f>
        <v>0</v>
      </c>
      <c r="CO18" s="82">
        <f>INDEX(Lab_Mat!$K$6:$N$9,MATCH($H18,Lab_Mat!$J$6:$J$9,0),MATCH($CH$4,Lab_Mat!$K$5:$N$5,0))*Q18</f>
        <v>0</v>
      </c>
      <c r="CQ18" s="47">
        <f t="shared" si="25"/>
        <v>0</v>
      </c>
      <c r="CR18" s="47">
        <f t="shared" si="26"/>
        <v>0</v>
      </c>
      <c r="CS18" s="47">
        <f t="shared" si="24"/>
        <v>0</v>
      </c>
      <c r="CT18" s="47">
        <f t="shared" si="27"/>
        <v>1705.868388627784</v>
      </c>
      <c r="CU18" s="47">
        <f t="shared" si="28"/>
        <v>730.12053575684968</v>
      </c>
      <c r="CV18" s="47">
        <f t="shared" si="29"/>
        <v>0</v>
      </c>
      <c r="CW18" s="47">
        <f t="shared" si="30"/>
        <v>0</v>
      </c>
      <c r="CX18" s="47">
        <f t="shared" si="31"/>
        <v>0</v>
      </c>
      <c r="CY18" s="39"/>
      <c r="CZ18" s="39"/>
      <c r="DA18" s="39"/>
      <c r="DB18" s="39"/>
      <c r="DC18" s="39"/>
    </row>
    <row r="19" spans="2:109">
      <c r="B19" s="6"/>
      <c r="C19" s="6" t="s">
        <v>412</v>
      </c>
      <c r="D19" s="6" t="s">
        <v>688</v>
      </c>
      <c r="E19" s="6" t="s">
        <v>48</v>
      </c>
      <c r="F19" s="6" t="s">
        <v>55</v>
      </c>
      <c r="G19" s="6" t="s">
        <v>150</v>
      </c>
      <c r="H19" s="6" t="s">
        <v>741</v>
      </c>
      <c r="I19" s="6" t="s">
        <v>204</v>
      </c>
      <c r="J19" s="47"/>
      <c r="K19" s="47"/>
      <c r="L19" s="47"/>
      <c r="M19" s="47">
        <v>34.605539141654027</v>
      </c>
      <c r="N19" s="47">
        <v>14.797492358822831</v>
      </c>
      <c r="O19" s="47">
        <v>0</v>
      </c>
      <c r="P19" s="47"/>
      <c r="Q19" s="47"/>
      <c r="S19" s="47">
        <f>INDEX(Lab_Mat!$K$6:$N$9,MATCH($H19,Lab_Mat!$J$6:$J$9,0),MATCH($S$4,Lab_Mat!$K$5:$N$5,0))*J19*HLOOKUP(S$5,Escalators!$I$25:$U$30,3,FALSE)</f>
        <v>0</v>
      </c>
      <c r="T19" s="47">
        <f>INDEX(Lab_Mat!$K$6:$N$9,MATCH($H19,Lab_Mat!$J$6:$J$9,0),MATCH($S$4,Lab_Mat!$K$5:$N$5,0))*K19*HLOOKUP(T$5,Escalators!$I$25:$U$30,3,FALSE)</f>
        <v>0</v>
      </c>
      <c r="U19" s="47">
        <f>INDEX(Lab_Mat!$K$6:$N$9,MATCH($H19,Lab_Mat!$J$6:$J$9,0),MATCH($S$4,Lab_Mat!$K$5:$N$5,0))*L19*HLOOKUP(U$5,Escalators!$I$25:$U$30,3,FALSE)</f>
        <v>0</v>
      </c>
      <c r="V19" s="47">
        <f>INDEX(Lab_Mat!$K$6:$N$9,MATCH($H19,Lab_Mat!$J$6:$J$9,0),MATCH($S$4,Lab_Mat!$K$5:$N$5,0))*M19*HLOOKUP(V$5,Escalators!$I$25:$U$30,3,FALSE)</f>
        <v>6.5721803954760087</v>
      </c>
      <c r="W19" s="47">
        <f>INDEX(Lab_Mat!$K$6:$N$9,MATCH($H19,Lab_Mat!$J$6:$J$9,0),MATCH($S$4,Lab_Mat!$K$5:$N$5,0))*N19*HLOOKUP(W$5,Escalators!$I$25:$U$30,3,FALSE)</f>
        <v>2.8242370259193259</v>
      </c>
      <c r="X19" s="47">
        <f>INDEX(Lab_Mat!$K$6:$N$9,MATCH($H19,Lab_Mat!$J$6:$J$9,0),MATCH($S$4,Lab_Mat!$K$5:$N$5,0))*O19*HLOOKUP(X$5,Escalators!$I$25:$U$30,3,FALSE)</f>
        <v>0</v>
      </c>
      <c r="Y19" s="47">
        <f>INDEX(Lab_Mat!$K$6:$N$9,MATCH($H19,Lab_Mat!$J$6:$J$9,0),MATCH($S$4,Lab_Mat!$K$5:$N$5,0))*P19*HLOOKUP(Y$5,Escalators!$I$25:$U$30,3,FALSE)</f>
        <v>0</v>
      </c>
      <c r="Z19" s="47">
        <f>INDEX(Lab_Mat!$K$6:$N$9,MATCH($H19,Lab_Mat!$J$6:$J$9,0),MATCH($S$4,Lab_Mat!$K$5:$N$5,0))*Q19*HLOOKUP(Z$5,Escalators!$I$25:$U$30,3,FALSE)</f>
        <v>0</v>
      </c>
      <c r="AB19" s="47">
        <f>INDEX(Lab_Mat!$K$6:$N$9,MATCH($H19,Lab_Mat!$J$6:$J$9,0),MATCH($AG$4,Lab_Mat!$K$5:$N$5,0))*$J19*INDEX(Act_Type_Repex_Splits,MATCH($I19,Act_Type_Repex,0),MATCH(AB$4,Mat_Type,0))*INDEX(Escalators!$I$44:$Q$49,MATCH(AB$4,Escalators!$C$44:$C$49,0),MATCH(AB$5,Escalators!$I$43:$Q$43,0))</f>
        <v>0</v>
      </c>
      <c r="AC19" s="47">
        <f>INDEX(Lab_Mat!$K$6:$N$9,MATCH($H19,Lab_Mat!$J$6:$J$9,0),MATCH($AG$4,Lab_Mat!$K$5:$N$5,0))*$J19*INDEX(Act_Type_Repex_Splits,MATCH($I19,Act_Type_Repex,0),MATCH(AC$4,Mat_Type,0))*INDEX(Escalators!$I$44:$Q$49,MATCH(AC$4,Escalators!$C$44:$C$49,0),MATCH(AC$5,Escalators!$I$43:$Q$43,0))</f>
        <v>0</v>
      </c>
      <c r="AD19" s="47">
        <f>INDEX(Lab_Mat!$K$6:$N$9,MATCH($H19,Lab_Mat!$J$6:$J$9,0),MATCH($AG$4,Lab_Mat!$K$5:$N$5,0))*$J19*INDEX(Act_Type_Repex_Splits,MATCH($I19,Act_Type_Repex,0),MATCH(AD$4,Mat_Type,0))*INDEX(Escalators!$I$44:$Q$49,MATCH(AD$4,Escalators!$C$44:$C$49,0),MATCH(AD$5,Escalators!$I$43:$Q$43,0))</f>
        <v>0</v>
      </c>
      <c r="AE19" s="47">
        <f>INDEX(Lab_Mat!$K$6:$N$9,MATCH($H19,Lab_Mat!$J$6:$J$9,0),MATCH($AG$4,Lab_Mat!$K$5:$N$5,0))*$J19*INDEX(Act_Type_Repex_Splits,MATCH($I19,Act_Type_Repex,0),MATCH(AE$4,Mat_Type,0))*INDEX(Escalators!$I$44:$Q$49,MATCH(AE$4,Escalators!$C$44:$C$49,0),MATCH(AE$5,Escalators!$I$43:$Q$43,0))</f>
        <v>0</v>
      </c>
      <c r="AF19" s="47">
        <f>INDEX(Lab_Mat!$K$6:$N$9,MATCH($H19,Lab_Mat!$J$6:$J$9,0),MATCH($AG$4,Lab_Mat!$K$5:$N$5,0))*$J19*INDEX(Act_Type_Repex_Splits,MATCH($I19,Act_Type_Repex,0),MATCH(AF$4,Mat_Type,0))*INDEX(Escalators!$I$44:$Q$49,MATCH(AF$4,Escalators!$C$44:$C$49,0),MATCH(AF$5,Escalators!$I$43:$Q$43,0))</f>
        <v>0</v>
      </c>
      <c r="AG19" s="47">
        <f t="shared" si="32"/>
        <v>0</v>
      </c>
      <c r="AH19" s="47">
        <f>INDEX(Lab_Mat!$K$6:$N$9,MATCH($H19,Lab_Mat!$J$6:$J$9,0),MATCH($AY$4,Lab_Mat!$K$5:$N$5,0))*$K19*INDEX(Act_Type_Repex_Splits,MATCH($I19,Act_Type_Repex,0),MATCH(AH$4,Mat_Type,0))*INDEX(Escalators!$I$44:$U$49,MATCH(AH$4,Escalators!$C$44:$C$49,0),MATCH(AH$5,Escalators!$I$43:$U$43,0))</f>
        <v>0</v>
      </c>
      <c r="AI19" s="47">
        <f>INDEX(Lab_Mat!$K$6:$N$9,MATCH($H19,Lab_Mat!$J$6:$J$9,0),MATCH($AY$4,Lab_Mat!$K$5:$N$5,0))*$K19*INDEX(Act_Type_Repex_Splits,MATCH($I19,Act_Type_Repex,0),MATCH(AI$4,Mat_Type,0))*INDEX(Escalators!$I$44:$U$49,MATCH(AI$4,Escalators!$C$44:$C$49,0),MATCH(AI$5,Escalators!$I$43:$U$43,0))</f>
        <v>0</v>
      </c>
      <c r="AJ19" s="47">
        <f>INDEX(Lab_Mat!$K$6:$N$9,MATCH($H19,Lab_Mat!$J$6:$J$9,0),MATCH($AY$4,Lab_Mat!$K$5:$N$5,0))*$K19*INDEX(Act_Type_Repex_Splits,MATCH($I19,Act_Type_Repex,0),MATCH(AJ$4,Mat_Type,0))*INDEX(Escalators!$I$44:$U$49,MATCH(AJ$4,Escalators!$C$44:$C$49,0),MATCH(AJ$5,Escalators!$I$43:$U$43,0))</f>
        <v>0</v>
      </c>
      <c r="AK19" s="47">
        <f>INDEX(Lab_Mat!$K$6:$N$9,MATCH($H19,Lab_Mat!$J$6:$J$9,0),MATCH($AY$4,Lab_Mat!$K$5:$N$5,0))*$K19*INDEX(Act_Type_Repex_Splits,MATCH($I19,Act_Type_Repex,0),MATCH(AK$4,Mat_Type,0))*INDEX(Escalators!$I$44:$U$49,MATCH(AK$4,Escalators!$C$44:$C$49,0),MATCH(AK$5,Escalators!$I$43:$U$43,0))</f>
        <v>0</v>
      </c>
      <c r="AL19" s="47">
        <f>INDEX(Lab_Mat!$K$6:$N$9,MATCH($H19,Lab_Mat!$J$6:$J$9,0),MATCH($AY$4,Lab_Mat!$K$5:$N$5,0))*$K19*INDEX(Act_Type_Repex_Splits,MATCH($I19,Act_Type_Repex,0),MATCH(AL$4,Mat_Type,0))*INDEX(Escalators!$I$44:$U$49,MATCH(AL$4,Escalators!$C$44:$C$49,0),MATCH(AL$5,Escalators!$I$43:$U$43,0))</f>
        <v>0</v>
      </c>
      <c r="AM19" s="47">
        <f t="shared" si="33"/>
        <v>0</v>
      </c>
      <c r="AN19" s="47">
        <f>INDEX(Lab_Mat!$K$6:$N$9,MATCH($H19,Lab_Mat!$J$6:$J$9,0),MATCH($AY$4,Lab_Mat!$K$5:$N$5,0))*$L19*INDEX(Act_Type_Repex_Splits,MATCH($I19,Act_Type_Repex,0),MATCH(AN$4,Mat_Type,0))*INDEX(Escalators!$I$44:$U$49,MATCH(AN$4,Escalators!$C$44:$C$49,0),MATCH(AN$5,Escalators!$I$43:$U$43,0))</f>
        <v>0</v>
      </c>
      <c r="AO19" s="47">
        <f>INDEX(Lab_Mat!$K$6:$N$9,MATCH($H19,Lab_Mat!$J$6:$J$9,0),MATCH($AY$4,Lab_Mat!$K$5:$N$5,0))*$L19*INDEX(Act_Type_Repex_Splits,MATCH($I19,Act_Type_Repex,0),MATCH(AO$4,Mat_Type,0))*INDEX(Escalators!$I$44:$U$49,MATCH(AO$4,Escalators!$C$44:$C$49,0),MATCH(AO$5,Escalators!$I$43:$U$43,0))</f>
        <v>0</v>
      </c>
      <c r="AP19" s="47">
        <f>INDEX(Lab_Mat!$K$6:$N$9,MATCH($H19,Lab_Mat!$J$6:$J$9,0),MATCH($AY$4,Lab_Mat!$K$5:$N$5,0))*$L19*INDEX(Act_Type_Repex_Splits,MATCH($I19,Act_Type_Repex,0),MATCH(AP$4,Mat_Type,0))*INDEX(Escalators!$I$44:$U$49,MATCH(AP$4,Escalators!$C$44:$C$49,0),MATCH(AP$5,Escalators!$I$43:$U$43,0))</f>
        <v>0</v>
      </c>
      <c r="AQ19" s="47">
        <f>INDEX(Lab_Mat!$K$6:$N$9,MATCH($H19,Lab_Mat!$J$6:$J$9,0),MATCH($AY$4,Lab_Mat!$K$5:$N$5,0))*$L19*INDEX(Act_Type_Repex_Splits,MATCH($I19,Act_Type_Repex,0),MATCH(AQ$4,Mat_Type,0))*INDEX(Escalators!$I$44:$U$49,MATCH(AQ$4,Escalators!$C$44:$C$49,0),MATCH(AQ$5,Escalators!$I$43:$U$43,0))</f>
        <v>0</v>
      </c>
      <c r="AR19" s="47">
        <f>INDEX(Lab_Mat!$K$6:$N$9,MATCH($H19,Lab_Mat!$J$6:$J$9,0),MATCH($AY$4,Lab_Mat!$K$5:$N$5,0))*$L19*INDEX(Act_Type_Repex_Splits,MATCH($I19,Act_Type_Repex,0),MATCH(AR$4,Mat_Type,0))*INDEX(Escalators!$I$44:$U$49,MATCH(AR$4,Escalators!$C$44:$C$49,0),MATCH(AR$5,Escalators!$I$43:$U$43,0))</f>
        <v>0</v>
      </c>
      <c r="AS19" s="47">
        <f t="shared" si="34"/>
        <v>0</v>
      </c>
      <c r="AT19" s="47">
        <f>INDEX(Lab_Mat!$K$6:$N$9,MATCH($H19,Lab_Mat!$J$6:$J$9,0),MATCH($AY$4,Lab_Mat!$K$5:$N$5,0))*$M19*INDEX(Act_Type_Repex_Splits,MATCH($I19,Act_Type_Repex,0),MATCH(AT$4,Mat_Type,0))*INDEX(Escalators!$I$44:$U$49,MATCH(AT$4,Escalators!$C$44:$C$49,0),MATCH(AT$5,Escalators!$I$43:$U$43,0))</f>
        <v>0</v>
      </c>
      <c r="AU19" s="47">
        <f>INDEX(Lab_Mat!$K$6:$N$9,MATCH($H19,Lab_Mat!$J$6:$J$9,0),MATCH($AY$4,Lab_Mat!$K$5:$N$5,0))*$M19*INDEX(Act_Type_Repex_Splits,MATCH($I19,Act_Type_Repex,0),MATCH(AU$4,Mat_Type,0))*INDEX(Escalators!$I$44:$U$49,MATCH(AU$4,Escalators!$C$44:$C$49,0),MATCH(AU$5,Escalators!$I$43:$U$43,0))</f>
        <v>0</v>
      </c>
      <c r="AV19" s="47">
        <f>INDEX(Lab_Mat!$K$6:$N$9,MATCH($H19,Lab_Mat!$J$6:$J$9,0),MATCH($AY$4,Lab_Mat!$K$5:$N$5,0))*$M19*INDEX(Act_Type_Repex_Splits,MATCH($I19,Act_Type_Repex,0),MATCH(AV$4,Mat_Type,0))*INDEX(Escalators!$I$44:$U$49,MATCH(AV$4,Escalators!$C$44:$C$49,0),MATCH(AV$5,Escalators!$I$43:$U$43,0))</f>
        <v>3.7468729724475631</v>
      </c>
      <c r="AW19" s="47">
        <f>INDEX(Lab_Mat!$K$6:$N$9,MATCH($H19,Lab_Mat!$J$6:$J$9,0),MATCH($AY$4,Lab_Mat!$K$5:$N$5,0))*$M19*INDEX(Act_Type_Repex_Splits,MATCH($I19,Act_Type_Repex,0),MATCH(AW$4,Mat_Type,0))*INDEX(Escalators!$I$44:$U$49,MATCH(AW$4,Escalators!$C$44:$C$49,0),MATCH(AW$5,Escalators!$I$43:$U$43,0))</f>
        <v>0</v>
      </c>
      <c r="AX19" s="47">
        <f>INDEX(Lab_Mat!$K$6:$N$9,MATCH($H19,Lab_Mat!$J$6:$J$9,0),MATCH($AY$4,Lab_Mat!$K$5:$N$5,0))*$M19*INDEX(Act_Type_Repex_Splits,MATCH($I19,Act_Type_Repex,0),MATCH(AX$4,Mat_Type,0))*INDEX(Escalators!$I$44:$U$49,MATCH(AX$4,Escalators!$C$44:$C$49,0),MATCH(AX$5,Escalators!$I$43:$U$43,0))</f>
        <v>14.987491889790252</v>
      </c>
      <c r="AY19" s="47">
        <f t="shared" si="35"/>
        <v>18.734364862237815</v>
      </c>
      <c r="AZ19" s="47">
        <f>INDEX(Lab_Mat!$K$6:$N$9,MATCH($H19,Lab_Mat!$J$6:$J$9,0),MATCH($BE$4,Lab_Mat!$K$5:$N$5,0))*$N19*INDEX(Act_Type_Repex_Splits,MATCH($I19,Act_Type_Repex,0),MATCH(AZ$4,Mat_Type,0))*INDEX(Escalators!$I$44:$U$49,MATCH(AZ$4,Escalators!$C$44:$C$49,0),MATCH(AZ$5,Escalators!$I$43:$U$43,0))</f>
        <v>0</v>
      </c>
      <c r="BA19" s="47">
        <f>INDEX(Lab_Mat!$K$6:$N$9,MATCH($H19,Lab_Mat!$J$6:$J$9,0),MATCH($BE$4,Lab_Mat!$K$5:$N$5,0))*$N19*INDEX(Act_Type_Repex_Splits,MATCH($I19,Act_Type_Repex,0),MATCH(BA$4,Mat_Type,0))*INDEX(Escalators!$I$44:$U$49,MATCH(BA$4,Escalators!$C$44:$C$49,0),MATCH(BA$5,Escalators!$I$43:$U$43,0))</f>
        <v>0</v>
      </c>
      <c r="BB19" s="47">
        <f>INDEX(Lab_Mat!$K$6:$N$9,MATCH($H19,Lab_Mat!$J$6:$J$9,0),MATCH($BE$4,Lab_Mat!$K$5:$N$5,0))*$N19*INDEX(Act_Type_Repex_Splits,MATCH($I19,Act_Type_Repex,0),MATCH(BB$4,Mat_Type,0))*INDEX(Escalators!$I$44:$U$49,MATCH(BB$4,Escalators!$C$44:$C$49,0),MATCH(BB$5,Escalators!$I$43:$U$43,0))</f>
        <v>1.6021806206317799</v>
      </c>
      <c r="BC19" s="47">
        <f>INDEX(Lab_Mat!$K$6:$N$9,MATCH($H19,Lab_Mat!$J$6:$J$9,0),MATCH($BE$4,Lab_Mat!$K$5:$N$5,0))*$N19*INDEX(Act_Type_Repex_Splits,MATCH($I19,Act_Type_Repex,0),MATCH(BC$4,Mat_Type,0))*INDEX(Escalators!$I$44:$U$49,MATCH(BC$4,Escalators!$C$44:$C$49,0),MATCH(BC$5,Escalators!$I$43:$U$43,0))</f>
        <v>0</v>
      </c>
      <c r="BD19" s="47">
        <f>INDEX(Lab_Mat!$K$6:$N$9,MATCH($H19,Lab_Mat!$J$6:$J$9,0),MATCH($BE$4,Lab_Mat!$K$5:$N$5,0))*$N19*INDEX(Act_Type_Repex_Splits,MATCH($I19,Act_Type_Repex,0),MATCH(BD$4,Mat_Type,0))*INDEX(Escalators!$I$44:$U$49,MATCH(BD$4,Escalators!$C$44:$C$49,0),MATCH(BD$5,Escalators!$I$43:$U$43,0))</f>
        <v>6.4087224825271196</v>
      </c>
      <c r="BE19" s="47">
        <f t="shared" si="36"/>
        <v>8.0109031031588991</v>
      </c>
      <c r="BF19" s="47">
        <f>INDEX(Lab_Mat!$K$6:$N$9,MATCH($H19,Lab_Mat!$J$6:$J$9,0),MATCH($BK$4,Lab_Mat!$K$5:$N$5,0))*$O19*INDEX(Act_Type_Repex_Splits,MATCH($I19,Act_Type_Repex,0),MATCH(BF$4,Mat_Type,0))*INDEX(Escalators!$I$44:$U$49,MATCH(BF$4,Escalators!$C$44:$C$49,0),MATCH(BF$5,Escalators!$I$43:$U$43,0))</f>
        <v>0</v>
      </c>
      <c r="BG19" s="47">
        <f>INDEX(Lab_Mat!$K$6:$N$9,MATCH($H19,Lab_Mat!$J$6:$J$9,0),MATCH($BK$4,Lab_Mat!$K$5:$N$5,0))*$O19*INDEX(Act_Type_Repex_Splits,MATCH($I19,Act_Type_Repex,0),MATCH(BG$4,Mat_Type,0))*INDEX(Escalators!$I$44:$U$49,MATCH(BG$4,Escalators!$C$44:$C$49,0),MATCH(BG$5,Escalators!$I$43:$U$43,0))</f>
        <v>0</v>
      </c>
      <c r="BH19" s="47">
        <f>INDEX(Lab_Mat!$K$6:$N$9,MATCH($H19,Lab_Mat!$J$6:$J$9,0),MATCH($BK$4,Lab_Mat!$K$5:$N$5,0))*$O19*INDEX(Act_Type_Repex_Splits,MATCH($I19,Act_Type_Repex,0),MATCH(BH$4,Mat_Type,0))*INDEX(Escalators!$I$44:$U$49,MATCH(BH$4,Escalators!$C$44:$C$49,0),MATCH(BH$5,Escalators!$I$43:$U$43,0))</f>
        <v>0</v>
      </c>
      <c r="BI19" s="47">
        <f>INDEX(Lab_Mat!$K$6:$N$9,MATCH($H19,Lab_Mat!$J$6:$J$9,0),MATCH($BK$4,Lab_Mat!$K$5:$N$5,0))*$O19*INDEX(Act_Type_Repex_Splits,MATCH($I19,Act_Type_Repex,0),MATCH(BI$4,Mat_Type,0))*INDEX(Escalators!$I$44:$U$49,MATCH(BI$4,Escalators!$C$44:$C$49,0),MATCH(BI$5,Escalators!$I$43:$U$43,0))</f>
        <v>0</v>
      </c>
      <c r="BJ19" s="47">
        <f>INDEX(Lab_Mat!$K$6:$N$9,MATCH($H19,Lab_Mat!$J$6:$J$9,0),MATCH($BK$4,Lab_Mat!$K$5:$N$5,0))*$O19*INDEX(Act_Type_Repex_Splits,MATCH($I19,Act_Type_Repex,0),MATCH(BJ$4,Mat_Type,0))*INDEX(Escalators!$I$44:$U$49,MATCH(BJ$4,Escalators!$C$44:$C$49,0),MATCH(BJ$5,Escalators!$I$43:$U$43,0))</f>
        <v>0</v>
      </c>
      <c r="BK19" s="47">
        <f t="shared" si="37"/>
        <v>0</v>
      </c>
      <c r="BL19" s="47">
        <f>INDEX(Lab_Mat!$K$6:$N$9,MATCH($H19,Lab_Mat!$J$6:$J$9,0),MATCH($BQ$4,Lab_Mat!$K$5:$N$5,0))*$P19*INDEX(Act_Type_Repex_Splits,MATCH($I19,Act_Type_Repex,0),MATCH(BL$4,Mat_Type,0))*INDEX(Escalators!$I$44:$U$49,MATCH(BL$4,Escalators!$C$44:$C$49,0),MATCH(BL$5,Escalators!$I$43:$U$43,0))</f>
        <v>0</v>
      </c>
      <c r="BM19" s="47">
        <f>INDEX(Lab_Mat!$K$6:$N$9,MATCH($H19,Lab_Mat!$J$6:$J$9,0),MATCH($BQ$4,Lab_Mat!$K$5:$N$5,0))*$P19*INDEX(Act_Type_Repex_Splits,MATCH($I19,Act_Type_Repex,0),MATCH(BM$4,Mat_Type,0))*INDEX(Escalators!$I$44:$U$49,MATCH(BM$4,Escalators!$C$44:$C$49,0),MATCH(BM$5,Escalators!$I$43:$U$43,0))</f>
        <v>0</v>
      </c>
      <c r="BN19" s="47">
        <f>INDEX(Lab_Mat!$K$6:$N$9,MATCH($H19,Lab_Mat!$J$6:$J$9,0),MATCH($BQ$4,Lab_Mat!$K$5:$N$5,0))*$P19*INDEX(Act_Type_Repex_Splits,MATCH($I19,Act_Type_Repex,0),MATCH(BN$4,Mat_Type,0))*INDEX(Escalators!$I$44:$U$49,MATCH(BN$4,Escalators!$C$44:$C$49,0),MATCH(BN$5,Escalators!$I$43:$U$43,0))</f>
        <v>0</v>
      </c>
      <c r="BO19" s="47">
        <f>INDEX(Lab_Mat!$K$6:$N$9,MATCH($H19,Lab_Mat!$J$6:$J$9,0),MATCH($BQ$4,Lab_Mat!$K$5:$N$5,0))*$P19*INDEX(Act_Type_Repex_Splits,MATCH($I19,Act_Type_Repex,0),MATCH(BO$4,Mat_Type,0))*INDEX(Escalators!$I$44:$U$49,MATCH(BO$4,Escalators!$C$44:$C$49,0),MATCH(BO$5,Escalators!$I$43:$U$43,0))</f>
        <v>0</v>
      </c>
      <c r="BP19" s="47">
        <f>INDEX(Lab_Mat!$K$6:$N$9,MATCH($H19,Lab_Mat!$J$6:$J$9,0),MATCH($BQ$4,Lab_Mat!$K$5:$N$5,0))*$P19*INDEX(Act_Type_Repex_Splits,MATCH($I19,Act_Type_Repex,0),MATCH(BP$4,Mat_Type,0))*INDEX(Escalators!$I$44:$U$49,MATCH(BP$4,Escalators!$C$44:$C$49,0),MATCH(BP$5,Escalators!$I$43:$U$43,0))</f>
        <v>0</v>
      </c>
      <c r="BQ19" s="47">
        <f t="shared" si="38"/>
        <v>0</v>
      </c>
      <c r="BR19" s="47">
        <f>INDEX(Lab_Mat!$K$6:$N$9,MATCH($H19,Lab_Mat!$J$6:$J$9,0),MATCH($BW$4,Lab_Mat!$K$5:$N$5,0))*$Q19*INDEX(Act_Type_Repex_Splits,MATCH($I19,Act_Type_Repex,0),MATCH(BR$4,Mat_Type,0))*INDEX(Escalators!$I$44:$U$49,MATCH(BR$4,Escalators!$C$44:$C$49,0),MATCH(BR$5,Escalators!$I$43:$U$43,0))</f>
        <v>0</v>
      </c>
      <c r="BS19" s="47">
        <f>INDEX(Lab_Mat!$K$6:$N$9,MATCH($H19,Lab_Mat!$J$6:$J$9,0),MATCH($BW$4,Lab_Mat!$K$5:$N$5,0))*$Q19*INDEX(Act_Type_Repex_Splits,MATCH($I19,Act_Type_Repex,0),MATCH(BS$4,Mat_Type,0))*INDEX(Escalators!$I$44:$U$49,MATCH(BS$4,Escalators!$C$44:$C$49,0),MATCH(BS$5,Escalators!$I$43:$U$43,0))</f>
        <v>0</v>
      </c>
      <c r="BT19" s="47">
        <f>INDEX(Lab_Mat!$K$6:$N$9,MATCH($H19,Lab_Mat!$J$6:$J$9,0),MATCH($BW$4,Lab_Mat!$K$5:$N$5,0))*$Q19*INDEX(Act_Type_Repex_Splits,MATCH($I19,Act_Type_Repex,0),MATCH(BT$4,Mat_Type,0))*INDEX(Escalators!$I$44:$U$49,MATCH(BT$4,Escalators!$C$44:$C$49,0),MATCH(BT$5,Escalators!$I$43:$U$43,0))</f>
        <v>0</v>
      </c>
      <c r="BU19" s="47">
        <f>INDEX(Lab_Mat!$K$6:$N$9,MATCH($H19,Lab_Mat!$J$6:$J$9,0),MATCH($BW$4,Lab_Mat!$K$5:$N$5,0))*$Q19*INDEX(Act_Type_Repex_Splits,MATCH($I19,Act_Type_Repex,0),MATCH(BU$4,Mat_Type,0))*INDEX(Escalators!$I$44:$U$49,MATCH(BU$4,Escalators!$C$44:$C$49,0),MATCH(BU$5,Escalators!$I$43:$U$43,0))</f>
        <v>0</v>
      </c>
      <c r="BV19" s="47">
        <f>INDEX(Lab_Mat!$K$6:$N$9,MATCH($H19,Lab_Mat!$J$6:$J$9,0),MATCH($BW$4,Lab_Mat!$K$5:$N$5,0))*$Q19*INDEX(Act_Type_Repex_Splits,MATCH($I19,Act_Type_Repex,0),MATCH(BV$4,Mat_Type,0))*INDEX(Escalators!$I$44:$U$49,MATCH(BV$4,Escalators!$C$44:$C$49,0),MATCH(BV$5,Escalators!$I$43:$U$43,0))</f>
        <v>0</v>
      </c>
      <c r="BW19" s="47">
        <f t="shared" si="39"/>
        <v>0</v>
      </c>
      <c r="BY19" s="47">
        <f>INDEX(Lab_Mat!$K$6:$N$9,MATCH($H19,Lab_Mat!$J$6:$J$9,0),MATCH($BY$4,Lab_Mat!$K$5:$N$5,0))*J19*HLOOKUP(BY$5,Escalators!$I$25:$U$30,6,FALSE)</f>
        <v>0</v>
      </c>
      <c r="BZ19" s="47">
        <f>INDEX(Lab_Mat!$K$6:$N$9,MATCH($H19,Lab_Mat!$J$6:$J$9,0),MATCH($BY$4,Lab_Mat!$K$5:$N$5,0))*K19*HLOOKUP(BZ$5,Escalators!$I$25:$U$30,6,FALSE)</f>
        <v>0</v>
      </c>
      <c r="CA19" s="47">
        <f>INDEX(Lab_Mat!$K$6:$N$9,MATCH($H19,Lab_Mat!$J$6:$J$9,0),MATCH($BY$4,Lab_Mat!$K$5:$N$5,0))*L19*HLOOKUP(CA$5,Escalators!$I$25:$U$30,6,FALSE)</f>
        <v>0</v>
      </c>
      <c r="CB19" s="47">
        <f>INDEX(Lab_Mat!$K$6:$N$9,MATCH($H19,Lab_Mat!$J$6:$J$9,0),MATCH($BY$4,Lab_Mat!$K$5:$N$5,0))*M19*HLOOKUP(CB$5,Escalators!$I$25:$U$30,6,FALSE)</f>
        <v>6.8017901263495935</v>
      </c>
      <c r="CC19" s="47">
        <f>INDEX(Lab_Mat!$K$6:$N$9,MATCH($H19,Lab_Mat!$J$6:$J$9,0),MATCH($BY$4,Lab_Mat!$K$5:$N$5,0))*N19*HLOOKUP(CC$5,Escalators!$I$25:$U$30,6,FALSE)</f>
        <v>2.9084776575500562</v>
      </c>
      <c r="CD19" s="47">
        <f>INDEX(Lab_Mat!$K$6:$N$9,MATCH($H19,Lab_Mat!$J$6:$J$9,0),MATCH($BY$4,Lab_Mat!$K$5:$N$5,0))*O19*HLOOKUP(CD$5,Escalators!$I$25:$U$30,6,FALSE)</f>
        <v>0</v>
      </c>
      <c r="CE19" s="47">
        <f>INDEX(Lab_Mat!$K$6:$N$9,MATCH($H19,Lab_Mat!$J$6:$J$9,0),MATCH($BY$4,Lab_Mat!$K$5:$N$5,0))*P19*HLOOKUP(CE$5,Escalators!$I$25:$U$30,6,FALSE)</f>
        <v>0</v>
      </c>
      <c r="CF19" s="47">
        <f>INDEX(Lab_Mat!$K$6:$N$9,MATCH($H19,Lab_Mat!$J$6:$J$9,0),MATCH($BY$4,Lab_Mat!$K$5:$N$5,0))*Q19*HLOOKUP(CF$5,Escalators!$I$25:$U$30,6,FALSE)</f>
        <v>0</v>
      </c>
      <c r="CH19" s="82">
        <f>INDEX(Lab_Mat!$K$6:$N$9,MATCH($H19,Lab_Mat!$J$6:$J$9,0),MATCH($CH$4,Lab_Mat!$K$5:$N$5,0))*J19</f>
        <v>0</v>
      </c>
      <c r="CI19" s="82">
        <f>INDEX(Lab_Mat!$K$6:$N$9,MATCH($H19,Lab_Mat!$J$6:$J$9,0),MATCH($CH$4,Lab_Mat!$K$5:$N$5,0))*K19</f>
        <v>0</v>
      </c>
      <c r="CJ19" s="82">
        <f>INDEX(Lab_Mat!$K$6:$N$9,MATCH($H19,Lab_Mat!$J$6:$J$9,0),MATCH($CH$4,Lab_Mat!$K$5:$N$5,0))*L19</f>
        <v>0</v>
      </c>
      <c r="CK19" s="82">
        <f>INDEX(Lab_Mat!$K$6:$N$9,MATCH($H19,Lab_Mat!$J$6:$J$9,0),MATCH($CH$4,Lab_Mat!$K$5:$N$5,0))*M19</f>
        <v>2.7053052001770714</v>
      </c>
      <c r="CL19" s="82">
        <f>INDEX(Lab_Mat!$K$6:$N$9,MATCH($H19,Lab_Mat!$J$6:$J$9,0),MATCH($CH$4,Lab_Mat!$K$5:$N$5,0))*N19</f>
        <v>1.1568013104502815</v>
      </c>
      <c r="CM19" s="82">
        <f>INDEX(Lab_Mat!$K$6:$N$9,MATCH($H19,Lab_Mat!$J$6:$J$9,0),MATCH($CH$4,Lab_Mat!$K$5:$N$5,0))*O19</f>
        <v>0</v>
      </c>
      <c r="CN19" s="82">
        <f>INDEX(Lab_Mat!$K$6:$N$9,MATCH($H19,Lab_Mat!$J$6:$J$9,0),MATCH($CH$4,Lab_Mat!$K$5:$N$5,0))*P19</f>
        <v>0</v>
      </c>
      <c r="CO19" s="82">
        <f>INDEX(Lab_Mat!$K$6:$N$9,MATCH($H19,Lab_Mat!$J$6:$J$9,0),MATCH($CH$4,Lab_Mat!$K$5:$N$5,0))*Q19</f>
        <v>0</v>
      </c>
      <c r="CQ19" s="47">
        <f t="shared" ref="CQ19:CQ26" si="40">S19+AG19+BY19+CH19</f>
        <v>0</v>
      </c>
      <c r="CR19" s="47">
        <f t="shared" ref="CR19:CR26" si="41">T19+AM19+BZ19+CI19</f>
        <v>0</v>
      </c>
      <c r="CS19" s="47">
        <f t="shared" si="24"/>
        <v>0</v>
      </c>
      <c r="CT19" s="47">
        <f t="shared" ref="CT19:CT26" si="42">V19+AY19+CB19+CK19</f>
        <v>34.813640584240488</v>
      </c>
      <c r="CU19" s="47">
        <f t="shared" ref="CU19:CU26" si="43">W19+BE19+CC19+CL19</f>
        <v>14.900419097078563</v>
      </c>
      <c r="CV19" s="47">
        <f t="shared" ref="CV19:CV26" si="44">X19+BK19+CD19+CM19</f>
        <v>0</v>
      </c>
      <c r="CW19" s="47">
        <f t="shared" ref="CW19:CW26" si="45">Y19+BQ19+CE19+CN19</f>
        <v>0</v>
      </c>
      <c r="CX19" s="47">
        <f t="shared" ref="CX19:CX26" si="46">Z19+BW19+CF19+CO19</f>
        <v>0</v>
      </c>
      <c r="CY19" s="39"/>
      <c r="CZ19" s="39"/>
      <c r="DA19" s="39"/>
      <c r="DB19" s="39"/>
      <c r="DC19" s="39"/>
    </row>
    <row r="20" spans="2:109">
      <c r="B20" s="6"/>
      <c r="C20" s="6" t="s">
        <v>413</v>
      </c>
      <c r="D20" s="6" t="s">
        <v>688</v>
      </c>
      <c r="E20" s="6" t="s">
        <v>50</v>
      </c>
      <c r="F20" s="6" t="s">
        <v>55</v>
      </c>
      <c r="G20" s="6" t="s">
        <v>34</v>
      </c>
      <c r="H20" s="6" t="s">
        <v>557</v>
      </c>
      <c r="I20" s="6" t="s">
        <v>5</v>
      </c>
      <c r="J20" s="47"/>
      <c r="K20" s="47"/>
      <c r="L20" s="47"/>
      <c r="M20" s="47">
        <v>0</v>
      </c>
      <c r="N20" s="47">
        <v>0</v>
      </c>
      <c r="O20" s="47">
        <v>0</v>
      </c>
      <c r="P20" s="47"/>
      <c r="Q20" s="47"/>
      <c r="S20" s="47">
        <f>INDEX(Lab_Mat!$K$6:$N$9,MATCH($H20,Lab_Mat!$J$6:$J$9,0),MATCH($S$4,Lab_Mat!$K$5:$N$5,0))*J20*HLOOKUP(S$5,Escalators!$I$25:$U$30,3,FALSE)</f>
        <v>0</v>
      </c>
      <c r="T20" s="47">
        <f>INDEX(Lab_Mat!$K$6:$N$9,MATCH($H20,Lab_Mat!$J$6:$J$9,0),MATCH($S$4,Lab_Mat!$K$5:$N$5,0))*K20*HLOOKUP(T$5,Escalators!$I$25:$U$30,3,FALSE)</f>
        <v>0</v>
      </c>
      <c r="U20" s="47">
        <f>INDEX(Lab_Mat!$K$6:$N$9,MATCH($H20,Lab_Mat!$J$6:$J$9,0),MATCH($S$4,Lab_Mat!$K$5:$N$5,0))*L20*HLOOKUP(U$5,Escalators!$I$25:$U$30,3,FALSE)</f>
        <v>0</v>
      </c>
      <c r="V20" s="47">
        <f>INDEX(Lab_Mat!$K$6:$N$9,MATCH($H20,Lab_Mat!$J$6:$J$9,0),MATCH($S$4,Lab_Mat!$K$5:$N$5,0))*M20*HLOOKUP(V$5,Escalators!$I$25:$U$30,3,FALSE)</f>
        <v>0</v>
      </c>
      <c r="W20" s="47">
        <f>INDEX(Lab_Mat!$K$6:$N$9,MATCH($H20,Lab_Mat!$J$6:$J$9,0),MATCH($S$4,Lab_Mat!$K$5:$N$5,0))*N20*HLOOKUP(W$5,Escalators!$I$25:$U$30,3,FALSE)</f>
        <v>0</v>
      </c>
      <c r="X20" s="47">
        <f>INDEX(Lab_Mat!$K$6:$N$9,MATCH($H20,Lab_Mat!$J$6:$J$9,0),MATCH($S$4,Lab_Mat!$K$5:$N$5,0))*O20*HLOOKUP(X$5,Escalators!$I$25:$U$30,3,FALSE)</f>
        <v>0</v>
      </c>
      <c r="Y20" s="47">
        <f>INDEX(Lab_Mat!$K$6:$N$9,MATCH($H20,Lab_Mat!$J$6:$J$9,0),MATCH($S$4,Lab_Mat!$K$5:$N$5,0))*P20*HLOOKUP(Y$5,Escalators!$I$25:$U$30,3,FALSE)</f>
        <v>0</v>
      </c>
      <c r="Z20" s="47">
        <f>INDEX(Lab_Mat!$K$6:$N$9,MATCH($H20,Lab_Mat!$J$6:$J$9,0),MATCH($S$4,Lab_Mat!$K$5:$N$5,0))*Q20*HLOOKUP(Z$5,Escalators!$I$25:$U$30,3,FALSE)</f>
        <v>0</v>
      </c>
      <c r="AB20" s="47">
        <f>INDEX(Lab_Mat!$K$6:$N$9,MATCH($H20,Lab_Mat!$J$6:$J$9,0),MATCH($AG$4,Lab_Mat!$K$5:$N$5,0))*$J20*INDEX(Act_Type_Repex_Splits,MATCH($I20,Act_Type_Repex,0),MATCH(AB$4,Mat_Type,0))*INDEX(Escalators!$I$44:$Q$49,MATCH(AB$4,Escalators!$C$44:$C$49,0),MATCH(AB$5,Escalators!$I$43:$Q$43,0))</f>
        <v>0</v>
      </c>
      <c r="AC20" s="47">
        <f>INDEX(Lab_Mat!$K$6:$N$9,MATCH($H20,Lab_Mat!$J$6:$J$9,0),MATCH($AG$4,Lab_Mat!$K$5:$N$5,0))*$J20*INDEX(Act_Type_Repex_Splits,MATCH($I20,Act_Type_Repex,0),MATCH(AC$4,Mat_Type,0))*INDEX(Escalators!$I$44:$Q$49,MATCH(AC$4,Escalators!$C$44:$C$49,0),MATCH(AC$5,Escalators!$I$43:$Q$43,0))</f>
        <v>0</v>
      </c>
      <c r="AD20" s="47">
        <f>INDEX(Lab_Mat!$K$6:$N$9,MATCH($H20,Lab_Mat!$J$6:$J$9,0),MATCH($AG$4,Lab_Mat!$K$5:$N$5,0))*$J20*INDEX(Act_Type_Repex_Splits,MATCH($I20,Act_Type_Repex,0),MATCH(AD$4,Mat_Type,0))*INDEX(Escalators!$I$44:$Q$49,MATCH(AD$4,Escalators!$C$44:$C$49,0),MATCH(AD$5,Escalators!$I$43:$Q$43,0))</f>
        <v>0</v>
      </c>
      <c r="AE20" s="47">
        <f>INDEX(Lab_Mat!$K$6:$N$9,MATCH($H20,Lab_Mat!$J$6:$J$9,0),MATCH($AG$4,Lab_Mat!$K$5:$N$5,0))*$J20*INDEX(Act_Type_Repex_Splits,MATCH($I20,Act_Type_Repex,0),MATCH(AE$4,Mat_Type,0))*INDEX(Escalators!$I$44:$Q$49,MATCH(AE$4,Escalators!$C$44:$C$49,0),MATCH(AE$5,Escalators!$I$43:$Q$43,0))</f>
        <v>0</v>
      </c>
      <c r="AF20" s="47">
        <f>INDEX(Lab_Mat!$K$6:$N$9,MATCH($H20,Lab_Mat!$J$6:$J$9,0),MATCH($AG$4,Lab_Mat!$K$5:$N$5,0))*$J20*INDEX(Act_Type_Repex_Splits,MATCH($I20,Act_Type_Repex,0),MATCH(AF$4,Mat_Type,0))*INDEX(Escalators!$I$44:$Q$49,MATCH(AF$4,Escalators!$C$44:$C$49,0),MATCH(AF$5,Escalators!$I$43:$Q$43,0))</f>
        <v>0</v>
      </c>
      <c r="AG20" s="47">
        <f t="shared" si="32"/>
        <v>0</v>
      </c>
      <c r="AH20" s="47">
        <f>INDEX(Lab_Mat!$K$6:$N$9,MATCH($H20,Lab_Mat!$J$6:$J$9,0),MATCH($AY$4,Lab_Mat!$K$5:$N$5,0))*$K20*INDEX(Act_Type_Repex_Splits,MATCH($I20,Act_Type_Repex,0),MATCH(AH$4,Mat_Type,0))*INDEX(Escalators!$I$44:$U$49,MATCH(AH$4,Escalators!$C$44:$C$49,0),MATCH(AH$5,Escalators!$I$43:$U$43,0))</f>
        <v>0</v>
      </c>
      <c r="AI20" s="47">
        <f>INDEX(Lab_Mat!$K$6:$N$9,MATCH($H20,Lab_Mat!$J$6:$J$9,0),MATCH($AY$4,Lab_Mat!$K$5:$N$5,0))*$K20*INDEX(Act_Type_Repex_Splits,MATCH($I20,Act_Type_Repex,0),MATCH(AI$4,Mat_Type,0))*INDEX(Escalators!$I$44:$U$49,MATCH(AI$4,Escalators!$C$44:$C$49,0),MATCH(AI$5,Escalators!$I$43:$U$43,0))</f>
        <v>0</v>
      </c>
      <c r="AJ20" s="47">
        <f>INDEX(Lab_Mat!$K$6:$N$9,MATCH($H20,Lab_Mat!$J$6:$J$9,0),MATCH($AY$4,Lab_Mat!$K$5:$N$5,0))*$K20*INDEX(Act_Type_Repex_Splits,MATCH($I20,Act_Type_Repex,0),MATCH(AJ$4,Mat_Type,0))*INDEX(Escalators!$I$44:$U$49,MATCH(AJ$4,Escalators!$C$44:$C$49,0),MATCH(AJ$5,Escalators!$I$43:$U$43,0))</f>
        <v>0</v>
      </c>
      <c r="AK20" s="47">
        <f>INDEX(Lab_Mat!$K$6:$N$9,MATCH($H20,Lab_Mat!$J$6:$J$9,0),MATCH($AY$4,Lab_Mat!$K$5:$N$5,0))*$K20*INDEX(Act_Type_Repex_Splits,MATCH($I20,Act_Type_Repex,0),MATCH(AK$4,Mat_Type,0))*INDEX(Escalators!$I$44:$U$49,MATCH(AK$4,Escalators!$C$44:$C$49,0),MATCH(AK$5,Escalators!$I$43:$U$43,0))</f>
        <v>0</v>
      </c>
      <c r="AL20" s="47">
        <f>INDEX(Lab_Mat!$K$6:$N$9,MATCH($H20,Lab_Mat!$J$6:$J$9,0),MATCH($AY$4,Lab_Mat!$K$5:$N$5,0))*$K20*INDEX(Act_Type_Repex_Splits,MATCH($I20,Act_Type_Repex,0),MATCH(AL$4,Mat_Type,0))*INDEX(Escalators!$I$44:$U$49,MATCH(AL$4,Escalators!$C$44:$C$49,0),MATCH(AL$5,Escalators!$I$43:$U$43,0))</f>
        <v>0</v>
      </c>
      <c r="AM20" s="47">
        <f t="shared" si="33"/>
        <v>0</v>
      </c>
      <c r="AN20" s="47">
        <f>INDEX(Lab_Mat!$K$6:$N$9,MATCH($H20,Lab_Mat!$J$6:$J$9,0),MATCH($AY$4,Lab_Mat!$K$5:$N$5,0))*$L20*INDEX(Act_Type_Repex_Splits,MATCH($I20,Act_Type_Repex,0),MATCH(AN$4,Mat_Type,0))*INDEX(Escalators!$I$44:$U$49,MATCH(AN$4,Escalators!$C$44:$C$49,0),MATCH(AN$5,Escalators!$I$43:$U$43,0))</f>
        <v>0</v>
      </c>
      <c r="AO20" s="47">
        <f>INDEX(Lab_Mat!$K$6:$N$9,MATCH($H20,Lab_Mat!$J$6:$J$9,0),MATCH($AY$4,Lab_Mat!$K$5:$N$5,0))*$L20*INDEX(Act_Type_Repex_Splits,MATCH($I20,Act_Type_Repex,0),MATCH(AO$4,Mat_Type,0))*INDEX(Escalators!$I$44:$U$49,MATCH(AO$4,Escalators!$C$44:$C$49,0),MATCH(AO$5,Escalators!$I$43:$U$43,0))</f>
        <v>0</v>
      </c>
      <c r="AP20" s="47">
        <f>INDEX(Lab_Mat!$K$6:$N$9,MATCH($H20,Lab_Mat!$J$6:$J$9,0),MATCH($AY$4,Lab_Mat!$K$5:$N$5,0))*$L20*INDEX(Act_Type_Repex_Splits,MATCH($I20,Act_Type_Repex,0),MATCH(AP$4,Mat_Type,0))*INDEX(Escalators!$I$44:$U$49,MATCH(AP$4,Escalators!$C$44:$C$49,0),MATCH(AP$5,Escalators!$I$43:$U$43,0))</f>
        <v>0</v>
      </c>
      <c r="AQ20" s="47">
        <f>INDEX(Lab_Mat!$K$6:$N$9,MATCH($H20,Lab_Mat!$J$6:$J$9,0),MATCH($AY$4,Lab_Mat!$K$5:$N$5,0))*$L20*INDEX(Act_Type_Repex_Splits,MATCH($I20,Act_Type_Repex,0),MATCH(AQ$4,Mat_Type,0))*INDEX(Escalators!$I$44:$U$49,MATCH(AQ$4,Escalators!$C$44:$C$49,0),MATCH(AQ$5,Escalators!$I$43:$U$43,0))</f>
        <v>0</v>
      </c>
      <c r="AR20" s="47">
        <f>INDEX(Lab_Mat!$K$6:$N$9,MATCH($H20,Lab_Mat!$J$6:$J$9,0),MATCH($AY$4,Lab_Mat!$K$5:$N$5,0))*$L20*INDEX(Act_Type_Repex_Splits,MATCH($I20,Act_Type_Repex,0),MATCH(AR$4,Mat_Type,0))*INDEX(Escalators!$I$44:$U$49,MATCH(AR$4,Escalators!$C$44:$C$49,0),MATCH(AR$5,Escalators!$I$43:$U$43,0))</f>
        <v>0</v>
      </c>
      <c r="AS20" s="47">
        <f t="shared" si="34"/>
        <v>0</v>
      </c>
      <c r="AT20" s="47">
        <f>INDEX(Lab_Mat!$K$6:$N$9,MATCH($H20,Lab_Mat!$J$6:$J$9,0),MATCH($AY$4,Lab_Mat!$K$5:$N$5,0))*$M20*INDEX(Act_Type_Repex_Splits,MATCH($I20,Act_Type_Repex,0),MATCH(AT$4,Mat_Type,0))*INDEX(Escalators!$I$44:$U$49,MATCH(AT$4,Escalators!$C$44:$C$49,0),MATCH(AT$5,Escalators!$I$43:$U$43,0))</f>
        <v>0</v>
      </c>
      <c r="AU20" s="47">
        <f>INDEX(Lab_Mat!$K$6:$N$9,MATCH($H20,Lab_Mat!$J$6:$J$9,0),MATCH($AY$4,Lab_Mat!$K$5:$N$5,0))*$M20*INDEX(Act_Type_Repex_Splits,MATCH($I20,Act_Type_Repex,0),MATCH(AU$4,Mat_Type,0))*INDEX(Escalators!$I$44:$U$49,MATCH(AU$4,Escalators!$C$44:$C$49,0),MATCH(AU$5,Escalators!$I$43:$U$43,0))</f>
        <v>0</v>
      </c>
      <c r="AV20" s="47">
        <f>INDEX(Lab_Mat!$K$6:$N$9,MATCH($H20,Lab_Mat!$J$6:$J$9,0),MATCH($AY$4,Lab_Mat!$K$5:$N$5,0))*$M20*INDEX(Act_Type_Repex_Splits,MATCH($I20,Act_Type_Repex,0),MATCH(AV$4,Mat_Type,0))*INDEX(Escalators!$I$44:$U$49,MATCH(AV$4,Escalators!$C$44:$C$49,0),MATCH(AV$5,Escalators!$I$43:$U$43,0))</f>
        <v>0</v>
      </c>
      <c r="AW20" s="47">
        <f>INDEX(Lab_Mat!$K$6:$N$9,MATCH($H20,Lab_Mat!$J$6:$J$9,0),MATCH($AY$4,Lab_Mat!$K$5:$N$5,0))*$M20*INDEX(Act_Type_Repex_Splits,MATCH($I20,Act_Type_Repex,0),MATCH(AW$4,Mat_Type,0))*INDEX(Escalators!$I$44:$U$49,MATCH(AW$4,Escalators!$C$44:$C$49,0),MATCH(AW$5,Escalators!$I$43:$U$43,0))</f>
        <v>0</v>
      </c>
      <c r="AX20" s="47">
        <f>INDEX(Lab_Mat!$K$6:$N$9,MATCH($H20,Lab_Mat!$J$6:$J$9,0),MATCH($AY$4,Lab_Mat!$K$5:$N$5,0))*$M20*INDEX(Act_Type_Repex_Splits,MATCH($I20,Act_Type_Repex,0),MATCH(AX$4,Mat_Type,0))*INDEX(Escalators!$I$44:$U$49,MATCH(AX$4,Escalators!$C$44:$C$49,0),MATCH(AX$5,Escalators!$I$43:$U$43,0))</f>
        <v>0</v>
      </c>
      <c r="AY20" s="47">
        <f t="shared" si="35"/>
        <v>0</v>
      </c>
      <c r="AZ20" s="47">
        <f>INDEX(Lab_Mat!$K$6:$N$9,MATCH($H20,Lab_Mat!$J$6:$J$9,0),MATCH($BE$4,Lab_Mat!$K$5:$N$5,0))*$N20*INDEX(Act_Type_Repex_Splits,MATCH($I20,Act_Type_Repex,0),MATCH(AZ$4,Mat_Type,0))*INDEX(Escalators!$I$44:$U$49,MATCH(AZ$4,Escalators!$C$44:$C$49,0),MATCH(AZ$5,Escalators!$I$43:$U$43,0))</f>
        <v>0</v>
      </c>
      <c r="BA20" s="47">
        <f>INDEX(Lab_Mat!$K$6:$N$9,MATCH($H20,Lab_Mat!$J$6:$J$9,0),MATCH($BE$4,Lab_Mat!$K$5:$N$5,0))*$N20*INDEX(Act_Type_Repex_Splits,MATCH($I20,Act_Type_Repex,0),MATCH(BA$4,Mat_Type,0))*INDEX(Escalators!$I$44:$U$49,MATCH(BA$4,Escalators!$C$44:$C$49,0),MATCH(BA$5,Escalators!$I$43:$U$43,0))</f>
        <v>0</v>
      </c>
      <c r="BB20" s="47">
        <f>INDEX(Lab_Mat!$K$6:$N$9,MATCH($H20,Lab_Mat!$J$6:$J$9,0),MATCH($BE$4,Lab_Mat!$K$5:$N$5,0))*$N20*INDEX(Act_Type_Repex_Splits,MATCH($I20,Act_Type_Repex,0),MATCH(BB$4,Mat_Type,0))*INDEX(Escalators!$I$44:$U$49,MATCH(BB$4,Escalators!$C$44:$C$49,0),MATCH(BB$5,Escalators!$I$43:$U$43,0))</f>
        <v>0</v>
      </c>
      <c r="BC20" s="47">
        <f>INDEX(Lab_Mat!$K$6:$N$9,MATCH($H20,Lab_Mat!$J$6:$J$9,0),MATCH($BE$4,Lab_Mat!$K$5:$N$5,0))*$N20*INDEX(Act_Type_Repex_Splits,MATCH($I20,Act_Type_Repex,0),MATCH(BC$4,Mat_Type,0))*INDEX(Escalators!$I$44:$U$49,MATCH(BC$4,Escalators!$C$44:$C$49,0),MATCH(BC$5,Escalators!$I$43:$U$43,0))</f>
        <v>0</v>
      </c>
      <c r="BD20" s="47">
        <f>INDEX(Lab_Mat!$K$6:$N$9,MATCH($H20,Lab_Mat!$J$6:$J$9,0),MATCH($BE$4,Lab_Mat!$K$5:$N$5,0))*$N20*INDEX(Act_Type_Repex_Splits,MATCH($I20,Act_Type_Repex,0),MATCH(BD$4,Mat_Type,0))*INDEX(Escalators!$I$44:$U$49,MATCH(BD$4,Escalators!$C$44:$C$49,0),MATCH(BD$5,Escalators!$I$43:$U$43,0))</f>
        <v>0</v>
      </c>
      <c r="BE20" s="47">
        <f t="shared" si="36"/>
        <v>0</v>
      </c>
      <c r="BF20" s="47">
        <f>INDEX(Lab_Mat!$K$6:$N$9,MATCH($H20,Lab_Mat!$J$6:$J$9,0),MATCH($BK$4,Lab_Mat!$K$5:$N$5,0))*$O20*INDEX(Act_Type_Repex_Splits,MATCH($I20,Act_Type_Repex,0),MATCH(BF$4,Mat_Type,0))*INDEX(Escalators!$I$44:$U$49,MATCH(BF$4,Escalators!$C$44:$C$49,0),MATCH(BF$5,Escalators!$I$43:$U$43,0))</f>
        <v>0</v>
      </c>
      <c r="BG20" s="47">
        <f>INDEX(Lab_Mat!$K$6:$N$9,MATCH($H20,Lab_Mat!$J$6:$J$9,0),MATCH($BK$4,Lab_Mat!$K$5:$N$5,0))*$O20*INDEX(Act_Type_Repex_Splits,MATCH($I20,Act_Type_Repex,0),MATCH(BG$4,Mat_Type,0))*INDEX(Escalators!$I$44:$U$49,MATCH(BG$4,Escalators!$C$44:$C$49,0),MATCH(BG$5,Escalators!$I$43:$U$43,0))</f>
        <v>0</v>
      </c>
      <c r="BH20" s="47">
        <f>INDEX(Lab_Mat!$K$6:$N$9,MATCH($H20,Lab_Mat!$J$6:$J$9,0),MATCH($BK$4,Lab_Mat!$K$5:$N$5,0))*$O20*INDEX(Act_Type_Repex_Splits,MATCH($I20,Act_Type_Repex,0),MATCH(BH$4,Mat_Type,0))*INDEX(Escalators!$I$44:$U$49,MATCH(BH$4,Escalators!$C$44:$C$49,0),MATCH(BH$5,Escalators!$I$43:$U$43,0))</f>
        <v>0</v>
      </c>
      <c r="BI20" s="47">
        <f>INDEX(Lab_Mat!$K$6:$N$9,MATCH($H20,Lab_Mat!$J$6:$J$9,0),MATCH($BK$4,Lab_Mat!$K$5:$N$5,0))*$O20*INDEX(Act_Type_Repex_Splits,MATCH($I20,Act_Type_Repex,0),MATCH(BI$4,Mat_Type,0))*INDEX(Escalators!$I$44:$U$49,MATCH(BI$4,Escalators!$C$44:$C$49,0),MATCH(BI$5,Escalators!$I$43:$U$43,0))</f>
        <v>0</v>
      </c>
      <c r="BJ20" s="47">
        <f>INDEX(Lab_Mat!$K$6:$N$9,MATCH($H20,Lab_Mat!$J$6:$J$9,0),MATCH($BK$4,Lab_Mat!$K$5:$N$5,0))*$O20*INDEX(Act_Type_Repex_Splits,MATCH($I20,Act_Type_Repex,0),MATCH(BJ$4,Mat_Type,0))*INDEX(Escalators!$I$44:$U$49,MATCH(BJ$4,Escalators!$C$44:$C$49,0),MATCH(BJ$5,Escalators!$I$43:$U$43,0))</f>
        <v>0</v>
      </c>
      <c r="BK20" s="47">
        <f t="shared" si="37"/>
        <v>0</v>
      </c>
      <c r="BL20" s="47">
        <f>INDEX(Lab_Mat!$K$6:$N$9,MATCH($H20,Lab_Mat!$J$6:$J$9,0),MATCH($BQ$4,Lab_Mat!$K$5:$N$5,0))*$P20*INDEX(Act_Type_Repex_Splits,MATCH($I20,Act_Type_Repex,0),MATCH(BL$4,Mat_Type,0))*INDEX(Escalators!$I$44:$U$49,MATCH(BL$4,Escalators!$C$44:$C$49,0),MATCH(BL$5,Escalators!$I$43:$U$43,0))</f>
        <v>0</v>
      </c>
      <c r="BM20" s="47">
        <f>INDEX(Lab_Mat!$K$6:$N$9,MATCH($H20,Lab_Mat!$J$6:$J$9,0),MATCH($BQ$4,Lab_Mat!$K$5:$N$5,0))*$P20*INDEX(Act_Type_Repex_Splits,MATCH($I20,Act_Type_Repex,0),MATCH(BM$4,Mat_Type,0))*INDEX(Escalators!$I$44:$U$49,MATCH(BM$4,Escalators!$C$44:$C$49,0),MATCH(BM$5,Escalators!$I$43:$U$43,0))</f>
        <v>0</v>
      </c>
      <c r="BN20" s="47">
        <f>INDEX(Lab_Mat!$K$6:$N$9,MATCH($H20,Lab_Mat!$J$6:$J$9,0),MATCH($BQ$4,Lab_Mat!$K$5:$N$5,0))*$P20*INDEX(Act_Type_Repex_Splits,MATCH($I20,Act_Type_Repex,0),MATCH(BN$4,Mat_Type,0))*INDEX(Escalators!$I$44:$U$49,MATCH(BN$4,Escalators!$C$44:$C$49,0),MATCH(BN$5,Escalators!$I$43:$U$43,0))</f>
        <v>0</v>
      </c>
      <c r="BO20" s="47">
        <f>INDEX(Lab_Mat!$K$6:$N$9,MATCH($H20,Lab_Mat!$J$6:$J$9,0),MATCH($BQ$4,Lab_Mat!$K$5:$N$5,0))*$P20*INDEX(Act_Type_Repex_Splits,MATCH($I20,Act_Type_Repex,0),MATCH(BO$4,Mat_Type,0))*INDEX(Escalators!$I$44:$U$49,MATCH(BO$4,Escalators!$C$44:$C$49,0),MATCH(BO$5,Escalators!$I$43:$U$43,0))</f>
        <v>0</v>
      </c>
      <c r="BP20" s="47">
        <f>INDEX(Lab_Mat!$K$6:$N$9,MATCH($H20,Lab_Mat!$J$6:$J$9,0),MATCH($BQ$4,Lab_Mat!$K$5:$N$5,0))*$P20*INDEX(Act_Type_Repex_Splits,MATCH($I20,Act_Type_Repex,0),MATCH(BP$4,Mat_Type,0))*INDEX(Escalators!$I$44:$U$49,MATCH(BP$4,Escalators!$C$44:$C$49,0),MATCH(BP$5,Escalators!$I$43:$U$43,0))</f>
        <v>0</v>
      </c>
      <c r="BQ20" s="47">
        <f t="shared" si="38"/>
        <v>0</v>
      </c>
      <c r="BR20" s="47">
        <f>INDEX(Lab_Mat!$K$6:$N$9,MATCH($H20,Lab_Mat!$J$6:$J$9,0),MATCH($BW$4,Lab_Mat!$K$5:$N$5,0))*$Q20*INDEX(Act_Type_Repex_Splits,MATCH($I20,Act_Type_Repex,0),MATCH(BR$4,Mat_Type,0))*INDEX(Escalators!$I$44:$U$49,MATCH(BR$4,Escalators!$C$44:$C$49,0),MATCH(BR$5,Escalators!$I$43:$U$43,0))</f>
        <v>0</v>
      </c>
      <c r="BS20" s="47">
        <f>INDEX(Lab_Mat!$K$6:$N$9,MATCH($H20,Lab_Mat!$J$6:$J$9,0),MATCH($BW$4,Lab_Mat!$K$5:$N$5,0))*$Q20*INDEX(Act_Type_Repex_Splits,MATCH($I20,Act_Type_Repex,0),MATCH(BS$4,Mat_Type,0))*INDEX(Escalators!$I$44:$U$49,MATCH(BS$4,Escalators!$C$44:$C$49,0),MATCH(BS$5,Escalators!$I$43:$U$43,0))</f>
        <v>0</v>
      </c>
      <c r="BT20" s="47">
        <f>INDEX(Lab_Mat!$K$6:$N$9,MATCH($H20,Lab_Mat!$J$6:$J$9,0),MATCH($BW$4,Lab_Mat!$K$5:$N$5,0))*$Q20*INDEX(Act_Type_Repex_Splits,MATCH($I20,Act_Type_Repex,0),MATCH(BT$4,Mat_Type,0))*INDEX(Escalators!$I$44:$U$49,MATCH(BT$4,Escalators!$C$44:$C$49,0),MATCH(BT$5,Escalators!$I$43:$U$43,0))</f>
        <v>0</v>
      </c>
      <c r="BU20" s="47">
        <f>INDEX(Lab_Mat!$K$6:$N$9,MATCH($H20,Lab_Mat!$J$6:$J$9,0),MATCH($BW$4,Lab_Mat!$K$5:$N$5,0))*$Q20*INDEX(Act_Type_Repex_Splits,MATCH($I20,Act_Type_Repex,0),MATCH(BU$4,Mat_Type,0))*INDEX(Escalators!$I$44:$U$49,MATCH(BU$4,Escalators!$C$44:$C$49,0),MATCH(BU$5,Escalators!$I$43:$U$43,0))</f>
        <v>0</v>
      </c>
      <c r="BV20" s="47">
        <f>INDEX(Lab_Mat!$K$6:$N$9,MATCH($H20,Lab_Mat!$J$6:$J$9,0),MATCH($BW$4,Lab_Mat!$K$5:$N$5,0))*$Q20*INDEX(Act_Type_Repex_Splits,MATCH($I20,Act_Type_Repex,0),MATCH(BV$4,Mat_Type,0))*INDEX(Escalators!$I$44:$U$49,MATCH(BV$4,Escalators!$C$44:$C$49,0),MATCH(BV$5,Escalators!$I$43:$U$43,0))</f>
        <v>0</v>
      </c>
      <c r="BW20" s="47">
        <f t="shared" si="39"/>
        <v>0</v>
      </c>
      <c r="BY20" s="47">
        <f>INDEX(Lab_Mat!$K$6:$N$9,MATCH($H20,Lab_Mat!$J$6:$J$9,0),MATCH($BY$4,Lab_Mat!$K$5:$N$5,0))*J20*HLOOKUP(BY$5,Escalators!$I$25:$U$30,6,FALSE)</f>
        <v>0</v>
      </c>
      <c r="BZ20" s="47">
        <f>INDEX(Lab_Mat!$K$6:$N$9,MATCH($H20,Lab_Mat!$J$6:$J$9,0),MATCH($BY$4,Lab_Mat!$K$5:$N$5,0))*K20*HLOOKUP(BZ$5,Escalators!$I$25:$U$30,6,FALSE)</f>
        <v>0</v>
      </c>
      <c r="CA20" s="47">
        <f>INDEX(Lab_Mat!$K$6:$N$9,MATCH($H20,Lab_Mat!$J$6:$J$9,0),MATCH($BY$4,Lab_Mat!$K$5:$N$5,0))*L20*HLOOKUP(CA$5,Escalators!$I$25:$U$30,6,FALSE)</f>
        <v>0</v>
      </c>
      <c r="CB20" s="47">
        <f>INDEX(Lab_Mat!$K$6:$N$9,MATCH($H20,Lab_Mat!$J$6:$J$9,0),MATCH($BY$4,Lab_Mat!$K$5:$N$5,0))*M20*HLOOKUP(CB$5,Escalators!$I$25:$U$30,6,FALSE)</f>
        <v>0</v>
      </c>
      <c r="CC20" s="47">
        <f>INDEX(Lab_Mat!$K$6:$N$9,MATCH($H20,Lab_Mat!$J$6:$J$9,0),MATCH($BY$4,Lab_Mat!$K$5:$N$5,0))*N20*HLOOKUP(CC$5,Escalators!$I$25:$U$30,6,FALSE)</f>
        <v>0</v>
      </c>
      <c r="CD20" s="47">
        <f>INDEX(Lab_Mat!$K$6:$N$9,MATCH($H20,Lab_Mat!$J$6:$J$9,0),MATCH($BY$4,Lab_Mat!$K$5:$N$5,0))*O20*HLOOKUP(CD$5,Escalators!$I$25:$U$30,6,FALSE)</f>
        <v>0</v>
      </c>
      <c r="CE20" s="47">
        <f>INDEX(Lab_Mat!$K$6:$N$9,MATCH($H20,Lab_Mat!$J$6:$J$9,0),MATCH($BY$4,Lab_Mat!$K$5:$N$5,0))*P20*HLOOKUP(CE$5,Escalators!$I$25:$U$30,6,FALSE)</f>
        <v>0</v>
      </c>
      <c r="CF20" s="47">
        <f>INDEX(Lab_Mat!$K$6:$N$9,MATCH($H20,Lab_Mat!$J$6:$J$9,0),MATCH($BY$4,Lab_Mat!$K$5:$N$5,0))*Q20*HLOOKUP(CF$5,Escalators!$I$25:$U$30,6,FALSE)</f>
        <v>0</v>
      </c>
      <c r="CH20" s="82">
        <f>INDEX(Lab_Mat!$K$6:$N$9,MATCH($H20,Lab_Mat!$J$6:$J$9,0),MATCH($CH$4,Lab_Mat!$K$5:$N$5,0))*J20</f>
        <v>0</v>
      </c>
      <c r="CI20" s="82">
        <f>INDEX(Lab_Mat!$K$6:$N$9,MATCH($H20,Lab_Mat!$J$6:$J$9,0),MATCH($CH$4,Lab_Mat!$K$5:$N$5,0))*K20</f>
        <v>0</v>
      </c>
      <c r="CJ20" s="82">
        <f>INDEX(Lab_Mat!$K$6:$N$9,MATCH($H20,Lab_Mat!$J$6:$J$9,0),MATCH($CH$4,Lab_Mat!$K$5:$N$5,0))*L20</f>
        <v>0</v>
      </c>
      <c r="CK20" s="82">
        <f>INDEX(Lab_Mat!$K$6:$N$9,MATCH($H20,Lab_Mat!$J$6:$J$9,0),MATCH($CH$4,Lab_Mat!$K$5:$N$5,0))*M20</f>
        <v>0</v>
      </c>
      <c r="CL20" s="82">
        <f>INDEX(Lab_Mat!$K$6:$N$9,MATCH($H20,Lab_Mat!$J$6:$J$9,0),MATCH($CH$4,Lab_Mat!$K$5:$N$5,0))*N20</f>
        <v>0</v>
      </c>
      <c r="CM20" s="82">
        <f>INDEX(Lab_Mat!$K$6:$N$9,MATCH($H20,Lab_Mat!$J$6:$J$9,0),MATCH($CH$4,Lab_Mat!$K$5:$N$5,0))*O20</f>
        <v>0</v>
      </c>
      <c r="CN20" s="82">
        <f>INDEX(Lab_Mat!$K$6:$N$9,MATCH($H20,Lab_Mat!$J$6:$J$9,0),MATCH($CH$4,Lab_Mat!$K$5:$N$5,0))*P20</f>
        <v>0</v>
      </c>
      <c r="CO20" s="82">
        <f>INDEX(Lab_Mat!$K$6:$N$9,MATCH($H20,Lab_Mat!$J$6:$J$9,0),MATCH($CH$4,Lab_Mat!$K$5:$N$5,0))*Q20</f>
        <v>0</v>
      </c>
      <c r="CQ20" s="47">
        <f t="shared" si="40"/>
        <v>0</v>
      </c>
      <c r="CR20" s="47">
        <f t="shared" si="41"/>
        <v>0</v>
      </c>
      <c r="CS20" s="47">
        <f t="shared" si="24"/>
        <v>0</v>
      </c>
      <c r="CT20" s="47">
        <f t="shared" si="42"/>
        <v>0</v>
      </c>
      <c r="CU20" s="47">
        <f t="shared" si="43"/>
        <v>0</v>
      </c>
      <c r="CV20" s="47">
        <f t="shared" si="44"/>
        <v>0</v>
      </c>
      <c r="CW20" s="47">
        <f t="shared" si="45"/>
        <v>0</v>
      </c>
      <c r="CX20" s="47">
        <f t="shared" si="46"/>
        <v>0</v>
      </c>
      <c r="CY20" s="39"/>
      <c r="CZ20" s="39"/>
      <c r="DA20" s="39"/>
      <c r="DB20" s="39"/>
      <c r="DC20" s="39"/>
    </row>
    <row r="21" spans="2:109">
      <c r="B21" s="6"/>
      <c r="C21" s="6" t="s">
        <v>573</v>
      </c>
      <c r="D21" s="6" t="s">
        <v>688</v>
      </c>
      <c r="E21" s="6" t="s">
        <v>395</v>
      </c>
      <c r="F21" s="6" t="s">
        <v>55</v>
      </c>
      <c r="G21" s="6" t="s">
        <v>34</v>
      </c>
      <c r="H21" s="6" t="s">
        <v>741</v>
      </c>
      <c r="I21" s="6" t="s">
        <v>5</v>
      </c>
      <c r="J21" s="47"/>
      <c r="K21" s="47"/>
      <c r="L21" s="47"/>
      <c r="M21" s="47">
        <v>0</v>
      </c>
      <c r="N21" s="47">
        <v>0</v>
      </c>
      <c r="O21" s="47">
        <v>0</v>
      </c>
      <c r="P21" s="47"/>
      <c r="Q21" s="47"/>
      <c r="S21" s="47">
        <f>INDEX(Lab_Mat!$K$6:$N$9,MATCH($H21,Lab_Mat!$J$6:$J$9,0),MATCH($S$4,Lab_Mat!$K$5:$N$5,0))*J21*HLOOKUP(S$5,Escalators!$I$25:$U$30,3,FALSE)</f>
        <v>0</v>
      </c>
      <c r="T21" s="47">
        <f>INDEX(Lab_Mat!$K$6:$N$9,MATCH($H21,Lab_Mat!$J$6:$J$9,0),MATCH($S$4,Lab_Mat!$K$5:$N$5,0))*K21*HLOOKUP(T$5,Escalators!$I$25:$U$30,3,FALSE)</f>
        <v>0</v>
      </c>
      <c r="U21" s="47">
        <f>INDEX(Lab_Mat!$K$6:$N$9,MATCH($H21,Lab_Mat!$J$6:$J$9,0),MATCH($S$4,Lab_Mat!$K$5:$N$5,0))*L21*HLOOKUP(U$5,Escalators!$I$25:$U$30,3,FALSE)</f>
        <v>0</v>
      </c>
      <c r="V21" s="47">
        <f>INDEX(Lab_Mat!$K$6:$N$9,MATCH($H21,Lab_Mat!$J$6:$J$9,0),MATCH($S$4,Lab_Mat!$K$5:$N$5,0))*M21*HLOOKUP(V$5,Escalators!$I$25:$U$30,3,FALSE)</f>
        <v>0</v>
      </c>
      <c r="W21" s="47">
        <f>INDEX(Lab_Mat!$K$6:$N$9,MATCH($H21,Lab_Mat!$J$6:$J$9,0),MATCH($S$4,Lab_Mat!$K$5:$N$5,0))*N21*HLOOKUP(W$5,Escalators!$I$25:$U$30,3,FALSE)</f>
        <v>0</v>
      </c>
      <c r="X21" s="47">
        <f>INDEX(Lab_Mat!$K$6:$N$9,MATCH($H21,Lab_Mat!$J$6:$J$9,0),MATCH($S$4,Lab_Mat!$K$5:$N$5,0))*O21*HLOOKUP(X$5,Escalators!$I$25:$U$30,3,FALSE)</f>
        <v>0</v>
      </c>
      <c r="Y21" s="47">
        <f>INDEX(Lab_Mat!$K$6:$N$9,MATCH($H21,Lab_Mat!$J$6:$J$9,0),MATCH($S$4,Lab_Mat!$K$5:$N$5,0))*P21*HLOOKUP(Y$5,Escalators!$I$25:$U$30,3,FALSE)</f>
        <v>0</v>
      </c>
      <c r="Z21" s="47">
        <f>INDEX(Lab_Mat!$K$6:$N$9,MATCH($H21,Lab_Mat!$J$6:$J$9,0),MATCH($S$4,Lab_Mat!$K$5:$N$5,0))*Q21*HLOOKUP(Z$5,Escalators!$I$25:$U$30,3,FALSE)</f>
        <v>0</v>
      </c>
      <c r="AB21" s="47">
        <f>INDEX(Lab_Mat!$K$6:$N$9,MATCH($H21,Lab_Mat!$J$6:$J$9,0),MATCH($AG$4,Lab_Mat!$K$5:$N$5,0))*$J21*INDEX(Act_Type_Repex_Splits,MATCH($I21,Act_Type_Repex,0),MATCH(AB$4,Mat_Type,0))*INDEX(Escalators!$I$44:$Q$49,MATCH(AB$4,Escalators!$C$44:$C$49,0),MATCH(AB$5,Escalators!$I$43:$Q$43,0))</f>
        <v>0</v>
      </c>
      <c r="AC21" s="47">
        <f>INDEX(Lab_Mat!$K$6:$N$9,MATCH($H21,Lab_Mat!$J$6:$J$9,0),MATCH($AG$4,Lab_Mat!$K$5:$N$5,0))*$J21*INDEX(Act_Type_Repex_Splits,MATCH($I21,Act_Type_Repex,0),MATCH(AC$4,Mat_Type,0))*INDEX(Escalators!$I$44:$Q$49,MATCH(AC$4,Escalators!$C$44:$C$49,0),MATCH(AC$5,Escalators!$I$43:$Q$43,0))</f>
        <v>0</v>
      </c>
      <c r="AD21" s="47">
        <f>INDEX(Lab_Mat!$K$6:$N$9,MATCH($H21,Lab_Mat!$J$6:$J$9,0),MATCH($AG$4,Lab_Mat!$K$5:$N$5,0))*$J21*INDEX(Act_Type_Repex_Splits,MATCH($I21,Act_Type_Repex,0),MATCH(AD$4,Mat_Type,0))*INDEX(Escalators!$I$44:$Q$49,MATCH(AD$4,Escalators!$C$44:$C$49,0),MATCH(AD$5,Escalators!$I$43:$Q$43,0))</f>
        <v>0</v>
      </c>
      <c r="AE21" s="47">
        <f>INDEX(Lab_Mat!$K$6:$N$9,MATCH($H21,Lab_Mat!$J$6:$J$9,0),MATCH($AG$4,Lab_Mat!$K$5:$N$5,0))*$J21*INDEX(Act_Type_Repex_Splits,MATCH($I21,Act_Type_Repex,0),MATCH(AE$4,Mat_Type,0))*INDEX(Escalators!$I$44:$Q$49,MATCH(AE$4,Escalators!$C$44:$C$49,0),MATCH(AE$5,Escalators!$I$43:$Q$43,0))</f>
        <v>0</v>
      </c>
      <c r="AF21" s="47">
        <f>INDEX(Lab_Mat!$K$6:$N$9,MATCH($H21,Lab_Mat!$J$6:$J$9,0),MATCH($AG$4,Lab_Mat!$K$5:$N$5,0))*$J21*INDEX(Act_Type_Repex_Splits,MATCH($I21,Act_Type_Repex,0),MATCH(AF$4,Mat_Type,0))*INDEX(Escalators!$I$44:$Q$49,MATCH(AF$4,Escalators!$C$44:$C$49,0),MATCH(AF$5,Escalators!$I$43:$Q$43,0))</f>
        <v>0</v>
      </c>
      <c r="AG21" s="47">
        <f t="shared" ref="AG21" si="47">SUM(AB21:AF21)</f>
        <v>0</v>
      </c>
      <c r="AH21" s="47">
        <f>INDEX(Lab_Mat!$K$6:$N$9,MATCH($H21,Lab_Mat!$J$6:$J$9,0),MATCH($AY$4,Lab_Mat!$K$5:$N$5,0))*$K21*INDEX(Act_Type_Repex_Splits,MATCH($I21,Act_Type_Repex,0),MATCH(AH$4,Mat_Type,0))*INDEX(Escalators!$I$44:$U$49,MATCH(AH$4,Escalators!$C$44:$C$49,0),MATCH(AH$5,Escalators!$I$43:$U$43,0))</f>
        <v>0</v>
      </c>
      <c r="AI21" s="47">
        <f>INDEX(Lab_Mat!$K$6:$N$9,MATCH($H21,Lab_Mat!$J$6:$J$9,0),MATCH($AY$4,Lab_Mat!$K$5:$N$5,0))*$K21*INDEX(Act_Type_Repex_Splits,MATCH($I21,Act_Type_Repex,0),MATCH(AI$4,Mat_Type,0))*INDEX(Escalators!$I$44:$U$49,MATCH(AI$4,Escalators!$C$44:$C$49,0),MATCH(AI$5,Escalators!$I$43:$U$43,0))</f>
        <v>0</v>
      </c>
      <c r="AJ21" s="47">
        <f>INDEX(Lab_Mat!$K$6:$N$9,MATCH($H21,Lab_Mat!$J$6:$J$9,0),MATCH($AY$4,Lab_Mat!$K$5:$N$5,0))*$K21*INDEX(Act_Type_Repex_Splits,MATCH($I21,Act_Type_Repex,0),MATCH(AJ$4,Mat_Type,0))*INDEX(Escalators!$I$44:$U$49,MATCH(AJ$4,Escalators!$C$44:$C$49,0),MATCH(AJ$5,Escalators!$I$43:$U$43,0))</f>
        <v>0</v>
      </c>
      <c r="AK21" s="47">
        <f>INDEX(Lab_Mat!$K$6:$N$9,MATCH($H21,Lab_Mat!$J$6:$J$9,0),MATCH($AY$4,Lab_Mat!$K$5:$N$5,0))*$K21*INDEX(Act_Type_Repex_Splits,MATCH($I21,Act_Type_Repex,0),MATCH(AK$4,Mat_Type,0))*INDEX(Escalators!$I$44:$U$49,MATCH(AK$4,Escalators!$C$44:$C$49,0),MATCH(AK$5,Escalators!$I$43:$U$43,0))</f>
        <v>0</v>
      </c>
      <c r="AL21" s="47">
        <f>INDEX(Lab_Mat!$K$6:$N$9,MATCH($H21,Lab_Mat!$J$6:$J$9,0),MATCH($AY$4,Lab_Mat!$K$5:$N$5,0))*$K21*INDEX(Act_Type_Repex_Splits,MATCH($I21,Act_Type_Repex,0),MATCH(AL$4,Mat_Type,0))*INDEX(Escalators!$I$44:$U$49,MATCH(AL$4,Escalators!$C$44:$C$49,0),MATCH(AL$5,Escalators!$I$43:$U$43,0))</f>
        <v>0</v>
      </c>
      <c r="AM21" s="47">
        <f t="shared" ref="AM21" si="48">SUM(AH21:AL21)</f>
        <v>0</v>
      </c>
      <c r="AN21" s="47">
        <f>INDEX(Lab_Mat!$K$6:$N$9,MATCH($H21,Lab_Mat!$J$6:$J$9,0),MATCH($AY$4,Lab_Mat!$K$5:$N$5,0))*$L21*INDEX(Act_Type_Repex_Splits,MATCH($I21,Act_Type_Repex,0),MATCH(AN$4,Mat_Type,0))*INDEX(Escalators!$I$44:$U$49,MATCH(AN$4,Escalators!$C$44:$C$49,0),MATCH(AN$5,Escalators!$I$43:$U$43,0))</f>
        <v>0</v>
      </c>
      <c r="AO21" s="47">
        <f>INDEX(Lab_Mat!$K$6:$N$9,MATCH($H21,Lab_Mat!$J$6:$J$9,0),MATCH($AY$4,Lab_Mat!$K$5:$N$5,0))*$L21*INDEX(Act_Type_Repex_Splits,MATCH($I21,Act_Type_Repex,0),MATCH(AO$4,Mat_Type,0))*INDEX(Escalators!$I$44:$U$49,MATCH(AO$4,Escalators!$C$44:$C$49,0),MATCH(AO$5,Escalators!$I$43:$U$43,0))</f>
        <v>0</v>
      </c>
      <c r="AP21" s="47">
        <f>INDEX(Lab_Mat!$K$6:$N$9,MATCH($H21,Lab_Mat!$J$6:$J$9,0),MATCH($AY$4,Lab_Mat!$K$5:$N$5,0))*$L21*INDEX(Act_Type_Repex_Splits,MATCH($I21,Act_Type_Repex,0),MATCH(AP$4,Mat_Type,0))*INDEX(Escalators!$I$44:$U$49,MATCH(AP$4,Escalators!$C$44:$C$49,0),MATCH(AP$5,Escalators!$I$43:$U$43,0))</f>
        <v>0</v>
      </c>
      <c r="AQ21" s="47">
        <f>INDEX(Lab_Mat!$K$6:$N$9,MATCH($H21,Lab_Mat!$J$6:$J$9,0),MATCH($AY$4,Lab_Mat!$K$5:$N$5,0))*$L21*INDEX(Act_Type_Repex_Splits,MATCH($I21,Act_Type_Repex,0),MATCH(AQ$4,Mat_Type,0))*INDEX(Escalators!$I$44:$U$49,MATCH(AQ$4,Escalators!$C$44:$C$49,0),MATCH(AQ$5,Escalators!$I$43:$U$43,0))</f>
        <v>0</v>
      </c>
      <c r="AR21" s="47">
        <f>INDEX(Lab_Mat!$K$6:$N$9,MATCH($H21,Lab_Mat!$J$6:$J$9,0),MATCH($AY$4,Lab_Mat!$K$5:$N$5,0))*$L21*INDEX(Act_Type_Repex_Splits,MATCH($I21,Act_Type_Repex,0),MATCH(AR$4,Mat_Type,0))*INDEX(Escalators!$I$44:$U$49,MATCH(AR$4,Escalators!$C$44:$C$49,0),MATCH(AR$5,Escalators!$I$43:$U$43,0))</f>
        <v>0</v>
      </c>
      <c r="AS21" s="47">
        <f t="shared" ref="AS21" si="49">SUM(AN21:AR21)</f>
        <v>0</v>
      </c>
      <c r="AT21" s="47">
        <f>INDEX(Lab_Mat!$K$6:$N$9,MATCH($H21,Lab_Mat!$J$6:$J$9,0),MATCH($AY$4,Lab_Mat!$K$5:$N$5,0))*$M21*INDEX(Act_Type_Repex_Splits,MATCH($I21,Act_Type_Repex,0),MATCH(AT$4,Mat_Type,0))*INDEX(Escalators!$I$44:$U$49,MATCH(AT$4,Escalators!$C$44:$C$49,0),MATCH(AT$5,Escalators!$I$43:$U$43,0))</f>
        <v>0</v>
      </c>
      <c r="AU21" s="47">
        <f>INDEX(Lab_Mat!$K$6:$N$9,MATCH($H21,Lab_Mat!$J$6:$J$9,0),MATCH($AY$4,Lab_Mat!$K$5:$N$5,0))*$M21*INDEX(Act_Type_Repex_Splits,MATCH($I21,Act_Type_Repex,0),MATCH(AU$4,Mat_Type,0))*INDEX(Escalators!$I$44:$U$49,MATCH(AU$4,Escalators!$C$44:$C$49,0),MATCH(AU$5,Escalators!$I$43:$U$43,0))</f>
        <v>0</v>
      </c>
      <c r="AV21" s="47">
        <f>INDEX(Lab_Mat!$K$6:$N$9,MATCH($H21,Lab_Mat!$J$6:$J$9,0),MATCH($AY$4,Lab_Mat!$K$5:$N$5,0))*$M21*INDEX(Act_Type_Repex_Splits,MATCH($I21,Act_Type_Repex,0),MATCH(AV$4,Mat_Type,0))*INDEX(Escalators!$I$44:$U$49,MATCH(AV$4,Escalators!$C$44:$C$49,0),MATCH(AV$5,Escalators!$I$43:$U$43,0))</f>
        <v>0</v>
      </c>
      <c r="AW21" s="47">
        <f>INDEX(Lab_Mat!$K$6:$N$9,MATCH($H21,Lab_Mat!$J$6:$J$9,0),MATCH($AY$4,Lab_Mat!$K$5:$N$5,0))*$M21*INDEX(Act_Type_Repex_Splits,MATCH($I21,Act_Type_Repex,0),MATCH(AW$4,Mat_Type,0))*INDEX(Escalators!$I$44:$U$49,MATCH(AW$4,Escalators!$C$44:$C$49,0),MATCH(AW$5,Escalators!$I$43:$U$43,0))</f>
        <v>0</v>
      </c>
      <c r="AX21" s="47">
        <f>INDEX(Lab_Mat!$K$6:$N$9,MATCH($H21,Lab_Mat!$J$6:$J$9,0),MATCH($AY$4,Lab_Mat!$K$5:$N$5,0))*$M21*INDEX(Act_Type_Repex_Splits,MATCH($I21,Act_Type_Repex,0),MATCH(AX$4,Mat_Type,0))*INDEX(Escalators!$I$44:$U$49,MATCH(AX$4,Escalators!$C$44:$C$49,0),MATCH(AX$5,Escalators!$I$43:$U$43,0))</f>
        <v>0</v>
      </c>
      <c r="AY21" s="47">
        <f t="shared" ref="AY21" si="50">SUM(AT21:AX21)</f>
        <v>0</v>
      </c>
      <c r="AZ21" s="47">
        <f>INDEX(Lab_Mat!$K$6:$N$9,MATCH($H21,Lab_Mat!$J$6:$J$9,0),MATCH($BE$4,Lab_Mat!$K$5:$N$5,0))*$N21*INDEX(Act_Type_Repex_Splits,MATCH($I21,Act_Type_Repex,0),MATCH(AZ$4,Mat_Type,0))*INDEX(Escalators!$I$44:$U$49,MATCH(AZ$4,Escalators!$C$44:$C$49,0),MATCH(AZ$5,Escalators!$I$43:$U$43,0))</f>
        <v>0</v>
      </c>
      <c r="BA21" s="47">
        <f>INDEX(Lab_Mat!$K$6:$N$9,MATCH($H21,Lab_Mat!$J$6:$J$9,0),MATCH($BE$4,Lab_Mat!$K$5:$N$5,0))*$N21*INDEX(Act_Type_Repex_Splits,MATCH($I21,Act_Type_Repex,0),MATCH(BA$4,Mat_Type,0))*INDEX(Escalators!$I$44:$U$49,MATCH(BA$4,Escalators!$C$44:$C$49,0),MATCH(BA$5,Escalators!$I$43:$U$43,0))</f>
        <v>0</v>
      </c>
      <c r="BB21" s="47">
        <f>INDEX(Lab_Mat!$K$6:$N$9,MATCH($H21,Lab_Mat!$J$6:$J$9,0),MATCH($BE$4,Lab_Mat!$K$5:$N$5,0))*$N21*INDEX(Act_Type_Repex_Splits,MATCH($I21,Act_Type_Repex,0),MATCH(BB$4,Mat_Type,0))*INDEX(Escalators!$I$44:$U$49,MATCH(BB$4,Escalators!$C$44:$C$49,0),MATCH(BB$5,Escalators!$I$43:$U$43,0))</f>
        <v>0</v>
      </c>
      <c r="BC21" s="47">
        <f>INDEX(Lab_Mat!$K$6:$N$9,MATCH($H21,Lab_Mat!$J$6:$J$9,0),MATCH($BE$4,Lab_Mat!$K$5:$N$5,0))*$N21*INDEX(Act_Type_Repex_Splits,MATCH($I21,Act_Type_Repex,0),MATCH(BC$4,Mat_Type,0))*INDEX(Escalators!$I$44:$U$49,MATCH(BC$4,Escalators!$C$44:$C$49,0),MATCH(BC$5,Escalators!$I$43:$U$43,0))</f>
        <v>0</v>
      </c>
      <c r="BD21" s="47">
        <f>INDEX(Lab_Mat!$K$6:$N$9,MATCH($H21,Lab_Mat!$J$6:$J$9,0),MATCH($BE$4,Lab_Mat!$K$5:$N$5,0))*$N21*INDEX(Act_Type_Repex_Splits,MATCH($I21,Act_Type_Repex,0),MATCH(BD$4,Mat_Type,0))*INDEX(Escalators!$I$44:$U$49,MATCH(BD$4,Escalators!$C$44:$C$49,0),MATCH(BD$5,Escalators!$I$43:$U$43,0))</f>
        <v>0</v>
      </c>
      <c r="BE21" s="47">
        <f t="shared" ref="BE21" si="51">SUM(AZ21:BD21)</f>
        <v>0</v>
      </c>
      <c r="BF21" s="47">
        <f>INDEX(Lab_Mat!$K$6:$N$9,MATCH($H21,Lab_Mat!$J$6:$J$9,0),MATCH($BK$4,Lab_Mat!$K$5:$N$5,0))*$O21*INDEX(Act_Type_Repex_Splits,MATCH($I21,Act_Type_Repex,0),MATCH(BF$4,Mat_Type,0))*INDEX(Escalators!$I$44:$U$49,MATCH(BF$4,Escalators!$C$44:$C$49,0),MATCH(BF$5,Escalators!$I$43:$U$43,0))</f>
        <v>0</v>
      </c>
      <c r="BG21" s="47">
        <f>INDEX(Lab_Mat!$K$6:$N$9,MATCH($H21,Lab_Mat!$J$6:$J$9,0),MATCH($BK$4,Lab_Mat!$K$5:$N$5,0))*$O21*INDEX(Act_Type_Repex_Splits,MATCH($I21,Act_Type_Repex,0),MATCH(BG$4,Mat_Type,0))*INDEX(Escalators!$I$44:$U$49,MATCH(BG$4,Escalators!$C$44:$C$49,0),MATCH(BG$5,Escalators!$I$43:$U$43,0))</f>
        <v>0</v>
      </c>
      <c r="BH21" s="47">
        <f>INDEX(Lab_Mat!$K$6:$N$9,MATCH($H21,Lab_Mat!$J$6:$J$9,0),MATCH($BK$4,Lab_Mat!$K$5:$N$5,0))*$O21*INDEX(Act_Type_Repex_Splits,MATCH($I21,Act_Type_Repex,0),MATCH(BH$4,Mat_Type,0))*INDEX(Escalators!$I$44:$U$49,MATCH(BH$4,Escalators!$C$44:$C$49,0),MATCH(BH$5,Escalators!$I$43:$U$43,0))</f>
        <v>0</v>
      </c>
      <c r="BI21" s="47">
        <f>INDEX(Lab_Mat!$K$6:$N$9,MATCH($H21,Lab_Mat!$J$6:$J$9,0),MATCH($BK$4,Lab_Mat!$K$5:$N$5,0))*$O21*INDEX(Act_Type_Repex_Splits,MATCH($I21,Act_Type_Repex,0),MATCH(BI$4,Mat_Type,0))*INDEX(Escalators!$I$44:$U$49,MATCH(BI$4,Escalators!$C$44:$C$49,0),MATCH(BI$5,Escalators!$I$43:$U$43,0))</f>
        <v>0</v>
      </c>
      <c r="BJ21" s="47">
        <f>INDEX(Lab_Mat!$K$6:$N$9,MATCH($H21,Lab_Mat!$J$6:$J$9,0),MATCH($BK$4,Lab_Mat!$K$5:$N$5,0))*$O21*INDEX(Act_Type_Repex_Splits,MATCH($I21,Act_Type_Repex,0),MATCH(BJ$4,Mat_Type,0))*INDEX(Escalators!$I$44:$U$49,MATCH(BJ$4,Escalators!$C$44:$C$49,0),MATCH(BJ$5,Escalators!$I$43:$U$43,0))</f>
        <v>0</v>
      </c>
      <c r="BK21" s="47">
        <f t="shared" ref="BK21" si="52">SUM(BF21:BJ21)</f>
        <v>0</v>
      </c>
      <c r="BL21" s="47">
        <f>INDEX(Lab_Mat!$K$6:$N$9,MATCH($H21,Lab_Mat!$J$6:$J$9,0),MATCH($BQ$4,Lab_Mat!$K$5:$N$5,0))*$P21*INDEX(Act_Type_Repex_Splits,MATCH($I21,Act_Type_Repex,0),MATCH(BL$4,Mat_Type,0))*INDEX(Escalators!$I$44:$U$49,MATCH(BL$4,Escalators!$C$44:$C$49,0),MATCH(BL$5,Escalators!$I$43:$U$43,0))</f>
        <v>0</v>
      </c>
      <c r="BM21" s="47">
        <f>INDEX(Lab_Mat!$K$6:$N$9,MATCH($H21,Lab_Mat!$J$6:$J$9,0),MATCH($BQ$4,Lab_Mat!$K$5:$N$5,0))*$P21*INDEX(Act_Type_Repex_Splits,MATCH($I21,Act_Type_Repex,0),MATCH(BM$4,Mat_Type,0))*INDEX(Escalators!$I$44:$U$49,MATCH(BM$4,Escalators!$C$44:$C$49,0),MATCH(BM$5,Escalators!$I$43:$U$43,0))</f>
        <v>0</v>
      </c>
      <c r="BN21" s="47">
        <f>INDEX(Lab_Mat!$K$6:$N$9,MATCH($H21,Lab_Mat!$J$6:$J$9,0),MATCH($BQ$4,Lab_Mat!$K$5:$N$5,0))*$P21*INDEX(Act_Type_Repex_Splits,MATCH($I21,Act_Type_Repex,0),MATCH(BN$4,Mat_Type,0))*INDEX(Escalators!$I$44:$U$49,MATCH(BN$4,Escalators!$C$44:$C$49,0),MATCH(BN$5,Escalators!$I$43:$U$43,0))</f>
        <v>0</v>
      </c>
      <c r="BO21" s="47">
        <f>INDEX(Lab_Mat!$K$6:$N$9,MATCH($H21,Lab_Mat!$J$6:$J$9,0),MATCH($BQ$4,Lab_Mat!$K$5:$N$5,0))*$P21*INDEX(Act_Type_Repex_Splits,MATCH($I21,Act_Type_Repex,0),MATCH(BO$4,Mat_Type,0))*INDEX(Escalators!$I$44:$U$49,MATCH(BO$4,Escalators!$C$44:$C$49,0),MATCH(BO$5,Escalators!$I$43:$U$43,0))</f>
        <v>0</v>
      </c>
      <c r="BP21" s="47">
        <f>INDEX(Lab_Mat!$K$6:$N$9,MATCH($H21,Lab_Mat!$J$6:$J$9,0),MATCH($BQ$4,Lab_Mat!$K$5:$N$5,0))*$P21*INDEX(Act_Type_Repex_Splits,MATCH($I21,Act_Type_Repex,0),MATCH(BP$4,Mat_Type,0))*INDEX(Escalators!$I$44:$U$49,MATCH(BP$4,Escalators!$C$44:$C$49,0),MATCH(BP$5,Escalators!$I$43:$U$43,0))</f>
        <v>0</v>
      </c>
      <c r="BQ21" s="47">
        <f t="shared" ref="BQ21" si="53">SUM(BL21:BP21)</f>
        <v>0</v>
      </c>
      <c r="BR21" s="47">
        <f>INDEX(Lab_Mat!$K$6:$N$9,MATCH($H21,Lab_Mat!$J$6:$J$9,0),MATCH($BW$4,Lab_Mat!$K$5:$N$5,0))*$Q21*INDEX(Act_Type_Repex_Splits,MATCH($I21,Act_Type_Repex,0),MATCH(BR$4,Mat_Type,0))*INDEX(Escalators!$I$44:$U$49,MATCH(BR$4,Escalators!$C$44:$C$49,0),MATCH(BR$5,Escalators!$I$43:$U$43,0))</f>
        <v>0</v>
      </c>
      <c r="BS21" s="47">
        <f>INDEX(Lab_Mat!$K$6:$N$9,MATCH($H21,Lab_Mat!$J$6:$J$9,0),MATCH($BW$4,Lab_Mat!$K$5:$N$5,0))*$Q21*INDEX(Act_Type_Repex_Splits,MATCH($I21,Act_Type_Repex,0),MATCH(BS$4,Mat_Type,0))*INDEX(Escalators!$I$44:$U$49,MATCH(BS$4,Escalators!$C$44:$C$49,0),MATCH(BS$5,Escalators!$I$43:$U$43,0))</f>
        <v>0</v>
      </c>
      <c r="BT21" s="47">
        <f>INDEX(Lab_Mat!$K$6:$N$9,MATCH($H21,Lab_Mat!$J$6:$J$9,0),MATCH($BW$4,Lab_Mat!$K$5:$N$5,0))*$Q21*INDEX(Act_Type_Repex_Splits,MATCH($I21,Act_Type_Repex,0),MATCH(BT$4,Mat_Type,0))*INDEX(Escalators!$I$44:$U$49,MATCH(BT$4,Escalators!$C$44:$C$49,0),MATCH(BT$5,Escalators!$I$43:$U$43,0))</f>
        <v>0</v>
      </c>
      <c r="BU21" s="47">
        <f>INDEX(Lab_Mat!$K$6:$N$9,MATCH($H21,Lab_Mat!$J$6:$J$9,0),MATCH($BW$4,Lab_Mat!$K$5:$N$5,0))*$Q21*INDEX(Act_Type_Repex_Splits,MATCH($I21,Act_Type_Repex,0),MATCH(BU$4,Mat_Type,0))*INDEX(Escalators!$I$44:$U$49,MATCH(BU$4,Escalators!$C$44:$C$49,0),MATCH(BU$5,Escalators!$I$43:$U$43,0))</f>
        <v>0</v>
      </c>
      <c r="BV21" s="47">
        <f>INDEX(Lab_Mat!$K$6:$N$9,MATCH($H21,Lab_Mat!$J$6:$J$9,0),MATCH($BW$4,Lab_Mat!$K$5:$N$5,0))*$Q21*INDEX(Act_Type_Repex_Splits,MATCH($I21,Act_Type_Repex,0),MATCH(BV$4,Mat_Type,0))*INDEX(Escalators!$I$44:$U$49,MATCH(BV$4,Escalators!$C$44:$C$49,0),MATCH(BV$5,Escalators!$I$43:$U$43,0))</f>
        <v>0</v>
      </c>
      <c r="BW21" s="47">
        <f t="shared" ref="BW21" si="54">SUM(BR21:BV21)</f>
        <v>0</v>
      </c>
      <c r="BY21" s="47">
        <f>INDEX(Lab_Mat!$K$6:$N$9,MATCH($H21,Lab_Mat!$J$6:$J$9,0),MATCH($BY$4,Lab_Mat!$K$5:$N$5,0))*J21*HLOOKUP(BY$5,Escalators!$I$25:$U$30,6,FALSE)</f>
        <v>0</v>
      </c>
      <c r="BZ21" s="47">
        <f>INDEX(Lab_Mat!$K$6:$N$9,MATCH($H21,Lab_Mat!$J$6:$J$9,0),MATCH($BY$4,Lab_Mat!$K$5:$N$5,0))*K21*HLOOKUP(BZ$5,Escalators!$I$25:$U$30,6,FALSE)</f>
        <v>0</v>
      </c>
      <c r="CA21" s="47">
        <f>INDEX(Lab_Mat!$K$6:$N$9,MATCH($H21,Lab_Mat!$J$6:$J$9,0),MATCH($BY$4,Lab_Mat!$K$5:$N$5,0))*L21*HLOOKUP(CA$5,Escalators!$I$25:$U$30,6,FALSE)</f>
        <v>0</v>
      </c>
      <c r="CB21" s="47">
        <f>INDEX(Lab_Mat!$K$6:$N$9,MATCH($H21,Lab_Mat!$J$6:$J$9,0),MATCH($BY$4,Lab_Mat!$K$5:$N$5,0))*M21*HLOOKUP(CB$5,Escalators!$I$25:$U$30,6,FALSE)</f>
        <v>0</v>
      </c>
      <c r="CC21" s="47">
        <f>INDEX(Lab_Mat!$K$6:$N$9,MATCH($H21,Lab_Mat!$J$6:$J$9,0),MATCH($BY$4,Lab_Mat!$K$5:$N$5,0))*N21*HLOOKUP(CC$5,Escalators!$I$25:$U$30,6,FALSE)</f>
        <v>0</v>
      </c>
      <c r="CD21" s="47">
        <f>INDEX(Lab_Mat!$K$6:$N$9,MATCH($H21,Lab_Mat!$J$6:$J$9,0),MATCH($BY$4,Lab_Mat!$K$5:$N$5,0))*O21*HLOOKUP(CD$5,Escalators!$I$25:$U$30,6,FALSE)</f>
        <v>0</v>
      </c>
      <c r="CE21" s="47">
        <f>INDEX(Lab_Mat!$K$6:$N$9,MATCH($H21,Lab_Mat!$J$6:$J$9,0),MATCH($BY$4,Lab_Mat!$K$5:$N$5,0))*P21*HLOOKUP(CE$5,Escalators!$I$25:$U$30,6,FALSE)</f>
        <v>0</v>
      </c>
      <c r="CF21" s="47">
        <f>INDEX(Lab_Mat!$K$6:$N$9,MATCH($H21,Lab_Mat!$J$6:$J$9,0),MATCH($BY$4,Lab_Mat!$K$5:$N$5,0))*Q21*HLOOKUP(CF$5,Escalators!$I$25:$U$30,6,FALSE)</f>
        <v>0</v>
      </c>
      <c r="CH21" s="82">
        <f>INDEX(Lab_Mat!$K$6:$N$9,MATCH($H21,Lab_Mat!$J$6:$J$9,0),MATCH($CH$4,Lab_Mat!$K$5:$N$5,0))*J21</f>
        <v>0</v>
      </c>
      <c r="CI21" s="82">
        <f>INDEX(Lab_Mat!$K$6:$N$9,MATCH($H21,Lab_Mat!$J$6:$J$9,0),MATCH($CH$4,Lab_Mat!$K$5:$N$5,0))*K21</f>
        <v>0</v>
      </c>
      <c r="CJ21" s="82">
        <f>INDEX(Lab_Mat!$K$6:$N$9,MATCH($H21,Lab_Mat!$J$6:$J$9,0),MATCH($CH$4,Lab_Mat!$K$5:$N$5,0))*L21</f>
        <v>0</v>
      </c>
      <c r="CK21" s="82">
        <f>INDEX(Lab_Mat!$K$6:$N$9,MATCH($H21,Lab_Mat!$J$6:$J$9,0),MATCH($CH$4,Lab_Mat!$K$5:$N$5,0))*M21</f>
        <v>0</v>
      </c>
      <c r="CL21" s="82">
        <f>INDEX(Lab_Mat!$K$6:$N$9,MATCH($H21,Lab_Mat!$J$6:$J$9,0),MATCH($CH$4,Lab_Mat!$K$5:$N$5,0))*N21</f>
        <v>0</v>
      </c>
      <c r="CM21" s="82">
        <f>INDEX(Lab_Mat!$K$6:$N$9,MATCH($H21,Lab_Mat!$J$6:$J$9,0),MATCH($CH$4,Lab_Mat!$K$5:$N$5,0))*O21</f>
        <v>0</v>
      </c>
      <c r="CN21" s="82">
        <f>INDEX(Lab_Mat!$K$6:$N$9,MATCH($H21,Lab_Mat!$J$6:$J$9,0),MATCH($CH$4,Lab_Mat!$K$5:$N$5,0))*P21</f>
        <v>0</v>
      </c>
      <c r="CO21" s="82">
        <f>INDEX(Lab_Mat!$K$6:$N$9,MATCH($H21,Lab_Mat!$J$6:$J$9,0),MATCH($CH$4,Lab_Mat!$K$5:$N$5,0))*Q21</f>
        <v>0</v>
      </c>
      <c r="CQ21" s="47">
        <f t="shared" si="40"/>
        <v>0</v>
      </c>
      <c r="CR21" s="47">
        <f t="shared" si="41"/>
        <v>0</v>
      </c>
      <c r="CS21" s="47">
        <f t="shared" si="24"/>
        <v>0</v>
      </c>
      <c r="CT21" s="47">
        <f t="shared" si="42"/>
        <v>0</v>
      </c>
      <c r="CU21" s="47">
        <f t="shared" si="43"/>
        <v>0</v>
      </c>
      <c r="CV21" s="47">
        <f t="shared" si="44"/>
        <v>0</v>
      </c>
      <c r="CW21" s="47">
        <f t="shared" si="45"/>
        <v>0</v>
      </c>
      <c r="CX21" s="47">
        <f t="shared" si="46"/>
        <v>0</v>
      </c>
      <c r="CY21" s="39"/>
      <c r="CZ21" s="39"/>
      <c r="DA21" s="39"/>
      <c r="DB21" s="39"/>
      <c r="DC21" s="39"/>
    </row>
    <row r="22" spans="2:109">
      <c r="B22" s="6"/>
      <c r="C22" s="6"/>
      <c r="D22" s="6"/>
      <c r="E22" s="6"/>
      <c r="F22" s="6"/>
      <c r="G22" s="6"/>
      <c r="H22" s="6"/>
      <c r="I22" s="6"/>
      <c r="J22" s="47"/>
      <c r="K22" s="47"/>
      <c r="L22" s="47"/>
      <c r="M22" s="47"/>
      <c r="N22" s="47"/>
      <c r="O22" s="47"/>
      <c r="P22" s="47"/>
      <c r="Q22" s="47"/>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47"/>
      <c r="CI22" s="47"/>
      <c r="CJ22" s="47"/>
      <c r="CK22" s="47"/>
      <c r="CL22" s="47"/>
      <c r="CM22" s="47"/>
      <c r="CN22" s="47"/>
      <c r="CO22" s="47"/>
      <c r="CQ22" s="47">
        <f t="shared" si="40"/>
        <v>0</v>
      </c>
      <c r="CR22" s="47">
        <f t="shared" si="41"/>
        <v>0</v>
      </c>
      <c r="CS22" s="47">
        <f t="shared" si="24"/>
        <v>0</v>
      </c>
      <c r="CT22" s="47">
        <f t="shared" si="42"/>
        <v>0</v>
      </c>
      <c r="CU22" s="47">
        <f t="shared" si="43"/>
        <v>0</v>
      </c>
      <c r="CV22" s="47">
        <f t="shared" si="44"/>
        <v>0</v>
      </c>
      <c r="CW22" s="47">
        <f t="shared" si="45"/>
        <v>0</v>
      </c>
      <c r="CX22" s="47">
        <f t="shared" si="46"/>
        <v>0</v>
      </c>
      <c r="DE22" s="1" t="str">
        <f t="shared" si="8"/>
        <v/>
      </c>
    </row>
    <row r="23" spans="2:109">
      <c r="B23" s="6"/>
      <c r="C23" s="64" t="s">
        <v>408</v>
      </c>
      <c r="D23" s="6" t="s">
        <v>405</v>
      </c>
      <c r="E23" s="6" t="s">
        <v>44</v>
      </c>
      <c r="F23" s="6" t="s">
        <v>55</v>
      </c>
      <c r="G23" s="6" t="s">
        <v>10</v>
      </c>
      <c r="H23" s="6" t="s">
        <v>741</v>
      </c>
      <c r="I23" s="6" t="s">
        <v>186</v>
      </c>
      <c r="J23" s="47"/>
      <c r="K23" s="47"/>
      <c r="L23" s="47"/>
      <c r="M23" s="47">
        <v>10410.48366778005</v>
      </c>
      <c r="N23" s="47">
        <v>3331.203348339935</v>
      </c>
      <c r="O23" s="47">
        <v>0</v>
      </c>
      <c r="P23" s="47"/>
      <c r="Q23" s="47"/>
      <c r="S23" s="47">
        <f>INDEX(Lab_Mat!$K$6:$N$9,MATCH($H23,Lab_Mat!$J$6:$J$9,0),MATCH($S$4,Lab_Mat!$K$5:$N$5,0))*J23*HLOOKUP(S$5,Escalators!$I$25:$U$30,3,FALSE)</f>
        <v>0</v>
      </c>
      <c r="T23" s="47">
        <f>INDEX(Lab_Mat!$K$6:$N$9,MATCH($H23,Lab_Mat!$J$6:$J$9,0),MATCH($S$4,Lab_Mat!$K$5:$N$5,0))*K23*HLOOKUP(T$5,Escalators!$I$25:$U$30,3,FALSE)</f>
        <v>0</v>
      </c>
      <c r="U23" s="47">
        <f>INDEX(Lab_Mat!$K$6:$N$9,MATCH($H23,Lab_Mat!$J$6:$J$9,0),MATCH($S$4,Lab_Mat!$K$5:$N$5,0))*L23*HLOOKUP(U$5,Escalators!$I$25:$U$30,3,FALSE)</f>
        <v>0</v>
      </c>
      <c r="V23" s="47">
        <f>INDEX(Lab_Mat!$K$6:$N$9,MATCH($H23,Lab_Mat!$J$6:$J$9,0),MATCH($S$4,Lab_Mat!$K$5:$N$5,0))*M23*HLOOKUP(V$5,Escalators!$I$25:$U$30,3,FALSE)</f>
        <v>1977.1278924087585</v>
      </c>
      <c r="W23" s="47">
        <f>INDEX(Lab_Mat!$K$6:$N$9,MATCH($H23,Lab_Mat!$J$6:$J$9,0),MATCH($S$4,Lab_Mat!$K$5:$N$5,0))*N23*HLOOKUP(W$5,Escalators!$I$25:$U$30,3,FALSE)</f>
        <v>635.79068730781307</v>
      </c>
      <c r="X23" s="47">
        <f>INDEX(Lab_Mat!$K$6:$N$9,MATCH($H23,Lab_Mat!$J$6:$J$9,0),MATCH($S$4,Lab_Mat!$K$5:$N$5,0))*O23*HLOOKUP(X$5,Escalators!$I$25:$U$30,3,FALSE)</f>
        <v>0</v>
      </c>
      <c r="Y23" s="47">
        <f>INDEX(Lab_Mat!$K$6:$N$9,MATCH($H23,Lab_Mat!$J$6:$J$9,0),MATCH($S$4,Lab_Mat!$K$5:$N$5,0))*P23*HLOOKUP(Y$5,Escalators!$I$25:$U$30,3,FALSE)</f>
        <v>0</v>
      </c>
      <c r="Z23" s="47">
        <f>INDEX(Lab_Mat!$K$6:$N$9,MATCH($H23,Lab_Mat!$J$6:$J$9,0),MATCH($S$4,Lab_Mat!$K$5:$N$5,0))*Q23*HLOOKUP(Z$5,Escalators!$I$25:$U$30,3,FALSE)</f>
        <v>0</v>
      </c>
      <c r="AB23" s="47">
        <f>INDEX(Lab_Mat!$K$6:$N$9,MATCH($H23,Lab_Mat!$J$6:$J$9,0),MATCH($AG$4,Lab_Mat!$K$5:$N$5,0))*$J23*INDEX(Act_Type_Repex_Splits,MATCH($I23,Act_Type_Repex,0),MATCH(AB$4,Mat_Type,0))*INDEX(Escalators!$I$44:$Q$49,MATCH(AB$4,Escalators!$C$44:$C$49,0),MATCH(AB$5,Escalators!$I$43:$Q$43,0))</f>
        <v>0</v>
      </c>
      <c r="AC23" s="47">
        <f>INDEX(Lab_Mat!$K$6:$N$9,MATCH($H23,Lab_Mat!$J$6:$J$9,0),MATCH($AG$4,Lab_Mat!$K$5:$N$5,0))*$J23*INDEX(Act_Type_Repex_Splits,MATCH($I23,Act_Type_Repex,0),MATCH(AC$4,Mat_Type,0))*INDEX(Escalators!$I$44:$Q$49,MATCH(AC$4,Escalators!$C$44:$C$49,0),MATCH(AC$5,Escalators!$I$43:$Q$43,0))</f>
        <v>0</v>
      </c>
      <c r="AD23" s="47">
        <f>INDEX(Lab_Mat!$K$6:$N$9,MATCH($H23,Lab_Mat!$J$6:$J$9,0),MATCH($AG$4,Lab_Mat!$K$5:$N$5,0))*$J23*INDEX(Act_Type_Repex_Splits,MATCH($I23,Act_Type_Repex,0),MATCH(AD$4,Mat_Type,0))*INDEX(Escalators!$I$44:$Q$49,MATCH(AD$4,Escalators!$C$44:$C$49,0),MATCH(AD$5,Escalators!$I$43:$Q$43,0))</f>
        <v>0</v>
      </c>
      <c r="AE23" s="47">
        <f>INDEX(Lab_Mat!$K$6:$N$9,MATCH($H23,Lab_Mat!$J$6:$J$9,0),MATCH($AG$4,Lab_Mat!$K$5:$N$5,0))*$J23*INDEX(Act_Type_Repex_Splits,MATCH($I23,Act_Type_Repex,0),MATCH(AE$4,Mat_Type,0))*INDEX(Escalators!$I$44:$Q$49,MATCH(AE$4,Escalators!$C$44:$C$49,0),MATCH(AE$5,Escalators!$I$43:$Q$43,0))</f>
        <v>0</v>
      </c>
      <c r="AF23" s="47">
        <f>INDEX(Lab_Mat!$K$6:$N$9,MATCH($H23,Lab_Mat!$J$6:$J$9,0),MATCH($AG$4,Lab_Mat!$K$5:$N$5,0))*$J23*INDEX(Act_Type_Repex_Splits,MATCH($I23,Act_Type_Repex,0),MATCH(AF$4,Mat_Type,0))*INDEX(Escalators!$I$44:$Q$49,MATCH(AF$4,Escalators!$C$44:$C$49,0),MATCH(AF$5,Escalators!$I$43:$Q$43,0))</f>
        <v>0</v>
      </c>
      <c r="AG23" s="47">
        <f>SUM(AB23:AF23)</f>
        <v>0</v>
      </c>
      <c r="AH23" s="47">
        <f>INDEX(Lab_Mat!$K$6:$N$9,MATCH($H23,Lab_Mat!$J$6:$J$9,0),MATCH($AY$4,Lab_Mat!$K$5:$N$5,0))*$K23*INDEX(Act_Type_Repex_Splits,MATCH($I23,Act_Type_Repex,0),MATCH(AH$4,Mat_Type,0))*INDEX(Escalators!$I$44:$U$49,MATCH(AH$4,Escalators!$C$44:$C$49,0),MATCH(AH$5,Escalators!$I$43:$U$43,0))</f>
        <v>0</v>
      </c>
      <c r="AI23" s="47">
        <f>INDEX(Lab_Mat!$K$6:$N$9,MATCH($H23,Lab_Mat!$J$6:$J$9,0),MATCH($AY$4,Lab_Mat!$K$5:$N$5,0))*$K23*INDEX(Act_Type_Repex_Splits,MATCH($I23,Act_Type_Repex,0),MATCH(AI$4,Mat_Type,0))*INDEX(Escalators!$I$44:$U$49,MATCH(AI$4,Escalators!$C$44:$C$49,0),MATCH(AI$5,Escalators!$I$43:$U$43,0))</f>
        <v>0</v>
      </c>
      <c r="AJ23" s="47">
        <f>INDEX(Lab_Mat!$K$6:$N$9,MATCH($H23,Lab_Mat!$J$6:$J$9,0),MATCH($AY$4,Lab_Mat!$K$5:$N$5,0))*$K23*INDEX(Act_Type_Repex_Splits,MATCH($I23,Act_Type_Repex,0),MATCH(AJ$4,Mat_Type,0))*INDEX(Escalators!$I$44:$U$49,MATCH(AJ$4,Escalators!$C$44:$C$49,0),MATCH(AJ$5,Escalators!$I$43:$U$43,0))</f>
        <v>0</v>
      </c>
      <c r="AK23" s="47">
        <f>INDEX(Lab_Mat!$K$6:$N$9,MATCH($H23,Lab_Mat!$J$6:$J$9,0),MATCH($AY$4,Lab_Mat!$K$5:$N$5,0))*$K23*INDEX(Act_Type_Repex_Splits,MATCH($I23,Act_Type_Repex,0),MATCH(AK$4,Mat_Type,0))*INDEX(Escalators!$I$44:$U$49,MATCH(AK$4,Escalators!$C$44:$C$49,0),MATCH(AK$5,Escalators!$I$43:$U$43,0))</f>
        <v>0</v>
      </c>
      <c r="AL23" s="47">
        <f>INDEX(Lab_Mat!$K$6:$N$9,MATCH($H23,Lab_Mat!$J$6:$J$9,0),MATCH($AY$4,Lab_Mat!$K$5:$N$5,0))*$K23*INDEX(Act_Type_Repex_Splits,MATCH($I23,Act_Type_Repex,0),MATCH(AL$4,Mat_Type,0))*INDEX(Escalators!$I$44:$U$49,MATCH(AL$4,Escalators!$C$44:$C$49,0),MATCH(AL$5,Escalators!$I$43:$U$43,0))</f>
        <v>0</v>
      </c>
      <c r="AM23" s="47">
        <f>SUM(AH23:AL23)</f>
        <v>0</v>
      </c>
      <c r="AN23" s="47">
        <f>INDEX(Lab_Mat!$K$6:$N$9,MATCH($H23,Lab_Mat!$J$6:$J$9,0),MATCH($AY$4,Lab_Mat!$K$5:$N$5,0))*$L23*INDEX(Act_Type_Repex_Splits,MATCH($I23,Act_Type_Repex,0),MATCH(AN$4,Mat_Type,0))*INDEX(Escalators!$I$44:$U$49,MATCH(AN$4,Escalators!$C$44:$C$49,0),MATCH(AN$5,Escalators!$I$43:$U$43,0))</f>
        <v>0</v>
      </c>
      <c r="AO23" s="47">
        <f>INDEX(Lab_Mat!$K$6:$N$9,MATCH($H23,Lab_Mat!$J$6:$J$9,0),MATCH($AY$4,Lab_Mat!$K$5:$N$5,0))*$L23*INDEX(Act_Type_Repex_Splits,MATCH($I23,Act_Type_Repex,0),MATCH(AO$4,Mat_Type,0))*INDEX(Escalators!$I$44:$U$49,MATCH(AO$4,Escalators!$C$44:$C$49,0),MATCH(AO$5,Escalators!$I$43:$U$43,0))</f>
        <v>0</v>
      </c>
      <c r="AP23" s="47">
        <f>INDEX(Lab_Mat!$K$6:$N$9,MATCH($H23,Lab_Mat!$J$6:$J$9,0),MATCH($AY$4,Lab_Mat!$K$5:$N$5,0))*$L23*INDEX(Act_Type_Repex_Splits,MATCH($I23,Act_Type_Repex,0),MATCH(AP$4,Mat_Type,0))*INDEX(Escalators!$I$44:$U$49,MATCH(AP$4,Escalators!$C$44:$C$49,0),MATCH(AP$5,Escalators!$I$43:$U$43,0))</f>
        <v>0</v>
      </c>
      <c r="AQ23" s="47">
        <f>INDEX(Lab_Mat!$K$6:$N$9,MATCH($H23,Lab_Mat!$J$6:$J$9,0),MATCH($AY$4,Lab_Mat!$K$5:$N$5,0))*$L23*INDEX(Act_Type_Repex_Splits,MATCH($I23,Act_Type_Repex,0),MATCH(AQ$4,Mat_Type,0))*INDEX(Escalators!$I$44:$U$49,MATCH(AQ$4,Escalators!$C$44:$C$49,0),MATCH(AQ$5,Escalators!$I$43:$U$43,0))</f>
        <v>0</v>
      </c>
      <c r="AR23" s="47">
        <f>INDEX(Lab_Mat!$K$6:$N$9,MATCH($H23,Lab_Mat!$J$6:$J$9,0),MATCH($AY$4,Lab_Mat!$K$5:$N$5,0))*$L23*INDEX(Act_Type_Repex_Splits,MATCH($I23,Act_Type_Repex,0),MATCH(AR$4,Mat_Type,0))*INDEX(Escalators!$I$44:$U$49,MATCH(AR$4,Escalators!$C$44:$C$49,0),MATCH(AR$5,Escalators!$I$43:$U$43,0))</f>
        <v>0</v>
      </c>
      <c r="AS23" s="47">
        <f>SUM(AN23:AR23)</f>
        <v>0</v>
      </c>
      <c r="AT23" s="47">
        <f>INDEX(Lab_Mat!$K$6:$N$9,MATCH($H23,Lab_Mat!$J$6:$J$9,0),MATCH($AY$4,Lab_Mat!$K$5:$N$5,0))*$M23*INDEX(Act_Type_Repex_Splits,MATCH($I23,Act_Type_Repex,0),MATCH(AT$4,Mat_Type,0))*INDEX(Escalators!$I$44:$U$49,MATCH(AT$4,Escalators!$C$44:$C$49,0),MATCH(AT$5,Escalators!$I$43:$U$43,0))</f>
        <v>0</v>
      </c>
      <c r="AU23" s="47">
        <f>INDEX(Lab_Mat!$K$6:$N$9,MATCH($H23,Lab_Mat!$J$6:$J$9,0),MATCH($AY$4,Lab_Mat!$K$5:$N$5,0))*$M23*INDEX(Act_Type_Repex_Splits,MATCH($I23,Act_Type_Repex,0),MATCH(AU$4,Mat_Type,0))*INDEX(Escalators!$I$44:$U$49,MATCH(AU$4,Escalators!$C$44:$C$49,0),MATCH(AU$5,Escalators!$I$43:$U$43,0))</f>
        <v>1690.7738263479393</v>
      </c>
      <c r="AV23" s="47">
        <f>INDEX(Lab_Mat!$K$6:$N$9,MATCH($H23,Lab_Mat!$J$6:$J$9,0),MATCH($AY$4,Lab_Mat!$K$5:$N$5,0))*$M23*INDEX(Act_Type_Repex_Splits,MATCH($I23,Act_Type_Repex,0),MATCH(AV$4,Mat_Type,0))*INDEX(Escalators!$I$44:$U$49,MATCH(AV$4,Escalators!$C$44:$C$49,0),MATCH(AV$5,Escalators!$I$43:$U$43,0))</f>
        <v>3381.5476526958787</v>
      </c>
      <c r="AW23" s="47">
        <f>INDEX(Lab_Mat!$K$6:$N$9,MATCH($H23,Lab_Mat!$J$6:$J$9,0),MATCH($AY$4,Lab_Mat!$K$5:$N$5,0))*$M23*INDEX(Act_Type_Repex_Splits,MATCH($I23,Act_Type_Repex,0),MATCH(AW$4,Mat_Type,0))*INDEX(Escalators!$I$44:$U$49,MATCH(AW$4,Escalators!$C$44:$C$49,0),MATCH(AW$5,Escalators!$I$43:$U$43,0))</f>
        <v>563.59127544931323</v>
      </c>
      <c r="AX23" s="47">
        <f>INDEX(Lab_Mat!$K$6:$N$9,MATCH($H23,Lab_Mat!$J$6:$J$9,0),MATCH($AY$4,Lab_Mat!$K$5:$N$5,0))*$M23*INDEX(Act_Type_Repex_Splits,MATCH($I23,Act_Type_Repex,0),MATCH(AX$4,Mat_Type,0))*INDEX(Escalators!$I$44:$U$49,MATCH(AX$4,Escalators!$C$44:$C$49,0),MATCH(AX$5,Escalators!$I$43:$U$43,0))</f>
        <v>0</v>
      </c>
      <c r="AY23" s="47">
        <f>SUM(AT23:AX23)</f>
        <v>5635.9127544931307</v>
      </c>
      <c r="AZ23" s="47">
        <f>INDEX(Lab_Mat!$K$6:$N$9,MATCH($H23,Lab_Mat!$J$6:$J$9,0),MATCH($BE$4,Lab_Mat!$K$5:$N$5,0))*$N23*INDEX(Act_Type_Repex_Splits,MATCH($I23,Act_Type_Repex,0),MATCH(AZ$4,Mat_Type,0))*INDEX(Escalators!$I$44:$U$49,MATCH(AZ$4,Escalators!$C$44:$C$49,0),MATCH(AZ$5,Escalators!$I$43:$U$43,0))</f>
        <v>0</v>
      </c>
      <c r="BA23" s="47">
        <f>INDEX(Lab_Mat!$K$6:$N$9,MATCH($H23,Lab_Mat!$J$6:$J$9,0),MATCH($BE$4,Lab_Mat!$K$5:$N$5,0))*$N23*INDEX(Act_Type_Repex_Splits,MATCH($I23,Act_Type_Repex,0),MATCH(BA$4,Mat_Type,0))*INDEX(Escalators!$I$44:$U$49,MATCH(BA$4,Escalators!$C$44:$C$49,0),MATCH(BA$5,Escalators!$I$43:$U$43,0))</f>
        <v>541.02303133595171</v>
      </c>
      <c r="BB23" s="47">
        <f>INDEX(Lab_Mat!$K$6:$N$9,MATCH($H23,Lab_Mat!$J$6:$J$9,0),MATCH($BE$4,Lab_Mat!$K$5:$N$5,0))*$N23*INDEX(Act_Type_Repex_Splits,MATCH($I23,Act_Type_Repex,0),MATCH(BB$4,Mat_Type,0))*INDEX(Escalators!$I$44:$U$49,MATCH(BB$4,Escalators!$C$44:$C$49,0),MATCH(BB$5,Escalators!$I$43:$U$43,0))</f>
        <v>1082.0460626719034</v>
      </c>
      <c r="BC23" s="47">
        <f>INDEX(Lab_Mat!$K$6:$N$9,MATCH($H23,Lab_Mat!$J$6:$J$9,0),MATCH($BE$4,Lab_Mat!$K$5:$N$5,0))*$N23*INDEX(Act_Type_Repex_Splits,MATCH($I23,Act_Type_Repex,0),MATCH(BC$4,Mat_Type,0))*INDEX(Escalators!$I$44:$U$49,MATCH(BC$4,Escalators!$C$44:$C$49,0),MATCH(BC$5,Escalators!$I$43:$U$43,0))</f>
        <v>180.34101044531724</v>
      </c>
      <c r="BD23" s="47">
        <f>INDEX(Lab_Mat!$K$6:$N$9,MATCH($H23,Lab_Mat!$J$6:$J$9,0),MATCH($BE$4,Lab_Mat!$K$5:$N$5,0))*$N23*INDEX(Act_Type_Repex_Splits,MATCH($I23,Act_Type_Repex,0),MATCH(BD$4,Mat_Type,0))*INDEX(Escalators!$I$44:$U$49,MATCH(BD$4,Escalators!$C$44:$C$49,0),MATCH(BD$5,Escalators!$I$43:$U$43,0))</f>
        <v>0</v>
      </c>
      <c r="BE23" s="47">
        <f>SUM(AZ23:BD23)</f>
        <v>1803.4101044531726</v>
      </c>
      <c r="BF23" s="47">
        <f>INDEX(Lab_Mat!$K$6:$N$9,MATCH($H23,Lab_Mat!$J$6:$J$9,0),MATCH($BK$4,Lab_Mat!$K$5:$N$5,0))*$O23*INDEX(Act_Type_Repex_Splits,MATCH($I23,Act_Type_Repex,0),MATCH(BF$4,Mat_Type,0))*INDEX(Escalators!$I$44:$U$49,MATCH(BF$4,Escalators!$C$44:$C$49,0),MATCH(BF$5,Escalators!$I$43:$U$43,0))</f>
        <v>0</v>
      </c>
      <c r="BG23" s="47">
        <f>INDEX(Lab_Mat!$K$6:$N$9,MATCH($H23,Lab_Mat!$J$6:$J$9,0),MATCH($BK$4,Lab_Mat!$K$5:$N$5,0))*$O23*INDEX(Act_Type_Repex_Splits,MATCH($I23,Act_Type_Repex,0),MATCH(BG$4,Mat_Type,0))*INDEX(Escalators!$I$44:$U$49,MATCH(BG$4,Escalators!$C$44:$C$49,0),MATCH(BG$5,Escalators!$I$43:$U$43,0))</f>
        <v>0</v>
      </c>
      <c r="BH23" s="47">
        <f>INDEX(Lab_Mat!$K$6:$N$9,MATCH($H23,Lab_Mat!$J$6:$J$9,0),MATCH($BK$4,Lab_Mat!$K$5:$N$5,0))*$O23*INDEX(Act_Type_Repex_Splits,MATCH($I23,Act_Type_Repex,0),MATCH(BH$4,Mat_Type,0))*INDEX(Escalators!$I$44:$U$49,MATCH(BH$4,Escalators!$C$44:$C$49,0),MATCH(BH$5,Escalators!$I$43:$U$43,0))</f>
        <v>0</v>
      </c>
      <c r="BI23" s="47">
        <f>INDEX(Lab_Mat!$K$6:$N$9,MATCH($H23,Lab_Mat!$J$6:$J$9,0),MATCH($BK$4,Lab_Mat!$K$5:$N$5,0))*$O23*INDEX(Act_Type_Repex_Splits,MATCH($I23,Act_Type_Repex,0),MATCH(BI$4,Mat_Type,0))*INDEX(Escalators!$I$44:$U$49,MATCH(BI$4,Escalators!$C$44:$C$49,0),MATCH(BI$5,Escalators!$I$43:$U$43,0))</f>
        <v>0</v>
      </c>
      <c r="BJ23" s="47">
        <f>INDEX(Lab_Mat!$K$6:$N$9,MATCH($H23,Lab_Mat!$J$6:$J$9,0),MATCH($BK$4,Lab_Mat!$K$5:$N$5,0))*$O23*INDEX(Act_Type_Repex_Splits,MATCH($I23,Act_Type_Repex,0),MATCH(BJ$4,Mat_Type,0))*INDEX(Escalators!$I$44:$U$49,MATCH(BJ$4,Escalators!$C$44:$C$49,0),MATCH(BJ$5,Escalators!$I$43:$U$43,0))</f>
        <v>0</v>
      </c>
      <c r="BK23" s="47">
        <f>SUM(BF23:BJ23)</f>
        <v>0</v>
      </c>
      <c r="BL23" s="47">
        <f>INDEX(Lab_Mat!$K$6:$N$9,MATCH($H23,Lab_Mat!$J$6:$J$9,0),MATCH($BQ$4,Lab_Mat!$K$5:$N$5,0))*$P23*INDEX(Act_Type_Repex_Splits,MATCH($I23,Act_Type_Repex,0),MATCH(BL$4,Mat_Type,0))*INDEX(Escalators!$I$44:$U$49,MATCH(BL$4,Escalators!$C$44:$C$49,0),MATCH(BL$5,Escalators!$I$43:$U$43,0))</f>
        <v>0</v>
      </c>
      <c r="BM23" s="47">
        <f>INDEX(Lab_Mat!$K$6:$N$9,MATCH($H23,Lab_Mat!$J$6:$J$9,0),MATCH($BQ$4,Lab_Mat!$K$5:$N$5,0))*$P23*INDEX(Act_Type_Repex_Splits,MATCH($I23,Act_Type_Repex,0),MATCH(BM$4,Mat_Type,0))*INDEX(Escalators!$I$44:$U$49,MATCH(BM$4,Escalators!$C$44:$C$49,0),MATCH(BM$5,Escalators!$I$43:$U$43,0))</f>
        <v>0</v>
      </c>
      <c r="BN23" s="47">
        <f>INDEX(Lab_Mat!$K$6:$N$9,MATCH($H23,Lab_Mat!$J$6:$J$9,0),MATCH($BQ$4,Lab_Mat!$K$5:$N$5,0))*$P23*INDEX(Act_Type_Repex_Splits,MATCH($I23,Act_Type_Repex,0),MATCH(BN$4,Mat_Type,0))*INDEX(Escalators!$I$44:$U$49,MATCH(BN$4,Escalators!$C$44:$C$49,0),MATCH(BN$5,Escalators!$I$43:$U$43,0))</f>
        <v>0</v>
      </c>
      <c r="BO23" s="47">
        <f>INDEX(Lab_Mat!$K$6:$N$9,MATCH($H23,Lab_Mat!$J$6:$J$9,0),MATCH($BQ$4,Lab_Mat!$K$5:$N$5,0))*$P23*INDEX(Act_Type_Repex_Splits,MATCH($I23,Act_Type_Repex,0),MATCH(BO$4,Mat_Type,0))*INDEX(Escalators!$I$44:$U$49,MATCH(BO$4,Escalators!$C$44:$C$49,0),MATCH(BO$5,Escalators!$I$43:$U$43,0))</f>
        <v>0</v>
      </c>
      <c r="BP23" s="47">
        <f>INDEX(Lab_Mat!$K$6:$N$9,MATCH($H23,Lab_Mat!$J$6:$J$9,0),MATCH($BQ$4,Lab_Mat!$K$5:$N$5,0))*$P23*INDEX(Act_Type_Repex_Splits,MATCH($I23,Act_Type_Repex,0),MATCH(BP$4,Mat_Type,0))*INDEX(Escalators!$I$44:$U$49,MATCH(BP$4,Escalators!$C$44:$C$49,0),MATCH(BP$5,Escalators!$I$43:$U$43,0))</f>
        <v>0</v>
      </c>
      <c r="BQ23" s="47">
        <f>SUM(BL23:BP23)</f>
        <v>0</v>
      </c>
      <c r="BR23" s="47">
        <f>INDEX(Lab_Mat!$K$6:$N$9,MATCH($H23,Lab_Mat!$J$6:$J$9,0),MATCH($BW$4,Lab_Mat!$K$5:$N$5,0))*$Q23*INDEX(Act_Type_Repex_Splits,MATCH($I23,Act_Type_Repex,0),MATCH(BR$4,Mat_Type,0))*INDEX(Escalators!$I$44:$U$49,MATCH(BR$4,Escalators!$C$44:$C$49,0),MATCH(BR$5,Escalators!$I$43:$U$43,0))</f>
        <v>0</v>
      </c>
      <c r="BS23" s="47">
        <f>INDEX(Lab_Mat!$K$6:$N$9,MATCH($H23,Lab_Mat!$J$6:$J$9,0),MATCH($BW$4,Lab_Mat!$K$5:$N$5,0))*$Q23*INDEX(Act_Type_Repex_Splits,MATCH($I23,Act_Type_Repex,0),MATCH(BS$4,Mat_Type,0))*INDEX(Escalators!$I$44:$U$49,MATCH(BS$4,Escalators!$C$44:$C$49,0),MATCH(BS$5,Escalators!$I$43:$U$43,0))</f>
        <v>0</v>
      </c>
      <c r="BT23" s="47">
        <f>INDEX(Lab_Mat!$K$6:$N$9,MATCH($H23,Lab_Mat!$J$6:$J$9,0),MATCH($BW$4,Lab_Mat!$K$5:$N$5,0))*$Q23*INDEX(Act_Type_Repex_Splits,MATCH($I23,Act_Type_Repex,0),MATCH(BT$4,Mat_Type,0))*INDEX(Escalators!$I$44:$U$49,MATCH(BT$4,Escalators!$C$44:$C$49,0),MATCH(BT$5,Escalators!$I$43:$U$43,0))</f>
        <v>0</v>
      </c>
      <c r="BU23" s="47">
        <f>INDEX(Lab_Mat!$K$6:$N$9,MATCH($H23,Lab_Mat!$J$6:$J$9,0),MATCH($BW$4,Lab_Mat!$K$5:$N$5,0))*$Q23*INDEX(Act_Type_Repex_Splits,MATCH($I23,Act_Type_Repex,0),MATCH(BU$4,Mat_Type,0))*INDEX(Escalators!$I$44:$U$49,MATCH(BU$4,Escalators!$C$44:$C$49,0),MATCH(BU$5,Escalators!$I$43:$U$43,0))</f>
        <v>0</v>
      </c>
      <c r="BV23" s="47">
        <f>INDEX(Lab_Mat!$K$6:$N$9,MATCH($H23,Lab_Mat!$J$6:$J$9,0),MATCH($BW$4,Lab_Mat!$K$5:$N$5,0))*$Q23*INDEX(Act_Type_Repex_Splits,MATCH($I23,Act_Type_Repex,0),MATCH(BV$4,Mat_Type,0))*INDEX(Escalators!$I$44:$U$49,MATCH(BV$4,Escalators!$C$44:$C$49,0),MATCH(BV$5,Escalators!$I$43:$U$43,0))</f>
        <v>0</v>
      </c>
      <c r="BW23" s="47">
        <f>SUM(BR23:BV23)</f>
        <v>0</v>
      </c>
      <c r="BY23" s="47">
        <f>INDEX(Lab_Mat!$K$6:$N$9,MATCH($H23,Lab_Mat!$J$6:$J$9,0),MATCH($BY$4,Lab_Mat!$K$5:$N$5,0))*J23*HLOOKUP(BY$5,Escalators!$I$25:$U$30,6,FALSE)</f>
        <v>0</v>
      </c>
      <c r="BZ23" s="47">
        <f>INDEX(Lab_Mat!$K$6:$N$9,MATCH($H23,Lab_Mat!$J$6:$J$9,0),MATCH($BY$4,Lab_Mat!$K$5:$N$5,0))*K23*HLOOKUP(BZ$5,Escalators!$I$25:$U$30,6,FALSE)</f>
        <v>0</v>
      </c>
      <c r="CA23" s="47">
        <f>INDEX(Lab_Mat!$K$6:$N$9,MATCH($H23,Lab_Mat!$J$6:$J$9,0),MATCH($BY$4,Lab_Mat!$K$5:$N$5,0))*L23*HLOOKUP(CA$5,Escalators!$I$25:$U$30,6,FALSE)</f>
        <v>0</v>
      </c>
      <c r="CB23" s="47">
        <f>INDEX(Lab_Mat!$K$6:$N$9,MATCH($H23,Lab_Mat!$J$6:$J$9,0),MATCH($BY$4,Lab_Mat!$K$5:$N$5,0))*M23*HLOOKUP(CB$5,Escalators!$I$25:$U$30,6,FALSE)</f>
        <v>2046.2020467930665</v>
      </c>
      <c r="CC23" s="47">
        <f>INDEX(Lab_Mat!$K$6:$N$9,MATCH($H23,Lab_Mat!$J$6:$J$9,0),MATCH($BY$4,Lab_Mat!$K$5:$N$5,0))*N23*HLOOKUP(CC$5,Escalators!$I$25:$U$30,6,FALSE)</f>
        <v>654.75489200883726</v>
      </c>
      <c r="CD23" s="47">
        <f>INDEX(Lab_Mat!$K$6:$N$9,MATCH($H23,Lab_Mat!$J$6:$J$9,0),MATCH($BY$4,Lab_Mat!$K$5:$N$5,0))*O23*HLOOKUP(CD$5,Escalators!$I$25:$U$30,6,FALSE)</f>
        <v>0</v>
      </c>
      <c r="CE23" s="47">
        <f>INDEX(Lab_Mat!$K$6:$N$9,MATCH($H23,Lab_Mat!$J$6:$J$9,0),MATCH($BY$4,Lab_Mat!$K$5:$N$5,0))*P23*HLOOKUP(CE$5,Escalators!$I$25:$U$30,6,FALSE)</f>
        <v>0</v>
      </c>
      <c r="CF23" s="47">
        <f>INDEX(Lab_Mat!$K$6:$N$9,MATCH($H23,Lab_Mat!$J$6:$J$9,0),MATCH($BY$4,Lab_Mat!$K$5:$N$5,0))*Q23*HLOOKUP(CF$5,Escalators!$I$25:$U$30,6,FALSE)</f>
        <v>0</v>
      </c>
      <c r="CH23" s="82">
        <f>INDEX(Lab_Mat!$K$6:$N$9,MATCH($H23,Lab_Mat!$J$6:$J$9,0),MATCH($CH$4,Lab_Mat!$K$5:$N$5,0))*J23</f>
        <v>0</v>
      </c>
      <c r="CI23" s="82">
        <f>INDEX(Lab_Mat!$K$6:$N$9,MATCH($H23,Lab_Mat!$J$6:$J$9,0),MATCH($CH$4,Lab_Mat!$K$5:$N$5,0))*K23</f>
        <v>0</v>
      </c>
      <c r="CJ23" s="82">
        <f>INDEX(Lab_Mat!$K$6:$N$9,MATCH($H23,Lab_Mat!$J$6:$J$9,0),MATCH($CH$4,Lab_Mat!$K$5:$N$5,0))*L23</f>
        <v>0</v>
      </c>
      <c r="CK23" s="82">
        <f>INDEX(Lab_Mat!$K$6:$N$9,MATCH($H23,Lab_Mat!$J$6:$J$9,0),MATCH($CH$4,Lab_Mat!$K$5:$N$5,0))*M23</f>
        <v>813.84472836904695</v>
      </c>
      <c r="CL23" s="82">
        <f>INDEX(Lab_Mat!$K$6:$N$9,MATCH($H23,Lab_Mat!$J$6:$J$9,0),MATCH($CH$4,Lab_Mat!$K$5:$N$5,0))*N23</f>
        <v>260.41847532621796</v>
      </c>
      <c r="CM23" s="82">
        <f>INDEX(Lab_Mat!$K$6:$N$9,MATCH($H23,Lab_Mat!$J$6:$J$9,0),MATCH($CH$4,Lab_Mat!$K$5:$N$5,0))*O23</f>
        <v>0</v>
      </c>
      <c r="CN23" s="82">
        <f>INDEX(Lab_Mat!$K$6:$N$9,MATCH($H23,Lab_Mat!$J$6:$J$9,0),MATCH($CH$4,Lab_Mat!$K$5:$N$5,0))*P23</f>
        <v>0</v>
      </c>
      <c r="CO23" s="82">
        <f>INDEX(Lab_Mat!$K$6:$N$9,MATCH($H23,Lab_Mat!$J$6:$J$9,0),MATCH($CH$4,Lab_Mat!$K$5:$N$5,0))*Q23</f>
        <v>0</v>
      </c>
      <c r="CQ23" s="47">
        <f t="shared" si="40"/>
        <v>0</v>
      </c>
      <c r="CR23" s="47">
        <f t="shared" si="41"/>
        <v>0</v>
      </c>
      <c r="CS23" s="47">
        <f t="shared" ref="CS23:CS29" si="55">U23+AS23+CA23+CJ23</f>
        <v>0</v>
      </c>
      <c r="CT23" s="47">
        <f t="shared" si="42"/>
        <v>10473.087422064003</v>
      </c>
      <c r="CU23" s="47">
        <f t="shared" si="43"/>
        <v>3354.3741590960408</v>
      </c>
      <c r="CV23" s="47">
        <f t="shared" si="44"/>
        <v>0</v>
      </c>
      <c r="CW23" s="47">
        <f t="shared" si="45"/>
        <v>0</v>
      </c>
      <c r="CX23" s="47">
        <f t="shared" si="46"/>
        <v>0</v>
      </c>
    </row>
    <row r="24" spans="2:109">
      <c r="B24" s="6"/>
      <c r="C24" s="6" t="s">
        <v>409</v>
      </c>
      <c r="D24" s="6" t="s">
        <v>405</v>
      </c>
      <c r="E24" s="6" t="s">
        <v>45</v>
      </c>
      <c r="F24" s="6" t="s">
        <v>55</v>
      </c>
      <c r="G24" s="6" t="s">
        <v>10</v>
      </c>
      <c r="H24" s="6" t="s">
        <v>555</v>
      </c>
      <c r="I24" s="6" t="s">
        <v>186</v>
      </c>
      <c r="J24" s="47"/>
      <c r="K24" s="47"/>
      <c r="L24" s="47"/>
      <c r="M24" s="47">
        <v>3908.6402454716917</v>
      </c>
      <c r="N24" s="47">
        <v>1806.6576671057999</v>
      </c>
      <c r="O24" s="47">
        <v>0</v>
      </c>
      <c r="P24" s="47"/>
      <c r="Q24" s="47"/>
      <c r="S24" s="47">
        <f>INDEX(Lab_Mat!$K$6:$N$9,MATCH($H24,Lab_Mat!$J$6:$J$9,0),MATCH($S$4,Lab_Mat!$K$5:$N$5,0))*J24*HLOOKUP(S$5,Escalators!$I$25:$U$30,3,FALSE)</f>
        <v>0</v>
      </c>
      <c r="T24" s="47">
        <f>INDEX(Lab_Mat!$K$6:$N$9,MATCH($H24,Lab_Mat!$J$6:$J$9,0),MATCH($S$4,Lab_Mat!$K$5:$N$5,0))*K24*HLOOKUP(T$5,Escalators!$I$25:$U$30,3,FALSE)</f>
        <v>0</v>
      </c>
      <c r="U24" s="47">
        <f>INDEX(Lab_Mat!$K$6:$N$9,MATCH($H24,Lab_Mat!$J$6:$J$9,0),MATCH($S$4,Lab_Mat!$K$5:$N$5,0))*L24*HLOOKUP(U$5,Escalators!$I$25:$U$30,3,FALSE)</f>
        <v>0</v>
      </c>
      <c r="V24" s="47">
        <f>INDEX(Lab_Mat!$K$6:$N$9,MATCH($H24,Lab_Mat!$J$6:$J$9,0),MATCH($S$4,Lab_Mat!$K$5:$N$5,0))*M24*HLOOKUP(V$5,Escalators!$I$25:$U$30,3,FALSE)</f>
        <v>644.466850747595</v>
      </c>
      <c r="W24" s="47">
        <f>INDEX(Lab_Mat!$K$6:$N$9,MATCH($H24,Lab_Mat!$J$6:$J$9,0),MATCH($S$4,Lab_Mat!$K$5:$N$5,0))*N24*HLOOKUP(W$5,Escalators!$I$25:$U$30,3,FALSE)</f>
        <v>299.36423551886594</v>
      </c>
      <c r="X24" s="47">
        <f>INDEX(Lab_Mat!$K$6:$N$9,MATCH($H24,Lab_Mat!$J$6:$J$9,0),MATCH($S$4,Lab_Mat!$K$5:$N$5,0))*O24*HLOOKUP(X$5,Escalators!$I$25:$U$30,3,FALSE)</f>
        <v>0</v>
      </c>
      <c r="Y24" s="47">
        <f>INDEX(Lab_Mat!$K$6:$N$9,MATCH($H24,Lab_Mat!$J$6:$J$9,0),MATCH($S$4,Lab_Mat!$K$5:$N$5,0))*P24*HLOOKUP(Y$5,Escalators!$I$25:$U$30,3,FALSE)</f>
        <v>0</v>
      </c>
      <c r="Z24" s="47">
        <f>INDEX(Lab_Mat!$K$6:$N$9,MATCH($H24,Lab_Mat!$J$6:$J$9,0),MATCH($S$4,Lab_Mat!$K$5:$N$5,0))*Q24*HLOOKUP(Z$5,Escalators!$I$25:$U$30,3,FALSE)</f>
        <v>0</v>
      </c>
      <c r="AB24" s="47">
        <f>INDEX(Lab_Mat!$K$6:$N$9,MATCH($H24,Lab_Mat!$J$6:$J$9,0),MATCH($AG$4,Lab_Mat!$K$5:$N$5,0))*$J24*INDEX(Act_Type_Repex_Splits,MATCH($I24,Act_Type_Repex,0),MATCH(AB$4,Mat_Type,0))*INDEX(Escalators!$I$44:$Q$49,MATCH(AB$4,Escalators!$C$44:$C$49,0),MATCH(AB$5,Escalators!$I$43:$Q$43,0))</f>
        <v>0</v>
      </c>
      <c r="AC24" s="47">
        <f>INDEX(Lab_Mat!$K$6:$N$9,MATCH($H24,Lab_Mat!$J$6:$J$9,0),MATCH($AG$4,Lab_Mat!$K$5:$N$5,0))*$J24*INDEX(Act_Type_Repex_Splits,MATCH($I24,Act_Type_Repex,0),MATCH(AC$4,Mat_Type,0))*INDEX(Escalators!$I$44:$Q$49,MATCH(AC$4,Escalators!$C$44:$C$49,0),MATCH(AC$5,Escalators!$I$43:$Q$43,0))</f>
        <v>0</v>
      </c>
      <c r="AD24" s="47">
        <f>INDEX(Lab_Mat!$K$6:$N$9,MATCH($H24,Lab_Mat!$J$6:$J$9,0),MATCH($AG$4,Lab_Mat!$K$5:$N$5,0))*$J24*INDEX(Act_Type_Repex_Splits,MATCH($I24,Act_Type_Repex,0),MATCH(AD$4,Mat_Type,0))*INDEX(Escalators!$I$44:$Q$49,MATCH(AD$4,Escalators!$C$44:$C$49,0),MATCH(AD$5,Escalators!$I$43:$Q$43,0))</f>
        <v>0</v>
      </c>
      <c r="AE24" s="47">
        <f>INDEX(Lab_Mat!$K$6:$N$9,MATCH($H24,Lab_Mat!$J$6:$J$9,0),MATCH($AG$4,Lab_Mat!$K$5:$N$5,0))*$J24*INDEX(Act_Type_Repex_Splits,MATCH($I24,Act_Type_Repex,0),MATCH(AE$4,Mat_Type,0))*INDEX(Escalators!$I$44:$Q$49,MATCH(AE$4,Escalators!$C$44:$C$49,0),MATCH(AE$5,Escalators!$I$43:$Q$43,0))</f>
        <v>0</v>
      </c>
      <c r="AF24" s="47">
        <f>INDEX(Lab_Mat!$K$6:$N$9,MATCH($H24,Lab_Mat!$J$6:$J$9,0),MATCH($AG$4,Lab_Mat!$K$5:$N$5,0))*$J24*INDEX(Act_Type_Repex_Splits,MATCH($I24,Act_Type_Repex,0),MATCH(AF$4,Mat_Type,0))*INDEX(Escalators!$I$44:$Q$49,MATCH(AF$4,Escalators!$C$44:$C$49,0),MATCH(AF$5,Escalators!$I$43:$Q$43,0))</f>
        <v>0</v>
      </c>
      <c r="AG24" s="47">
        <f t="shared" ref="AG24:AG28" si="56">SUM(AB24:AF24)</f>
        <v>0</v>
      </c>
      <c r="AH24" s="47">
        <f>INDEX(Lab_Mat!$K$6:$N$9,MATCH($H24,Lab_Mat!$J$6:$J$9,0),MATCH($AY$4,Lab_Mat!$K$5:$N$5,0))*$K24*INDEX(Act_Type_Repex_Splits,MATCH($I24,Act_Type_Repex,0),MATCH(AH$4,Mat_Type,0))*INDEX(Escalators!$I$44:$U$49,MATCH(AH$4,Escalators!$C$44:$C$49,0),MATCH(AH$5,Escalators!$I$43:$U$43,0))</f>
        <v>0</v>
      </c>
      <c r="AI24" s="47">
        <f>INDEX(Lab_Mat!$K$6:$N$9,MATCH($H24,Lab_Mat!$J$6:$J$9,0),MATCH($AY$4,Lab_Mat!$K$5:$N$5,0))*$K24*INDEX(Act_Type_Repex_Splits,MATCH($I24,Act_Type_Repex,0),MATCH(AI$4,Mat_Type,0))*INDEX(Escalators!$I$44:$U$49,MATCH(AI$4,Escalators!$C$44:$C$49,0),MATCH(AI$5,Escalators!$I$43:$U$43,0))</f>
        <v>0</v>
      </c>
      <c r="AJ24" s="47">
        <f>INDEX(Lab_Mat!$K$6:$N$9,MATCH($H24,Lab_Mat!$J$6:$J$9,0),MATCH($AY$4,Lab_Mat!$K$5:$N$5,0))*$K24*INDEX(Act_Type_Repex_Splits,MATCH($I24,Act_Type_Repex,0),MATCH(AJ$4,Mat_Type,0))*INDEX(Escalators!$I$44:$U$49,MATCH(AJ$4,Escalators!$C$44:$C$49,0),MATCH(AJ$5,Escalators!$I$43:$U$43,0))</f>
        <v>0</v>
      </c>
      <c r="AK24" s="47">
        <f>INDEX(Lab_Mat!$K$6:$N$9,MATCH($H24,Lab_Mat!$J$6:$J$9,0),MATCH($AY$4,Lab_Mat!$K$5:$N$5,0))*$K24*INDEX(Act_Type_Repex_Splits,MATCH($I24,Act_Type_Repex,0),MATCH(AK$4,Mat_Type,0))*INDEX(Escalators!$I$44:$U$49,MATCH(AK$4,Escalators!$C$44:$C$49,0),MATCH(AK$5,Escalators!$I$43:$U$43,0))</f>
        <v>0</v>
      </c>
      <c r="AL24" s="47">
        <f>INDEX(Lab_Mat!$K$6:$N$9,MATCH($H24,Lab_Mat!$J$6:$J$9,0),MATCH($AY$4,Lab_Mat!$K$5:$N$5,0))*$K24*INDEX(Act_Type_Repex_Splits,MATCH($I24,Act_Type_Repex,0),MATCH(AL$4,Mat_Type,0))*INDEX(Escalators!$I$44:$U$49,MATCH(AL$4,Escalators!$C$44:$C$49,0),MATCH(AL$5,Escalators!$I$43:$U$43,0))</f>
        <v>0</v>
      </c>
      <c r="AM24" s="47">
        <f t="shared" ref="AM24:AM28" si="57">SUM(AH24:AL24)</f>
        <v>0</v>
      </c>
      <c r="AN24" s="47">
        <f>INDEX(Lab_Mat!$K$6:$N$9,MATCH($H24,Lab_Mat!$J$6:$J$9,0),MATCH($AY$4,Lab_Mat!$K$5:$N$5,0))*$L24*INDEX(Act_Type_Repex_Splits,MATCH($I24,Act_Type_Repex,0),MATCH(AN$4,Mat_Type,0))*INDEX(Escalators!$I$44:$U$49,MATCH(AN$4,Escalators!$C$44:$C$49,0),MATCH(AN$5,Escalators!$I$43:$U$43,0))</f>
        <v>0</v>
      </c>
      <c r="AO24" s="47">
        <f>INDEX(Lab_Mat!$K$6:$N$9,MATCH($H24,Lab_Mat!$J$6:$J$9,0),MATCH($AY$4,Lab_Mat!$K$5:$N$5,0))*$L24*INDEX(Act_Type_Repex_Splits,MATCH($I24,Act_Type_Repex,0),MATCH(AO$4,Mat_Type,0))*INDEX(Escalators!$I$44:$U$49,MATCH(AO$4,Escalators!$C$44:$C$49,0),MATCH(AO$5,Escalators!$I$43:$U$43,0))</f>
        <v>0</v>
      </c>
      <c r="AP24" s="47">
        <f>INDEX(Lab_Mat!$K$6:$N$9,MATCH($H24,Lab_Mat!$J$6:$J$9,0),MATCH($AY$4,Lab_Mat!$K$5:$N$5,0))*$L24*INDEX(Act_Type_Repex_Splits,MATCH($I24,Act_Type_Repex,0),MATCH(AP$4,Mat_Type,0))*INDEX(Escalators!$I$44:$U$49,MATCH(AP$4,Escalators!$C$44:$C$49,0),MATCH(AP$5,Escalators!$I$43:$U$43,0))</f>
        <v>0</v>
      </c>
      <c r="AQ24" s="47">
        <f>INDEX(Lab_Mat!$K$6:$N$9,MATCH($H24,Lab_Mat!$J$6:$J$9,0),MATCH($AY$4,Lab_Mat!$K$5:$N$5,0))*$L24*INDEX(Act_Type_Repex_Splits,MATCH($I24,Act_Type_Repex,0),MATCH(AQ$4,Mat_Type,0))*INDEX(Escalators!$I$44:$U$49,MATCH(AQ$4,Escalators!$C$44:$C$49,0),MATCH(AQ$5,Escalators!$I$43:$U$43,0))</f>
        <v>0</v>
      </c>
      <c r="AR24" s="47">
        <f>INDEX(Lab_Mat!$K$6:$N$9,MATCH($H24,Lab_Mat!$J$6:$J$9,0),MATCH($AY$4,Lab_Mat!$K$5:$N$5,0))*$L24*INDEX(Act_Type_Repex_Splits,MATCH($I24,Act_Type_Repex,0),MATCH(AR$4,Mat_Type,0))*INDEX(Escalators!$I$44:$U$49,MATCH(AR$4,Escalators!$C$44:$C$49,0),MATCH(AR$5,Escalators!$I$43:$U$43,0))</f>
        <v>0</v>
      </c>
      <c r="AS24" s="47">
        <f t="shared" ref="AS24:AS28" si="58">SUM(AN24:AR24)</f>
        <v>0</v>
      </c>
      <c r="AT24" s="47">
        <f>INDEX(Lab_Mat!$K$6:$N$9,MATCH($H24,Lab_Mat!$J$6:$J$9,0),MATCH($AY$4,Lab_Mat!$K$5:$N$5,0))*$M24*INDEX(Act_Type_Repex_Splits,MATCH($I24,Act_Type_Repex,0),MATCH(AT$4,Mat_Type,0))*INDEX(Escalators!$I$44:$U$49,MATCH(AT$4,Escalators!$C$44:$C$49,0),MATCH(AT$5,Escalators!$I$43:$U$43,0))</f>
        <v>0</v>
      </c>
      <c r="AU24" s="47">
        <f>INDEX(Lab_Mat!$K$6:$N$9,MATCH($H24,Lab_Mat!$J$6:$J$9,0),MATCH($AY$4,Lab_Mat!$K$5:$N$5,0))*$M24*INDEX(Act_Type_Repex_Splits,MATCH($I24,Act_Type_Repex,0),MATCH(AU$4,Mat_Type,0))*INDEX(Escalators!$I$44:$U$49,MATCH(AU$4,Escalators!$C$44:$C$49,0),MATCH(AU$5,Escalators!$I$43:$U$43,0))</f>
        <v>390.56884294833765</v>
      </c>
      <c r="AV24" s="47">
        <f>INDEX(Lab_Mat!$K$6:$N$9,MATCH($H24,Lab_Mat!$J$6:$J$9,0),MATCH($AY$4,Lab_Mat!$K$5:$N$5,0))*$M24*INDEX(Act_Type_Repex_Splits,MATCH($I24,Act_Type_Repex,0),MATCH(AV$4,Mat_Type,0))*INDEX(Escalators!$I$44:$U$49,MATCH(AV$4,Escalators!$C$44:$C$49,0),MATCH(AV$5,Escalators!$I$43:$U$43,0))</f>
        <v>781.13768589667529</v>
      </c>
      <c r="AW24" s="47">
        <f>INDEX(Lab_Mat!$K$6:$N$9,MATCH($H24,Lab_Mat!$J$6:$J$9,0),MATCH($AY$4,Lab_Mat!$K$5:$N$5,0))*$M24*INDEX(Act_Type_Repex_Splits,MATCH($I24,Act_Type_Repex,0),MATCH(AW$4,Mat_Type,0))*INDEX(Escalators!$I$44:$U$49,MATCH(AW$4,Escalators!$C$44:$C$49,0),MATCH(AW$5,Escalators!$I$43:$U$43,0))</f>
        <v>130.18961431611257</v>
      </c>
      <c r="AX24" s="47">
        <f>INDEX(Lab_Mat!$K$6:$N$9,MATCH($H24,Lab_Mat!$J$6:$J$9,0),MATCH($AY$4,Lab_Mat!$K$5:$N$5,0))*$M24*INDEX(Act_Type_Repex_Splits,MATCH($I24,Act_Type_Repex,0),MATCH(AX$4,Mat_Type,0))*INDEX(Escalators!$I$44:$U$49,MATCH(AX$4,Escalators!$C$44:$C$49,0),MATCH(AX$5,Escalators!$I$43:$U$43,0))</f>
        <v>0</v>
      </c>
      <c r="AY24" s="47">
        <f t="shared" ref="AY24:AY28" si="59">SUM(AT24:AX24)</f>
        <v>1301.8961431611256</v>
      </c>
      <c r="AZ24" s="47">
        <f>INDEX(Lab_Mat!$K$6:$N$9,MATCH($H24,Lab_Mat!$J$6:$J$9,0),MATCH($BE$4,Lab_Mat!$K$5:$N$5,0))*$N24*INDEX(Act_Type_Repex_Splits,MATCH($I24,Act_Type_Repex,0),MATCH(AZ$4,Mat_Type,0))*INDEX(Escalators!$I$44:$U$49,MATCH(AZ$4,Escalators!$C$44:$C$49,0),MATCH(AZ$5,Escalators!$I$43:$U$43,0))</f>
        <v>0</v>
      </c>
      <c r="BA24" s="47">
        <f>INDEX(Lab_Mat!$K$6:$N$9,MATCH($H24,Lab_Mat!$J$6:$J$9,0),MATCH($BE$4,Lab_Mat!$K$5:$N$5,0))*$N24*INDEX(Act_Type_Repex_Splits,MATCH($I24,Act_Type_Repex,0),MATCH(BA$4,Mat_Type,0))*INDEX(Escalators!$I$44:$U$49,MATCH(BA$4,Escalators!$C$44:$C$49,0),MATCH(BA$5,Escalators!$I$43:$U$43,0))</f>
        <v>180.52932742089726</v>
      </c>
      <c r="BB24" s="47">
        <f>INDEX(Lab_Mat!$K$6:$N$9,MATCH($H24,Lab_Mat!$J$6:$J$9,0),MATCH($BE$4,Lab_Mat!$K$5:$N$5,0))*$N24*INDEX(Act_Type_Repex_Splits,MATCH($I24,Act_Type_Repex,0),MATCH(BB$4,Mat_Type,0))*INDEX(Escalators!$I$44:$U$49,MATCH(BB$4,Escalators!$C$44:$C$49,0),MATCH(BB$5,Escalators!$I$43:$U$43,0))</f>
        <v>361.05865484179452</v>
      </c>
      <c r="BC24" s="47">
        <f>INDEX(Lab_Mat!$K$6:$N$9,MATCH($H24,Lab_Mat!$J$6:$J$9,0),MATCH($BE$4,Lab_Mat!$K$5:$N$5,0))*$N24*INDEX(Act_Type_Repex_Splits,MATCH($I24,Act_Type_Repex,0),MATCH(BC$4,Mat_Type,0))*INDEX(Escalators!$I$44:$U$49,MATCH(BC$4,Escalators!$C$44:$C$49,0),MATCH(BC$5,Escalators!$I$43:$U$43,0))</f>
        <v>60.176442473632427</v>
      </c>
      <c r="BD24" s="47">
        <f>INDEX(Lab_Mat!$K$6:$N$9,MATCH($H24,Lab_Mat!$J$6:$J$9,0),MATCH($BE$4,Lab_Mat!$K$5:$N$5,0))*$N24*INDEX(Act_Type_Repex_Splits,MATCH($I24,Act_Type_Repex,0),MATCH(BD$4,Mat_Type,0))*INDEX(Escalators!$I$44:$U$49,MATCH(BD$4,Escalators!$C$44:$C$49,0),MATCH(BD$5,Escalators!$I$43:$U$43,0))</f>
        <v>0</v>
      </c>
      <c r="BE24" s="47">
        <f t="shared" ref="BE24:BE28" si="60">SUM(AZ24:BD24)</f>
        <v>601.76442473632414</v>
      </c>
      <c r="BF24" s="47">
        <f>INDEX(Lab_Mat!$K$6:$N$9,MATCH($H24,Lab_Mat!$J$6:$J$9,0),MATCH($BK$4,Lab_Mat!$K$5:$N$5,0))*$O24*INDEX(Act_Type_Repex_Splits,MATCH($I24,Act_Type_Repex,0),MATCH(BF$4,Mat_Type,0))*INDEX(Escalators!$I$44:$U$49,MATCH(BF$4,Escalators!$C$44:$C$49,0),MATCH(BF$5,Escalators!$I$43:$U$43,0))</f>
        <v>0</v>
      </c>
      <c r="BG24" s="47">
        <f>INDEX(Lab_Mat!$K$6:$N$9,MATCH($H24,Lab_Mat!$J$6:$J$9,0),MATCH($BK$4,Lab_Mat!$K$5:$N$5,0))*$O24*INDEX(Act_Type_Repex_Splits,MATCH($I24,Act_Type_Repex,0),MATCH(BG$4,Mat_Type,0))*INDEX(Escalators!$I$44:$U$49,MATCH(BG$4,Escalators!$C$44:$C$49,0),MATCH(BG$5,Escalators!$I$43:$U$43,0))</f>
        <v>0</v>
      </c>
      <c r="BH24" s="47">
        <f>INDEX(Lab_Mat!$K$6:$N$9,MATCH($H24,Lab_Mat!$J$6:$J$9,0),MATCH($BK$4,Lab_Mat!$K$5:$N$5,0))*$O24*INDEX(Act_Type_Repex_Splits,MATCH($I24,Act_Type_Repex,0),MATCH(BH$4,Mat_Type,0))*INDEX(Escalators!$I$44:$U$49,MATCH(BH$4,Escalators!$C$44:$C$49,0),MATCH(BH$5,Escalators!$I$43:$U$43,0))</f>
        <v>0</v>
      </c>
      <c r="BI24" s="47">
        <f>INDEX(Lab_Mat!$K$6:$N$9,MATCH($H24,Lab_Mat!$J$6:$J$9,0),MATCH($BK$4,Lab_Mat!$K$5:$N$5,0))*$O24*INDEX(Act_Type_Repex_Splits,MATCH($I24,Act_Type_Repex,0),MATCH(BI$4,Mat_Type,0))*INDEX(Escalators!$I$44:$U$49,MATCH(BI$4,Escalators!$C$44:$C$49,0),MATCH(BI$5,Escalators!$I$43:$U$43,0))</f>
        <v>0</v>
      </c>
      <c r="BJ24" s="47">
        <f>INDEX(Lab_Mat!$K$6:$N$9,MATCH($H24,Lab_Mat!$J$6:$J$9,0),MATCH($BK$4,Lab_Mat!$K$5:$N$5,0))*$O24*INDEX(Act_Type_Repex_Splits,MATCH($I24,Act_Type_Repex,0),MATCH(BJ$4,Mat_Type,0))*INDEX(Escalators!$I$44:$U$49,MATCH(BJ$4,Escalators!$C$44:$C$49,0),MATCH(BJ$5,Escalators!$I$43:$U$43,0))</f>
        <v>0</v>
      </c>
      <c r="BK24" s="47">
        <f t="shared" ref="BK24:BK28" si="61">SUM(BF24:BJ24)</f>
        <v>0</v>
      </c>
      <c r="BL24" s="47">
        <f>INDEX(Lab_Mat!$K$6:$N$9,MATCH($H24,Lab_Mat!$J$6:$J$9,0),MATCH($BQ$4,Lab_Mat!$K$5:$N$5,0))*$P24*INDEX(Act_Type_Repex_Splits,MATCH($I24,Act_Type_Repex,0),MATCH(BL$4,Mat_Type,0))*INDEX(Escalators!$I$44:$U$49,MATCH(BL$4,Escalators!$C$44:$C$49,0),MATCH(BL$5,Escalators!$I$43:$U$43,0))</f>
        <v>0</v>
      </c>
      <c r="BM24" s="47">
        <f>INDEX(Lab_Mat!$K$6:$N$9,MATCH($H24,Lab_Mat!$J$6:$J$9,0),MATCH($BQ$4,Lab_Mat!$K$5:$N$5,0))*$P24*INDEX(Act_Type_Repex_Splits,MATCH($I24,Act_Type_Repex,0),MATCH(BM$4,Mat_Type,0))*INDEX(Escalators!$I$44:$U$49,MATCH(BM$4,Escalators!$C$44:$C$49,0),MATCH(BM$5,Escalators!$I$43:$U$43,0))</f>
        <v>0</v>
      </c>
      <c r="BN24" s="47">
        <f>INDEX(Lab_Mat!$K$6:$N$9,MATCH($H24,Lab_Mat!$J$6:$J$9,0),MATCH($BQ$4,Lab_Mat!$K$5:$N$5,0))*$P24*INDEX(Act_Type_Repex_Splits,MATCH($I24,Act_Type_Repex,0),MATCH(BN$4,Mat_Type,0))*INDEX(Escalators!$I$44:$U$49,MATCH(BN$4,Escalators!$C$44:$C$49,0),MATCH(BN$5,Escalators!$I$43:$U$43,0))</f>
        <v>0</v>
      </c>
      <c r="BO24" s="47">
        <f>INDEX(Lab_Mat!$K$6:$N$9,MATCH($H24,Lab_Mat!$J$6:$J$9,0),MATCH($BQ$4,Lab_Mat!$K$5:$N$5,0))*$P24*INDEX(Act_Type_Repex_Splits,MATCH($I24,Act_Type_Repex,0),MATCH(BO$4,Mat_Type,0))*INDEX(Escalators!$I$44:$U$49,MATCH(BO$4,Escalators!$C$44:$C$49,0),MATCH(BO$5,Escalators!$I$43:$U$43,0))</f>
        <v>0</v>
      </c>
      <c r="BP24" s="47">
        <f>INDEX(Lab_Mat!$K$6:$N$9,MATCH($H24,Lab_Mat!$J$6:$J$9,0),MATCH($BQ$4,Lab_Mat!$K$5:$N$5,0))*$P24*INDEX(Act_Type_Repex_Splits,MATCH($I24,Act_Type_Repex,0),MATCH(BP$4,Mat_Type,0))*INDEX(Escalators!$I$44:$U$49,MATCH(BP$4,Escalators!$C$44:$C$49,0),MATCH(BP$5,Escalators!$I$43:$U$43,0))</f>
        <v>0</v>
      </c>
      <c r="BQ24" s="47">
        <f t="shared" ref="BQ24:BQ28" si="62">SUM(BL24:BP24)</f>
        <v>0</v>
      </c>
      <c r="BR24" s="47">
        <f>INDEX(Lab_Mat!$K$6:$N$9,MATCH($H24,Lab_Mat!$J$6:$J$9,0),MATCH($BW$4,Lab_Mat!$K$5:$N$5,0))*$Q24*INDEX(Act_Type_Repex_Splits,MATCH($I24,Act_Type_Repex,0),MATCH(BR$4,Mat_Type,0))*INDEX(Escalators!$I$44:$U$49,MATCH(BR$4,Escalators!$C$44:$C$49,0),MATCH(BR$5,Escalators!$I$43:$U$43,0))</f>
        <v>0</v>
      </c>
      <c r="BS24" s="47">
        <f>INDEX(Lab_Mat!$K$6:$N$9,MATCH($H24,Lab_Mat!$J$6:$J$9,0),MATCH($BW$4,Lab_Mat!$K$5:$N$5,0))*$Q24*INDEX(Act_Type_Repex_Splits,MATCH($I24,Act_Type_Repex,0),MATCH(BS$4,Mat_Type,0))*INDEX(Escalators!$I$44:$U$49,MATCH(BS$4,Escalators!$C$44:$C$49,0),MATCH(BS$5,Escalators!$I$43:$U$43,0))</f>
        <v>0</v>
      </c>
      <c r="BT24" s="47">
        <f>INDEX(Lab_Mat!$K$6:$N$9,MATCH($H24,Lab_Mat!$J$6:$J$9,0),MATCH($BW$4,Lab_Mat!$K$5:$N$5,0))*$Q24*INDEX(Act_Type_Repex_Splits,MATCH($I24,Act_Type_Repex,0),MATCH(BT$4,Mat_Type,0))*INDEX(Escalators!$I$44:$U$49,MATCH(BT$4,Escalators!$C$44:$C$49,0),MATCH(BT$5,Escalators!$I$43:$U$43,0))</f>
        <v>0</v>
      </c>
      <c r="BU24" s="47">
        <f>INDEX(Lab_Mat!$K$6:$N$9,MATCH($H24,Lab_Mat!$J$6:$J$9,0),MATCH($BW$4,Lab_Mat!$K$5:$N$5,0))*$Q24*INDEX(Act_Type_Repex_Splits,MATCH($I24,Act_Type_Repex,0),MATCH(BU$4,Mat_Type,0))*INDEX(Escalators!$I$44:$U$49,MATCH(BU$4,Escalators!$C$44:$C$49,0),MATCH(BU$5,Escalators!$I$43:$U$43,0))</f>
        <v>0</v>
      </c>
      <c r="BV24" s="47">
        <f>INDEX(Lab_Mat!$K$6:$N$9,MATCH($H24,Lab_Mat!$J$6:$J$9,0),MATCH($BW$4,Lab_Mat!$K$5:$N$5,0))*$Q24*INDEX(Act_Type_Repex_Splits,MATCH($I24,Act_Type_Repex,0),MATCH(BV$4,Mat_Type,0))*INDEX(Escalators!$I$44:$U$49,MATCH(BV$4,Escalators!$C$44:$C$49,0),MATCH(BV$5,Escalators!$I$43:$U$43,0))</f>
        <v>0</v>
      </c>
      <c r="BW24" s="47">
        <f t="shared" ref="BW24:BW28" si="63">SUM(BR24:BV24)</f>
        <v>0</v>
      </c>
      <c r="BY24" s="47">
        <f>INDEX(Lab_Mat!$K$6:$N$9,MATCH($H24,Lab_Mat!$J$6:$J$9,0),MATCH($BY$4,Lab_Mat!$K$5:$N$5,0))*J24*HLOOKUP(BY$5,Escalators!$I$25:$U$30,6,FALSE)</f>
        <v>0</v>
      </c>
      <c r="BZ24" s="47">
        <f>INDEX(Lab_Mat!$K$6:$N$9,MATCH($H24,Lab_Mat!$J$6:$J$9,0),MATCH($BY$4,Lab_Mat!$K$5:$N$5,0))*K24*HLOOKUP(BZ$5,Escalators!$I$25:$U$30,6,FALSE)</f>
        <v>0</v>
      </c>
      <c r="CA24" s="47">
        <f>INDEX(Lab_Mat!$K$6:$N$9,MATCH($H24,Lab_Mat!$J$6:$J$9,0),MATCH($BY$4,Lab_Mat!$K$5:$N$5,0))*L24*HLOOKUP(CA$5,Escalators!$I$25:$U$30,6,FALSE)</f>
        <v>0</v>
      </c>
      <c r="CB24" s="47">
        <f>INDEX(Lab_Mat!$K$6:$N$9,MATCH($H24,Lab_Mat!$J$6:$J$9,0),MATCH($BY$4,Lab_Mat!$K$5:$N$5,0))*M24*HLOOKUP(CB$5,Escalators!$I$25:$U$30,6,FALSE)</f>
        <v>1475.7516886899784</v>
      </c>
      <c r="CC24" s="47">
        <f>INDEX(Lab_Mat!$K$6:$N$9,MATCH($H24,Lab_Mat!$J$6:$J$9,0),MATCH($BY$4,Lab_Mat!$K$5:$N$5,0))*N24*HLOOKUP(CC$5,Escalators!$I$25:$U$30,6,FALSE)</f>
        <v>682.12420066158552</v>
      </c>
      <c r="CD24" s="47">
        <f>INDEX(Lab_Mat!$K$6:$N$9,MATCH($H24,Lab_Mat!$J$6:$J$9,0),MATCH($BY$4,Lab_Mat!$K$5:$N$5,0))*O24*HLOOKUP(CD$5,Escalators!$I$25:$U$30,6,FALSE)</f>
        <v>0</v>
      </c>
      <c r="CE24" s="47">
        <f>INDEX(Lab_Mat!$K$6:$N$9,MATCH($H24,Lab_Mat!$J$6:$J$9,0),MATCH($BY$4,Lab_Mat!$K$5:$N$5,0))*P24*HLOOKUP(CE$5,Escalators!$I$25:$U$30,6,FALSE)</f>
        <v>0</v>
      </c>
      <c r="CF24" s="47">
        <f>INDEX(Lab_Mat!$K$6:$N$9,MATCH($H24,Lab_Mat!$J$6:$J$9,0),MATCH($BY$4,Lab_Mat!$K$5:$N$5,0))*Q24*HLOOKUP(CF$5,Escalators!$I$25:$U$30,6,FALSE)</f>
        <v>0</v>
      </c>
      <c r="CH24" s="82">
        <f>INDEX(Lab_Mat!$K$6:$N$9,MATCH($H24,Lab_Mat!$J$6:$J$9,0),MATCH($CH$4,Lab_Mat!$K$5:$N$5,0))*J24</f>
        <v>0</v>
      </c>
      <c r="CI24" s="82">
        <f>INDEX(Lab_Mat!$K$6:$N$9,MATCH($H24,Lab_Mat!$J$6:$J$9,0),MATCH($CH$4,Lab_Mat!$K$5:$N$5,0))*K24</f>
        <v>0</v>
      </c>
      <c r="CJ24" s="82">
        <f>INDEX(Lab_Mat!$K$6:$N$9,MATCH($H24,Lab_Mat!$J$6:$J$9,0),MATCH($CH$4,Lab_Mat!$K$5:$N$5,0))*L24</f>
        <v>0</v>
      </c>
      <c r="CK24" s="82">
        <f>INDEX(Lab_Mat!$K$6:$N$9,MATCH($H24,Lab_Mat!$J$6:$J$9,0),MATCH($CH$4,Lab_Mat!$K$5:$N$5,0))*M24</f>
        <v>506.93195363975371</v>
      </c>
      <c r="CL24" s="82">
        <f>INDEX(Lab_Mat!$K$6:$N$9,MATCH($H24,Lab_Mat!$J$6:$J$9,0),MATCH($CH$4,Lab_Mat!$K$5:$N$5,0))*N24</f>
        <v>234.31486226066286</v>
      </c>
      <c r="CM24" s="82">
        <f>INDEX(Lab_Mat!$K$6:$N$9,MATCH($H24,Lab_Mat!$J$6:$J$9,0),MATCH($CH$4,Lab_Mat!$K$5:$N$5,0))*O24</f>
        <v>0</v>
      </c>
      <c r="CN24" s="82">
        <f>INDEX(Lab_Mat!$K$6:$N$9,MATCH($H24,Lab_Mat!$J$6:$J$9,0),MATCH($CH$4,Lab_Mat!$K$5:$N$5,0))*P24</f>
        <v>0</v>
      </c>
      <c r="CO24" s="82">
        <f>INDEX(Lab_Mat!$K$6:$N$9,MATCH($H24,Lab_Mat!$J$6:$J$9,0),MATCH($CH$4,Lab_Mat!$K$5:$N$5,0))*Q24</f>
        <v>0</v>
      </c>
      <c r="CQ24" s="47">
        <f t="shared" si="40"/>
        <v>0</v>
      </c>
      <c r="CR24" s="47">
        <f t="shared" si="41"/>
        <v>0</v>
      </c>
      <c r="CS24" s="47">
        <f t="shared" si="55"/>
        <v>0</v>
      </c>
      <c r="CT24" s="47">
        <f t="shared" si="42"/>
        <v>3929.0466362384527</v>
      </c>
      <c r="CU24" s="47">
        <f t="shared" si="43"/>
        <v>1817.5677231774387</v>
      </c>
      <c r="CV24" s="47">
        <f t="shared" si="44"/>
        <v>0</v>
      </c>
      <c r="CW24" s="47">
        <f t="shared" si="45"/>
        <v>0</v>
      </c>
      <c r="CX24" s="47">
        <f t="shared" si="46"/>
        <v>0</v>
      </c>
    </row>
    <row r="25" spans="2:109">
      <c r="B25" s="6"/>
      <c r="C25" s="6" t="s">
        <v>410</v>
      </c>
      <c r="D25" s="6" t="s">
        <v>405</v>
      </c>
      <c r="E25" s="6" t="s">
        <v>45</v>
      </c>
      <c r="F25" s="6" t="s">
        <v>55</v>
      </c>
      <c r="G25" s="6" t="s">
        <v>150</v>
      </c>
      <c r="H25" s="6" t="s">
        <v>556</v>
      </c>
      <c r="I25" s="6" t="s">
        <v>203</v>
      </c>
      <c r="J25" s="47"/>
      <c r="K25" s="47"/>
      <c r="L25" s="47"/>
      <c r="M25" s="47">
        <v>7810.4361585347224</v>
      </c>
      <c r="N25" s="47">
        <v>3542.5495203499013</v>
      </c>
      <c r="O25" s="47">
        <v>0</v>
      </c>
      <c r="P25" s="47"/>
      <c r="Q25" s="47"/>
      <c r="S25" s="47">
        <f>INDEX(Lab_Mat!$K$6:$N$9,MATCH($H25,Lab_Mat!$J$6:$J$9,0),MATCH($S$4,Lab_Mat!$K$5:$N$5,0))*J25*HLOOKUP(S$5,Escalators!$I$25:$U$30,3,FALSE)</f>
        <v>0</v>
      </c>
      <c r="T25" s="47">
        <f>INDEX(Lab_Mat!$K$6:$N$9,MATCH($H25,Lab_Mat!$J$6:$J$9,0),MATCH($S$4,Lab_Mat!$K$5:$N$5,0))*K25*HLOOKUP(T$5,Escalators!$I$25:$U$30,3,FALSE)</f>
        <v>0</v>
      </c>
      <c r="U25" s="47">
        <f>INDEX(Lab_Mat!$K$6:$N$9,MATCH($H25,Lab_Mat!$J$6:$J$9,0),MATCH($S$4,Lab_Mat!$K$5:$N$5,0))*L25*HLOOKUP(U$5,Escalators!$I$25:$U$30,3,FALSE)</f>
        <v>0</v>
      </c>
      <c r="V25" s="47">
        <f>INDEX(Lab_Mat!$K$6:$N$9,MATCH($H25,Lab_Mat!$J$6:$J$9,0),MATCH($S$4,Lab_Mat!$K$5:$N$5,0))*M25*HLOOKUP(V$5,Escalators!$I$25:$U$30,3,FALSE)</f>
        <v>1409.2320852173748</v>
      </c>
      <c r="W25" s="47">
        <f>INDEX(Lab_Mat!$K$6:$N$9,MATCH($H25,Lab_Mat!$J$6:$J$9,0),MATCH($S$4,Lab_Mat!$K$5:$N$5,0))*N25*HLOOKUP(W$5,Escalators!$I$25:$U$30,3,FALSE)</f>
        <v>642.3508863354914</v>
      </c>
      <c r="X25" s="47">
        <f>INDEX(Lab_Mat!$K$6:$N$9,MATCH($H25,Lab_Mat!$J$6:$J$9,0),MATCH($S$4,Lab_Mat!$K$5:$N$5,0))*O25*HLOOKUP(X$5,Escalators!$I$25:$U$30,3,FALSE)</f>
        <v>0</v>
      </c>
      <c r="Y25" s="47">
        <f>INDEX(Lab_Mat!$K$6:$N$9,MATCH($H25,Lab_Mat!$J$6:$J$9,0),MATCH($S$4,Lab_Mat!$K$5:$N$5,0))*P25*HLOOKUP(Y$5,Escalators!$I$25:$U$30,3,FALSE)</f>
        <v>0</v>
      </c>
      <c r="Z25" s="47">
        <f>INDEX(Lab_Mat!$K$6:$N$9,MATCH($H25,Lab_Mat!$J$6:$J$9,0),MATCH($S$4,Lab_Mat!$K$5:$N$5,0))*Q25*HLOOKUP(Z$5,Escalators!$I$25:$U$30,3,FALSE)</f>
        <v>0</v>
      </c>
      <c r="AB25" s="47">
        <f>INDEX(Lab_Mat!$K$6:$N$9,MATCH($H25,Lab_Mat!$J$6:$J$9,0),MATCH($AG$4,Lab_Mat!$K$5:$N$5,0))*$J25*INDEX(Act_Type_Repex_Splits,MATCH($I25,Act_Type_Repex,0),MATCH(AB$4,Mat_Type,0))*INDEX(Escalators!$I$44:$Q$49,MATCH(AB$4,Escalators!$C$44:$C$49,0),MATCH(AB$5,Escalators!$I$43:$Q$43,0))</f>
        <v>0</v>
      </c>
      <c r="AC25" s="47">
        <f>INDEX(Lab_Mat!$K$6:$N$9,MATCH($H25,Lab_Mat!$J$6:$J$9,0),MATCH($AG$4,Lab_Mat!$K$5:$N$5,0))*$J25*INDEX(Act_Type_Repex_Splits,MATCH($I25,Act_Type_Repex,0),MATCH(AC$4,Mat_Type,0))*INDEX(Escalators!$I$44:$Q$49,MATCH(AC$4,Escalators!$C$44:$C$49,0),MATCH(AC$5,Escalators!$I$43:$Q$43,0))</f>
        <v>0</v>
      </c>
      <c r="AD25" s="47">
        <f>INDEX(Lab_Mat!$K$6:$N$9,MATCH($H25,Lab_Mat!$J$6:$J$9,0),MATCH($AG$4,Lab_Mat!$K$5:$N$5,0))*$J25*INDEX(Act_Type_Repex_Splits,MATCH($I25,Act_Type_Repex,0),MATCH(AD$4,Mat_Type,0))*INDEX(Escalators!$I$44:$Q$49,MATCH(AD$4,Escalators!$C$44:$C$49,0),MATCH(AD$5,Escalators!$I$43:$Q$43,0))</f>
        <v>0</v>
      </c>
      <c r="AE25" s="47">
        <f>INDEX(Lab_Mat!$K$6:$N$9,MATCH($H25,Lab_Mat!$J$6:$J$9,0),MATCH($AG$4,Lab_Mat!$K$5:$N$5,0))*$J25*INDEX(Act_Type_Repex_Splits,MATCH($I25,Act_Type_Repex,0),MATCH(AE$4,Mat_Type,0))*INDEX(Escalators!$I$44:$Q$49,MATCH(AE$4,Escalators!$C$44:$C$49,0),MATCH(AE$5,Escalators!$I$43:$Q$43,0))</f>
        <v>0</v>
      </c>
      <c r="AF25" s="47">
        <f>INDEX(Lab_Mat!$K$6:$N$9,MATCH($H25,Lab_Mat!$J$6:$J$9,0),MATCH($AG$4,Lab_Mat!$K$5:$N$5,0))*$J25*INDEX(Act_Type_Repex_Splits,MATCH($I25,Act_Type_Repex,0),MATCH(AF$4,Mat_Type,0))*INDEX(Escalators!$I$44:$Q$49,MATCH(AF$4,Escalators!$C$44:$C$49,0),MATCH(AF$5,Escalators!$I$43:$Q$43,0))</f>
        <v>0</v>
      </c>
      <c r="AG25" s="47">
        <f t="shared" si="56"/>
        <v>0</v>
      </c>
      <c r="AH25" s="47">
        <f>INDEX(Lab_Mat!$K$6:$N$9,MATCH($H25,Lab_Mat!$J$6:$J$9,0),MATCH($AY$4,Lab_Mat!$K$5:$N$5,0))*$K25*INDEX(Act_Type_Repex_Splits,MATCH($I25,Act_Type_Repex,0),MATCH(AH$4,Mat_Type,0))*INDEX(Escalators!$I$44:$U$49,MATCH(AH$4,Escalators!$C$44:$C$49,0),MATCH(AH$5,Escalators!$I$43:$U$43,0))</f>
        <v>0</v>
      </c>
      <c r="AI25" s="47">
        <f>INDEX(Lab_Mat!$K$6:$N$9,MATCH($H25,Lab_Mat!$J$6:$J$9,0),MATCH($AY$4,Lab_Mat!$K$5:$N$5,0))*$K25*INDEX(Act_Type_Repex_Splits,MATCH($I25,Act_Type_Repex,0),MATCH(AI$4,Mat_Type,0))*INDEX(Escalators!$I$44:$U$49,MATCH(AI$4,Escalators!$C$44:$C$49,0),MATCH(AI$5,Escalators!$I$43:$U$43,0))</f>
        <v>0</v>
      </c>
      <c r="AJ25" s="47">
        <f>INDEX(Lab_Mat!$K$6:$N$9,MATCH($H25,Lab_Mat!$J$6:$J$9,0),MATCH($AY$4,Lab_Mat!$K$5:$N$5,0))*$K25*INDEX(Act_Type_Repex_Splits,MATCH($I25,Act_Type_Repex,0),MATCH(AJ$4,Mat_Type,0))*INDEX(Escalators!$I$44:$U$49,MATCH(AJ$4,Escalators!$C$44:$C$49,0),MATCH(AJ$5,Escalators!$I$43:$U$43,0))</f>
        <v>0</v>
      </c>
      <c r="AK25" s="47">
        <f>INDEX(Lab_Mat!$K$6:$N$9,MATCH($H25,Lab_Mat!$J$6:$J$9,0),MATCH($AY$4,Lab_Mat!$K$5:$N$5,0))*$K25*INDEX(Act_Type_Repex_Splits,MATCH($I25,Act_Type_Repex,0),MATCH(AK$4,Mat_Type,0))*INDEX(Escalators!$I$44:$U$49,MATCH(AK$4,Escalators!$C$44:$C$49,0),MATCH(AK$5,Escalators!$I$43:$U$43,0))</f>
        <v>0</v>
      </c>
      <c r="AL25" s="47">
        <f>INDEX(Lab_Mat!$K$6:$N$9,MATCH($H25,Lab_Mat!$J$6:$J$9,0),MATCH($AY$4,Lab_Mat!$K$5:$N$5,0))*$K25*INDEX(Act_Type_Repex_Splits,MATCH($I25,Act_Type_Repex,0),MATCH(AL$4,Mat_Type,0))*INDEX(Escalators!$I$44:$U$49,MATCH(AL$4,Escalators!$C$44:$C$49,0),MATCH(AL$5,Escalators!$I$43:$U$43,0))</f>
        <v>0</v>
      </c>
      <c r="AM25" s="47">
        <f t="shared" si="57"/>
        <v>0</v>
      </c>
      <c r="AN25" s="47">
        <f>INDEX(Lab_Mat!$K$6:$N$9,MATCH($H25,Lab_Mat!$J$6:$J$9,0),MATCH($AY$4,Lab_Mat!$K$5:$N$5,0))*$L25*INDEX(Act_Type_Repex_Splits,MATCH($I25,Act_Type_Repex,0),MATCH(AN$4,Mat_Type,0))*INDEX(Escalators!$I$44:$U$49,MATCH(AN$4,Escalators!$C$44:$C$49,0),MATCH(AN$5,Escalators!$I$43:$U$43,0))</f>
        <v>0</v>
      </c>
      <c r="AO25" s="47">
        <f>INDEX(Lab_Mat!$K$6:$N$9,MATCH($H25,Lab_Mat!$J$6:$J$9,0),MATCH($AY$4,Lab_Mat!$K$5:$N$5,0))*$L25*INDEX(Act_Type_Repex_Splits,MATCH($I25,Act_Type_Repex,0),MATCH(AO$4,Mat_Type,0))*INDEX(Escalators!$I$44:$U$49,MATCH(AO$4,Escalators!$C$44:$C$49,0),MATCH(AO$5,Escalators!$I$43:$U$43,0))</f>
        <v>0</v>
      </c>
      <c r="AP25" s="47">
        <f>INDEX(Lab_Mat!$K$6:$N$9,MATCH($H25,Lab_Mat!$J$6:$J$9,0),MATCH($AY$4,Lab_Mat!$K$5:$N$5,0))*$L25*INDEX(Act_Type_Repex_Splits,MATCH($I25,Act_Type_Repex,0),MATCH(AP$4,Mat_Type,0))*INDEX(Escalators!$I$44:$U$49,MATCH(AP$4,Escalators!$C$44:$C$49,0),MATCH(AP$5,Escalators!$I$43:$U$43,0))</f>
        <v>0</v>
      </c>
      <c r="AQ25" s="47">
        <f>INDEX(Lab_Mat!$K$6:$N$9,MATCH($H25,Lab_Mat!$J$6:$J$9,0),MATCH($AY$4,Lab_Mat!$K$5:$N$5,0))*$L25*INDEX(Act_Type_Repex_Splits,MATCH($I25,Act_Type_Repex,0),MATCH(AQ$4,Mat_Type,0))*INDEX(Escalators!$I$44:$U$49,MATCH(AQ$4,Escalators!$C$44:$C$49,0),MATCH(AQ$5,Escalators!$I$43:$U$43,0))</f>
        <v>0</v>
      </c>
      <c r="AR25" s="47">
        <f>INDEX(Lab_Mat!$K$6:$N$9,MATCH($H25,Lab_Mat!$J$6:$J$9,0),MATCH($AY$4,Lab_Mat!$K$5:$N$5,0))*$L25*INDEX(Act_Type_Repex_Splits,MATCH($I25,Act_Type_Repex,0),MATCH(AR$4,Mat_Type,0))*INDEX(Escalators!$I$44:$U$49,MATCH(AR$4,Escalators!$C$44:$C$49,0),MATCH(AR$5,Escalators!$I$43:$U$43,0))</f>
        <v>0</v>
      </c>
      <c r="AS25" s="47">
        <f t="shared" si="58"/>
        <v>0</v>
      </c>
      <c r="AT25" s="47">
        <f>INDEX(Lab_Mat!$K$6:$N$9,MATCH($H25,Lab_Mat!$J$6:$J$9,0),MATCH($AY$4,Lab_Mat!$K$5:$N$5,0))*$M25*INDEX(Act_Type_Repex_Splits,MATCH($I25,Act_Type_Repex,0),MATCH(AT$4,Mat_Type,0))*INDEX(Escalators!$I$44:$U$49,MATCH(AT$4,Escalators!$C$44:$C$49,0),MATCH(AT$5,Escalators!$I$43:$U$43,0))</f>
        <v>0</v>
      </c>
      <c r="AU25" s="47">
        <f>INDEX(Lab_Mat!$K$6:$N$9,MATCH($H25,Lab_Mat!$J$6:$J$9,0),MATCH($AY$4,Lab_Mat!$K$5:$N$5,0))*$M25*INDEX(Act_Type_Repex_Splits,MATCH($I25,Act_Type_Repex,0),MATCH(AU$4,Mat_Type,0))*INDEX(Escalators!$I$44:$U$49,MATCH(AU$4,Escalators!$C$44:$C$49,0),MATCH(AU$5,Escalators!$I$43:$U$43,0))</f>
        <v>0</v>
      </c>
      <c r="AV25" s="47">
        <f>INDEX(Lab_Mat!$K$6:$N$9,MATCH($H25,Lab_Mat!$J$6:$J$9,0),MATCH($AY$4,Lab_Mat!$K$5:$N$5,0))*$M25*INDEX(Act_Type_Repex_Splits,MATCH($I25,Act_Type_Repex,0),MATCH(AV$4,Mat_Type,0))*INDEX(Escalators!$I$44:$U$49,MATCH(AV$4,Escalators!$C$44:$C$49,0),MATCH(AV$5,Escalators!$I$43:$U$43,0))</f>
        <v>509.28074440625443</v>
      </c>
      <c r="AW25" s="47">
        <f>INDEX(Lab_Mat!$K$6:$N$9,MATCH($H25,Lab_Mat!$J$6:$J$9,0),MATCH($AY$4,Lab_Mat!$K$5:$N$5,0))*$M25*INDEX(Act_Type_Repex_Splits,MATCH($I25,Act_Type_Repex,0),MATCH(AW$4,Mat_Type,0))*INDEX(Escalators!$I$44:$U$49,MATCH(AW$4,Escalators!$C$44:$C$49,0),MATCH(AW$5,Escalators!$I$43:$U$43,0))</f>
        <v>0</v>
      </c>
      <c r="AX25" s="47">
        <f>INDEX(Lab_Mat!$K$6:$N$9,MATCH($H25,Lab_Mat!$J$6:$J$9,0),MATCH($AY$4,Lab_Mat!$K$5:$N$5,0))*$M25*INDEX(Act_Type_Repex_Splits,MATCH($I25,Act_Type_Repex,0),MATCH(AX$4,Mat_Type,0))*INDEX(Escalators!$I$44:$U$49,MATCH(AX$4,Escalators!$C$44:$C$49,0),MATCH(AX$5,Escalators!$I$43:$U$43,0))</f>
        <v>509.28074440625443</v>
      </c>
      <c r="AY25" s="47">
        <f t="shared" si="59"/>
        <v>1018.5614888125089</v>
      </c>
      <c r="AZ25" s="47">
        <f>INDEX(Lab_Mat!$K$6:$N$9,MATCH($H25,Lab_Mat!$J$6:$J$9,0),MATCH($BE$4,Lab_Mat!$K$5:$N$5,0))*$N25*INDEX(Act_Type_Repex_Splits,MATCH($I25,Act_Type_Repex,0),MATCH(AZ$4,Mat_Type,0))*INDEX(Escalators!$I$44:$U$49,MATCH(AZ$4,Escalators!$C$44:$C$49,0),MATCH(AZ$5,Escalators!$I$43:$U$43,0))</f>
        <v>0</v>
      </c>
      <c r="BA25" s="47">
        <f>INDEX(Lab_Mat!$K$6:$N$9,MATCH($H25,Lab_Mat!$J$6:$J$9,0),MATCH($BE$4,Lab_Mat!$K$5:$N$5,0))*$N25*INDEX(Act_Type_Repex_Splits,MATCH($I25,Act_Type_Repex,0),MATCH(BA$4,Mat_Type,0))*INDEX(Escalators!$I$44:$U$49,MATCH(BA$4,Escalators!$C$44:$C$49,0),MATCH(BA$5,Escalators!$I$43:$U$43,0))</f>
        <v>0</v>
      </c>
      <c r="BB25" s="47">
        <f>INDEX(Lab_Mat!$K$6:$N$9,MATCH($H25,Lab_Mat!$J$6:$J$9,0),MATCH($BE$4,Lab_Mat!$K$5:$N$5,0))*$N25*INDEX(Act_Type_Repex_Splits,MATCH($I25,Act_Type_Repex,0),MATCH(BB$4,Mat_Type,0))*INDEX(Escalators!$I$44:$U$49,MATCH(BB$4,Escalators!$C$44:$C$49,0),MATCH(BB$5,Escalators!$I$43:$U$43,0))</f>
        <v>230.99251055888348</v>
      </c>
      <c r="BC25" s="47">
        <f>INDEX(Lab_Mat!$K$6:$N$9,MATCH($H25,Lab_Mat!$J$6:$J$9,0),MATCH($BE$4,Lab_Mat!$K$5:$N$5,0))*$N25*INDEX(Act_Type_Repex_Splits,MATCH($I25,Act_Type_Repex,0),MATCH(BC$4,Mat_Type,0))*INDEX(Escalators!$I$44:$U$49,MATCH(BC$4,Escalators!$C$44:$C$49,0),MATCH(BC$5,Escalators!$I$43:$U$43,0))</f>
        <v>0</v>
      </c>
      <c r="BD25" s="47">
        <f>INDEX(Lab_Mat!$K$6:$N$9,MATCH($H25,Lab_Mat!$J$6:$J$9,0),MATCH($BE$4,Lab_Mat!$K$5:$N$5,0))*$N25*INDEX(Act_Type_Repex_Splits,MATCH($I25,Act_Type_Repex,0),MATCH(BD$4,Mat_Type,0))*INDEX(Escalators!$I$44:$U$49,MATCH(BD$4,Escalators!$C$44:$C$49,0),MATCH(BD$5,Escalators!$I$43:$U$43,0))</f>
        <v>230.99251055888348</v>
      </c>
      <c r="BE25" s="47">
        <f t="shared" si="60"/>
        <v>461.98502111776696</v>
      </c>
      <c r="BF25" s="47">
        <f>INDEX(Lab_Mat!$K$6:$N$9,MATCH($H25,Lab_Mat!$J$6:$J$9,0),MATCH($BK$4,Lab_Mat!$K$5:$N$5,0))*$O25*INDEX(Act_Type_Repex_Splits,MATCH($I25,Act_Type_Repex,0),MATCH(BF$4,Mat_Type,0))*INDEX(Escalators!$I$44:$U$49,MATCH(BF$4,Escalators!$C$44:$C$49,0),MATCH(BF$5,Escalators!$I$43:$U$43,0))</f>
        <v>0</v>
      </c>
      <c r="BG25" s="47">
        <f>INDEX(Lab_Mat!$K$6:$N$9,MATCH($H25,Lab_Mat!$J$6:$J$9,0),MATCH($BK$4,Lab_Mat!$K$5:$N$5,0))*$O25*INDEX(Act_Type_Repex_Splits,MATCH($I25,Act_Type_Repex,0),MATCH(BG$4,Mat_Type,0))*INDEX(Escalators!$I$44:$U$49,MATCH(BG$4,Escalators!$C$44:$C$49,0),MATCH(BG$5,Escalators!$I$43:$U$43,0))</f>
        <v>0</v>
      </c>
      <c r="BH25" s="47">
        <f>INDEX(Lab_Mat!$K$6:$N$9,MATCH($H25,Lab_Mat!$J$6:$J$9,0),MATCH($BK$4,Lab_Mat!$K$5:$N$5,0))*$O25*INDEX(Act_Type_Repex_Splits,MATCH($I25,Act_Type_Repex,0),MATCH(BH$4,Mat_Type,0))*INDEX(Escalators!$I$44:$U$49,MATCH(BH$4,Escalators!$C$44:$C$49,0),MATCH(BH$5,Escalators!$I$43:$U$43,0))</f>
        <v>0</v>
      </c>
      <c r="BI25" s="47">
        <f>INDEX(Lab_Mat!$K$6:$N$9,MATCH($H25,Lab_Mat!$J$6:$J$9,0),MATCH($BK$4,Lab_Mat!$K$5:$N$5,0))*$O25*INDEX(Act_Type_Repex_Splits,MATCH($I25,Act_Type_Repex,0),MATCH(BI$4,Mat_Type,0))*INDEX(Escalators!$I$44:$U$49,MATCH(BI$4,Escalators!$C$44:$C$49,0),MATCH(BI$5,Escalators!$I$43:$U$43,0))</f>
        <v>0</v>
      </c>
      <c r="BJ25" s="47">
        <f>INDEX(Lab_Mat!$K$6:$N$9,MATCH($H25,Lab_Mat!$J$6:$J$9,0),MATCH($BK$4,Lab_Mat!$K$5:$N$5,0))*$O25*INDEX(Act_Type_Repex_Splits,MATCH($I25,Act_Type_Repex,0),MATCH(BJ$4,Mat_Type,0))*INDEX(Escalators!$I$44:$U$49,MATCH(BJ$4,Escalators!$C$44:$C$49,0),MATCH(BJ$5,Escalators!$I$43:$U$43,0))</f>
        <v>0</v>
      </c>
      <c r="BK25" s="47">
        <f t="shared" si="61"/>
        <v>0</v>
      </c>
      <c r="BL25" s="47">
        <f>INDEX(Lab_Mat!$K$6:$N$9,MATCH($H25,Lab_Mat!$J$6:$J$9,0),MATCH($BQ$4,Lab_Mat!$K$5:$N$5,0))*$P25*INDEX(Act_Type_Repex_Splits,MATCH($I25,Act_Type_Repex,0),MATCH(BL$4,Mat_Type,0))*INDEX(Escalators!$I$44:$U$49,MATCH(BL$4,Escalators!$C$44:$C$49,0),MATCH(BL$5,Escalators!$I$43:$U$43,0))</f>
        <v>0</v>
      </c>
      <c r="BM25" s="47">
        <f>INDEX(Lab_Mat!$K$6:$N$9,MATCH($H25,Lab_Mat!$J$6:$J$9,0),MATCH($BQ$4,Lab_Mat!$K$5:$N$5,0))*$P25*INDEX(Act_Type_Repex_Splits,MATCH($I25,Act_Type_Repex,0),MATCH(BM$4,Mat_Type,0))*INDEX(Escalators!$I$44:$U$49,MATCH(BM$4,Escalators!$C$44:$C$49,0),MATCH(BM$5,Escalators!$I$43:$U$43,0))</f>
        <v>0</v>
      </c>
      <c r="BN25" s="47">
        <f>INDEX(Lab_Mat!$K$6:$N$9,MATCH($H25,Lab_Mat!$J$6:$J$9,0),MATCH($BQ$4,Lab_Mat!$K$5:$N$5,0))*$P25*INDEX(Act_Type_Repex_Splits,MATCH($I25,Act_Type_Repex,0),MATCH(BN$4,Mat_Type,0))*INDEX(Escalators!$I$44:$U$49,MATCH(BN$4,Escalators!$C$44:$C$49,0),MATCH(BN$5,Escalators!$I$43:$U$43,0))</f>
        <v>0</v>
      </c>
      <c r="BO25" s="47">
        <f>INDEX(Lab_Mat!$K$6:$N$9,MATCH($H25,Lab_Mat!$J$6:$J$9,0),MATCH($BQ$4,Lab_Mat!$K$5:$N$5,0))*$P25*INDEX(Act_Type_Repex_Splits,MATCH($I25,Act_Type_Repex,0),MATCH(BO$4,Mat_Type,0))*INDEX(Escalators!$I$44:$U$49,MATCH(BO$4,Escalators!$C$44:$C$49,0),MATCH(BO$5,Escalators!$I$43:$U$43,0))</f>
        <v>0</v>
      </c>
      <c r="BP25" s="47">
        <f>INDEX(Lab_Mat!$K$6:$N$9,MATCH($H25,Lab_Mat!$J$6:$J$9,0),MATCH($BQ$4,Lab_Mat!$K$5:$N$5,0))*$P25*INDEX(Act_Type_Repex_Splits,MATCH($I25,Act_Type_Repex,0),MATCH(BP$4,Mat_Type,0))*INDEX(Escalators!$I$44:$U$49,MATCH(BP$4,Escalators!$C$44:$C$49,0),MATCH(BP$5,Escalators!$I$43:$U$43,0))</f>
        <v>0</v>
      </c>
      <c r="BQ25" s="47">
        <f t="shared" si="62"/>
        <v>0</v>
      </c>
      <c r="BR25" s="47">
        <f>INDEX(Lab_Mat!$K$6:$N$9,MATCH($H25,Lab_Mat!$J$6:$J$9,0),MATCH($BW$4,Lab_Mat!$K$5:$N$5,0))*$Q25*INDEX(Act_Type_Repex_Splits,MATCH($I25,Act_Type_Repex,0),MATCH(BR$4,Mat_Type,0))*INDEX(Escalators!$I$44:$U$49,MATCH(BR$4,Escalators!$C$44:$C$49,0),MATCH(BR$5,Escalators!$I$43:$U$43,0))</f>
        <v>0</v>
      </c>
      <c r="BS25" s="47">
        <f>INDEX(Lab_Mat!$K$6:$N$9,MATCH($H25,Lab_Mat!$J$6:$J$9,0),MATCH($BW$4,Lab_Mat!$K$5:$N$5,0))*$Q25*INDEX(Act_Type_Repex_Splits,MATCH($I25,Act_Type_Repex,0),MATCH(BS$4,Mat_Type,0))*INDEX(Escalators!$I$44:$U$49,MATCH(BS$4,Escalators!$C$44:$C$49,0),MATCH(BS$5,Escalators!$I$43:$U$43,0))</f>
        <v>0</v>
      </c>
      <c r="BT25" s="47">
        <f>INDEX(Lab_Mat!$K$6:$N$9,MATCH($H25,Lab_Mat!$J$6:$J$9,0),MATCH($BW$4,Lab_Mat!$K$5:$N$5,0))*$Q25*INDEX(Act_Type_Repex_Splits,MATCH($I25,Act_Type_Repex,0),MATCH(BT$4,Mat_Type,0))*INDEX(Escalators!$I$44:$U$49,MATCH(BT$4,Escalators!$C$44:$C$49,0),MATCH(BT$5,Escalators!$I$43:$U$43,0))</f>
        <v>0</v>
      </c>
      <c r="BU25" s="47">
        <f>INDEX(Lab_Mat!$K$6:$N$9,MATCH($H25,Lab_Mat!$J$6:$J$9,0),MATCH($BW$4,Lab_Mat!$K$5:$N$5,0))*$Q25*INDEX(Act_Type_Repex_Splits,MATCH($I25,Act_Type_Repex,0),MATCH(BU$4,Mat_Type,0))*INDEX(Escalators!$I$44:$U$49,MATCH(BU$4,Escalators!$C$44:$C$49,0),MATCH(BU$5,Escalators!$I$43:$U$43,0))</f>
        <v>0</v>
      </c>
      <c r="BV25" s="47">
        <f>INDEX(Lab_Mat!$K$6:$N$9,MATCH($H25,Lab_Mat!$J$6:$J$9,0),MATCH($BW$4,Lab_Mat!$K$5:$N$5,0))*$Q25*INDEX(Act_Type_Repex_Splits,MATCH($I25,Act_Type_Repex,0),MATCH(BV$4,Mat_Type,0))*INDEX(Escalators!$I$44:$U$49,MATCH(BV$4,Escalators!$C$44:$C$49,0),MATCH(BV$5,Escalators!$I$43:$U$43,0))</f>
        <v>0</v>
      </c>
      <c r="BW25" s="47">
        <f t="shared" si="63"/>
        <v>0</v>
      </c>
      <c r="BY25" s="47">
        <f>INDEX(Lab_Mat!$K$6:$N$9,MATCH($H25,Lab_Mat!$J$6:$J$9,0),MATCH($BY$4,Lab_Mat!$K$5:$N$5,0))*J25*HLOOKUP(BY$5,Escalators!$I$25:$U$30,6,FALSE)</f>
        <v>0</v>
      </c>
      <c r="BZ25" s="47">
        <f>INDEX(Lab_Mat!$K$6:$N$9,MATCH($H25,Lab_Mat!$J$6:$J$9,0),MATCH($BY$4,Lab_Mat!$K$5:$N$5,0))*K25*HLOOKUP(BZ$5,Escalators!$I$25:$U$30,6,FALSE)</f>
        <v>0</v>
      </c>
      <c r="CA25" s="47">
        <f>INDEX(Lab_Mat!$K$6:$N$9,MATCH($H25,Lab_Mat!$J$6:$J$9,0),MATCH($BY$4,Lab_Mat!$K$5:$N$5,0))*L25*HLOOKUP(CA$5,Escalators!$I$25:$U$30,6,FALSE)</f>
        <v>0</v>
      </c>
      <c r="CB25" s="47">
        <f>INDEX(Lab_Mat!$K$6:$N$9,MATCH($H25,Lab_Mat!$J$6:$J$9,0),MATCH($BY$4,Lab_Mat!$K$5:$N$5,0))*M25*HLOOKUP(CB$5,Escalators!$I$25:$U$30,6,FALSE)</f>
        <v>4059.3204600057138</v>
      </c>
      <c r="CC25" s="47">
        <f>INDEX(Lab_Mat!$K$6:$N$9,MATCH($H25,Lab_Mat!$J$6:$J$9,0),MATCH($BY$4,Lab_Mat!$K$5:$N$5,0))*N25*HLOOKUP(CC$5,Escalators!$I$25:$U$30,6,FALSE)</f>
        <v>1841.1703849375817</v>
      </c>
      <c r="CD25" s="47">
        <f>INDEX(Lab_Mat!$K$6:$N$9,MATCH($H25,Lab_Mat!$J$6:$J$9,0),MATCH($BY$4,Lab_Mat!$K$5:$N$5,0))*O25*HLOOKUP(CD$5,Escalators!$I$25:$U$30,6,FALSE)</f>
        <v>0</v>
      </c>
      <c r="CE25" s="47">
        <f>INDEX(Lab_Mat!$K$6:$N$9,MATCH($H25,Lab_Mat!$J$6:$J$9,0),MATCH($BY$4,Lab_Mat!$K$5:$N$5,0))*P25*HLOOKUP(CE$5,Escalators!$I$25:$U$30,6,FALSE)</f>
        <v>0</v>
      </c>
      <c r="CF25" s="47">
        <f>INDEX(Lab_Mat!$K$6:$N$9,MATCH($H25,Lab_Mat!$J$6:$J$9,0),MATCH($BY$4,Lab_Mat!$K$5:$N$5,0))*Q25*HLOOKUP(CF$5,Escalators!$I$25:$U$30,6,FALSE)</f>
        <v>0</v>
      </c>
      <c r="CH25" s="82">
        <f>INDEX(Lab_Mat!$K$6:$N$9,MATCH($H25,Lab_Mat!$J$6:$J$9,0),MATCH($CH$4,Lab_Mat!$K$5:$N$5,0))*J25</f>
        <v>0</v>
      </c>
      <c r="CI25" s="82">
        <f>INDEX(Lab_Mat!$K$6:$N$9,MATCH($H25,Lab_Mat!$J$6:$J$9,0),MATCH($CH$4,Lab_Mat!$K$5:$N$5,0))*K25</f>
        <v>0</v>
      </c>
      <c r="CJ25" s="82">
        <f>INDEX(Lab_Mat!$K$6:$N$9,MATCH($H25,Lab_Mat!$J$6:$J$9,0),MATCH($CH$4,Lab_Mat!$K$5:$N$5,0))*L25</f>
        <v>0</v>
      </c>
      <c r="CK25" s="82">
        <f>INDEX(Lab_Mat!$K$6:$N$9,MATCH($H25,Lab_Mat!$J$6:$J$9,0),MATCH($CH$4,Lab_Mat!$K$5:$N$5,0))*M25</f>
        <v>1367.9440326370589</v>
      </c>
      <c r="CL25" s="82">
        <f>INDEX(Lab_Mat!$K$6:$N$9,MATCH($H25,Lab_Mat!$J$6:$J$9,0),MATCH($CH$4,Lab_Mat!$K$5:$N$5,0))*N25</f>
        <v>620.45311917549282</v>
      </c>
      <c r="CM25" s="82">
        <f>INDEX(Lab_Mat!$K$6:$N$9,MATCH($H25,Lab_Mat!$J$6:$J$9,0),MATCH($CH$4,Lab_Mat!$K$5:$N$5,0))*O25</f>
        <v>0</v>
      </c>
      <c r="CN25" s="82">
        <f>INDEX(Lab_Mat!$K$6:$N$9,MATCH($H25,Lab_Mat!$J$6:$J$9,0),MATCH($CH$4,Lab_Mat!$K$5:$N$5,0))*P25</f>
        <v>0</v>
      </c>
      <c r="CO25" s="82">
        <f>INDEX(Lab_Mat!$K$6:$N$9,MATCH($H25,Lab_Mat!$J$6:$J$9,0),MATCH($CH$4,Lab_Mat!$K$5:$N$5,0))*Q25</f>
        <v>0</v>
      </c>
      <c r="CQ25" s="47">
        <f t="shared" si="40"/>
        <v>0</v>
      </c>
      <c r="CR25" s="47">
        <f t="shared" si="41"/>
        <v>0</v>
      </c>
      <c r="CS25" s="47">
        <f t="shared" si="55"/>
        <v>0</v>
      </c>
      <c r="CT25" s="47">
        <f t="shared" si="42"/>
        <v>7855.0580666726564</v>
      </c>
      <c r="CU25" s="47">
        <f t="shared" si="43"/>
        <v>3565.9594115663326</v>
      </c>
      <c r="CV25" s="47">
        <f t="shared" si="44"/>
        <v>0</v>
      </c>
      <c r="CW25" s="47">
        <f t="shared" si="45"/>
        <v>0</v>
      </c>
      <c r="CX25" s="47">
        <f t="shared" si="46"/>
        <v>0</v>
      </c>
    </row>
    <row r="26" spans="2:109">
      <c r="B26" s="6"/>
      <c r="C26" s="6" t="s">
        <v>411</v>
      </c>
      <c r="D26" s="6" t="s">
        <v>405</v>
      </c>
      <c r="E26" s="6" t="s">
        <v>48</v>
      </c>
      <c r="F26" s="6" t="s">
        <v>55</v>
      </c>
      <c r="G26" s="6" t="s">
        <v>10</v>
      </c>
      <c r="H26" s="6" t="s">
        <v>741</v>
      </c>
      <c r="I26" s="6" t="s">
        <v>204</v>
      </c>
      <c r="J26" s="47"/>
      <c r="K26" s="47"/>
      <c r="L26" s="47"/>
      <c r="M26" s="47">
        <v>3258.9821817034426</v>
      </c>
      <c r="N26" s="47">
        <v>647.81893302055425</v>
      </c>
      <c r="O26" s="47">
        <v>0</v>
      </c>
      <c r="P26" s="47"/>
      <c r="Q26" s="47"/>
      <c r="S26" s="47">
        <f>INDEX(Lab_Mat!$K$6:$N$9,MATCH($H26,Lab_Mat!$J$6:$J$9,0),MATCH($S$4,Lab_Mat!$K$5:$N$5,0))*J26*HLOOKUP(S$5,Escalators!$I$25:$U$30,3,FALSE)</f>
        <v>0</v>
      </c>
      <c r="T26" s="47">
        <f>INDEX(Lab_Mat!$K$6:$N$9,MATCH($H26,Lab_Mat!$J$6:$J$9,0),MATCH($S$4,Lab_Mat!$K$5:$N$5,0))*K26*HLOOKUP(T$5,Escalators!$I$25:$U$30,3,FALSE)</f>
        <v>0</v>
      </c>
      <c r="U26" s="47">
        <f>INDEX(Lab_Mat!$K$6:$N$9,MATCH($H26,Lab_Mat!$J$6:$J$9,0),MATCH($S$4,Lab_Mat!$K$5:$N$5,0))*L26*HLOOKUP(U$5,Escalators!$I$25:$U$30,3,FALSE)</f>
        <v>0</v>
      </c>
      <c r="V26" s="47">
        <f>INDEX(Lab_Mat!$K$6:$N$9,MATCH($H26,Lab_Mat!$J$6:$J$9,0),MATCH($S$4,Lab_Mat!$K$5:$N$5,0))*M26*HLOOKUP(V$5,Escalators!$I$25:$U$30,3,FALSE)</f>
        <v>618.93613956199908</v>
      </c>
      <c r="W26" s="47">
        <f>INDEX(Lab_Mat!$K$6:$N$9,MATCH($H26,Lab_Mat!$J$6:$J$9,0),MATCH($S$4,Lab_Mat!$K$5:$N$5,0))*N26*HLOOKUP(W$5,Escalators!$I$25:$U$30,3,FALSE)</f>
        <v>123.64218019935838</v>
      </c>
      <c r="X26" s="47">
        <f>INDEX(Lab_Mat!$K$6:$N$9,MATCH($H26,Lab_Mat!$J$6:$J$9,0),MATCH($S$4,Lab_Mat!$K$5:$N$5,0))*O26*HLOOKUP(X$5,Escalators!$I$25:$U$30,3,FALSE)</f>
        <v>0</v>
      </c>
      <c r="Y26" s="47">
        <f>INDEX(Lab_Mat!$K$6:$N$9,MATCH($H26,Lab_Mat!$J$6:$J$9,0),MATCH($S$4,Lab_Mat!$K$5:$N$5,0))*P26*HLOOKUP(Y$5,Escalators!$I$25:$U$30,3,FALSE)</f>
        <v>0</v>
      </c>
      <c r="Z26" s="47">
        <f>INDEX(Lab_Mat!$K$6:$N$9,MATCH($H26,Lab_Mat!$J$6:$J$9,0),MATCH($S$4,Lab_Mat!$K$5:$N$5,0))*Q26*HLOOKUP(Z$5,Escalators!$I$25:$U$30,3,FALSE)</f>
        <v>0</v>
      </c>
      <c r="AB26" s="47">
        <f>INDEX(Lab_Mat!$K$6:$N$9,MATCH($H26,Lab_Mat!$J$6:$J$9,0),MATCH($AG$4,Lab_Mat!$K$5:$N$5,0))*$J26*INDEX(Act_Type_Repex_Splits,MATCH($I26,Act_Type_Repex,0),MATCH(AB$4,Mat_Type,0))*INDEX(Escalators!$I$44:$Q$49,MATCH(AB$4,Escalators!$C$44:$C$49,0),MATCH(AB$5,Escalators!$I$43:$Q$43,0))</f>
        <v>0</v>
      </c>
      <c r="AC26" s="47">
        <f>INDEX(Lab_Mat!$K$6:$N$9,MATCH($H26,Lab_Mat!$J$6:$J$9,0),MATCH($AG$4,Lab_Mat!$K$5:$N$5,0))*$J26*INDEX(Act_Type_Repex_Splits,MATCH($I26,Act_Type_Repex,0),MATCH(AC$4,Mat_Type,0))*INDEX(Escalators!$I$44:$Q$49,MATCH(AC$4,Escalators!$C$44:$C$49,0),MATCH(AC$5,Escalators!$I$43:$Q$43,0))</f>
        <v>0</v>
      </c>
      <c r="AD26" s="47">
        <f>INDEX(Lab_Mat!$K$6:$N$9,MATCH($H26,Lab_Mat!$J$6:$J$9,0),MATCH($AG$4,Lab_Mat!$K$5:$N$5,0))*$J26*INDEX(Act_Type_Repex_Splits,MATCH($I26,Act_Type_Repex,0),MATCH(AD$4,Mat_Type,0))*INDEX(Escalators!$I$44:$Q$49,MATCH(AD$4,Escalators!$C$44:$C$49,0),MATCH(AD$5,Escalators!$I$43:$Q$43,0))</f>
        <v>0</v>
      </c>
      <c r="AE26" s="47">
        <f>INDEX(Lab_Mat!$K$6:$N$9,MATCH($H26,Lab_Mat!$J$6:$J$9,0),MATCH($AG$4,Lab_Mat!$K$5:$N$5,0))*$J26*INDEX(Act_Type_Repex_Splits,MATCH($I26,Act_Type_Repex,0),MATCH(AE$4,Mat_Type,0))*INDEX(Escalators!$I$44:$Q$49,MATCH(AE$4,Escalators!$C$44:$C$49,0),MATCH(AE$5,Escalators!$I$43:$Q$43,0))</f>
        <v>0</v>
      </c>
      <c r="AF26" s="47">
        <f>INDEX(Lab_Mat!$K$6:$N$9,MATCH($H26,Lab_Mat!$J$6:$J$9,0),MATCH($AG$4,Lab_Mat!$K$5:$N$5,0))*$J26*INDEX(Act_Type_Repex_Splits,MATCH($I26,Act_Type_Repex,0),MATCH(AF$4,Mat_Type,0))*INDEX(Escalators!$I$44:$Q$49,MATCH(AF$4,Escalators!$C$44:$C$49,0),MATCH(AF$5,Escalators!$I$43:$Q$43,0))</f>
        <v>0</v>
      </c>
      <c r="AG26" s="47">
        <f t="shared" si="56"/>
        <v>0</v>
      </c>
      <c r="AH26" s="47">
        <f>INDEX(Lab_Mat!$K$6:$N$9,MATCH($H26,Lab_Mat!$J$6:$J$9,0),MATCH($AY$4,Lab_Mat!$K$5:$N$5,0))*$K26*INDEX(Act_Type_Repex_Splits,MATCH($I26,Act_Type_Repex,0),MATCH(AH$4,Mat_Type,0))*INDEX(Escalators!$I$44:$U$49,MATCH(AH$4,Escalators!$C$44:$C$49,0),MATCH(AH$5,Escalators!$I$43:$U$43,0))</f>
        <v>0</v>
      </c>
      <c r="AI26" s="47">
        <f>INDEX(Lab_Mat!$K$6:$N$9,MATCH($H26,Lab_Mat!$J$6:$J$9,0),MATCH($AY$4,Lab_Mat!$K$5:$N$5,0))*$K26*INDEX(Act_Type_Repex_Splits,MATCH($I26,Act_Type_Repex,0),MATCH(AI$4,Mat_Type,0))*INDEX(Escalators!$I$44:$U$49,MATCH(AI$4,Escalators!$C$44:$C$49,0),MATCH(AI$5,Escalators!$I$43:$U$43,0))</f>
        <v>0</v>
      </c>
      <c r="AJ26" s="47">
        <f>INDEX(Lab_Mat!$K$6:$N$9,MATCH($H26,Lab_Mat!$J$6:$J$9,0),MATCH($AY$4,Lab_Mat!$K$5:$N$5,0))*$K26*INDEX(Act_Type_Repex_Splits,MATCH($I26,Act_Type_Repex,0),MATCH(AJ$4,Mat_Type,0))*INDEX(Escalators!$I$44:$U$49,MATCH(AJ$4,Escalators!$C$44:$C$49,0),MATCH(AJ$5,Escalators!$I$43:$U$43,0))</f>
        <v>0</v>
      </c>
      <c r="AK26" s="47">
        <f>INDEX(Lab_Mat!$K$6:$N$9,MATCH($H26,Lab_Mat!$J$6:$J$9,0),MATCH($AY$4,Lab_Mat!$K$5:$N$5,0))*$K26*INDEX(Act_Type_Repex_Splits,MATCH($I26,Act_Type_Repex,0),MATCH(AK$4,Mat_Type,0))*INDEX(Escalators!$I$44:$U$49,MATCH(AK$4,Escalators!$C$44:$C$49,0),MATCH(AK$5,Escalators!$I$43:$U$43,0))</f>
        <v>0</v>
      </c>
      <c r="AL26" s="47">
        <f>INDEX(Lab_Mat!$K$6:$N$9,MATCH($H26,Lab_Mat!$J$6:$J$9,0),MATCH($AY$4,Lab_Mat!$K$5:$N$5,0))*$K26*INDEX(Act_Type_Repex_Splits,MATCH($I26,Act_Type_Repex,0),MATCH(AL$4,Mat_Type,0))*INDEX(Escalators!$I$44:$U$49,MATCH(AL$4,Escalators!$C$44:$C$49,0),MATCH(AL$5,Escalators!$I$43:$U$43,0))</f>
        <v>0</v>
      </c>
      <c r="AM26" s="47">
        <f t="shared" si="57"/>
        <v>0</v>
      </c>
      <c r="AN26" s="47">
        <f>INDEX(Lab_Mat!$K$6:$N$9,MATCH($H26,Lab_Mat!$J$6:$J$9,0),MATCH($AY$4,Lab_Mat!$K$5:$N$5,0))*$L26*INDEX(Act_Type_Repex_Splits,MATCH($I26,Act_Type_Repex,0),MATCH(AN$4,Mat_Type,0))*INDEX(Escalators!$I$44:$U$49,MATCH(AN$4,Escalators!$C$44:$C$49,0),MATCH(AN$5,Escalators!$I$43:$U$43,0))</f>
        <v>0</v>
      </c>
      <c r="AO26" s="47">
        <f>INDEX(Lab_Mat!$K$6:$N$9,MATCH($H26,Lab_Mat!$J$6:$J$9,0),MATCH($AY$4,Lab_Mat!$K$5:$N$5,0))*$L26*INDEX(Act_Type_Repex_Splits,MATCH($I26,Act_Type_Repex,0),MATCH(AO$4,Mat_Type,0))*INDEX(Escalators!$I$44:$U$49,MATCH(AO$4,Escalators!$C$44:$C$49,0),MATCH(AO$5,Escalators!$I$43:$U$43,0))</f>
        <v>0</v>
      </c>
      <c r="AP26" s="47">
        <f>INDEX(Lab_Mat!$K$6:$N$9,MATCH($H26,Lab_Mat!$J$6:$J$9,0),MATCH($AY$4,Lab_Mat!$K$5:$N$5,0))*$L26*INDEX(Act_Type_Repex_Splits,MATCH($I26,Act_Type_Repex,0),MATCH(AP$4,Mat_Type,0))*INDEX(Escalators!$I$44:$U$49,MATCH(AP$4,Escalators!$C$44:$C$49,0),MATCH(AP$5,Escalators!$I$43:$U$43,0))</f>
        <v>0</v>
      </c>
      <c r="AQ26" s="47">
        <f>INDEX(Lab_Mat!$K$6:$N$9,MATCH($H26,Lab_Mat!$J$6:$J$9,0),MATCH($AY$4,Lab_Mat!$K$5:$N$5,0))*$L26*INDEX(Act_Type_Repex_Splits,MATCH($I26,Act_Type_Repex,0),MATCH(AQ$4,Mat_Type,0))*INDEX(Escalators!$I$44:$U$49,MATCH(AQ$4,Escalators!$C$44:$C$49,0),MATCH(AQ$5,Escalators!$I$43:$U$43,0))</f>
        <v>0</v>
      </c>
      <c r="AR26" s="47">
        <f>INDEX(Lab_Mat!$K$6:$N$9,MATCH($H26,Lab_Mat!$J$6:$J$9,0),MATCH($AY$4,Lab_Mat!$K$5:$N$5,0))*$L26*INDEX(Act_Type_Repex_Splits,MATCH($I26,Act_Type_Repex,0),MATCH(AR$4,Mat_Type,0))*INDEX(Escalators!$I$44:$U$49,MATCH(AR$4,Escalators!$C$44:$C$49,0),MATCH(AR$5,Escalators!$I$43:$U$43,0))</f>
        <v>0</v>
      </c>
      <c r="AS26" s="47">
        <f t="shared" si="58"/>
        <v>0</v>
      </c>
      <c r="AT26" s="47">
        <f>INDEX(Lab_Mat!$K$6:$N$9,MATCH($H26,Lab_Mat!$J$6:$J$9,0),MATCH($AY$4,Lab_Mat!$K$5:$N$5,0))*$M26*INDEX(Act_Type_Repex_Splits,MATCH($I26,Act_Type_Repex,0),MATCH(AT$4,Mat_Type,0))*INDEX(Escalators!$I$44:$U$49,MATCH(AT$4,Escalators!$C$44:$C$49,0),MATCH(AT$5,Escalators!$I$43:$U$43,0))</f>
        <v>0</v>
      </c>
      <c r="AU26" s="47">
        <f>INDEX(Lab_Mat!$K$6:$N$9,MATCH($H26,Lab_Mat!$J$6:$J$9,0),MATCH($AY$4,Lab_Mat!$K$5:$N$5,0))*$M26*INDEX(Act_Type_Repex_Splits,MATCH($I26,Act_Type_Repex,0),MATCH(AU$4,Mat_Type,0))*INDEX(Escalators!$I$44:$U$49,MATCH(AU$4,Escalators!$C$44:$C$49,0),MATCH(AU$5,Escalators!$I$43:$U$43,0))</f>
        <v>0</v>
      </c>
      <c r="AV26" s="47">
        <f>INDEX(Lab_Mat!$K$6:$N$9,MATCH($H26,Lab_Mat!$J$6:$J$9,0),MATCH($AY$4,Lab_Mat!$K$5:$N$5,0))*$M26*INDEX(Act_Type_Repex_Splits,MATCH($I26,Act_Type_Repex,0),MATCH(AV$4,Mat_Type,0))*INDEX(Escalators!$I$44:$U$49,MATCH(AV$4,Escalators!$C$44:$C$49,0),MATCH(AV$5,Escalators!$I$43:$U$43,0))</f>
        <v>352.86236126327776</v>
      </c>
      <c r="AW26" s="47">
        <f>INDEX(Lab_Mat!$K$6:$N$9,MATCH($H26,Lab_Mat!$J$6:$J$9,0),MATCH($AY$4,Lab_Mat!$K$5:$N$5,0))*$M26*INDEX(Act_Type_Repex_Splits,MATCH($I26,Act_Type_Repex,0),MATCH(AW$4,Mat_Type,0))*INDEX(Escalators!$I$44:$U$49,MATCH(AW$4,Escalators!$C$44:$C$49,0),MATCH(AW$5,Escalators!$I$43:$U$43,0))</f>
        <v>0</v>
      </c>
      <c r="AX26" s="47">
        <f>INDEX(Lab_Mat!$K$6:$N$9,MATCH($H26,Lab_Mat!$J$6:$J$9,0),MATCH($AY$4,Lab_Mat!$K$5:$N$5,0))*$M26*INDEX(Act_Type_Repex_Splits,MATCH($I26,Act_Type_Repex,0),MATCH(AX$4,Mat_Type,0))*INDEX(Escalators!$I$44:$U$49,MATCH(AX$4,Escalators!$C$44:$C$49,0),MATCH(AX$5,Escalators!$I$43:$U$43,0))</f>
        <v>1411.449445053111</v>
      </c>
      <c r="AY26" s="47">
        <f t="shared" si="59"/>
        <v>1764.3118063163888</v>
      </c>
      <c r="AZ26" s="47">
        <f>INDEX(Lab_Mat!$K$6:$N$9,MATCH($H26,Lab_Mat!$J$6:$J$9,0),MATCH($BE$4,Lab_Mat!$K$5:$N$5,0))*$N26*INDEX(Act_Type_Repex_Splits,MATCH($I26,Act_Type_Repex,0),MATCH(AZ$4,Mat_Type,0))*INDEX(Escalators!$I$44:$U$49,MATCH(AZ$4,Escalators!$C$44:$C$49,0),MATCH(AZ$5,Escalators!$I$43:$U$43,0))</f>
        <v>0</v>
      </c>
      <c r="BA26" s="47">
        <f>INDEX(Lab_Mat!$K$6:$N$9,MATCH($H26,Lab_Mat!$J$6:$J$9,0),MATCH($BE$4,Lab_Mat!$K$5:$N$5,0))*$N26*INDEX(Act_Type_Repex_Splits,MATCH($I26,Act_Type_Repex,0),MATCH(BA$4,Mat_Type,0))*INDEX(Escalators!$I$44:$U$49,MATCH(BA$4,Escalators!$C$44:$C$49,0),MATCH(BA$5,Escalators!$I$43:$U$43,0))</f>
        <v>0</v>
      </c>
      <c r="BB26" s="47">
        <f>INDEX(Lab_Mat!$K$6:$N$9,MATCH($H26,Lab_Mat!$J$6:$J$9,0),MATCH($BE$4,Lab_Mat!$K$5:$N$5,0))*$N26*INDEX(Act_Type_Repex_Splits,MATCH($I26,Act_Type_Repex,0),MATCH(BB$4,Mat_Type,0))*INDEX(Escalators!$I$44:$U$49,MATCH(BB$4,Escalators!$C$44:$C$49,0),MATCH(BB$5,Escalators!$I$43:$U$43,0))</f>
        <v>70.141812882575323</v>
      </c>
      <c r="BC26" s="47">
        <f>INDEX(Lab_Mat!$K$6:$N$9,MATCH($H26,Lab_Mat!$J$6:$J$9,0),MATCH($BE$4,Lab_Mat!$K$5:$N$5,0))*$N26*INDEX(Act_Type_Repex_Splits,MATCH($I26,Act_Type_Repex,0),MATCH(BC$4,Mat_Type,0))*INDEX(Escalators!$I$44:$U$49,MATCH(BC$4,Escalators!$C$44:$C$49,0),MATCH(BC$5,Escalators!$I$43:$U$43,0))</f>
        <v>0</v>
      </c>
      <c r="BD26" s="47">
        <f>INDEX(Lab_Mat!$K$6:$N$9,MATCH($H26,Lab_Mat!$J$6:$J$9,0),MATCH($BE$4,Lab_Mat!$K$5:$N$5,0))*$N26*INDEX(Act_Type_Repex_Splits,MATCH($I26,Act_Type_Repex,0),MATCH(BD$4,Mat_Type,0))*INDEX(Escalators!$I$44:$U$49,MATCH(BD$4,Escalators!$C$44:$C$49,0),MATCH(BD$5,Escalators!$I$43:$U$43,0))</f>
        <v>280.56725153030129</v>
      </c>
      <c r="BE26" s="47">
        <f t="shared" si="60"/>
        <v>350.70906441287661</v>
      </c>
      <c r="BF26" s="47">
        <f>INDEX(Lab_Mat!$K$6:$N$9,MATCH($H26,Lab_Mat!$J$6:$J$9,0),MATCH($BK$4,Lab_Mat!$K$5:$N$5,0))*$O26*INDEX(Act_Type_Repex_Splits,MATCH($I26,Act_Type_Repex,0),MATCH(BF$4,Mat_Type,0))*INDEX(Escalators!$I$44:$U$49,MATCH(BF$4,Escalators!$C$44:$C$49,0),MATCH(BF$5,Escalators!$I$43:$U$43,0))</f>
        <v>0</v>
      </c>
      <c r="BG26" s="47">
        <f>INDEX(Lab_Mat!$K$6:$N$9,MATCH($H26,Lab_Mat!$J$6:$J$9,0),MATCH($BK$4,Lab_Mat!$K$5:$N$5,0))*$O26*INDEX(Act_Type_Repex_Splits,MATCH($I26,Act_Type_Repex,0),MATCH(BG$4,Mat_Type,0))*INDEX(Escalators!$I$44:$U$49,MATCH(BG$4,Escalators!$C$44:$C$49,0),MATCH(BG$5,Escalators!$I$43:$U$43,0))</f>
        <v>0</v>
      </c>
      <c r="BH26" s="47">
        <f>INDEX(Lab_Mat!$K$6:$N$9,MATCH($H26,Lab_Mat!$J$6:$J$9,0),MATCH($BK$4,Lab_Mat!$K$5:$N$5,0))*$O26*INDEX(Act_Type_Repex_Splits,MATCH($I26,Act_Type_Repex,0),MATCH(BH$4,Mat_Type,0))*INDEX(Escalators!$I$44:$U$49,MATCH(BH$4,Escalators!$C$44:$C$49,0),MATCH(BH$5,Escalators!$I$43:$U$43,0))</f>
        <v>0</v>
      </c>
      <c r="BI26" s="47">
        <f>INDEX(Lab_Mat!$K$6:$N$9,MATCH($H26,Lab_Mat!$J$6:$J$9,0),MATCH($BK$4,Lab_Mat!$K$5:$N$5,0))*$O26*INDEX(Act_Type_Repex_Splits,MATCH($I26,Act_Type_Repex,0),MATCH(BI$4,Mat_Type,0))*INDEX(Escalators!$I$44:$U$49,MATCH(BI$4,Escalators!$C$44:$C$49,0),MATCH(BI$5,Escalators!$I$43:$U$43,0))</f>
        <v>0</v>
      </c>
      <c r="BJ26" s="47">
        <f>INDEX(Lab_Mat!$K$6:$N$9,MATCH($H26,Lab_Mat!$J$6:$J$9,0),MATCH($BK$4,Lab_Mat!$K$5:$N$5,0))*$O26*INDEX(Act_Type_Repex_Splits,MATCH($I26,Act_Type_Repex,0),MATCH(BJ$4,Mat_Type,0))*INDEX(Escalators!$I$44:$U$49,MATCH(BJ$4,Escalators!$C$44:$C$49,0),MATCH(BJ$5,Escalators!$I$43:$U$43,0))</f>
        <v>0</v>
      </c>
      <c r="BK26" s="47">
        <f t="shared" si="61"/>
        <v>0</v>
      </c>
      <c r="BL26" s="47">
        <f>INDEX(Lab_Mat!$K$6:$N$9,MATCH($H26,Lab_Mat!$J$6:$J$9,0),MATCH($BQ$4,Lab_Mat!$K$5:$N$5,0))*$P26*INDEX(Act_Type_Repex_Splits,MATCH($I26,Act_Type_Repex,0),MATCH(BL$4,Mat_Type,0))*INDEX(Escalators!$I$44:$U$49,MATCH(BL$4,Escalators!$C$44:$C$49,0),MATCH(BL$5,Escalators!$I$43:$U$43,0))</f>
        <v>0</v>
      </c>
      <c r="BM26" s="47">
        <f>INDEX(Lab_Mat!$K$6:$N$9,MATCH($H26,Lab_Mat!$J$6:$J$9,0),MATCH($BQ$4,Lab_Mat!$K$5:$N$5,0))*$P26*INDEX(Act_Type_Repex_Splits,MATCH($I26,Act_Type_Repex,0),MATCH(BM$4,Mat_Type,0))*INDEX(Escalators!$I$44:$U$49,MATCH(BM$4,Escalators!$C$44:$C$49,0),MATCH(BM$5,Escalators!$I$43:$U$43,0))</f>
        <v>0</v>
      </c>
      <c r="BN26" s="47">
        <f>INDEX(Lab_Mat!$K$6:$N$9,MATCH($H26,Lab_Mat!$J$6:$J$9,0),MATCH($BQ$4,Lab_Mat!$K$5:$N$5,0))*$P26*INDEX(Act_Type_Repex_Splits,MATCH($I26,Act_Type_Repex,0),MATCH(BN$4,Mat_Type,0))*INDEX(Escalators!$I$44:$U$49,MATCH(BN$4,Escalators!$C$44:$C$49,0),MATCH(BN$5,Escalators!$I$43:$U$43,0))</f>
        <v>0</v>
      </c>
      <c r="BO26" s="47">
        <f>INDEX(Lab_Mat!$K$6:$N$9,MATCH($H26,Lab_Mat!$J$6:$J$9,0),MATCH($BQ$4,Lab_Mat!$K$5:$N$5,0))*$P26*INDEX(Act_Type_Repex_Splits,MATCH($I26,Act_Type_Repex,0),MATCH(BO$4,Mat_Type,0))*INDEX(Escalators!$I$44:$U$49,MATCH(BO$4,Escalators!$C$44:$C$49,0),MATCH(BO$5,Escalators!$I$43:$U$43,0))</f>
        <v>0</v>
      </c>
      <c r="BP26" s="47">
        <f>INDEX(Lab_Mat!$K$6:$N$9,MATCH($H26,Lab_Mat!$J$6:$J$9,0),MATCH($BQ$4,Lab_Mat!$K$5:$N$5,0))*$P26*INDEX(Act_Type_Repex_Splits,MATCH($I26,Act_Type_Repex,0),MATCH(BP$4,Mat_Type,0))*INDEX(Escalators!$I$44:$U$49,MATCH(BP$4,Escalators!$C$44:$C$49,0),MATCH(BP$5,Escalators!$I$43:$U$43,0))</f>
        <v>0</v>
      </c>
      <c r="BQ26" s="47">
        <f t="shared" si="62"/>
        <v>0</v>
      </c>
      <c r="BR26" s="47">
        <f>INDEX(Lab_Mat!$K$6:$N$9,MATCH($H26,Lab_Mat!$J$6:$J$9,0),MATCH($BW$4,Lab_Mat!$K$5:$N$5,0))*$Q26*INDEX(Act_Type_Repex_Splits,MATCH($I26,Act_Type_Repex,0),MATCH(BR$4,Mat_Type,0))*INDEX(Escalators!$I$44:$U$49,MATCH(BR$4,Escalators!$C$44:$C$49,0),MATCH(BR$5,Escalators!$I$43:$U$43,0))</f>
        <v>0</v>
      </c>
      <c r="BS26" s="47">
        <f>INDEX(Lab_Mat!$K$6:$N$9,MATCH($H26,Lab_Mat!$J$6:$J$9,0),MATCH($BW$4,Lab_Mat!$K$5:$N$5,0))*$Q26*INDEX(Act_Type_Repex_Splits,MATCH($I26,Act_Type_Repex,0),MATCH(BS$4,Mat_Type,0))*INDEX(Escalators!$I$44:$U$49,MATCH(BS$4,Escalators!$C$44:$C$49,0),MATCH(BS$5,Escalators!$I$43:$U$43,0))</f>
        <v>0</v>
      </c>
      <c r="BT26" s="47">
        <f>INDEX(Lab_Mat!$K$6:$N$9,MATCH($H26,Lab_Mat!$J$6:$J$9,0),MATCH($BW$4,Lab_Mat!$K$5:$N$5,0))*$Q26*INDEX(Act_Type_Repex_Splits,MATCH($I26,Act_Type_Repex,0),MATCH(BT$4,Mat_Type,0))*INDEX(Escalators!$I$44:$U$49,MATCH(BT$4,Escalators!$C$44:$C$49,0),MATCH(BT$5,Escalators!$I$43:$U$43,0))</f>
        <v>0</v>
      </c>
      <c r="BU26" s="47">
        <f>INDEX(Lab_Mat!$K$6:$N$9,MATCH($H26,Lab_Mat!$J$6:$J$9,0),MATCH($BW$4,Lab_Mat!$K$5:$N$5,0))*$Q26*INDEX(Act_Type_Repex_Splits,MATCH($I26,Act_Type_Repex,0),MATCH(BU$4,Mat_Type,0))*INDEX(Escalators!$I$44:$U$49,MATCH(BU$4,Escalators!$C$44:$C$49,0),MATCH(BU$5,Escalators!$I$43:$U$43,0))</f>
        <v>0</v>
      </c>
      <c r="BV26" s="47">
        <f>INDEX(Lab_Mat!$K$6:$N$9,MATCH($H26,Lab_Mat!$J$6:$J$9,0),MATCH($BW$4,Lab_Mat!$K$5:$N$5,0))*$Q26*INDEX(Act_Type_Repex_Splits,MATCH($I26,Act_Type_Repex,0),MATCH(BV$4,Mat_Type,0))*INDEX(Escalators!$I$44:$U$49,MATCH(BV$4,Escalators!$C$44:$C$49,0),MATCH(BV$5,Escalators!$I$43:$U$43,0))</f>
        <v>0</v>
      </c>
      <c r="BW26" s="47">
        <f t="shared" si="63"/>
        <v>0</v>
      </c>
      <c r="BY26" s="47">
        <f>INDEX(Lab_Mat!$K$6:$N$9,MATCH($H26,Lab_Mat!$J$6:$J$9,0),MATCH($BY$4,Lab_Mat!$K$5:$N$5,0))*J26*HLOOKUP(BY$5,Escalators!$I$25:$U$30,6,FALSE)</f>
        <v>0</v>
      </c>
      <c r="BZ26" s="47">
        <f>INDEX(Lab_Mat!$K$6:$N$9,MATCH($H26,Lab_Mat!$J$6:$J$9,0),MATCH($BY$4,Lab_Mat!$K$5:$N$5,0))*K26*HLOOKUP(BZ$5,Escalators!$I$25:$U$30,6,FALSE)</f>
        <v>0</v>
      </c>
      <c r="CA26" s="47">
        <f>INDEX(Lab_Mat!$K$6:$N$9,MATCH($H26,Lab_Mat!$J$6:$J$9,0),MATCH($BY$4,Lab_Mat!$K$5:$N$5,0))*L26*HLOOKUP(CA$5,Escalators!$I$25:$U$30,6,FALSE)</f>
        <v>0</v>
      </c>
      <c r="CB26" s="47">
        <f>INDEX(Lab_Mat!$K$6:$N$9,MATCH($H26,Lab_Mat!$J$6:$J$9,0),MATCH($BY$4,Lab_Mat!$K$5:$N$5,0))*M26*HLOOKUP(CB$5,Escalators!$I$25:$U$30,6,FALSE)</f>
        <v>640.5596726790435</v>
      </c>
      <c r="CC26" s="47">
        <f>INDEX(Lab_Mat!$K$6:$N$9,MATCH($H26,Lab_Mat!$J$6:$J$9,0),MATCH($BY$4,Lab_Mat!$K$5:$N$5,0))*N26*HLOOKUP(CC$5,Escalators!$I$25:$U$30,6,FALSE)</f>
        <v>127.33014805071252</v>
      </c>
      <c r="CD26" s="47">
        <f>INDEX(Lab_Mat!$K$6:$N$9,MATCH($H26,Lab_Mat!$J$6:$J$9,0),MATCH($BY$4,Lab_Mat!$K$5:$N$5,0))*O26*HLOOKUP(CD$5,Escalators!$I$25:$U$30,6,FALSE)</f>
        <v>0</v>
      </c>
      <c r="CE26" s="47">
        <f>INDEX(Lab_Mat!$K$6:$N$9,MATCH($H26,Lab_Mat!$J$6:$J$9,0),MATCH($BY$4,Lab_Mat!$K$5:$N$5,0))*P26*HLOOKUP(CE$5,Escalators!$I$25:$U$30,6,FALSE)</f>
        <v>0</v>
      </c>
      <c r="CF26" s="47">
        <f>INDEX(Lab_Mat!$K$6:$N$9,MATCH($H26,Lab_Mat!$J$6:$J$9,0),MATCH($BY$4,Lab_Mat!$K$5:$N$5,0))*Q26*HLOOKUP(CF$5,Escalators!$I$25:$U$30,6,FALSE)</f>
        <v>0</v>
      </c>
      <c r="CH26" s="82">
        <f>INDEX(Lab_Mat!$K$6:$N$9,MATCH($H26,Lab_Mat!$J$6:$J$9,0),MATCH($CH$4,Lab_Mat!$K$5:$N$5,0))*J26</f>
        <v>0</v>
      </c>
      <c r="CI26" s="82">
        <f>INDEX(Lab_Mat!$K$6:$N$9,MATCH($H26,Lab_Mat!$J$6:$J$9,0),MATCH($CH$4,Lab_Mat!$K$5:$N$5,0))*K26</f>
        <v>0</v>
      </c>
      <c r="CJ26" s="82">
        <f>INDEX(Lab_Mat!$K$6:$N$9,MATCH($H26,Lab_Mat!$J$6:$J$9,0),MATCH($CH$4,Lab_Mat!$K$5:$N$5,0))*L26</f>
        <v>0</v>
      </c>
      <c r="CK26" s="82">
        <f>INDEX(Lab_Mat!$K$6:$N$9,MATCH($H26,Lab_Mat!$J$6:$J$9,0),MATCH($CH$4,Lab_Mat!$K$5:$N$5,0))*M26</f>
        <v>254.77254977468155</v>
      </c>
      <c r="CL26" s="82">
        <f>INDEX(Lab_Mat!$K$6:$N$9,MATCH($H26,Lab_Mat!$J$6:$J$9,0),MATCH($CH$4,Lab_Mat!$K$5:$N$5,0))*N26</f>
        <v>50.643566658499445</v>
      </c>
      <c r="CM26" s="82">
        <f>INDEX(Lab_Mat!$K$6:$N$9,MATCH($H26,Lab_Mat!$J$6:$J$9,0),MATCH($CH$4,Lab_Mat!$K$5:$N$5,0))*O26</f>
        <v>0</v>
      </c>
      <c r="CN26" s="82">
        <f>INDEX(Lab_Mat!$K$6:$N$9,MATCH($H26,Lab_Mat!$J$6:$J$9,0),MATCH($CH$4,Lab_Mat!$K$5:$N$5,0))*P26</f>
        <v>0</v>
      </c>
      <c r="CO26" s="82">
        <f>INDEX(Lab_Mat!$K$6:$N$9,MATCH($H26,Lab_Mat!$J$6:$J$9,0),MATCH($CH$4,Lab_Mat!$K$5:$N$5,0))*Q26</f>
        <v>0</v>
      </c>
      <c r="CQ26" s="47">
        <f t="shared" si="40"/>
        <v>0</v>
      </c>
      <c r="CR26" s="47">
        <f t="shared" si="41"/>
        <v>0</v>
      </c>
      <c r="CS26" s="47">
        <f t="shared" si="55"/>
        <v>0</v>
      </c>
      <c r="CT26" s="47">
        <f t="shared" si="42"/>
        <v>3278.5801683321129</v>
      </c>
      <c r="CU26" s="47">
        <f t="shared" si="43"/>
        <v>652.32495932144695</v>
      </c>
      <c r="CV26" s="47">
        <f t="shared" si="44"/>
        <v>0</v>
      </c>
      <c r="CW26" s="47">
        <f t="shared" si="45"/>
        <v>0</v>
      </c>
      <c r="CX26" s="47">
        <f t="shared" si="46"/>
        <v>0</v>
      </c>
    </row>
    <row r="27" spans="2:109">
      <c r="B27" s="6"/>
      <c r="C27" s="6" t="s">
        <v>412</v>
      </c>
      <c r="D27" s="6" t="s">
        <v>405</v>
      </c>
      <c r="E27" s="6" t="s">
        <v>48</v>
      </c>
      <c r="F27" s="6" t="s">
        <v>55</v>
      </c>
      <c r="G27" s="6" t="s">
        <v>150</v>
      </c>
      <c r="H27" s="6" t="s">
        <v>741</v>
      </c>
      <c r="I27" s="6" t="s">
        <v>204</v>
      </c>
      <c r="J27" s="47"/>
      <c r="K27" s="47"/>
      <c r="L27" s="47"/>
      <c r="M27" s="47">
        <v>60.819014331099325</v>
      </c>
      <c r="N27" s="47">
        <v>23.984963398180017</v>
      </c>
      <c r="O27" s="47">
        <v>0</v>
      </c>
      <c r="P27" s="47"/>
      <c r="Q27" s="47"/>
      <c r="S27" s="47">
        <f>INDEX(Lab_Mat!$K$6:$N$9,MATCH($H27,Lab_Mat!$J$6:$J$9,0),MATCH($S$4,Lab_Mat!$K$5:$N$5,0))*J27*HLOOKUP(S$5,Escalators!$I$25:$U$30,3,FALSE)</f>
        <v>0</v>
      </c>
      <c r="T27" s="47">
        <f>INDEX(Lab_Mat!$K$6:$N$9,MATCH($H27,Lab_Mat!$J$6:$J$9,0),MATCH($S$4,Lab_Mat!$K$5:$N$5,0))*K27*HLOOKUP(T$5,Escalators!$I$25:$U$30,3,FALSE)</f>
        <v>0</v>
      </c>
      <c r="U27" s="47">
        <f>INDEX(Lab_Mat!$K$6:$N$9,MATCH($H27,Lab_Mat!$J$6:$J$9,0),MATCH($S$4,Lab_Mat!$K$5:$N$5,0))*L27*HLOOKUP(U$5,Escalators!$I$25:$U$30,3,FALSE)</f>
        <v>0</v>
      </c>
      <c r="V27" s="47">
        <f>INDEX(Lab_Mat!$K$6:$N$9,MATCH($H27,Lab_Mat!$J$6:$J$9,0),MATCH($S$4,Lab_Mat!$K$5:$N$5,0))*M27*HLOOKUP(V$5,Escalators!$I$25:$U$30,3,FALSE)</f>
        <v>11.550565128398704</v>
      </c>
      <c r="W27" s="47">
        <f>INDEX(Lab_Mat!$K$6:$N$9,MATCH($H27,Lab_Mat!$J$6:$J$9,0),MATCH($S$4,Lab_Mat!$K$5:$N$5,0))*N27*HLOOKUP(W$5,Escalators!$I$25:$U$30,3,FALSE)</f>
        <v>4.5777500708808345</v>
      </c>
      <c r="X27" s="47">
        <f>INDEX(Lab_Mat!$K$6:$N$9,MATCH($H27,Lab_Mat!$J$6:$J$9,0),MATCH($S$4,Lab_Mat!$K$5:$N$5,0))*O27*HLOOKUP(X$5,Escalators!$I$25:$U$30,3,FALSE)</f>
        <v>0</v>
      </c>
      <c r="Y27" s="47">
        <f>INDEX(Lab_Mat!$K$6:$N$9,MATCH($H27,Lab_Mat!$J$6:$J$9,0),MATCH($S$4,Lab_Mat!$K$5:$N$5,0))*P27*HLOOKUP(Y$5,Escalators!$I$25:$U$30,3,FALSE)</f>
        <v>0</v>
      </c>
      <c r="Z27" s="47">
        <f>INDEX(Lab_Mat!$K$6:$N$9,MATCH($H27,Lab_Mat!$J$6:$J$9,0),MATCH($S$4,Lab_Mat!$K$5:$N$5,0))*Q27*HLOOKUP(Z$5,Escalators!$I$25:$U$30,3,FALSE)</f>
        <v>0</v>
      </c>
      <c r="AB27" s="47">
        <f>INDEX(Lab_Mat!$K$6:$N$9,MATCH($H27,Lab_Mat!$J$6:$J$9,0),MATCH($AG$4,Lab_Mat!$K$5:$N$5,0))*$J27*INDEX(Act_Type_Repex_Splits,MATCH($I27,Act_Type_Repex,0),MATCH(AB$4,Mat_Type,0))*INDEX(Escalators!$I$44:$Q$49,MATCH(AB$4,Escalators!$C$44:$C$49,0),MATCH(AB$5,Escalators!$I$43:$Q$43,0))</f>
        <v>0</v>
      </c>
      <c r="AC27" s="47">
        <f>INDEX(Lab_Mat!$K$6:$N$9,MATCH($H27,Lab_Mat!$J$6:$J$9,0),MATCH($AG$4,Lab_Mat!$K$5:$N$5,0))*$J27*INDEX(Act_Type_Repex_Splits,MATCH($I27,Act_Type_Repex,0),MATCH(AC$4,Mat_Type,0))*INDEX(Escalators!$I$44:$Q$49,MATCH(AC$4,Escalators!$C$44:$C$49,0),MATCH(AC$5,Escalators!$I$43:$Q$43,0))</f>
        <v>0</v>
      </c>
      <c r="AD27" s="47">
        <f>INDEX(Lab_Mat!$K$6:$N$9,MATCH($H27,Lab_Mat!$J$6:$J$9,0),MATCH($AG$4,Lab_Mat!$K$5:$N$5,0))*$J27*INDEX(Act_Type_Repex_Splits,MATCH($I27,Act_Type_Repex,0),MATCH(AD$4,Mat_Type,0))*INDEX(Escalators!$I$44:$Q$49,MATCH(AD$4,Escalators!$C$44:$C$49,0),MATCH(AD$5,Escalators!$I$43:$Q$43,0))</f>
        <v>0</v>
      </c>
      <c r="AE27" s="47">
        <f>INDEX(Lab_Mat!$K$6:$N$9,MATCH($H27,Lab_Mat!$J$6:$J$9,0),MATCH($AG$4,Lab_Mat!$K$5:$N$5,0))*$J27*INDEX(Act_Type_Repex_Splits,MATCH($I27,Act_Type_Repex,0),MATCH(AE$4,Mat_Type,0))*INDEX(Escalators!$I$44:$Q$49,MATCH(AE$4,Escalators!$C$44:$C$49,0),MATCH(AE$5,Escalators!$I$43:$Q$43,0))</f>
        <v>0</v>
      </c>
      <c r="AF27" s="47">
        <f>INDEX(Lab_Mat!$K$6:$N$9,MATCH($H27,Lab_Mat!$J$6:$J$9,0),MATCH($AG$4,Lab_Mat!$K$5:$N$5,0))*$J27*INDEX(Act_Type_Repex_Splits,MATCH($I27,Act_Type_Repex,0),MATCH(AF$4,Mat_Type,0))*INDEX(Escalators!$I$44:$Q$49,MATCH(AF$4,Escalators!$C$44:$C$49,0),MATCH(AF$5,Escalators!$I$43:$Q$43,0))</f>
        <v>0</v>
      </c>
      <c r="AG27" s="47">
        <f t="shared" si="56"/>
        <v>0</v>
      </c>
      <c r="AH27" s="47">
        <f>INDEX(Lab_Mat!$K$6:$N$9,MATCH($H27,Lab_Mat!$J$6:$J$9,0),MATCH($AY$4,Lab_Mat!$K$5:$N$5,0))*$K27*INDEX(Act_Type_Repex_Splits,MATCH($I27,Act_Type_Repex,0),MATCH(AH$4,Mat_Type,0))*INDEX(Escalators!$I$44:$U$49,MATCH(AH$4,Escalators!$C$44:$C$49,0),MATCH(AH$5,Escalators!$I$43:$U$43,0))</f>
        <v>0</v>
      </c>
      <c r="AI27" s="47">
        <f>INDEX(Lab_Mat!$K$6:$N$9,MATCH($H27,Lab_Mat!$J$6:$J$9,0),MATCH($AY$4,Lab_Mat!$K$5:$N$5,0))*$K27*INDEX(Act_Type_Repex_Splits,MATCH($I27,Act_Type_Repex,0),MATCH(AI$4,Mat_Type,0))*INDEX(Escalators!$I$44:$U$49,MATCH(AI$4,Escalators!$C$44:$C$49,0),MATCH(AI$5,Escalators!$I$43:$U$43,0))</f>
        <v>0</v>
      </c>
      <c r="AJ27" s="47">
        <f>INDEX(Lab_Mat!$K$6:$N$9,MATCH($H27,Lab_Mat!$J$6:$J$9,0),MATCH($AY$4,Lab_Mat!$K$5:$N$5,0))*$K27*INDEX(Act_Type_Repex_Splits,MATCH($I27,Act_Type_Repex,0),MATCH(AJ$4,Mat_Type,0))*INDEX(Escalators!$I$44:$U$49,MATCH(AJ$4,Escalators!$C$44:$C$49,0),MATCH(AJ$5,Escalators!$I$43:$U$43,0))</f>
        <v>0</v>
      </c>
      <c r="AK27" s="47">
        <f>INDEX(Lab_Mat!$K$6:$N$9,MATCH($H27,Lab_Mat!$J$6:$J$9,0),MATCH($AY$4,Lab_Mat!$K$5:$N$5,0))*$K27*INDEX(Act_Type_Repex_Splits,MATCH($I27,Act_Type_Repex,0),MATCH(AK$4,Mat_Type,0))*INDEX(Escalators!$I$44:$U$49,MATCH(AK$4,Escalators!$C$44:$C$49,0),MATCH(AK$5,Escalators!$I$43:$U$43,0))</f>
        <v>0</v>
      </c>
      <c r="AL27" s="47">
        <f>INDEX(Lab_Mat!$K$6:$N$9,MATCH($H27,Lab_Mat!$J$6:$J$9,0),MATCH($AY$4,Lab_Mat!$K$5:$N$5,0))*$K27*INDEX(Act_Type_Repex_Splits,MATCH($I27,Act_Type_Repex,0),MATCH(AL$4,Mat_Type,0))*INDEX(Escalators!$I$44:$U$49,MATCH(AL$4,Escalators!$C$44:$C$49,0),MATCH(AL$5,Escalators!$I$43:$U$43,0))</f>
        <v>0</v>
      </c>
      <c r="AM27" s="47">
        <f t="shared" si="57"/>
        <v>0</v>
      </c>
      <c r="AN27" s="47">
        <f>INDEX(Lab_Mat!$K$6:$N$9,MATCH($H27,Lab_Mat!$J$6:$J$9,0),MATCH($AY$4,Lab_Mat!$K$5:$N$5,0))*$L27*INDEX(Act_Type_Repex_Splits,MATCH($I27,Act_Type_Repex,0),MATCH(AN$4,Mat_Type,0))*INDEX(Escalators!$I$44:$U$49,MATCH(AN$4,Escalators!$C$44:$C$49,0),MATCH(AN$5,Escalators!$I$43:$U$43,0))</f>
        <v>0</v>
      </c>
      <c r="AO27" s="47">
        <f>INDEX(Lab_Mat!$K$6:$N$9,MATCH($H27,Lab_Mat!$J$6:$J$9,0),MATCH($AY$4,Lab_Mat!$K$5:$N$5,0))*$L27*INDEX(Act_Type_Repex_Splits,MATCH($I27,Act_Type_Repex,0),MATCH(AO$4,Mat_Type,0))*INDEX(Escalators!$I$44:$U$49,MATCH(AO$4,Escalators!$C$44:$C$49,0),MATCH(AO$5,Escalators!$I$43:$U$43,0))</f>
        <v>0</v>
      </c>
      <c r="AP27" s="47">
        <f>INDEX(Lab_Mat!$K$6:$N$9,MATCH($H27,Lab_Mat!$J$6:$J$9,0),MATCH($AY$4,Lab_Mat!$K$5:$N$5,0))*$L27*INDEX(Act_Type_Repex_Splits,MATCH($I27,Act_Type_Repex,0),MATCH(AP$4,Mat_Type,0))*INDEX(Escalators!$I$44:$U$49,MATCH(AP$4,Escalators!$C$44:$C$49,0),MATCH(AP$5,Escalators!$I$43:$U$43,0))</f>
        <v>0</v>
      </c>
      <c r="AQ27" s="47">
        <f>INDEX(Lab_Mat!$K$6:$N$9,MATCH($H27,Lab_Mat!$J$6:$J$9,0),MATCH($AY$4,Lab_Mat!$K$5:$N$5,0))*$L27*INDEX(Act_Type_Repex_Splits,MATCH($I27,Act_Type_Repex,0),MATCH(AQ$4,Mat_Type,0))*INDEX(Escalators!$I$44:$U$49,MATCH(AQ$4,Escalators!$C$44:$C$49,0),MATCH(AQ$5,Escalators!$I$43:$U$43,0))</f>
        <v>0</v>
      </c>
      <c r="AR27" s="47">
        <f>INDEX(Lab_Mat!$K$6:$N$9,MATCH($H27,Lab_Mat!$J$6:$J$9,0),MATCH($AY$4,Lab_Mat!$K$5:$N$5,0))*$L27*INDEX(Act_Type_Repex_Splits,MATCH($I27,Act_Type_Repex,0),MATCH(AR$4,Mat_Type,0))*INDEX(Escalators!$I$44:$U$49,MATCH(AR$4,Escalators!$C$44:$C$49,0),MATCH(AR$5,Escalators!$I$43:$U$43,0))</f>
        <v>0</v>
      </c>
      <c r="AS27" s="47">
        <f t="shared" si="58"/>
        <v>0</v>
      </c>
      <c r="AT27" s="47">
        <f>INDEX(Lab_Mat!$K$6:$N$9,MATCH($H27,Lab_Mat!$J$6:$J$9,0),MATCH($AY$4,Lab_Mat!$K$5:$N$5,0))*$M27*INDEX(Act_Type_Repex_Splits,MATCH($I27,Act_Type_Repex,0),MATCH(AT$4,Mat_Type,0))*INDEX(Escalators!$I$44:$U$49,MATCH(AT$4,Escalators!$C$44:$C$49,0),MATCH(AT$5,Escalators!$I$43:$U$43,0))</f>
        <v>0</v>
      </c>
      <c r="AU27" s="47">
        <f>INDEX(Lab_Mat!$K$6:$N$9,MATCH($H27,Lab_Mat!$J$6:$J$9,0),MATCH($AY$4,Lab_Mat!$K$5:$N$5,0))*$M27*INDEX(Act_Type_Repex_Splits,MATCH($I27,Act_Type_Repex,0),MATCH(AU$4,Mat_Type,0))*INDEX(Escalators!$I$44:$U$49,MATCH(AU$4,Escalators!$C$44:$C$49,0),MATCH(AU$5,Escalators!$I$43:$U$43,0))</f>
        <v>0</v>
      </c>
      <c r="AV27" s="47">
        <f>INDEX(Lab_Mat!$K$6:$N$9,MATCH($H27,Lab_Mat!$J$6:$J$9,0),MATCH($AY$4,Lab_Mat!$K$5:$N$5,0))*$M27*INDEX(Act_Type_Repex_Splits,MATCH($I27,Act_Type_Repex,0),MATCH(AV$4,Mat_Type,0))*INDEX(Escalators!$I$44:$U$49,MATCH(AV$4,Escalators!$C$44:$C$49,0),MATCH(AV$5,Escalators!$I$43:$U$43,0))</f>
        <v>6.5851053519290765</v>
      </c>
      <c r="AW27" s="47">
        <f>INDEX(Lab_Mat!$K$6:$N$9,MATCH($H27,Lab_Mat!$J$6:$J$9,0),MATCH($AY$4,Lab_Mat!$K$5:$N$5,0))*$M27*INDEX(Act_Type_Repex_Splits,MATCH($I27,Act_Type_Repex,0),MATCH(AW$4,Mat_Type,0))*INDEX(Escalators!$I$44:$U$49,MATCH(AW$4,Escalators!$C$44:$C$49,0),MATCH(AW$5,Escalators!$I$43:$U$43,0))</f>
        <v>0</v>
      </c>
      <c r="AX27" s="47">
        <f>INDEX(Lab_Mat!$K$6:$N$9,MATCH($H27,Lab_Mat!$J$6:$J$9,0),MATCH($AY$4,Lab_Mat!$K$5:$N$5,0))*$M27*INDEX(Act_Type_Repex_Splits,MATCH($I27,Act_Type_Repex,0),MATCH(AX$4,Mat_Type,0))*INDEX(Escalators!$I$44:$U$49,MATCH(AX$4,Escalators!$C$44:$C$49,0),MATCH(AX$5,Escalators!$I$43:$U$43,0))</f>
        <v>26.340421407716306</v>
      </c>
      <c r="AY27" s="47">
        <f t="shared" si="59"/>
        <v>32.925526759645379</v>
      </c>
      <c r="AZ27" s="47">
        <f>INDEX(Lab_Mat!$K$6:$N$9,MATCH($H27,Lab_Mat!$J$6:$J$9,0),MATCH($BE$4,Lab_Mat!$K$5:$N$5,0))*$N27*INDEX(Act_Type_Repex_Splits,MATCH($I27,Act_Type_Repex,0),MATCH(AZ$4,Mat_Type,0))*INDEX(Escalators!$I$44:$U$49,MATCH(AZ$4,Escalators!$C$44:$C$49,0),MATCH(AZ$5,Escalators!$I$43:$U$43,0))</f>
        <v>0</v>
      </c>
      <c r="BA27" s="47">
        <f>INDEX(Lab_Mat!$K$6:$N$9,MATCH($H27,Lab_Mat!$J$6:$J$9,0),MATCH($BE$4,Lab_Mat!$K$5:$N$5,0))*$N27*INDEX(Act_Type_Repex_Splits,MATCH($I27,Act_Type_Repex,0),MATCH(BA$4,Mat_Type,0))*INDEX(Escalators!$I$44:$U$49,MATCH(BA$4,Escalators!$C$44:$C$49,0),MATCH(BA$5,Escalators!$I$43:$U$43,0))</f>
        <v>0</v>
      </c>
      <c r="BB27" s="47">
        <f>INDEX(Lab_Mat!$K$6:$N$9,MATCH($H27,Lab_Mat!$J$6:$J$9,0),MATCH($BE$4,Lab_Mat!$K$5:$N$5,0))*$N27*INDEX(Act_Type_Repex_Splits,MATCH($I27,Act_Type_Repex,0),MATCH(BB$4,Mat_Type,0))*INDEX(Escalators!$I$44:$U$49,MATCH(BB$4,Escalators!$C$44:$C$49,0),MATCH(BB$5,Escalators!$I$43:$U$43,0))</f>
        <v>2.5969429556903405</v>
      </c>
      <c r="BC27" s="47">
        <f>INDEX(Lab_Mat!$K$6:$N$9,MATCH($H27,Lab_Mat!$J$6:$J$9,0),MATCH($BE$4,Lab_Mat!$K$5:$N$5,0))*$N27*INDEX(Act_Type_Repex_Splits,MATCH($I27,Act_Type_Repex,0),MATCH(BC$4,Mat_Type,0))*INDEX(Escalators!$I$44:$U$49,MATCH(BC$4,Escalators!$C$44:$C$49,0),MATCH(BC$5,Escalators!$I$43:$U$43,0))</f>
        <v>0</v>
      </c>
      <c r="BD27" s="47">
        <f>INDEX(Lab_Mat!$K$6:$N$9,MATCH($H27,Lab_Mat!$J$6:$J$9,0),MATCH($BE$4,Lab_Mat!$K$5:$N$5,0))*$N27*INDEX(Act_Type_Repex_Splits,MATCH($I27,Act_Type_Repex,0),MATCH(BD$4,Mat_Type,0))*INDEX(Escalators!$I$44:$U$49,MATCH(BD$4,Escalators!$C$44:$C$49,0),MATCH(BD$5,Escalators!$I$43:$U$43,0))</f>
        <v>10.387771822761362</v>
      </c>
      <c r="BE27" s="47">
        <f t="shared" si="60"/>
        <v>12.984714778451703</v>
      </c>
      <c r="BF27" s="47">
        <f>INDEX(Lab_Mat!$K$6:$N$9,MATCH($H27,Lab_Mat!$J$6:$J$9,0),MATCH($BK$4,Lab_Mat!$K$5:$N$5,0))*$O27*INDEX(Act_Type_Repex_Splits,MATCH($I27,Act_Type_Repex,0),MATCH(BF$4,Mat_Type,0))*INDEX(Escalators!$I$44:$U$49,MATCH(BF$4,Escalators!$C$44:$C$49,0),MATCH(BF$5,Escalators!$I$43:$U$43,0))</f>
        <v>0</v>
      </c>
      <c r="BG27" s="47">
        <f>INDEX(Lab_Mat!$K$6:$N$9,MATCH($H27,Lab_Mat!$J$6:$J$9,0),MATCH($BK$4,Lab_Mat!$K$5:$N$5,0))*$O27*INDEX(Act_Type_Repex_Splits,MATCH($I27,Act_Type_Repex,0),MATCH(BG$4,Mat_Type,0))*INDEX(Escalators!$I$44:$U$49,MATCH(BG$4,Escalators!$C$44:$C$49,0),MATCH(BG$5,Escalators!$I$43:$U$43,0))</f>
        <v>0</v>
      </c>
      <c r="BH27" s="47">
        <f>INDEX(Lab_Mat!$K$6:$N$9,MATCH($H27,Lab_Mat!$J$6:$J$9,0),MATCH($BK$4,Lab_Mat!$K$5:$N$5,0))*$O27*INDEX(Act_Type_Repex_Splits,MATCH($I27,Act_Type_Repex,0),MATCH(BH$4,Mat_Type,0))*INDEX(Escalators!$I$44:$U$49,MATCH(BH$4,Escalators!$C$44:$C$49,0),MATCH(BH$5,Escalators!$I$43:$U$43,0))</f>
        <v>0</v>
      </c>
      <c r="BI27" s="47">
        <f>INDEX(Lab_Mat!$K$6:$N$9,MATCH($H27,Lab_Mat!$J$6:$J$9,0),MATCH($BK$4,Lab_Mat!$K$5:$N$5,0))*$O27*INDEX(Act_Type_Repex_Splits,MATCH($I27,Act_Type_Repex,0),MATCH(BI$4,Mat_Type,0))*INDEX(Escalators!$I$44:$U$49,MATCH(BI$4,Escalators!$C$44:$C$49,0),MATCH(BI$5,Escalators!$I$43:$U$43,0))</f>
        <v>0</v>
      </c>
      <c r="BJ27" s="47">
        <f>INDEX(Lab_Mat!$K$6:$N$9,MATCH($H27,Lab_Mat!$J$6:$J$9,0),MATCH($BK$4,Lab_Mat!$K$5:$N$5,0))*$O27*INDEX(Act_Type_Repex_Splits,MATCH($I27,Act_Type_Repex,0),MATCH(BJ$4,Mat_Type,0))*INDEX(Escalators!$I$44:$U$49,MATCH(BJ$4,Escalators!$C$44:$C$49,0),MATCH(BJ$5,Escalators!$I$43:$U$43,0))</f>
        <v>0</v>
      </c>
      <c r="BK27" s="47">
        <f t="shared" si="61"/>
        <v>0</v>
      </c>
      <c r="BL27" s="47">
        <f>INDEX(Lab_Mat!$K$6:$N$9,MATCH($H27,Lab_Mat!$J$6:$J$9,0),MATCH($BQ$4,Lab_Mat!$K$5:$N$5,0))*$P27*INDEX(Act_Type_Repex_Splits,MATCH($I27,Act_Type_Repex,0),MATCH(BL$4,Mat_Type,0))*INDEX(Escalators!$I$44:$U$49,MATCH(BL$4,Escalators!$C$44:$C$49,0),MATCH(BL$5,Escalators!$I$43:$U$43,0))</f>
        <v>0</v>
      </c>
      <c r="BM27" s="47">
        <f>INDEX(Lab_Mat!$K$6:$N$9,MATCH($H27,Lab_Mat!$J$6:$J$9,0),MATCH($BQ$4,Lab_Mat!$K$5:$N$5,0))*$P27*INDEX(Act_Type_Repex_Splits,MATCH($I27,Act_Type_Repex,0),MATCH(BM$4,Mat_Type,0))*INDEX(Escalators!$I$44:$U$49,MATCH(BM$4,Escalators!$C$44:$C$49,0),MATCH(BM$5,Escalators!$I$43:$U$43,0))</f>
        <v>0</v>
      </c>
      <c r="BN27" s="47">
        <f>INDEX(Lab_Mat!$K$6:$N$9,MATCH($H27,Lab_Mat!$J$6:$J$9,0),MATCH($BQ$4,Lab_Mat!$K$5:$N$5,0))*$P27*INDEX(Act_Type_Repex_Splits,MATCH($I27,Act_Type_Repex,0),MATCH(BN$4,Mat_Type,0))*INDEX(Escalators!$I$44:$U$49,MATCH(BN$4,Escalators!$C$44:$C$49,0),MATCH(BN$5,Escalators!$I$43:$U$43,0))</f>
        <v>0</v>
      </c>
      <c r="BO27" s="47">
        <f>INDEX(Lab_Mat!$K$6:$N$9,MATCH($H27,Lab_Mat!$J$6:$J$9,0),MATCH($BQ$4,Lab_Mat!$K$5:$N$5,0))*$P27*INDEX(Act_Type_Repex_Splits,MATCH($I27,Act_Type_Repex,0),MATCH(BO$4,Mat_Type,0))*INDEX(Escalators!$I$44:$U$49,MATCH(BO$4,Escalators!$C$44:$C$49,0),MATCH(BO$5,Escalators!$I$43:$U$43,0))</f>
        <v>0</v>
      </c>
      <c r="BP27" s="47">
        <f>INDEX(Lab_Mat!$K$6:$N$9,MATCH($H27,Lab_Mat!$J$6:$J$9,0),MATCH($BQ$4,Lab_Mat!$K$5:$N$5,0))*$P27*INDEX(Act_Type_Repex_Splits,MATCH($I27,Act_Type_Repex,0),MATCH(BP$4,Mat_Type,0))*INDEX(Escalators!$I$44:$U$49,MATCH(BP$4,Escalators!$C$44:$C$49,0),MATCH(BP$5,Escalators!$I$43:$U$43,0))</f>
        <v>0</v>
      </c>
      <c r="BQ27" s="47">
        <f t="shared" si="62"/>
        <v>0</v>
      </c>
      <c r="BR27" s="47">
        <f>INDEX(Lab_Mat!$K$6:$N$9,MATCH($H27,Lab_Mat!$J$6:$J$9,0),MATCH($BW$4,Lab_Mat!$K$5:$N$5,0))*$Q27*INDEX(Act_Type_Repex_Splits,MATCH($I27,Act_Type_Repex,0),MATCH(BR$4,Mat_Type,0))*INDEX(Escalators!$I$44:$U$49,MATCH(BR$4,Escalators!$C$44:$C$49,0),MATCH(BR$5,Escalators!$I$43:$U$43,0))</f>
        <v>0</v>
      </c>
      <c r="BS27" s="47">
        <f>INDEX(Lab_Mat!$K$6:$N$9,MATCH($H27,Lab_Mat!$J$6:$J$9,0),MATCH($BW$4,Lab_Mat!$K$5:$N$5,0))*$Q27*INDEX(Act_Type_Repex_Splits,MATCH($I27,Act_Type_Repex,0),MATCH(BS$4,Mat_Type,0))*INDEX(Escalators!$I$44:$U$49,MATCH(BS$4,Escalators!$C$44:$C$49,0),MATCH(BS$5,Escalators!$I$43:$U$43,0))</f>
        <v>0</v>
      </c>
      <c r="BT27" s="47">
        <f>INDEX(Lab_Mat!$K$6:$N$9,MATCH($H27,Lab_Mat!$J$6:$J$9,0),MATCH($BW$4,Lab_Mat!$K$5:$N$5,0))*$Q27*INDEX(Act_Type_Repex_Splits,MATCH($I27,Act_Type_Repex,0),MATCH(BT$4,Mat_Type,0))*INDEX(Escalators!$I$44:$U$49,MATCH(BT$4,Escalators!$C$44:$C$49,0),MATCH(BT$5,Escalators!$I$43:$U$43,0))</f>
        <v>0</v>
      </c>
      <c r="BU27" s="47">
        <f>INDEX(Lab_Mat!$K$6:$N$9,MATCH($H27,Lab_Mat!$J$6:$J$9,0),MATCH($BW$4,Lab_Mat!$K$5:$N$5,0))*$Q27*INDEX(Act_Type_Repex_Splits,MATCH($I27,Act_Type_Repex,0),MATCH(BU$4,Mat_Type,0))*INDEX(Escalators!$I$44:$U$49,MATCH(BU$4,Escalators!$C$44:$C$49,0),MATCH(BU$5,Escalators!$I$43:$U$43,0))</f>
        <v>0</v>
      </c>
      <c r="BV27" s="47">
        <f>INDEX(Lab_Mat!$K$6:$N$9,MATCH($H27,Lab_Mat!$J$6:$J$9,0),MATCH($BW$4,Lab_Mat!$K$5:$N$5,0))*$Q27*INDEX(Act_Type_Repex_Splits,MATCH($I27,Act_Type_Repex,0),MATCH(BV$4,Mat_Type,0))*INDEX(Escalators!$I$44:$U$49,MATCH(BV$4,Escalators!$C$44:$C$49,0),MATCH(BV$5,Escalators!$I$43:$U$43,0))</f>
        <v>0</v>
      </c>
      <c r="BW27" s="47">
        <f t="shared" si="63"/>
        <v>0</v>
      </c>
      <c r="BY27" s="47">
        <f>INDEX(Lab_Mat!$K$6:$N$9,MATCH($H27,Lab_Mat!$J$6:$J$9,0),MATCH($BY$4,Lab_Mat!$K$5:$N$5,0))*J27*HLOOKUP(BY$5,Escalators!$I$25:$U$30,6,FALSE)</f>
        <v>0</v>
      </c>
      <c r="BZ27" s="47">
        <f>INDEX(Lab_Mat!$K$6:$N$9,MATCH($H27,Lab_Mat!$J$6:$J$9,0),MATCH($BY$4,Lab_Mat!$K$5:$N$5,0))*K27*HLOOKUP(BZ$5,Escalators!$I$25:$U$30,6,FALSE)</f>
        <v>0</v>
      </c>
      <c r="CA27" s="47">
        <f>INDEX(Lab_Mat!$K$6:$N$9,MATCH($H27,Lab_Mat!$J$6:$J$9,0),MATCH($BY$4,Lab_Mat!$K$5:$N$5,0))*L27*HLOOKUP(CA$5,Escalators!$I$25:$U$30,6,FALSE)</f>
        <v>0</v>
      </c>
      <c r="CB27" s="47">
        <f>INDEX(Lab_Mat!$K$6:$N$9,MATCH($H27,Lab_Mat!$J$6:$J$9,0),MATCH($BY$4,Lab_Mat!$K$5:$N$5,0))*M27*HLOOKUP(CB$5,Escalators!$I$25:$U$30,6,FALSE)</f>
        <v>11.954102765983185</v>
      </c>
      <c r="CC27" s="47">
        <f>INDEX(Lab_Mat!$K$6:$N$9,MATCH($H27,Lab_Mat!$J$6:$J$9,0),MATCH($BY$4,Lab_Mat!$K$5:$N$5,0))*N27*HLOOKUP(CC$5,Escalators!$I$25:$U$30,6,FALSE)</f>
        <v>4.7142940485567495</v>
      </c>
      <c r="CD27" s="47">
        <f>INDEX(Lab_Mat!$K$6:$N$9,MATCH($H27,Lab_Mat!$J$6:$J$9,0),MATCH($BY$4,Lab_Mat!$K$5:$N$5,0))*O27*HLOOKUP(CD$5,Escalators!$I$25:$U$30,6,FALSE)</f>
        <v>0</v>
      </c>
      <c r="CE27" s="47">
        <f>INDEX(Lab_Mat!$K$6:$N$9,MATCH($H27,Lab_Mat!$J$6:$J$9,0),MATCH($BY$4,Lab_Mat!$K$5:$N$5,0))*P27*HLOOKUP(CE$5,Escalators!$I$25:$U$30,6,FALSE)</f>
        <v>0</v>
      </c>
      <c r="CF27" s="47">
        <f>INDEX(Lab_Mat!$K$6:$N$9,MATCH($H27,Lab_Mat!$J$6:$J$9,0),MATCH($BY$4,Lab_Mat!$K$5:$N$5,0))*Q27*HLOOKUP(CF$5,Escalators!$I$25:$U$30,6,FALSE)</f>
        <v>0</v>
      </c>
      <c r="CH27" s="82">
        <f>INDEX(Lab_Mat!$K$6:$N$9,MATCH($H27,Lab_Mat!$J$6:$J$9,0),MATCH($CH$4,Lab_Mat!$K$5:$N$5,0))*J27</f>
        <v>0</v>
      </c>
      <c r="CI27" s="82">
        <f>INDEX(Lab_Mat!$K$6:$N$9,MATCH($H27,Lab_Mat!$J$6:$J$9,0),MATCH($CH$4,Lab_Mat!$K$5:$N$5,0))*K27</f>
        <v>0</v>
      </c>
      <c r="CJ27" s="82">
        <f>INDEX(Lab_Mat!$K$6:$N$9,MATCH($H27,Lab_Mat!$J$6:$J$9,0),MATCH($CH$4,Lab_Mat!$K$5:$N$5,0))*L27</f>
        <v>0</v>
      </c>
      <c r="CK27" s="82">
        <f>INDEX(Lab_Mat!$K$6:$N$9,MATCH($H27,Lab_Mat!$J$6:$J$9,0),MATCH($CH$4,Lab_Mat!$K$5:$N$5,0))*M27</f>
        <v>4.7545566351694379</v>
      </c>
      <c r="CL27" s="82">
        <f>INDEX(Lab_Mat!$K$6:$N$9,MATCH($H27,Lab_Mat!$J$6:$J$9,0),MATCH($CH$4,Lab_Mat!$K$5:$N$5,0))*N27</f>
        <v>1.8750364195034404</v>
      </c>
      <c r="CM27" s="82">
        <f>INDEX(Lab_Mat!$K$6:$N$9,MATCH($H27,Lab_Mat!$J$6:$J$9,0),MATCH($CH$4,Lab_Mat!$K$5:$N$5,0))*O27</f>
        <v>0</v>
      </c>
      <c r="CN27" s="82">
        <f>INDEX(Lab_Mat!$K$6:$N$9,MATCH($H27,Lab_Mat!$J$6:$J$9,0),MATCH($CH$4,Lab_Mat!$K$5:$N$5,0))*P27</f>
        <v>0</v>
      </c>
      <c r="CO27" s="82">
        <f>INDEX(Lab_Mat!$K$6:$N$9,MATCH($H27,Lab_Mat!$J$6:$J$9,0),MATCH($CH$4,Lab_Mat!$K$5:$N$5,0))*Q27</f>
        <v>0</v>
      </c>
      <c r="CQ27" s="47">
        <f t="shared" ref="CQ27:CQ29" si="64">S27+AG27+BY27+CH27</f>
        <v>0</v>
      </c>
      <c r="CR27" s="47">
        <f t="shared" ref="CR27:CR29" si="65">T27+AM27+BZ27+CI27</f>
        <v>0</v>
      </c>
      <c r="CS27" s="47">
        <f t="shared" si="55"/>
        <v>0</v>
      </c>
      <c r="CT27" s="47">
        <f t="shared" ref="CT27:CT29" si="66">V27+AY27+CB27+CK27</f>
        <v>61.184751289196704</v>
      </c>
      <c r="CU27" s="47">
        <f t="shared" ref="CU27:CU29" si="67">W27+BE27+CC27+CL27</f>
        <v>24.151795317392729</v>
      </c>
      <c r="CV27" s="47">
        <f t="shared" ref="CV27:CV29" si="68">X27+BK27+CD27+CM27</f>
        <v>0</v>
      </c>
      <c r="CW27" s="47">
        <f t="shared" ref="CW27:CW29" si="69">Y27+BQ27+CE27+CN27</f>
        <v>0</v>
      </c>
      <c r="CX27" s="47">
        <f t="shared" ref="CX27:CX29" si="70">Z27+BW27+CF27+CO27</f>
        <v>0</v>
      </c>
    </row>
    <row r="28" spans="2:109">
      <c r="B28" s="6"/>
      <c r="C28" s="6" t="s">
        <v>413</v>
      </c>
      <c r="D28" s="6" t="s">
        <v>405</v>
      </c>
      <c r="E28" s="6" t="s">
        <v>50</v>
      </c>
      <c r="F28" s="6" t="s">
        <v>55</v>
      </c>
      <c r="G28" s="6" t="s">
        <v>34</v>
      </c>
      <c r="H28" s="6" t="s">
        <v>557</v>
      </c>
      <c r="I28" s="6" t="s">
        <v>5</v>
      </c>
      <c r="J28" s="47"/>
      <c r="K28" s="47"/>
      <c r="L28" s="47"/>
      <c r="M28" s="47">
        <v>0</v>
      </c>
      <c r="N28" s="47">
        <v>0</v>
      </c>
      <c r="O28" s="47">
        <v>0</v>
      </c>
      <c r="P28" s="47"/>
      <c r="Q28" s="47"/>
      <c r="S28" s="47">
        <f>INDEX(Lab_Mat!$K$6:$N$9,MATCH($H28,Lab_Mat!$J$6:$J$9,0),MATCH($S$4,Lab_Mat!$K$5:$N$5,0))*J28*HLOOKUP(S$5,Escalators!$I$25:$U$30,3,FALSE)</f>
        <v>0</v>
      </c>
      <c r="T28" s="47">
        <f>INDEX(Lab_Mat!$K$6:$N$9,MATCH($H28,Lab_Mat!$J$6:$J$9,0),MATCH($S$4,Lab_Mat!$K$5:$N$5,0))*K28*HLOOKUP(T$5,Escalators!$I$25:$U$30,3,FALSE)</f>
        <v>0</v>
      </c>
      <c r="U28" s="47">
        <f>INDEX(Lab_Mat!$K$6:$N$9,MATCH($H28,Lab_Mat!$J$6:$J$9,0),MATCH($S$4,Lab_Mat!$K$5:$N$5,0))*L28*HLOOKUP(U$5,Escalators!$I$25:$U$30,3,FALSE)</f>
        <v>0</v>
      </c>
      <c r="V28" s="47">
        <f>INDEX(Lab_Mat!$K$6:$N$9,MATCH($H28,Lab_Mat!$J$6:$J$9,0),MATCH($S$4,Lab_Mat!$K$5:$N$5,0))*M28*HLOOKUP(V$5,Escalators!$I$25:$U$30,3,FALSE)</f>
        <v>0</v>
      </c>
      <c r="W28" s="47">
        <f>INDEX(Lab_Mat!$K$6:$N$9,MATCH($H28,Lab_Mat!$J$6:$J$9,0),MATCH($S$4,Lab_Mat!$K$5:$N$5,0))*N28*HLOOKUP(W$5,Escalators!$I$25:$U$30,3,FALSE)</f>
        <v>0</v>
      </c>
      <c r="X28" s="47">
        <f>INDEX(Lab_Mat!$K$6:$N$9,MATCH($H28,Lab_Mat!$J$6:$J$9,0),MATCH($S$4,Lab_Mat!$K$5:$N$5,0))*O28*HLOOKUP(X$5,Escalators!$I$25:$U$30,3,FALSE)</f>
        <v>0</v>
      </c>
      <c r="Y28" s="47">
        <f>INDEX(Lab_Mat!$K$6:$N$9,MATCH($H28,Lab_Mat!$J$6:$J$9,0),MATCH($S$4,Lab_Mat!$K$5:$N$5,0))*P28*HLOOKUP(Y$5,Escalators!$I$25:$U$30,3,FALSE)</f>
        <v>0</v>
      </c>
      <c r="Z28" s="47">
        <f>INDEX(Lab_Mat!$K$6:$N$9,MATCH($H28,Lab_Mat!$J$6:$J$9,0),MATCH($S$4,Lab_Mat!$K$5:$N$5,0))*Q28*HLOOKUP(Z$5,Escalators!$I$25:$U$30,3,FALSE)</f>
        <v>0</v>
      </c>
      <c r="AB28" s="47">
        <f>INDEX(Lab_Mat!$K$6:$N$9,MATCH($H28,Lab_Mat!$J$6:$J$9,0),MATCH($AG$4,Lab_Mat!$K$5:$N$5,0))*$J28*INDEX(Act_Type_Repex_Splits,MATCH($I28,Act_Type_Repex,0),MATCH(AB$4,Mat_Type,0))*INDEX(Escalators!$I$44:$Q$49,MATCH(AB$4,Escalators!$C$44:$C$49,0),MATCH(AB$5,Escalators!$I$43:$Q$43,0))</f>
        <v>0</v>
      </c>
      <c r="AC28" s="47">
        <f>INDEX(Lab_Mat!$K$6:$N$9,MATCH($H28,Lab_Mat!$J$6:$J$9,0),MATCH($AG$4,Lab_Mat!$K$5:$N$5,0))*$J28*INDEX(Act_Type_Repex_Splits,MATCH($I28,Act_Type_Repex,0),MATCH(AC$4,Mat_Type,0))*INDEX(Escalators!$I$44:$Q$49,MATCH(AC$4,Escalators!$C$44:$C$49,0),MATCH(AC$5,Escalators!$I$43:$Q$43,0))</f>
        <v>0</v>
      </c>
      <c r="AD28" s="47">
        <f>INDEX(Lab_Mat!$K$6:$N$9,MATCH($H28,Lab_Mat!$J$6:$J$9,0),MATCH($AG$4,Lab_Mat!$K$5:$N$5,0))*$J28*INDEX(Act_Type_Repex_Splits,MATCH($I28,Act_Type_Repex,0),MATCH(AD$4,Mat_Type,0))*INDEX(Escalators!$I$44:$Q$49,MATCH(AD$4,Escalators!$C$44:$C$49,0),MATCH(AD$5,Escalators!$I$43:$Q$43,0))</f>
        <v>0</v>
      </c>
      <c r="AE28" s="47">
        <f>INDEX(Lab_Mat!$K$6:$N$9,MATCH($H28,Lab_Mat!$J$6:$J$9,0),MATCH($AG$4,Lab_Mat!$K$5:$N$5,0))*$J28*INDEX(Act_Type_Repex_Splits,MATCH($I28,Act_Type_Repex,0),MATCH(AE$4,Mat_Type,0))*INDEX(Escalators!$I$44:$Q$49,MATCH(AE$4,Escalators!$C$44:$C$49,0),MATCH(AE$5,Escalators!$I$43:$Q$43,0))</f>
        <v>0</v>
      </c>
      <c r="AF28" s="47">
        <f>INDEX(Lab_Mat!$K$6:$N$9,MATCH($H28,Lab_Mat!$J$6:$J$9,0),MATCH($AG$4,Lab_Mat!$K$5:$N$5,0))*$J28*INDEX(Act_Type_Repex_Splits,MATCH($I28,Act_Type_Repex,0),MATCH(AF$4,Mat_Type,0))*INDEX(Escalators!$I$44:$Q$49,MATCH(AF$4,Escalators!$C$44:$C$49,0),MATCH(AF$5,Escalators!$I$43:$Q$43,0))</f>
        <v>0</v>
      </c>
      <c r="AG28" s="47">
        <f t="shared" si="56"/>
        <v>0</v>
      </c>
      <c r="AH28" s="47">
        <f>INDEX(Lab_Mat!$K$6:$N$9,MATCH($H28,Lab_Mat!$J$6:$J$9,0),MATCH($AY$4,Lab_Mat!$K$5:$N$5,0))*$K28*INDEX(Act_Type_Repex_Splits,MATCH($I28,Act_Type_Repex,0),MATCH(AH$4,Mat_Type,0))*INDEX(Escalators!$I$44:$U$49,MATCH(AH$4,Escalators!$C$44:$C$49,0),MATCH(AH$5,Escalators!$I$43:$U$43,0))</f>
        <v>0</v>
      </c>
      <c r="AI28" s="47">
        <f>INDEX(Lab_Mat!$K$6:$N$9,MATCH($H28,Lab_Mat!$J$6:$J$9,0),MATCH($AY$4,Lab_Mat!$K$5:$N$5,0))*$K28*INDEX(Act_Type_Repex_Splits,MATCH($I28,Act_Type_Repex,0),MATCH(AI$4,Mat_Type,0))*INDEX(Escalators!$I$44:$U$49,MATCH(AI$4,Escalators!$C$44:$C$49,0),MATCH(AI$5,Escalators!$I$43:$U$43,0))</f>
        <v>0</v>
      </c>
      <c r="AJ28" s="47">
        <f>INDEX(Lab_Mat!$K$6:$N$9,MATCH($H28,Lab_Mat!$J$6:$J$9,0),MATCH($AY$4,Lab_Mat!$K$5:$N$5,0))*$K28*INDEX(Act_Type_Repex_Splits,MATCH($I28,Act_Type_Repex,0),MATCH(AJ$4,Mat_Type,0))*INDEX(Escalators!$I$44:$U$49,MATCH(AJ$4,Escalators!$C$44:$C$49,0),MATCH(AJ$5,Escalators!$I$43:$U$43,0))</f>
        <v>0</v>
      </c>
      <c r="AK28" s="47">
        <f>INDEX(Lab_Mat!$K$6:$N$9,MATCH($H28,Lab_Mat!$J$6:$J$9,0),MATCH($AY$4,Lab_Mat!$K$5:$N$5,0))*$K28*INDEX(Act_Type_Repex_Splits,MATCH($I28,Act_Type_Repex,0),MATCH(AK$4,Mat_Type,0))*INDEX(Escalators!$I$44:$U$49,MATCH(AK$4,Escalators!$C$44:$C$49,0),MATCH(AK$5,Escalators!$I$43:$U$43,0))</f>
        <v>0</v>
      </c>
      <c r="AL28" s="47">
        <f>INDEX(Lab_Mat!$K$6:$N$9,MATCH($H28,Lab_Mat!$J$6:$J$9,0),MATCH($AY$4,Lab_Mat!$K$5:$N$5,0))*$K28*INDEX(Act_Type_Repex_Splits,MATCH($I28,Act_Type_Repex,0),MATCH(AL$4,Mat_Type,0))*INDEX(Escalators!$I$44:$U$49,MATCH(AL$4,Escalators!$C$44:$C$49,0),MATCH(AL$5,Escalators!$I$43:$U$43,0))</f>
        <v>0</v>
      </c>
      <c r="AM28" s="47">
        <f t="shared" si="57"/>
        <v>0</v>
      </c>
      <c r="AN28" s="47">
        <f>INDEX(Lab_Mat!$K$6:$N$9,MATCH($H28,Lab_Mat!$J$6:$J$9,0),MATCH($AY$4,Lab_Mat!$K$5:$N$5,0))*$L28*INDEX(Act_Type_Repex_Splits,MATCH($I28,Act_Type_Repex,0),MATCH(AN$4,Mat_Type,0))*INDEX(Escalators!$I$44:$U$49,MATCH(AN$4,Escalators!$C$44:$C$49,0),MATCH(AN$5,Escalators!$I$43:$U$43,0))</f>
        <v>0</v>
      </c>
      <c r="AO28" s="47">
        <f>INDEX(Lab_Mat!$K$6:$N$9,MATCH($H28,Lab_Mat!$J$6:$J$9,0),MATCH($AY$4,Lab_Mat!$K$5:$N$5,0))*$L28*INDEX(Act_Type_Repex_Splits,MATCH($I28,Act_Type_Repex,0),MATCH(AO$4,Mat_Type,0))*INDEX(Escalators!$I$44:$U$49,MATCH(AO$4,Escalators!$C$44:$C$49,0),MATCH(AO$5,Escalators!$I$43:$U$43,0))</f>
        <v>0</v>
      </c>
      <c r="AP28" s="47">
        <f>INDEX(Lab_Mat!$K$6:$N$9,MATCH($H28,Lab_Mat!$J$6:$J$9,0),MATCH($AY$4,Lab_Mat!$K$5:$N$5,0))*$L28*INDEX(Act_Type_Repex_Splits,MATCH($I28,Act_Type_Repex,0),MATCH(AP$4,Mat_Type,0))*INDEX(Escalators!$I$44:$U$49,MATCH(AP$4,Escalators!$C$44:$C$49,0),MATCH(AP$5,Escalators!$I$43:$U$43,0))</f>
        <v>0</v>
      </c>
      <c r="AQ28" s="47">
        <f>INDEX(Lab_Mat!$K$6:$N$9,MATCH($H28,Lab_Mat!$J$6:$J$9,0),MATCH($AY$4,Lab_Mat!$K$5:$N$5,0))*$L28*INDEX(Act_Type_Repex_Splits,MATCH($I28,Act_Type_Repex,0),MATCH(AQ$4,Mat_Type,0))*INDEX(Escalators!$I$44:$U$49,MATCH(AQ$4,Escalators!$C$44:$C$49,0),MATCH(AQ$5,Escalators!$I$43:$U$43,0))</f>
        <v>0</v>
      </c>
      <c r="AR28" s="47">
        <f>INDEX(Lab_Mat!$K$6:$N$9,MATCH($H28,Lab_Mat!$J$6:$J$9,0),MATCH($AY$4,Lab_Mat!$K$5:$N$5,0))*$L28*INDEX(Act_Type_Repex_Splits,MATCH($I28,Act_Type_Repex,0),MATCH(AR$4,Mat_Type,0))*INDEX(Escalators!$I$44:$U$49,MATCH(AR$4,Escalators!$C$44:$C$49,0),MATCH(AR$5,Escalators!$I$43:$U$43,0))</f>
        <v>0</v>
      </c>
      <c r="AS28" s="47">
        <f t="shared" si="58"/>
        <v>0</v>
      </c>
      <c r="AT28" s="47">
        <f>INDEX(Lab_Mat!$K$6:$N$9,MATCH($H28,Lab_Mat!$J$6:$J$9,0),MATCH($AY$4,Lab_Mat!$K$5:$N$5,0))*$M28*INDEX(Act_Type_Repex_Splits,MATCH($I28,Act_Type_Repex,0),MATCH(AT$4,Mat_Type,0))*INDEX(Escalators!$I$44:$U$49,MATCH(AT$4,Escalators!$C$44:$C$49,0),MATCH(AT$5,Escalators!$I$43:$U$43,0))</f>
        <v>0</v>
      </c>
      <c r="AU28" s="47">
        <f>INDEX(Lab_Mat!$K$6:$N$9,MATCH($H28,Lab_Mat!$J$6:$J$9,0),MATCH($AY$4,Lab_Mat!$K$5:$N$5,0))*$M28*INDEX(Act_Type_Repex_Splits,MATCH($I28,Act_Type_Repex,0),MATCH(AU$4,Mat_Type,0))*INDEX(Escalators!$I$44:$U$49,MATCH(AU$4,Escalators!$C$44:$C$49,0),MATCH(AU$5,Escalators!$I$43:$U$43,0))</f>
        <v>0</v>
      </c>
      <c r="AV28" s="47">
        <f>INDEX(Lab_Mat!$K$6:$N$9,MATCH($H28,Lab_Mat!$J$6:$J$9,0),MATCH($AY$4,Lab_Mat!$K$5:$N$5,0))*$M28*INDEX(Act_Type_Repex_Splits,MATCH($I28,Act_Type_Repex,0),MATCH(AV$4,Mat_Type,0))*INDEX(Escalators!$I$44:$U$49,MATCH(AV$4,Escalators!$C$44:$C$49,0),MATCH(AV$5,Escalators!$I$43:$U$43,0))</f>
        <v>0</v>
      </c>
      <c r="AW28" s="47">
        <f>INDEX(Lab_Mat!$K$6:$N$9,MATCH($H28,Lab_Mat!$J$6:$J$9,0),MATCH($AY$4,Lab_Mat!$K$5:$N$5,0))*$M28*INDEX(Act_Type_Repex_Splits,MATCH($I28,Act_Type_Repex,0),MATCH(AW$4,Mat_Type,0))*INDEX(Escalators!$I$44:$U$49,MATCH(AW$4,Escalators!$C$44:$C$49,0),MATCH(AW$5,Escalators!$I$43:$U$43,0))</f>
        <v>0</v>
      </c>
      <c r="AX28" s="47">
        <f>INDEX(Lab_Mat!$K$6:$N$9,MATCH($H28,Lab_Mat!$J$6:$J$9,0),MATCH($AY$4,Lab_Mat!$K$5:$N$5,0))*$M28*INDEX(Act_Type_Repex_Splits,MATCH($I28,Act_Type_Repex,0),MATCH(AX$4,Mat_Type,0))*INDEX(Escalators!$I$44:$U$49,MATCH(AX$4,Escalators!$C$44:$C$49,0),MATCH(AX$5,Escalators!$I$43:$U$43,0))</f>
        <v>0</v>
      </c>
      <c r="AY28" s="47">
        <f t="shared" si="59"/>
        <v>0</v>
      </c>
      <c r="AZ28" s="47">
        <f>INDEX(Lab_Mat!$K$6:$N$9,MATCH($H28,Lab_Mat!$J$6:$J$9,0),MATCH($BE$4,Lab_Mat!$K$5:$N$5,0))*$N28*INDEX(Act_Type_Repex_Splits,MATCH($I28,Act_Type_Repex,0),MATCH(AZ$4,Mat_Type,0))*INDEX(Escalators!$I$44:$U$49,MATCH(AZ$4,Escalators!$C$44:$C$49,0),MATCH(AZ$5,Escalators!$I$43:$U$43,0))</f>
        <v>0</v>
      </c>
      <c r="BA28" s="47">
        <f>INDEX(Lab_Mat!$K$6:$N$9,MATCH($H28,Lab_Mat!$J$6:$J$9,0),MATCH($BE$4,Lab_Mat!$K$5:$N$5,0))*$N28*INDEX(Act_Type_Repex_Splits,MATCH($I28,Act_Type_Repex,0),MATCH(BA$4,Mat_Type,0))*INDEX(Escalators!$I$44:$U$49,MATCH(BA$4,Escalators!$C$44:$C$49,0),MATCH(BA$5,Escalators!$I$43:$U$43,0))</f>
        <v>0</v>
      </c>
      <c r="BB28" s="47">
        <f>INDEX(Lab_Mat!$K$6:$N$9,MATCH($H28,Lab_Mat!$J$6:$J$9,0),MATCH($BE$4,Lab_Mat!$K$5:$N$5,0))*$N28*INDEX(Act_Type_Repex_Splits,MATCH($I28,Act_Type_Repex,0),MATCH(BB$4,Mat_Type,0))*INDEX(Escalators!$I$44:$U$49,MATCH(BB$4,Escalators!$C$44:$C$49,0),MATCH(BB$5,Escalators!$I$43:$U$43,0))</f>
        <v>0</v>
      </c>
      <c r="BC28" s="47">
        <f>INDEX(Lab_Mat!$K$6:$N$9,MATCH($H28,Lab_Mat!$J$6:$J$9,0),MATCH($BE$4,Lab_Mat!$K$5:$N$5,0))*$N28*INDEX(Act_Type_Repex_Splits,MATCH($I28,Act_Type_Repex,0),MATCH(BC$4,Mat_Type,0))*INDEX(Escalators!$I$44:$U$49,MATCH(BC$4,Escalators!$C$44:$C$49,0),MATCH(BC$5,Escalators!$I$43:$U$43,0))</f>
        <v>0</v>
      </c>
      <c r="BD28" s="47">
        <f>INDEX(Lab_Mat!$K$6:$N$9,MATCH($H28,Lab_Mat!$J$6:$J$9,0),MATCH($BE$4,Lab_Mat!$K$5:$N$5,0))*$N28*INDEX(Act_Type_Repex_Splits,MATCH($I28,Act_Type_Repex,0),MATCH(BD$4,Mat_Type,0))*INDEX(Escalators!$I$44:$U$49,MATCH(BD$4,Escalators!$C$44:$C$49,0),MATCH(BD$5,Escalators!$I$43:$U$43,0))</f>
        <v>0</v>
      </c>
      <c r="BE28" s="47">
        <f t="shared" si="60"/>
        <v>0</v>
      </c>
      <c r="BF28" s="47">
        <f>INDEX(Lab_Mat!$K$6:$N$9,MATCH($H28,Lab_Mat!$J$6:$J$9,0),MATCH($BK$4,Lab_Mat!$K$5:$N$5,0))*$O28*INDEX(Act_Type_Repex_Splits,MATCH($I28,Act_Type_Repex,0),MATCH(BF$4,Mat_Type,0))*INDEX(Escalators!$I$44:$U$49,MATCH(BF$4,Escalators!$C$44:$C$49,0),MATCH(BF$5,Escalators!$I$43:$U$43,0))</f>
        <v>0</v>
      </c>
      <c r="BG28" s="47">
        <f>INDEX(Lab_Mat!$K$6:$N$9,MATCH($H28,Lab_Mat!$J$6:$J$9,0),MATCH($BK$4,Lab_Mat!$K$5:$N$5,0))*$O28*INDEX(Act_Type_Repex_Splits,MATCH($I28,Act_Type_Repex,0),MATCH(BG$4,Mat_Type,0))*INDEX(Escalators!$I$44:$U$49,MATCH(BG$4,Escalators!$C$44:$C$49,0),MATCH(BG$5,Escalators!$I$43:$U$43,0))</f>
        <v>0</v>
      </c>
      <c r="BH28" s="47">
        <f>INDEX(Lab_Mat!$K$6:$N$9,MATCH($H28,Lab_Mat!$J$6:$J$9,0),MATCH($BK$4,Lab_Mat!$K$5:$N$5,0))*$O28*INDEX(Act_Type_Repex_Splits,MATCH($I28,Act_Type_Repex,0),MATCH(BH$4,Mat_Type,0))*INDEX(Escalators!$I$44:$U$49,MATCH(BH$4,Escalators!$C$44:$C$49,0),MATCH(BH$5,Escalators!$I$43:$U$43,0))</f>
        <v>0</v>
      </c>
      <c r="BI28" s="47">
        <f>INDEX(Lab_Mat!$K$6:$N$9,MATCH($H28,Lab_Mat!$J$6:$J$9,0),MATCH($BK$4,Lab_Mat!$K$5:$N$5,0))*$O28*INDEX(Act_Type_Repex_Splits,MATCH($I28,Act_Type_Repex,0),MATCH(BI$4,Mat_Type,0))*INDEX(Escalators!$I$44:$U$49,MATCH(BI$4,Escalators!$C$44:$C$49,0),MATCH(BI$5,Escalators!$I$43:$U$43,0))</f>
        <v>0</v>
      </c>
      <c r="BJ28" s="47">
        <f>INDEX(Lab_Mat!$K$6:$N$9,MATCH($H28,Lab_Mat!$J$6:$J$9,0),MATCH($BK$4,Lab_Mat!$K$5:$N$5,0))*$O28*INDEX(Act_Type_Repex_Splits,MATCH($I28,Act_Type_Repex,0),MATCH(BJ$4,Mat_Type,0))*INDEX(Escalators!$I$44:$U$49,MATCH(BJ$4,Escalators!$C$44:$C$49,0),MATCH(BJ$5,Escalators!$I$43:$U$43,0))</f>
        <v>0</v>
      </c>
      <c r="BK28" s="47">
        <f t="shared" si="61"/>
        <v>0</v>
      </c>
      <c r="BL28" s="47">
        <f>INDEX(Lab_Mat!$K$6:$N$9,MATCH($H28,Lab_Mat!$J$6:$J$9,0),MATCH($BQ$4,Lab_Mat!$K$5:$N$5,0))*$P28*INDEX(Act_Type_Repex_Splits,MATCH($I28,Act_Type_Repex,0),MATCH(BL$4,Mat_Type,0))*INDEX(Escalators!$I$44:$U$49,MATCH(BL$4,Escalators!$C$44:$C$49,0),MATCH(BL$5,Escalators!$I$43:$U$43,0))</f>
        <v>0</v>
      </c>
      <c r="BM28" s="47">
        <f>INDEX(Lab_Mat!$K$6:$N$9,MATCH($H28,Lab_Mat!$J$6:$J$9,0),MATCH($BQ$4,Lab_Mat!$K$5:$N$5,0))*$P28*INDEX(Act_Type_Repex_Splits,MATCH($I28,Act_Type_Repex,0),MATCH(BM$4,Mat_Type,0))*INDEX(Escalators!$I$44:$U$49,MATCH(BM$4,Escalators!$C$44:$C$49,0),MATCH(BM$5,Escalators!$I$43:$U$43,0))</f>
        <v>0</v>
      </c>
      <c r="BN28" s="47">
        <f>INDEX(Lab_Mat!$K$6:$N$9,MATCH($H28,Lab_Mat!$J$6:$J$9,0),MATCH($BQ$4,Lab_Mat!$K$5:$N$5,0))*$P28*INDEX(Act_Type_Repex_Splits,MATCH($I28,Act_Type_Repex,0),MATCH(BN$4,Mat_Type,0))*INDEX(Escalators!$I$44:$U$49,MATCH(BN$4,Escalators!$C$44:$C$49,0),MATCH(BN$5,Escalators!$I$43:$U$43,0))</f>
        <v>0</v>
      </c>
      <c r="BO28" s="47">
        <f>INDEX(Lab_Mat!$K$6:$N$9,MATCH($H28,Lab_Mat!$J$6:$J$9,0),MATCH($BQ$4,Lab_Mat!$K$5:$N$5,0))*$P28*INDEX(Act_Type_Repex_Splits,MATCH($I28,Act_Type_Repex,0),MATCH(BO$4,Mat_Type,0))*INDEX(Escalators!$I$44:$U$49,MATCH(BO$4,Escalators!$C$44:$C$49,0),MATCH(BO$5,Escalators!$I$43:$U$43,0))</f>
        <v>0</v>
      </c>
      <c r="BP28" s="47">
        <f>INDEX(Lab_Mat!$K$6:$N$9,MATCH($H28,Lab_Mat!$J$6:$J$9,0),MATCH($BQ$4,Lab_Mat!$K$5:$N$5,0))*$P28*INDEX(Act_Type_Repex_Splits,MATCH($I28,Act_Type_Repex,0),MATCH(BP$4,Mat_Type,0))*INDEX(Escalators!$I$44:$U$49,MATCH(BP$4,Escalators!$C$44:$C$49,0),MATCH(BP$5,Escalators!$I$43:$U$43,0))</f>
        <v>0</v>
      </c>
      <c r="BQ28" s="47">
        <f t="shared" si="62"/>
        <v>0</v>
      </c>
      <c r="BR28" s="47">
        <f>INDEX(Lab_Mat!$K$6:$N$9,MATCH($H28,Lab_Mat!$J$6:$J$9,0),MATCH($BW$4,Lab_Mat!$K$5:$N$5,0))*$Q28*INDEX(Act_Type_Repex_Splits,MATCH($I28,Act_Type_Repex,0),MATCH(BR$4,Mat_Type,0))*INDEX(Escalators!$I$44:$U$49,MATCH(BR$4,Escalators!$C$44:$C$49,0),MATCH(BR$5,Escalators!$I$43:$U$43,0))</f>
        <v>0</v>
      </c>
      <c r="BS28" s="47">
        <f>INDEX(Lab_Mat!$K$6:$N$9,MATCH($H28,Lab_Mat!$J$6:$J$9,0),MATCH($BW$4,Lab_Mat!$K$5:$N$5,0))*$Q28*INDEX(Act_Type_Repex_Splits,MATCH($I28,Act_Type_Repex,0),MATCH(BS$4,Mat_Type,0))*INDEX(Escalators!$I$44:$U$49,MATCH(BS$4,Escalators!$C$44:$C$49,0),MATCH(BS$5,Escalators!$I$43:$U$43,0))</f>
        <v>0</v>
      </c>
      <c r="BT28" s="47">
        <f>INDEX(Lab_Mat!$K$6:$N$9,MATCH($H28,Lab_Mat!$J$6:$J$9,0),MATCH($BW$4,Lab_Mat!$K$5:$N$5,0))*$Q28*INDEX(Act_Type_Repex_Splits,MATCH($I28,Act_Type_Repex,0),MATCH(BT$4,Mat_Type,0))*INDEX(Escalators!$I$44:$U$49,MATCH(BT$4,Escalators!$C$44:$C$49,0),MATCH(BT$5,Escalators!$I$43:$U$43,0))</f>
        <v>0</v>
      </c>
      <c r="BU28" s="47">
        <f>INDEX(Lab_Mat!$K$6:$N$9,MATCH($H28,Lab_Mat!$J$6:$J$9,0),MATCH($BW$4,Lab_Mat!$K$5:$N$5,0))*$Q28*INDEX(Act_Type_Repex_Splits,MATCH($I28,Act_Type_Repex,0),MATCH(BU$4,Mat_Type,0))*INDEX(Escalators!$I$44:$U$49,MATCH(BU$4,Escalators!$C$44:$C$49,0),MATCH(BU$5,Escalators!$I$43:$U$43,0))</f>
        <v>0</v>
      </c>
      <c r="BV28" s="47">
        <f>INDEX(Lab_Mat!$K$6:$N$9,MATCH($H28,Lab_Mat!$J$6:$J$9,0),MATCH($BW$4,Lab_Mat!$K$5:$N$5,0))*$Q28*INDEX(Act_Type_Repex_Splits,MATCH($I28,Act_Type_Repex,0),MATCH(BV$4,Mat_Type,0))*INDEX(Escalators!$I$44:$U$49,MATCH(BV$4,Escalators!$C$44:$C$49,0),MATCH(BV$5,Escalators!$I$43:$U$43,0))</f>
        <v>0</v>
      </c>
      <c r="BW28" s="47">
        <f t="shared" si="63"/>
        <v>0</v>
      </c>
      <c r="BY28" s="47">
        <f>INDEX(Lab_Mat!$K$6:$N$9,MATCH($H28,Lab_Mat!$J$6:$J$9,0),MATCH($BY$4,Lab_Mat!$K$5:$N$5,0))*J28*HLOOKUP(BY$5,Escalators!$I$25:$U$30,6,FALSE)</f>
        <v>0</v>
      </c>
      <c r="BZ28" s="47">
        <f>INDEX(Lab_Mat!$K$6:$N$9,MATCH($H28,Lab_Mat!$J$6:$J$9,0),MATCH($BY$4,Lab_Mat!$K$5:$N$5,0))*K28*HLOOKUP(BZ$5,Escalators!$I$25:$U$30,6,FALSE)</f>
        <v>0</v>
      </c>
      <c r="CA28" s="47">
        <f>INDEX(Lab_Mat!$K$6:$N$9,MATCH($H28,Lab_Mat!$J$6:$J$9,0),MATCH($BY$4,Lab_Mat!$K$5:$N$5,0))*L28*HLOOKUP(CA$5,Escalators!$I$25:$U$30,6,FALSE)</f>
        <v>0</v>
      </c>
      <c r="CB28" s="47">
        <f>INDEX(Lab_Mat!$K$6:$N$9,MATCH($H28,Lab_Mat!$J$6:$J$9,0),MATCH($BY$4,Lab_Mat!$K$5:$N$5,0))*M28*HLOOKUP(CB$5,Escalators!$I$25:$U$30,6,FALSE)</f>
        <v>0</v>
      </c>
      <c r="CC28" s="47">
        <f>INDEX(Lab_Mat!$K$6:$N$9,MATCH($H28,Lab_Mat!$J$6:$J$9,0),MATCH($BY$4,Lab_Mat!$K$5:$N$5,0))*N28*HLOOKUP(CC$5,Escalators!$I$25:$U$30,6,FALSE)</f>
        <v>0</v>
      </c>
      <c r="CD28" s="47">
        <f>INDEX(Lab_Mat!$K$6:$N$9,MATCH($H28,Lab_Mat!$J$6:$J$9,0),MATCH($BY$4,Lab_Mat!$K$5:$N$5,0))*O28*HLOOKUP(CD$5,Escalators!$I$25:$U$30,6,FALSE)</f>
        <v>0</v>
      </c>
      <c r="CE28" s="47">
        <f>INDEX(Lab_Mat!$K$6:$N$9,MATCH($H28,Lab_Mat!$J$6:$J$9,0),MATCH($BY$4,Lab_Mat!$K$5:$N$5,0))*P28*HLOOKUP(CE$5,Escalators!$I$25:$U$30,6,FALSE)</f>
        <v>0</v>
      </c>
      <c r="CF28" s="47">
        <f>INDEX(Lab_Mat!$K$6:$N$9,MATCH($H28,Lab_Mat!$J$6:$J$9,0),MATCH($BY$4,Lab_Mat!$K$5:$N$5,0))*Q28*HLOOKUP(CF$5,Escalators!$I$25:$U$30,6,FALSE)</f>
        <v>0</v>
      </c>
      <c r="CH28" s="82">
        <f>INDEX(Lab_Mat!$K$6:$N$9,MATCH($H28,Lab_Mat!$J$6:$J$9,0),MATCH($CH$4,Lab_Mat!$K$5:$N$5,0))*J28</f>
        <v>0</v>
      </c>
      <c r="CI28" s="82">
        <f>INDEX(Lab_Mat!$K$6:$N$9,MATCH($H28,Lab_Mat!$J$6:$J$9,0),MATCH($CH$4,Lab_Mat!$K$5:$N$5,0))*K28</f>
        <v>0</v>
      </c>
      <c r="CJ28" s="82">
        <f>INDEX(Lab_Mat!$K$6:$N$9,MATCH($H28,Lab_Mat!$J$6:$J$9,0),MATCH($CH$4,Lab_Mat!$K$5:$N$5,0))*L28</f>
        <v>0</v>
      </c>
      <c r="CK28" s="82">
        <f>INDEX(Lab_Mat!$K$6:$N$9,MATCH($H28,Lab_Mat!$J$6:$J$9,0),MATCH($CH$4,Lab_Mat!$K$5:$N$5,0))*M28</f>
        <v>0</v>
      </c>
      <c r="CL28" s="82">
        <f>INDEX(Lab_Mat!$K$6:$N$9,MATCH($H28,Lab_Mat!$J$6:$J$9,0),MATCH($CH$4,Lab_Mat!$K$5:$N$5,0))*N28</f>
        <v>0</v>
      </c>
      <c r="CM28" s="82">
        <f>INDEX(Lab_Mat!$K$6:$N$9,MATCH($H28,Lab_Mat!$J$6:$J$9,0),MATCH($CH$4,Lab_Mat!$K$5:$N$5,0))*O28</f>
        <v>0</v>
      </c>
      <c r="CN28" s="82">
        <f>INDEX(Lab_Mat!$K$6:$N$9,MATCH($H28,Lab_Mat!$J$6:$J$9,0),MATCH($CH$4,Lab_Mat!$K$5:$N$5,0))*P28</f>
        <v>0</v>
      </c>
      <c r="CO28" s="82">
        <f>INDEX(Lab_Mat!$K$6:$N$9,MATCH($H28,Lab_Mat!$J$6:$J$9,0),MATCH($CH$4,Lab_Mat!$K$5:$N$5,0))*Q28</f>
        <v>0</v>
      </c>
      <c r="CQ28" s="47">
        <f t="shared" si="64"/>
        <v>0</v>
      </c>
      <c r="CR28" s="47">
        <f t="shared" si="65"/>
        <v>0</v>
      </c>
      <c r="CS28" s="47">
        <f t="shared" si="55"/>
        <v>0</v>
      </c>
      <c r="CT28" s="47">
        <f t="shared" si="66"/>
        <v>0</v>
      </c>
      <c r="CU28" s="47">
        <f t="shared" si="67"/>
        <v>0</v>
      </c>
      <c r="CV28" s="47">
        <f t="shared" si="68"/>
        <v>0</v>
      </c>
      <c r="CW28" s="47">
        <f t="shared" si="69"/>
        <v>0</v>
      </c>
      <c r="CX28" s="47">
        <f t="shared" si="70"/>
        <v>0</v>
      </c>
    </row>
    <row r="29" spans="2:109">
      <c r="B29" s="6"/>
      <c r="C29" s="6" t="s">
        <v>573</v>
      </c>
      <c r="D29" s="6" t="s">
        <v>405</v>
      </c>
      <c r="E29" s="6" t="s">
        <v>395</v>
      </c>
      <c r="F29" s="6" t="s">
        <v>55</v>
      </c>
      <c r="G29" s="6" t="s">
        <v>34</v>
      </c>
      <c r="H29" s="6" t="s">
        <v>741</v>
      </c>
      <c r="I29" s="6" t="s">
        <v>5</v>
      </c>
      <c r="J29" s="47"/>
      <c r="K29" s="47"/>
      <c r="L29" s="47"/>
      <c r="M29" s="47">
        <v>32.342179828628524</v>
      </c>
      <c r="N29" s="47">
        <v>13.124362829008676</v>
      </c>
      <c r="O29" s="47">
        <v>0</v>
      </c>
      <c r="P29" s="47"/>
      <c r="Q29" s="47"/>
      <c r="S29" s="47">
        <f>INDEX(Lab_Mat!$K$6:$N$9,MATCH($H29,Lab_Mat!$J$6:$J$9,0),MATCH($S$4,Lab_Mat!$K$5:$N$5,0))*J29*HLOOKUP(S$5,Escalators!$I$25:$U$30,3,FALSE)</f>
        <v>0</v>
      </c>
      <c r="T29" s="47">
        <f>INDEX(Lab_Mat!$K$6:$N$9,MATCH($H29,Lab_Mat!$J$6:$J$9,0),MATCH($S$4,Lab_Mat!$K$5:$N$5,0))*K29*HLOOKUP(T$5,Escalators!$I$25:$U$30,3,FALSE)</f>
        <v>0</v>
      </c>
      <c r="U29" s="47">
        <f>INDEX(Lab_Mat!$K$6:$N$9,MATCH($H29,Lab_Mat!$J$6:$J$9,0),MATCH($S$4,Lab_Mat!$K$5:$N$5,0))*L29*HLOOKUP(U$5,Escalators!$I$25:$U$30,3,FALSE)</f>
        <v>0</v>
      </c>
      <c r="V29" s="47">
        <f>INDEX(Lab_Mat!$K$6:$N$9,MATCH($H29,Lab_Mat!$J$6:$J$9,0),MATCH($S$4,Lab_Mat!$K$5:$N$5,0))*M29*HLOOKUP(V$5,Escalators!$I$25:$U$30,3,FALSE)</f>
        <v>6.1423299705456467</v>
      </c>
      <c r="W29" s="47">
        <f>INDEX(Lab_Mat!$K$6:$N$9,MATCH($H29,Lab_Mat!$J$6:$J$9,0),MATCH($S$4,Lab_Mat!$K$5:$N$5,0))*N29*HLOOKUP(W$5,Escalators!$I$25:$U$30,3,FALSE)</f>
        <v>2.5049049220279045</v>
      </c>
      <c r="X29" s="47">
        <f>INDEX(Lab_Mat!$K$6:$N$9,MATCH($H29,Lab_Mat!$J$6:$J$9,0),MATCH($S$4,Lab_Mat!$K$5:$N$5,0))*O29*HLOOKUP(X$5,Escalators!$I$25:$U$30,3,FALSE)</f>
        <v>0</v>
      </c>
      <c r="Y29" s="47">
        <f>INDEX(Lab_Mat!$K$6:$N$9,MATCH($H29,Lab_Mat!$J$6:$J$9,0),MATCH($S$4,Lab_Mat!$K$5:$N$5,0))*P29*HLOOKUP(Y$5,Escalators!$I$25:$U$30,3,FALSE)</f>
        <v>0</v>
      </c>
      <c r="Z29" s="47">
        <f>INDEX(Lab_Mat!$K$6:$N$9,MATCH($H29,Lab_Mat!$J$6:$J$9,0),MATCH($S$4,Lab_Mat!$K$5:$N$5,0))*Q29*HLOOKUP(Z$5,Escalators!$I$25:$U$30,3,FALSE)</f>
        <v>0</v>
      </c>
      <c r="AB29" s="47">
        <f>INDEX(Lab_Mat!$K$6:$N$9,MATCH($H29,Lab_Mat!$J$6:$J$9,0),MATCH($AG$4,Lab_Mat!$K$5:$N$5,0))*$J29*INDEX(Act_Type_Repex_Splits,MATCH($I29,Act_Type_Repex,0),MATCH(AB$4,Mat_Type,0))*INDEX(Escalators!$I$44:$Q$49,MATCH(AB$4,Escalators!$C$44:$C$49,0),MATCH(AB$5,Escalators!$I$43:$Q$43,0))</f>
        <v>0</v>
      </c>
      <c r="AC29" s="47">
        <f>INDEX(Lab_Mat!$K$6:$N$9,MATCH($H29,Lab_Mat!$J$6:$J$9,0),MATCH($AG$4,Lab_Mat!$K$5:$N$5,0))*$J29*INDEX(Act_Type_Repex_Splits,MATCH($I29,Act_Type_Repex,0),MATCH(AC$4,Mat_Type,0))*INDEX(Escalators!$I$44:$Q$49,MATCH(AC$4,Escalators!$C$44:$C$49,0),MATCH(AC$5,Escalators!$I$43:$Q$43,0))</f>
        <v>0</v>
      </c>
      <c r="AD29" s="47">
        <f>INDEX(Lab_Mat!$K$6:$N$9,MATCH($H29,Lab_Mat!$J$6:$J$9,0),MATCH($AG$4,Lab_Mat!$K$5:$N$5,0))*$J29*INDEX(Act_Type_Repex_Splits,MATCH($I29,Act_Type_Repex,0),MATCH(AD$4,Mat_Type,0))*INDEX(Escalators!$I$44:$Q$49,MATCH(AD$4,Escalators!$C$44:$C$49,0),MATCH(AD$5,Escalators!$I$43:$Q$43,0))</f>
        <v>0</v>
      </c>
      <c r="AE29" s="47">
        <f>INDEX(Lab_Mat!$K$6:$N$9,MATCH($H29,Lab_Mat!$J$6:$J$9,0),MATCH($AG$4,Lab_Mat!$K$5:$N$5,0))*$J29*INDEX(Act_Type_Repex_Splits,MATCH($I29,Act_Type_Repex,0),MATCH(AE$4,Mat_Type,0))*INDEX(Escalators!$I$44:$Q$49,MATCH(AE$4,Escalators!$C$44:$C$49,0),MATCH(AE$5,Escalators!$I$43:$Q$43,0))</f>
        <v>0</v>
      </c>
      <c r="AF29" s="47">
        <f>INDEX(Lab_Mat!$K$6:$N$9,MATCH($H29,Lab_Mat!$J$6:$J$9,0),MATCH($AG$4,Lab_Mat!$K$5:$N$5,0))*$J29*INDEX(Act_Type_Repex_Splits,MATCH($I29,Act_Type_Repex,0),MATCH(AF$4,Mat_Type,0))*INDEX(Escalators!$I$44:$Q$49,MATCH(AF$4,Escalators!$C$44:$C$49,0),MATCH(AF$5,Escalators!$I$43:$Q$43,0))</f>
        <v>0</v>
      </c>
      <c r="AG29" s="47">
        <f t="shared" ref="AG29" si="71">SUM(AB29:AF29)</f>
        <v>0</v>
      </c>
      <c r="AH29" s="47">
        <f>INDEX(Lab_Mat!$K$6:$N$9,MATCH($H29,Lab_Mat!$J$6:$J$9,0),MATCH($AY$4,Lab_Mat!$K$5:$N$5,0))*$K29*INDEX(Act_Type_Repex_Splits,MATCH($I29,Act_Type_Repex,0),MATCH(AH$4,Mat_Type,0))*INDEX(Escalators!$I$44:$U$49,MATCH(AH$4,Escalators!$C$44:$C$49,0),MATCH(AH$5,Escalators!$I$43:$U$43,0))</f>
        <v>0</v>
      </c>
      <c r="AI29" s="47">
        <f>INDEX(Lab_Mat!$K$6:$N$9,MATCH($H29,Lab_Mat!$J$6:$J$9,0),MATCH($AY$4,Lab_Mat!$K$5:$N$5,0))*$K29*INDEX(Act_Type_Repex_Splits,MATCH($I29,Act_Type_Repex,0),MATCH(AI$4,Mat_Type,0))*INDEX(Escalators!$I$44:$U$49,MATCH(AI$4,Escalators!$C$44:$C$49,0),MATCH(AI$5,Escalators!$I$43:$U$43,0))</f>
        <v>0</v>
      </c>
      <c r="AJ29" s="47">
        <f>INDEX(Lab_Mat!$K$6:$N$9,MATCH($H29,Lab_Mat!$J$6:$J$9,0),MATCH($AY$4,Lab_Mat!$K$5:$N$5,0))*$K29*INDEX(Act_Type_Repex_Splits,MATCH($I29,Act_Type_Repex,0),MATCH(AJ$4,Mat_Type,0))*INDEX(Escalators!$I$44:$U$49,MATCH(AJ$4,Escalators!$C$44:$C$49,0),MATCH(AJ$5,Escalators!$I$43:$U$43,0))</f>
        <v>0</v>
      </c>
      <c r="AK29" s="47">
        <f>INDEX(Lab_Mat!$K$6:$N$9,MATCH($H29,Lab_Mat!$J$6:$J$9,0),MATCH($AY$4,Lab_Mat!$K$5:$N$5,0))*$K29*INDEX(Act_Type_Repex_Splits,MATCH($I29,Act_Type_Repex,0),MATCH(AK$4,Mat_Type,0))*INDEX(Escalators!$I$44:$U$49,MATCH(AK$4,Escalators!$C$44:$C$49,0),MATCH(AK$5,Escalators!$I$43:$U$43,0))</f>
        <v>0</v>
      </c>
      <c r="AL29" s="47">
        <f>INDEX(Lab_Mat!$K$6:$N$9,MATCH($H29,Lab_Mat!$J$6:$J$9,0),MATCH($AY$4,Lab_Mat!$K$5:$N$5,0))*$K29*INDEX(Act_Type_Repex_Splits,MATCH($I29,Act_Type_Repex,0),MATCH(AL$4,Mat_Type,0))*INDEX(Escalators!$I$44:$U$49,MATCH(AL$4,Escalators!$C$44:$C$49,0),MATCH(AL$5,Escalators!$I$43:$U$43,0))</f>
        <v>0</v>
      </c>
      <c r="AM29" s="47">
        <f t="shared" ref="AM29" si="72">SUM(AH29:AL29)</f>
        <v>0</v>
      </c>
      <c r="AN29" s="47">
        <f>INDEX(Lab_Mat!$K$6:$N$9,MATCH($H29,Lab_Mat!$J$6:$J$9,0),MATCH($AY$4,Lab_Mat!$K$5:$N$5,0))*$L29*INDEX(Act_Type_Repex_Splits,MATCH($I29,Act_Type_Repex,0),MATCH(AN$4,Mat_Type,0))*INDEX(Escalators!$I$44:$U$49,MATCH(AN$4,Escalators!$C$44:$C$49,0),MATCH(AN$5,Escalators!$I$43:$U$43,0))</f>
        <v>0</v>
      </c>
      <c r="AO29" s="47">
        <f>INDEX(Lab_Mat!$K$6:$N$9,MATCH($H29,Lab_Mat!$J$6:$J$9,0),MATCH($AY$4,Lab_Mat!$K$5:$N$5,0))*$L29*INDEX(Act_Type_Repex_Splits,MATCH($I29,Act_Type_Repex,0),MATCH(AO$4,Mat_Type,0))*INDEX(Escalators!$I$44:$U$49,MATCH(AO$4,Escalators!$C$44:$C$49,0),MATCH(AO$5,Escalators!$I$43:$U$43,0))</f>
        <v>0</v>
      </c>
      <c r="AP29" s="47">
        <f>INDEX(Lab_Mat!$K$6:$N$9,MATCH($H29,Lab_Mat!$J$6:$J$9,0),MATCH($AY$4,Lab_Mat!$K$5:$N$5,0))*$L29*INDEX(Act_Type_Repex_Splits,MATCH($I29,Act_Type_Repex,0),MATCH(AP$4,Mat_Type,0))*INDEX(Escalators!$I$44:$U$49,MATCH(AP$4,Escalators!$C$44:$C$49,0),MATCH(AP$5,Escalators!$I$43:$U$43,0))</f>
        <v>0</v>
      </c>
      <c r="AQ29" s="47">
        <f>INDEX(Lab_Mat!$K$6:$N$9,MATCH($H29,Lab_Mat!$J$6:$J$9,0),MATCH($AY$4,Lab_Mat!$K$5:$N$5,0))*$L29*INDEX(Act_Type_Repex_Splits,MATCH($I29,Act_Type_Repex,0),MATCH(AQ$4,Mat_Type,0))*INDEX(Escalators!$I$44:$U$49,MATCH(AQ$4,Escalators!$C$44:$C$49,0),MATCH(AQ$5,Escalators!$I$43:$U$43,0))</f>
        <v>0</v>
      </c>
      <c r="AR29" s="47">
        <f>INDEX(Lab_Mat!$K$6:$N$9,MATCH($H29,Lab_Mat!$J$6:$J$9,0),MATCH($AY$4,Lab_Mat!$K$5:$N$5,0))*$L29*INDEX(Act_Type_Repex_Splits,MATCH($I29,Act_Type_Repex,0),MATCH(AR$4,Mat_Type,0))*INDEX(Escalators!$I$44:$U$49,MATCH(AR$4,Escalators!$C$44:$C$49,0),MATCH(AR$5,Escalators!$I$43:$U$43,0))</f>
        <v>0</v>
      </c>
      <c r="AS29" s="47">
        <f t="shared" ref="AS29" si="73">SUM(AN29:AR29)</f>
        <v>0</v>
      </c>
      <c r="AT29" s="47">
        <f>INDEX(Lab_Mat!$K$6:$N$9,MATCH($H29,Lab_Mat!$J$6:$J$9,0),MATCH($AY$4,Lab_Mat!$K$5:$N$5,0))*$M29*INDEX(Act_Type_Repex_Splits,MATCH($I29,Act_Type_Repex,0),MATCH(AT$4,Mat_Type,0))*INDEX(Escalators!$I$44:$U$49,MATCH(AT$4,Escalators!$C$44:$C$49,0),MATCH(AT$5,Escalators!$I$43:$U$43,0))</f>
        <v>1.7509052376540273</v>
      </c>
      <c r="AU29" s="47">
        <f>INDEX(Lab_Mat!$K$6:$N$9,MATCH($H29,Lab_Mat!$J$6:$J$9,0),MATCH($AY$4,Lab_Mat!$K$5:$N$5,0))*$M29*INDEX(Act_Type_Repex_Splits,MATCH($I29,Act_Type_Repex,0),MATCH(AU$4,Mat_Type,0))*INDEX(Escalators!$I$44:$U$49,MATCH(AU$4,Escalators!$C$44:$C$49,0),MATCH(AU$5,Escalators!$I$43:$U$43,0))</f>
        <v>1.7509052376540273</v>
      </c>
      <c r="AV29" s="47">
        <f>INDEX(Lab_Mat!$K$6:$N$9,MATCH($H29,Lab_Mat!$J$6:$J$9,0),MATCH($AY$4,Lab_Mat!$K$5:$N$5,0))*$M29*INDEX(Act_Type_Repex_Splits,MATCH($I29,Act_Type_Repex,0),MATCH(AV$4,Mat_Type,0))*INDEX(Escalators!$I$44:$U$49,MATCH(AV$4,Escalators!$C$44:$C$49,0),MATCH(AV$5,Escalators!$I$43:$U$43,0))</f>
        <v>1.7509052376540273</v>
      </c>
      <c r="AW29" s="47">
        <f>INDEX(Lab_Mat!$K$6:$N$9,MATCH($H29,Lab_Mat!$J$6:$J$9,0),MATCH($AY$4,Lab_Mat!$K$5:$N$5,0))*$M29*INDEX(Act_Type_Repex_Splits,MATCH($I29,Act_Type_Repex,0),MATCH(AW$4,Mat_Type,0))*INDEX(Escalators!$I$44:$U$49,MATCH(AW$4,Escalators!$C$44:$C$49,0),MATCH(AW$5,Escalators!$I$43:$U$43,0))</f>
        <v>0</v>
      </c>
      <c r="AX29" s="47">
        <f>INDEX(Lab_Mat!$K$6:$N$9,MATCH($H29,Lab_Mat!$J$6:$J$9,0),MATCH($AY$4,Lab_Mat!$K$5:$N$5,0))*$M29*INDEX(Act_Type_Repex_Splits,MATCH($I29,Act_Type_Repex,0),MATCH(AX$4,Mat_Type,0))*INDEX(Escalators!$I$44:$U$49,MATCH(AX$4,Escalators!$C$44:$C$49,0),MATCH(AX$5,Escalators!$I$43:$U$43,0))</f>
        <v>12.256336663578189</v>
      </c>
      <c r="AY29" s="47">
        <f t="shared" ref="AY29" si="74">SUM(AT29:AX29)</f>
        <v>17.509052376540271</v>
      </c>
      <c r="AZ29" s="47">
        <f>INDEX(Lab_Mat!$K$6:$N$9,MATCH($H29,Lab_Mat!$J$6:$J$9,0),MATCH($BE$4,Lab_Mat!$K$5:$N$5,0))*$N29*INDEX(Act_Type_Repex_Splits,MATCH($I29,Act_Type_Repex,0),MATCH(AZ$4,Mat_Type,0))*INDEX(Escalators!$I$44:$U$49,MATCH(AZ$4,Escalators!$C$44:$C$49,0),MATCH(AZ$5,Escalators!$I$43:$U$43,0))</f>
        <v>0.71051227035235898</v>
      </c>
      <c r="BA29" s="47">
        <f>INDEX(Lab_Mat!$K$6:$N$9,MATCH($H29,Lab_Mat!$J$6:$J$9,0),MATCH($BE$4,Lab_Mat!$K$5:$N$5,0))*$N29*INDEX(Act_Type_Repex_Splits,MATCH($I29,Act_Type_Repex,0),MATCH(BA$4,Mat_Type,0))*INDEX(Escalators!$I$44:$U$49,MATCH(BA$4,Escalators!$C$44:$C$49,0),MATCH(BA$5,Escalators!$I$43:$U$43,0))</f>
        <v>0.71051227035235898</v>
      </c>
      <c r="BB29" s="47">
        <f>INDEX(Lab_Mat!$K$6:$N$9,MATCH($H29,Lab_Mat!$J$6:$J$9,0),MATCH($BE$4,Lab_Mat!$K$5:$N$5,0))*$N29*INDEX(Act_Type_Repex_Splits,MATCH($I29,Act_Type_Repex,0),MATCH(BB$4,Mat_Type,0))*INDEX(Escalators!$I$44:$U$49,MATCH(BB$4,Escalators!$C$44:$C$49,0),MATCH(BB$5,Escalators!$I$43:$U$43,0))</f>
        <v>0.71051227035235898</v>
      </c>
      <c r="BC29" s="47">
        <f>INDEX(Lab_Mat!$K$6:$N$9,MATCH($H29,Lab_Mat!$J$6:$J$9,0),MATCH($BE$4,Lab_Mat!$K$5:$N$5,0))*$N29*INDEX(Act_Type_Repex_Splits,MATCH($I29,Act_Type_Repex,0),MATCH(BC$4,Mat_Type,0))*INDEX(Escalators!$I$44:$U$49,MATCH(BC$4,Escalators!$C$44:$C$49,0),MATCH(BC$5,Escalators!$I$43:$U$43,0))</f>
        <v>0</v>
      </c>
      <c r="BD29" s="47">
        <f>INDEX(Lab_Mat!$K$6:$N$9,MATCH($H29,Lab_Mat!$J$6:$J$9,0),MATCH($BE$4,Lab_Mat!$K$5:$N$5,0))*$N29*INDEX(Act_Type_Repex_Splits,MATCH($I29,Act_Type_Repex,0),MATCH(BD$4,Mat_Type,0))*INDEX(Escalators!$I$44:$U$49,MATCH(BD$4,Escalators!$C$44:$C$49,0),MATCH(BD$5,Escalators!$I$43:$U$43,0))</f>
        <v>4.9735858924665122</v>
      </c>
      <c r="BE29" s="47">
        <f t="shared" ref="BE29" si="75">SUM(AZ29:BD29)</f>
        <v>7.1051227035235893</v>
      </c>
      <c r="BF29" s="47">
        <f>INDEX(Lab_Mat!$K$6:$N$9,MATCH($H29,Lab_Mat!$J$6:$J$9,0),MATCH($BK$4,Lab_Mat!$K$5:$N$5,0))*$O29*INDEX(Act_Type_Repex_Splits,MATCH($I29,Act_Type_Repex,0),MATCH(BF$4,Mat_Type,0))*INDEX(Escalators!$I$44:$U$49,MATCH(BF$4,Escalators!$C$44:$C$49,0),MATCH(BF$5,Escalators!$I$43:$U$43,0))</f>
        <v>0</v>
      </c>
      <c r="BG29" s="47">
        <f>INDEX(Lab_Mat!$K$6:$N$9,MATCH($H29,Lab_Mat!$J$6:$J$9,0),MATCH($BK$4,Lab_Mat!$K$5:$N$5,0))*$O29*INDEX(Act_Type_Repex_Splits,MATCH($I29,Act_Type_Repex,0),MATCH(BG$4,Mat_Type,0))*INDEX(Escalators!$I$44:$U$49,MATCH(BG$4,Escalators!$C$44:$C$49,0),MATCH(BG$5,Escalators!$I$43:$U$43,0))</f>
        <v>0</v>
      </c>
      <c r="BH29" s="47">
        <f>INDEX(Lab_Mat!$K$6:$N$9,MATCH($H29,Lab_Mat!$J$6:$J$9,0),MATCH($BK$4,Lab_Mat!$K$5:$N$5,0))*$O29*INDEX(Act_Type_Repex_Splits,MATCH($I29,Act_Type_Repex,0),MATCH(BH$4,Mat_Type,0))*INDEX(Escalators!$I$44:$U$49,MATCH(BH$4,Escalators!$C$44:$C$49,0),MATCH(BH$5,Escalators!$I$43:$U$43,0))</f>
        <v>0</v>
      </c>
      <c r="BI29" s="47">
        <f>INDEX(Lab_Mat!$K$6:$N$9,MATCH($H29,Lab_Mat!$J$6:$J$9,0),MATCH($BK$4,Lab_Mat!$K$5:$N$5,0))*$O29*INDEX(Act_Type_Repex_Splits,MATCH($I29,Act_Type_Repex,0),MATCH(BI$4,Mat_Type,0))*INDEX(Escalators!$I$44:$U$49,MATCH(BI$4,Escalators!$C$44:$C$49,0),MATCH(BI$5,Escalators!$I$43:$U$43,0))</f>
        <v>0</v>
      </c>
      <c r="BJ29" s="47">
        <f>INDEX(Lab_Mat!$K$6:$N$9,MATCH($H29,Lab_Mat!$J$6:$J$9,0),MATCH($BK$4,Lab_Mat!$K$5:$N$5,0))*$O29*INDEX(Act_Type_Repex_Splits,MATCH($I29,Act_Type_Repex,0),MATCH(BJ$4,Mat_Type,0))*INDEX(Escalators!$I$44:$U$49,MATCH(BJ$4,Escalators!$C$44:$C$49,0),MATCH(BJ$5,Escalators!$I$43:$U$43,0))</f>
        <v>0</v>
      </c>
      <c r="BK29" s="47">
        <f t="shared" ref="BK29" si="76">SUM(BF29:BJ29)</f>
        <v>0</v>
      </c>
      <c r="BL29" s="47">
        <f>INDEX(Lab_Mat!$K$6:$N$9,MATCH($H29,Lab_Mat!$J$6:$J$9,0),MATCH($BQ$4,Lab_Mat!$K$5:$N$5,0))*$P29*INDEX(Act_Type_Repex_Splits,MATCH($I29,Act_Type_Repex,0),MATCH(BL$4,Mat_Type,0))*INDEX(Escalators!$I$44:$U$49,MATCH(BL$4,Escalators!$C$44:$C$49,0),MATCH(BL$5,Escalators!$I$43:$U$43,0))</f>
        <v>0</v>
      </c>
      <c r="BM29" s="47">
        <f>INDEX(Lab_Mat!$K$6:$N$9,MATCH($H29,Lab_Mat!$J$6:$J$9,0),MATCH($BQ$4,Lab_Mat!$K$5:$N$5,0))*$P29*INDEX(Act_Type_Repex_Splits,MATCH($I29,Act_Type_Repex,0),MATCH(BM$4,Mat_Type,0))*INDEX(Escalators!$I$44:$U$49,MATCH(BM$4,Escalators!$C$44:$C$49,0),MATCH(BM$5,Escalators!$I$43:$U$43,0))</f>
        <v>0</v>
      </c>
      <c r="BN29" s="47">
        <f>INDEX(Lab_Mat!$K$6:$N$9,MATCH($H29,Lab_Mat!$J$6:$J$9,0),MATCH($BQ$4,Lab_Mat!$K$5:$N$5,0))*$P29*INDEX(Act_Type_Repex_Splits,MATCH($I29,Act_Type_Repex,0),MATCH(BN$4,Mat_Type,0))*INDEX(Escalators!$I$44:$U$49,MATCH(BN$4,Escalators!$C$44:$C$49,0),MATCH(BN$5,Escalators!$I$43:$U$43,0))</f>
        <v>0</v>
      </c>
      <c r="BO29" s="47">
        <f>INDEX(Lab_Mat!$K$6:$N$9,MATCH($H29,Lab_Mat!$J$6:$J$9,0),MATCH($BQ$4,Lab_Mat!$K$5:$N$5,0))*$P29*INDEX(Act_Type_Repex_Splits,MATCH($I29,Act_Type_Repex,0),MATCH(BO$4,Mat_Type,0))*INDEX(Escalators!$I$44:$U$49,MATCH(BO$4,Escalators!$C$44:$C$49,0),MATCH(BO$5,Escalators!$I$43:$U$43,0))</f>
        <v>0</v>
      </c>
      <c r="BP29" s="47">
        <f>INDEX(Lab_Mat!$K$6:$N$9,MATCH($H29,Lab_Mat!$J$6:$J$9,0),MATCH($BQ$4,Lab_Mat!$K$5:$N$5,0))*$P29*INDEX(Act_Type_Repex_Splits,MATCH($I29,Act_Type_Repex,0),MATCH(BP$4,Mat_Type,0))*INDEX(Escalators!$I$44:$U$49,MATCH(BP$4,Escalators!$C$44:$C$49,0),MATCH(BP$5,Escalators!$I$43:$U$43,0))</f>
        <v>0</v>
      </c>
      <c r="BQ29" s="47">
        <f t="shared" ref="BQ29" si="77">SUM(BL29:BP29)</f>
        <v>0</v>
      </c>
      <c r="BR29" s="47">
        <f>INDEX(Lab_Mat!$K$6:$N$9,MATCH($H29,Lab_Mat!$J$6:$J$9,0),MATCH($BW$4,Lab_Mat!$K$5:$N$5,0))*$Q29*INDEX(Act_Type_Repex_Splits,MATCH($I29,Act_Type_Repex,0),MATCH(BR$4,Mat_Type,0))*INDEX(Escalators!$I$44:$U$49,MATCH(BR$4,Escalators!$C$44:$C$49,0),MATCH(BR$5,Escalators!$I$43:$U$43,0))</f>
        <v>0</v>
      </c>
      <c r="BS29" s="47">
        <f>INDEX(Lab_Mat!$K$6:$N$9,MATCH($H29,Lab_Mat!$J$6:$J$9,0),MATCH($BW$4,Lab_Mat!$K$5:$N$5,0))*$Q29*INDEX(Act_Type_Repex_Splits,MATCH($I29,Act_Type_Repex,0),MATCH(BS$4,Mat_Type,0))*INDEX(Escalators!$I$44:$U$49,MATCH(BS$4,Escalators!$C$44:$C$49,0),MATCH(BS$5,Escalators!$I$43:$U$43,0))</f>
        <v>0</v>
      </c>
      <c r="BT29" s="47">
        <f>INDEX(Lab_Mat!$K$6:$N$9,MATCH($H29,Lab_Mat!$J$6:$J$9,0),MATCH($BW$4,Lab_Mat!$K$5:$N$5,0))*$Q29*INDEX(Act_Type_Repex_Splits,MATCH($I29,Act_Type_Repex,0),MATCH(BT$4,Mat_Type,0))*INDEX(Escalators!$I$44:$U$49,MATCH(BT$4,Escalators!$C$44:$C$49,0),MATCH(BT$5,Escalators!$I$43:$U$43,0))</f>
        <v>0</v>
      </c>
      <c r="BU29" s="47">
        <f>INDEX(Lab_Mat!$K$6:$N$9,MATCH($H29,Lab_Mat!$J$6:$J$9,0),MATCH($BW$4,Lab_Mat!$K$5:$N$5,0))*$Q29*INDEX(Act_Type_Repex_Splits,MATCH($I29,Act_Type_Repex,0),MATCH(BU$4,Mat_Type,0))*INDEX(Escalators!$I$44:$U$49,MATCH(BU$4,Escalators!$C$44:$C$49,0),MATCH(BU$5,Escalators!$I$43:$U$43,0))</f>
        <v>0</v>
      </c>
      <c r="BV29" s="47">
        <f>INDEX(Lab_Mat!$K$6:$N$9,MATCH($H29,Lab_Mat!$J$6:$J$9,0),MATCH($BW$4,Lab_Mat!$K$5:$N$5,0))*$Q29*INDEX(Act_Type_Repex_Splits,MATCH($I29,Act_Type_Repex,0),MATCH(BV$4,Mat_Type,0))*INDEX(Escalators!$I$44:$U$49,MATCH(BV$4,Escalators!$C$44:$C$49,0),MATCH(BV$5,Escalators!$I$43:$U$43,0))</f>
        <v>0</v>
      </c>
      <c r="BW29" s="47">
        <f t="shared" ref="BW29" si="78">SUM(BR29:BV29)</f>
        <v>0</v>
      </c>
      <c r="BY29" s="47">
        <f>INDEX(Lab_Mat!$K$6:$N$9,MATCH($H29,Lab_Mat!$J$6:$J$9,0),MATCH($BY$4,Lab_Mat!$K$5:$N$5,0))*J29*HLOOKUP(BY$5,Escalators!$I$25:$U$30,6,FALSE)</f>
        <v>0</v>
      </c>
      <c r="BZ29" s="47">
        <f>INDEX(Lab_Mat!$K$6:$N$9,MATCH($H29,Lab_Mat!$J$6:$J$9,0),MATCH($BY$4,Lab_Mat!$K$5:$N$5,0))*K29*HLOOKUP(BZ$5,Escalators!$I$25:$U$30,6,FALSE)</f>
        <v>0</v>
      </c>
      <c r="CA29" s="47">
        <f>INDEX(Lab_Mat!$K$6:$N$9,MATCH($H29,Lab_Mat!$J$6:$J$9,0),MATCH($BY$4,Lab_Mat!$K$5:$N$5,0))*L29*HLOOKUP(CA$5,Escalators!$I$25:$U$30,6,FALSE)</f>
        <v>0</v>
      </c>
      <c r="CB29" s="47">
        <f>INDEX(Lab_Mat!$K$6:$N$9,MATCH($H29,Lab_Mat!$J$6:$J$9,0),MATCH($BY$4,Lab_Mat!$K$5:$N$5,0))*M29*HLOOKUP(CB$5,Escalators!$I$25:$U$30,6,FALSE)</f>
        <v>6.3569221829633937</v>
      </c>
      <c r="CC29" s="47">
        <f>INDEX(Lab_Mat!$K$6:$N$9,MATCH($H29,Lab_Mat!$J$6:$J$9,0),MATCH($BY$4,Lab_Mat!$K$5:$N$5,0))*N29*HLOOKUP(CC$5,Escalators!$I$25:$U$30,6,FALSE)</f>
        <v>2.579620595985145</v>
      </c>
      <c r="CD29" s="47">
        <f>INDEX(Lab_Mat!$K$6:$N$9,MATCH($H29,Lab_Mat!$J$6:$J$9,0),MATCH($BY$4,Lab_Mat!$K$5:$N$5,0))*O29*HLOOKUP(CD$5,Escalators!$I$25:$U$30,6,FALSE)</f>
        <v>0</v>
      </c>
      <c r="CE29" s="47">
        <f>INDEX(Lab_Mat!$K$6:$N$9,MATCH($H29,Lab_Mat!$J$6:$J$9,0),MATCH($BY$4,Lab_Mat!$K$5:$N$5,0))*P29*HLOOKUP(CE$5,Escalators!$I$25:$U$30,6,FALSE)</f>
        <v>0</v>
      </c>
      <c r="CF29" s="47">
        <f>INDEX(Lab_Mat!$K$6:$N$9,MATCH($H29,Lab_Mat!$J$6:$J$9,0),MATCH($BY$4,Lab_Mat!$K$5:$N$5,0))*Q29*HLOOKUP(CF$5,Escalators!$I$25:$U$30,6,FALSE)</f>
        <v>0</v>
      </c>
      <c r="CH29" s="82">
        <f>INDEX(Lab_Mat!$K$6:$N$9,MATCH($H29,Lab_Mat!$J$6:$J$9,0),MATCH($CH$4,Lab_Mat!$K$5:$N$5,0))*J29</f>
        <v>0</v>
      </c>
      <c r="CI29" s="82">
        <f>INDEX(Lab_Mat!$K$6:$N$9,MATCH($H29,Lab_Mat!$J$6:$J$9,0),MATCH($CH$4,Lab_Mat!$K$5:$N$5,0))*K29</f>
        <v>0</v>
      </c>
      <c r="CJ29" s="82">
        <f>INDEX(Lab_Mat!$K$6:$N$9,MATCH($H29,Lab_Mat!$J$6:$J$9,0),MATCH($CH$4,Lab_Mat!$K$5:$N$5,0))*L29</f>
        <v>0</v>
      </c>
      <c r="CK29" s="82">
        <f>INDEX(Lab_Mat!$K$6:$N$9,MATCH($H29,Lab_Mat!$J$6:$J$9,0),MATCH($CH$4,Lab_Mat!$K$5:$N$5,0))*M29</f>
        <v>2.528365962376645</v>
      </c>
      <c r="CL29" s="82">
        <f>INDEX(Lab_Mat!$K$6:$N$9,MATCH($H29,Lab_Mat!$J$6:$J$9,0),MATCH($CH$4,Lab_Mat!$K$5:$N$5,0))*N29</f>
        <v>1.02600357893545</v>
      </c>
      <c r="CM29" s="82">
        <f>INDEX(Lab_Mat!$K$6:$N$9,MATCH($H29,Lab_Mat!$J$6:$J$9,0),MATCH($CH$4,Lab_Mat!$K$5:$N$5,0))*O29</f>
        <v>0</v>
      </c>
      <c r="CN29" s="82">
        <f>INDEX(Lab_Mat!$K$6:$N$9,MATCH($H29,Lab_Mat!$J$6:$J$9,0),MATCH($CH$4,Lab_Mat!$K$5:$N$5,0))*P29</f>
        <v>0</v>
      </c>
      <c r="CO29" s="82">
        <f>INDEX(Lab_Mat!$K$6:$N$9,MATCH($H29,Lab_Mat!$J$6:$J$9,0),MATCH($CH$4,Lab_Mat!$K$5:$N$5,0))*Q29</f>
        <v>0</v>
      </c>
      <c r="CQ29" s="47">
        <f t="shared" si="64"/>
        <v>0</v>
      </c>
      <c r="CR29" s="47">
        <f t="shared" si="65"/>
        <v>0</v>
      </c>
      <c r="CS29" s="47">
        <f t="shared" si="55"/>
        <v>0</v>
      </c>
      <c r="CT29" s="47">
        <f t="shared" si="66"/>
        <v>32.536670492425955</v>
      </c>
      <c r="CU29" s="47">
        <f t="shared" si="67"/>
        <v>13.21565180047209</v>
      </c>
      <c r="CV29" s="47">
        <f t="shared" si="68"/>
        <v>0</v>
      </c>
      <c r="CW29" s="47">
        <f t="shared" si="69"/>
        <v>0</v>
      </c>
      <c r="CX29" s="47">
        <f t="shared" si="70"/>
        <v>0</v>
      </c>
    </row>
    <row r="30" spans="2:109">
      <c r="B30" s="6"/>
      <c r="C30" s="6"/>
      <c r="D30" s="6"/>
      <c r="E30" s="6"/>
      <c r="F30" s="6"/>
      <c r="G30" s="6"/>
      <c r="H30" s="6"/>
      <c r="I30" s="6"/>
      <c r="J30" s="47"/>
      <c r="K30" s="47"/>
      <c r="L30" s="47"/>
      <c r="M30" s="47"/>
      <c r="N30" s="47"/>
      <c r="O30" s="47"/>
      <c r="P30" s="47"/>
      <c r="Q30" s="47"/>
      <c r="S30" s="47"/>
      <c r="T30" s="47"/>
      <c r="U30" s="47"/>
      <c r="V30" s="47"/>
      <c r="W30" s="47"/>
      <c r="X30" s="47"/>
      <c r="Y30" s="47"/>
      <c r="Z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82"/>
      <c r="CI30" s="82"/>
      <c r="CJ30" s="82"/>
      <c r="CK30" s="82"/>
      <c r="CL30" s="82"/>
      <c r="CM30" s="82"/>
      <c r="CN30" s="82"/>
      <c r="CO30" s="82"/>
      <c r="CQ30" s="47"/>
      <c r="CR30" s="47"/>
      <c r="CS30" s="47"/>
      <c r="CT30" s="47"/>
      <c r="CU30" s="47"/>
      <c r="CV30" s="47"/>
      <c r="CW30" s="47"/>
      <c r="CX30" s="47"/>
    </row>
    <row r="31" spans="2:109">
      <c r="B31" s="6"/>
      <c r="C31" s="64" t="s">
        <v>408</v>
      </c>
      <c r="D31" s="744" t="s">
        <v>830</v>
      </c>
      <c r="E31" s="6" t="s">
        <v>44</v>
      </c>
      <c r="F31" s="6" t="s">
        <v>55</v>
      </c>
      <c r="G31" s="6" t="s">
        <v>10</v>
      </c>
      <c r="H31" s="6" t="s">
        <v>741</v>
      </c>
      <c r="I31" s="6" t="s">
        <v>186</v>
      </c>
      <c r="J31" s="47"/>
      <c r="K31" s="47"/>
      <c r="L31" s="47"/>
      <c r="M31" s="750">
        <f t="shared" ref="M31:N31" si="79">M23/(M$50-M$29)*-(M$56-M$29)</f>
        <v>-1974.0166132826528</v>
      </c>
      <c r="N31" s="750">
        <f t="shared" si="79"/>
        <v>-983.80282063208131</v>
      </c>
      <c r="O31" s="47"/>
      <c r="P31" s="47"/>
      <c r="Q31" s="47"/>
      <c r="S31" s="47">
        <f>INDEX(Lab_Mat!$K$6:$N$9,MATCH($H31,Lab_Mat!$J$6:$J$9,0),MATCH($S$4,Lab_Mat!$K$5:$N$5,0))*J31*HLOOKUP(S$5,Escalators!$I$25:$U$30,3,FALSE)</f>
        <v>0</v>
      </c>
      <c r="T31" s="47">
        <f>INDEX(Lab_Mat!$K$6:$N$9,MATCH($H31,Lab_Mat!$J$6:$J$9,0),MATCH($S$4,Lab_Mat!$K$5:$N$5,0))*K31*HLOOKUP(T$5,Escalators!$I$25:$U$30,3,FALSE)</f>
        <v>0</v>
      </c>
      <c r="U31" s="47">
        <f>INDEX(Lab_Mat!$K$6:$N$9,MATCH($H31,Lab_Mat!$J$6:$J$9,0),MATCH($S$4,Lab_Mat!$K$5:$N$5,0))*L31*HLOOKUP(U$5,Escalators!$I$25:$U$30,3,FALSE)</f>
        <v>0</v>
      </c>
      <c r="V31" s="47">
        <f>INDEX(Lab_Mat!$K$6:$N$9,MATCH($H31,Lab_Mat!$J$6:$J$9,0),MATCH($S$4,Lab_Mat!$K$5:$N$5,0))*M31*HLOOKUP(V$5,Escalators!$I$25:$U$30,3,FALSE)</f>
        <v>-374.89932559796853</v>
      </c>
      <c r="W31" s="47">
        <f>INDEX(Lab_Mat!$K$6:$N$9,MATCH($H31,Lab_Mat!$J$6:$J$9,0),MATCH($S$4,Lab_Mat!$K$5:$N$5,0))*N31*HLOOKUP(W$5,Escalators!$I$25:$U$30,3,FALSE)</f>
        <v>-187.76778422030065</v>
      </c>
      <c r="X31" s="47">
        <f>INDEX(Lab_Mat!$K$6:$N$9,MATCH($H31,Lab_Mat!$J$6:$J$9,0),MATCH($S$4,Lab_Mat!$K$5:$N$5,0))*O31*HLOOKUP(X$5,Escalators!$I$25:$U$30,3,FALSE)</f>
        <v>0</v>
      </c>
      <c r="Y31" s="47">
        <f>INDEX(Lab_Mat!$K$6:$N$9,MATCH($H31,Lab_Mat!$J$6:$J$9,0),MATCH($S$4,Lab_Mat!$K$5:$N$5,0))*P31*HLOOKUP(Y$5,Escalators!$I$25:$U$30,3,FALSE)</f>
        <v>0</v>
      </c>
      <c r="Z31" s="47">
        <f>INDEX(Lab_Mat!$K$6:$N$9,MATCH($H31,Lab_Mat!$J$6:$J$9,0),MATCH($S$4,Lab_Mat!$K$5:$N$5,0))*Q31*HLOOKUP(Z$5,Escalators!$I$25:$U$30,3,FALSE)</f>
        <v>0</v>
      </c>
      <c r="AB31" s="47">
        <f>INDEX(Lab_Mat!$K$6:$N$9,MATCH($H31,Lab_Mat!$J$6:$J$9,0),MATCH($AG$4,Lab_Mat!$K$5:$N$5,0))*$J31*INDEX(Act_Type_Repex_Splits,MATCH($I31,Act_Type_Repex,0),MATCH(AB$4,Mat_Type,0))*INDEX(Escalators!$I$44:$Q$49,MATCH(AB$4,Escalators!$C$44:$C$49,0),MATCH(AB$5,Escalators!$I$43:$Q$43,0))</f>
        <v>0</v>
      </c>
      <c r="AC31" s="47">
        <f>INDEX(Lab_Mat!$K$6:$N$9,MATCH($H31,Lab_Mat!$J$6:$J$9,0),MATCH($AG$4,Lab_Mat!$K$5:$N$5,0))*$J31*INDEX(Act_Type_Repex_Splits,MATCH($I31,Act_Type_Repex,0),MATCH(AC$4,Mat_Type,0))*INDEX(Escalators!$I$44:$Q$49,MATCH(AC$4,Escalators!$C$44:$C$49,0),MATCH(AC$5,Escalators!$I$43:$Q$43,0))</f>
        <v>0</v>
      </c>
      <c r="AD31" s="47">
        <f>INDEX(Lab_Mat!$K$6:$N$9,MATCH($H31,Lab_Mat!$J$6:$J$9,0),MATCH($AG$4,Lab_Mat!$K$5:$N$5,0))*$J31*INDEX(Act_Type_Repex_Splits,MATCH($I31,Act_Type_Repex,0),MATCH(AD$4,Mat_Type,0))*INDEX(Escalators!$I$44:$Q$49,MATCH(AD$4,Escalators!$C$44:$C$49,0),MATCH(AD$5,Escalators!$I$43:$Q$43,0))</f>
        <v>0</v>
      </c>
      <c r="AE31" s="47">
        <f>INDEX(Lab_Mat!$K$6:$N$9,MATCH($H31,Lab_Mat!$J$6:$J$9,0),MATCH($AG$4,Lab_Mat!$K$5:$N$5,0))*$J31*INDEX(Act_Type_Repex_Splits,MATCH($I31,Act_Type_Repex,0),MATCH(AE$4,Mat_Type,0))*INDEX(Escalators!$I$44:$Q$49,MATCH(AE$4,Escalators!$C$44:$C$49,0),MATCH(AE$5,Escalators!$I$43:$Q$43,0))</f>
        <v>0</v>
      </c>
      <c r="AF31" s="47">
        <f>INDEX(Lab_Mat!$K$6:$N$9,MATCH($H31,Lab_Mat!$J$6:$J$9,0),MATCH($AG$4,Lab_Mat!$K$5:$N$5,0))*$J31*INDEX(Act_Type_Repex_Splits,MATCH($I31,Act_Type_Repex,0),MATCH(AF$4,Mat_Type,0))*INDEX(Escalators!$I$44:$Q$49,MATCH(AF$4,Escalators!$C$44:$C$49,0),MATCH(AF$5,Escalators!$I$43:$Q$43,0))</f>
        <v>0</v>
      </c>
      <c r="AG31" s="47">
        <f t="shared" ref="AG31:AG37" si="80">SUM(AB31:AF31)</f>
        <v>0</v>
      </c>
      <c r="AH31" s="47">
        <f>INDEX(Lab_Mat!$K$6:$N$9,MATCH($H31,Lab_Mat!$J$6:$J$9,0),MATCH($AY$4,Lab_Mat!$K$5:$N$5,0))*$K31*INDEX(Act_Type_Repex_Splits,MATCH($I31,Act_Type_Repex,0),MATCH(AH$4,Mat_Type,0))*INDEX(Escalators!$I$44:$U$49,MATCH(AH$4,Escalators!$C$44:$C$49,0),MATCH(AH$5,Escalators!$I$43:$U$43,0))</f>
        <v>0</v>
      </c>
      <c r="AI31" s="47">
        <f>INDEX(Lab_Mat!$K$6:$N$9,MATCH($H31,Lab_Mat!$J$6:$J$9,0),MATCH($AY$4,Lab_Mat!$K$5:$N$5,0))*$K31*INDEX(Act_Type_Repex_Splits,MATCH($I31,Act_Type_Repex,0),MATCH(AI$4,Mat_Type,0))*INDEX(Escalators!$I$44:$U$49,MATCH(AI$4,Escalators!$C$44:$C$49,0),MATCH(AI$5,Escalators!$I$43:$U$43,0))</f>
        <v>0</v>
      </c>
      <c r="AJ31" s="47">
        <f>INDEX(Lab_Mat!$K$6:$N$9,MATCH($H31,Lab_Mat!$J$6:$J$9,0),MATCH($AY$4,Lab_Mat!$K$5:$N$5,0))*$K31*INDEX(Act_Type_Repex_Splits,MATCH($I31,Act_Type_Repex,0),MATCH(AJ$4,Mat_Type,0))*INDEX(Escalators!$I$44:$U$49,MATCH(AJ$4,Escalators!$C$44:$C$49,0),MATCH(AJ$5,Escalators!$I$43:$U$43,0))</f>
        <v>0</v>
      </c>
      <c r="AK31" s="47">
        <f>INDEX(Lab_Mat!$K$6:$N$9,MATCH($H31,Lab_Mat!$J$6:$J$9,0),MATCH($AY$4,Lab_Mat!$K$5:$N$5,0))*$K31*INDEX(Act_Type_Repex_Splits,MATCH($I31,Act_Type_Repex,0),MATCH(AK$4,Mat_Type,0))*INDEX(Escalators!$I$44:$U$49,MATCH(AK$4,Escalators!$C$44:$C$49,0),MATCH(AK$5,Escalators!$I$43:$U$43,0))</f>
        <v>0</v>
      </c>
      <c r="AL31" s="47">
        <f>INDEX(Lab_Mat!$K$6:$N$9,MATCH($H31,Lab_Mat!$J$6:$J$9,0),MATCH($AY$4,Lab_Mat!$K$5:$N$5,0))*$K31*INDEX(Act_Type_Repex_Splits,MATCH($I31,Act_Type_Repex,0),MATCH(AL$4,Mat_Type,0))*INDEX(Escalators!$I$44:$U$49,MATCH(AL$4,Escalators!$C$44:$C$49,0),MATCH(AL$5,Escalators!$I$43:$U$43,0))</f>
        <v>0</v>
      </c>
      <c r="AM31" s="47">
        <f t="shared" ref="AM31:AM37" si="81">SUM(AH31:AL31)</f>
        <v>0</v>
      </c>
      <c r="AN31" s="47">
        <f>INDEX(Lab_Mat!$K$6:$N$9,MATCH($H31,Lab_Mat!$J$6:$J$9,0),MATCH($AY$4,Lab_Mat!$K$5:$N$5,0))*$L31*INDEX(Act_Type_Repex_Splits,MATCH($I31,Act_Type_Repex,0),MATCH(AN$4,Mat_Type,0))*INDEX(Escalators!$I$44:$U$49,MATCH(AN$4,Escalators!$C$44:$C$49,0),MATCH(AN$5,Escalators!$I$43:$U$43,0))</f>
        <v>0</v>
      </c>
      <c r="AO31" s="47">
        <f>INDEX(Lab_Mat!$K$6:$N$9,MATCH($H31,Lab_Mat!$J$6:$J$9,0),MATCH($AY$4,Lab_Mat!$K$5:$N$5,0))*$L31*INDEX(Act_Type_Repex_Splits,MATCH($I31,Act_Type_Repex,0),MATCH(AO$4,Mat_Type,0))*INDEX(Escalators!$I$44:$U$49,MATCH(AO$4,Escalators!$C$44:$C$49,0),MATCH(AO$5,Escalators!$I$43:$U$43,0))</f>
        <v>0</v>
      </c>
      <c r="AP31" s="47">
        <f>INDEX(Lab_Mat!$K$6:$N$9,MATCH($H31,Lab_Mat!$J$6:$J$9,0),MATCH($AY$4,Lab_Mat!$K$5:$N$5,0))*$L31*INDEX(Act_Type_Repex_Splits,MATCH($I31,Act_Type_Repex,0),MATCH(AP$4,Mat_Type,0))*INDEX(Escalators!$I$44:$U$49,MATCH(AP$4,Escalators!$C$44:$C$49,0),MATCH(AP$5,Escalators!$I$43:$U$43,0))</f>
        <v>0</v>
      </c>
      <c r="AQ31" s="47">
        <f>INDEX(Lab_Mat!$K$6:$N$9,MATCH($H31,Lab_Mat!$J$6:$J$9,0),MATCH($AY$4,Lab_Mat!$K$5:$N$5,0))*$L31*INDEX(Act_Type_Repex_Splits,MATCH($I31,Act_Type_Repex,0),MATCH(AQ$4,Mat_Type,0))*INDEX(Escalators!$I$44:$U$49,MATCH(AQ$4,Escalators!$C$44:$C$49,0),MATCH(AQ$5,Escalators!$I$43:$U$43,0))</f>
        <v>0</v>
      </c>
      <c r="AR31" s="47">
        <f>INDEX(Lab_Mat!$K$6:$N$9,MATCH($H31,Lab_Mat!$J$6:$J$9,0),MATCH($AY$4,Lab_Mat!$K$5:$N$5,0))*$L31*INDEX(Act_Type_Repex_Splits,MATCH($I31,Act_Type_Repex,0),MATCH(AR$4,Mat_Type,0))*INDEX(Escalators!$I$44:$U$49,MATCH(AR$4,Escalators!$C$44:$C$49,0),MATCH(AR$5,Escalators!$I$43:$U$43,0))</f>
        <v>0</v>
      </c>
      <c r="AS31" s="47">
        <f t="shared" ref="AS31:AS37" si="82">SUM(AN31:AR31)</f>
        <v>0</v>
      </c>
      <c r="AT31" s="47">
        <f>INDEX(Lab_Mat!$K$6:$N$9,MATCH($H31,Lab_Mat!$J$6:$J$9,0),MATCH($AY$4,Lab_Mat!$K$5:$N$5,0))*$M31*INDEX(Act_Type_Repex_Splits,MATCH($I31,Act_Type_Repex,0),MATCH(AT$4,Mat_Type,0))*INDEX(Escalators!$I$44:$U$49,MATCH(AT$4,Escalators!$C$44:$C$49,0),MATCH(AT$5,Escalators!$I$43:$U$43,0))</f>
        <v>0</v>
      </c>
      <c r="AU31" s="47">
        <f>INDEX(Lab_Mat!$K$6:$N$9,MATCH($H31,Lab_Mat!$J$6:$J$9,0),MATCH($AY$4,Lab_Mat!$K$5:$N$5,0))*$M31*INDEX(Act_Type_Repex_Splits,MATCH($I31,Act_Type_Repex,0),MATCH(AU$4,Mat_Type,0))*INDEX(Escalators!$I$44:$U$49,MATCH(AU$4,Escalators!$C$44:$C$49,0),MATCH(AU$5,Escalators!$I$43:$U$43,0))</f>
        <v>-320.60139845798636</v>
      </c>
      <c r="AV31" s="47">
        <f>INDEX(Lab_Mat!$K$6:$N$9,MATCH($H31,Lab_Mat!$J$6:$J$9,0),MATCH($AY$4,Lab_Mat!$K$5:$N$5,0))*$M31*INDEX(Act_Type_Repex_Splits,MATCH($I31,Act_Type_Repex,0),MATCH(AV$4,Mat_Type,0))*INDEX(Escalators!$I$44:$U$49,MATCH(AV$4,Escalators!$C$44:$C$49,0),MATCH(AV$5,Escalators!$I$43:$U$43,0))</f>
        <v>-641.20279691597273</v>
      </c>
      <c r="AW31" s="47">
        <f>INDEX(Lab_Mat!$K$6:$N$9,MATCH($H31,Lab_Mat!$J$6:$J$9,0),MATCH($AY$4,Lab_Mat!$K$5:$N$5,0))*$M31*INDEX(Act_Type_Repex_Splits,MATCH($I31,Act_Type_Repex,0),MATCH(AW$4,Mat_Type,0))*INDEX(Escalators!$I$44:$U$49,MATCH(AW$4,Escalators!$C$44:$C$49,0),MATCH(AW$5,Escalators!$I$43:$U$43,0))</f>
        <v>-106.8671328193288</v>
      </c>
      <c r="AX31" s="47">
        <f>INDEX(Lab_Mat!$K$6:$N$9,MATCH($H31,Lab_Mat!$J$6:$J$9,0),MATCH($AY$4,Lab_Mat!$K$5:$N$5,0))*$M31*INDEX(Act_Type_Repex_Splits,MATCH($I31,Act_Type_Repex,0),MATCH(AX$4,Mat_Type,0))*INDEX(Escalators!$I$44:$U$49,MATCH(AX$4,Escalators!$C$44:$C$49,0),MATCH(AX$5,Escalators!$I$43:$U$43,0))</f>
        <v>0</v>
      </c>
      <c r="AY31" s="47">
        <f t="shared" ref="AY31:AY37" si="83">SUM(AT31:AX31)</f>
        <v>-1068.671328193288</v>
      </c>
      <c r="AZ31" s="47">
        <f>INDEX(Lab_Mat!$K$6:$N$9,MATCH($H31,Lab_Mat!$J$6:$J$9,0),MATCH($BE$4,Lab_Mat!$K$5:$N$5,0))*$N31*INDEX(Act_Type_Repex_Splits,MATCH($I31,Act_Type_Repex,0),MATCH(AZ$4,Mat_Type,0))*INDEX(Escalators!$I$44:$U$49,MATCH(AZ$4,Escalators!$C$44:$C$49,0),MATCH(AZ$5,Escalators!$I$43:$U$43,0))</f>
        <v>0</v>
      </c>
      <c r="BA31" s="47">
        <f>INDEX(Lab_Mat!$K$6:$N$9,MATCH($H31,Lab_Mat!$J$6:$J$9,0),MATCH($BE$4,Lab_Mat!$K$5:$N$5,0))*$N31*INDEX(Act_Type_Repex_Splits,MATCH($I31,Act_Type_Repex,0),MATCH(BA$4,Mat_Type,0))*INDEX(Escalators!$I$44:$U$49,MATCH(BA$4,Escalators!$C$44:$C$49,0),MATCH(BA$5,Escalators!$I$43:$U$43,0))</f>
        <v>-159.78009403733145</v>
      </c>
      <c r="BB31" s="47">
        <f>INDEX(Lab_Mat!$K$6:$N$9,MATCH($H31,Lab_Mat!$J$6:$J$9,0),MATCH($BE$4,Lab_Mat!$K$5:$N$5,0))*$N31*INDEX(Act_Type_Repex_Splits,MATCH($I31,Act_Type_Repex,0),MATCH(BB$4,Mat_Type,0))*INDEX(Escalators!$I$44:$U$49,MATCH(BB$4,Escalators!$C$44:$C$49,0),MATCH(BB$5,Escalators!$I$43:$U$43,0))</f>
        <v>-319.5601880746629</v>
      </c>
      <c r="BC31" s="47">
        <f>INDEX(Lab_Mat!$K$6:$N$9,MATCH($H31,Lab_Mat!$J$6:$J$9,0),MATCH($BE$4,Lab_Mat!$K$5:$N$5,0))*$N31*INDEX(Act_Type_Repex_Splits,MATCH($I31,Act_Type_Repex,0),MATCH(BC$4,Mat_Type,0))*INDEX(Escalators!$I$44:$U$49,MATCH(BC$4,Escalators!$C$44:$C$49,0),MATCH(BC$5,Escalators!$I$43:$U$43,0))</f>
        <v>-53.260031345777158</v>
      </c>
      <c r="BD31" s="47">
        <f>INDEX(Lab_Mat!$K$6:$N$9,MATCH($H31,Lab_Mat!$J$6:$J$9,0),MATCH($BE$4,Lab_Mat!$K$5:$N$5,0))*$N31*INDEX(Act_Type_Repex_Splits,MATCH($I31,Act_Type_Repex,0),MATCH(BD$4,Mat_Type,0))*INDEX(Escalators!$I$44:$U$49,MATCH(BD$4,Escalators!$C$44:$C$49,0),MATCH(BD$5,Escalators!$I$43:$U$43,0))</f>
        <v>0</v>
      </c>
      <c r="BE31" s="47">
        <f t="shared" ref="BE31:BE37" si="84">SUM(AZ31:BD31)</f>
        <v>-532.60031345777156</v>
      </c>
      <c r="BF31" s="47">
        <f>INDEX(Lab_Mat!$K$6:$N$9,MATCH($H31,Lab_Mat!$J$6:$J$9,0),MATCH($BK$4,Lab_Mat!$K$5:$N$5,0))*$O31*INDEX(Act_Type_Repex_Splits,MATCH($I31,Act_Type_Repex,0),MATCH(BF$4,Mat_Type,0))*INDEX(Escalators!$I$44:$U$49,MATCH(BF$4,Escalators!$C$44:$C$49,0),MATCH(BF$5,Escalators!$I$43:$U$43,0))</f>
        <v>0</v>
      </c>
      <c r="BG31" s="47">
        <f>INDEX(Lab_Mat!$K$6:$N$9,MATCH($H31,Lab_Mat!$J$6:$J$9,0),MATCH($BK$4,Lab_Mat!$K$5:$N$5,0))*$O31*INDEX(Act_Type_Repex_Splits,MATCH($I31,Act_Type_Repex,0),MATCH(BG$4,Mat_Type,0))*INDEX(Escalators!$I$44:$U$49,MATCH(BG$4,Escalators!$C$44:$C$49,0),MATCH(BG$5,Escalators!$I$43:$U$43,0))</f>
        <v>0</v>
      </c>
      <c r="BH31" s="47">
        <f>INDEX(Lab_Mat!$K$6:$N$9,MATCH($H31,Lab_Mat!$J$6:$J$9,0),MATCH($BK$4,Lab_Mat!$K$5:$N$5,0))*$O31*INDEX(Act_Type_Repex_Splits,MATCH($I31,Act_Type_Repex,0),MATCH(BH$4,Mat_Type,0))*INDEX(Escalators!$I$44:$U$49,MATCH(BH$4,Escalators!$C$44:$C$49,0),MATCH(BH$5,Escalators!$I$43:$U$43,0))</f>
        <v>0</v>
      </c>
      <c r="BI31" s="47">
        <f>INDEX(Lab_Mat!$K$6:$N$9,MATCH($H31,Lab_Mat!$J$6:$J$9,0),MATCH($BK$4,Lab_Mat!$K$5:$N$5,0))*$O31*INDEX(Act_Type_Repex_Splits,MATCH($I31,Act_Type_Repex,0),MATCH(BI$4,Mat_Type,0))*INDEX(Escalators!$I$44:$U$49,MATCH(BI$4,Escalators!$C$44:$C$49,0),MATCH(BI$5,Escalators!$I$43:$U$43,0))</f>
        <v>0</v>
      </c>
      <c r="BJ31" s="47">
        <f>INDEX(Lab_Mat!$K$6:$N$9,MATCH($H31,Lab_Mat!$J$6:$J$9,0),MATCH($BK$4,Lab_Mat!$K$5:$N$5,0))*$O31*INDEX(Act_Type_Repex_Splits,MATCH($I31,Act_Type_Repex,0),MATCH(BJ$4,Mat_Type,0))*INDEX(Escalators!$I$44:$U$49,MATCH(BJ$4,Escalators!$C$44:$C$49,0),MATCH(BJ$5,Escalators!$I$43:$U$43,0))</f>
        <v>0</v>
      </c>
      <c r="BK31" s="47">
        <f t="shared" ref="BK31:BK37" si="85">SUM(BF31:BJ31)</f>
        <v>0</v>
      </c>
      <c r="BL31" s="47">
        <f>INDEX(Lab_Mat!$K$6:$N$9,MATCH($H31,Lab_Mat!$J$6:$J$9,0),MATCH($BQ$4,Lab_Mat!$K$5:$N$5,0))*$P31*INDEX(Act_Type_Repex_Splits,MATCH($I31,Act_Type_Repex,0),MATCH(BL$4,Mat_Type,0))*INDEX(Escalators!$I$44:$U$49,MATCH(BL$4,Escalators!$C$44:$C$49,0),MATCH(BL$5,Escalators!$I$43:$U$43,0))</f>
        <v>0</v>
      </c>
      <c r="BM31" s="47">
        <f>INDEX(Lab_Mat!$K$6:$N$9,MATCH($H31,Lab_Mat!$J$6:$J$9,0),MATCH($BQ$4,Lab_Mat!$K$5:$N$5,0))*$P31*INDEX(Act_Type_Repex_Splits,MATCH($I31,Act_Type_Repex,0),MATCH(BM$4,Mat_Type,0))*INDEX(Escalators!$I$44:$U$49,MATCH(BM$4,Escalators!$C$44:$C$49,0),MATCH(BM$5,Escalators!$I$43:$U$43,0))</f>
        <v>0</v>
      </c>
      <c r="BN31" s="47">
        <f>INDEX(Lab_Mat!$K$6:$N$9,MATCH($H31,Lab_Mat!$J$6:$J$9,0),MATCH($BQ$4,Lab_Mat!$K$5:$N$5,0))*$P31*INDEX(Act_Type_Repex_Splits,MATCH($I31,Act_Type_Repex,0),MATCH(BN$4,Mat_Type,0))*INDEX(Escalators!$I$44:$U$49,MATCH(BN$4,Escalators!$C$44:$C$49,0),MATCH(BN$5,Escalators!$I$43:$U$43,0))</f>
        <v>0</v>
      </c>
      <c r="BO31" s="47">
        <f>INDEX(Lab_Mat!$K$6:$N$9,MATCH($H31,Lab_Mat!$J$6:$J$9,0),MATCH($BQ$4,Lab_Mat!$K$5:$N$5,0))*$P31*INDEX(Act_Type_Repex_Splits,MATCH($I31,Act_Type_Repex,0),MATCH(BO$4,Mat_Type,0))*INDEX(Escalators!$I$44:$U$49,MATCH(BO$4,Escalators!$C$44:$C$49,0),MATCH(BO$5,Escalators!$I$43:$U$43,0))</f>
        <v>0</v>
      </c>
      <c r="BP31" s="47">
        <f>INDEX(Lab_Mat!$K$6:$N$9,MATCH($H31,Lab_Mat!$J$6:$J$9,0),MATCH($BQ$4,Lab_Mat!$K$5:$N$5,0))*$P31*INDEX(Act_Type_Repex_Splits,MATCH($I31,Act_Type_Repex,0),MATCH(BP$4,Mat_Type,0))*INDEX(Escalators!$I$44:$U$49,MATCH(BP$4,Escalators!$C$44:$C$49,0),MATCH(BP$5,Escalators!$I$43:$U$43,0))</f>
        <v>0</v>
      </c>
      <c r="BQ31" s="47">
        <f t="shared" ref="BQ31:BQ37" si="86">SUM(BL31:BP31)</f>
        <v>0</v>
      </c>
      <c r="BR31" s="47">
        <f>INDEX(Lab_Mat!$K$6:$N$9,MATCH($H31,Lab_Mat!$J$6:$J$9,0),MATCH($BW$4,Lab_Mat!$K$5:$N$5,0))*$Q31*INDEX(Act_Type_Repex_Splits,MATCH($I31,Act_Type_Repex,0),MATCH(BR$4,Mat_Type,0))*INDEX(Escalators!$I$44:$U$49,MATCH(BR$4,Escalators!$C$44:$C$49,0),MATCH(BR$5,Escalators!$I$43:$U$43,0))</f>
        <v>0</v>
      </c>
      <c r="BS31" s="47">
        <f>INDEX(Lab_Mat!$K$6:$N$9,MATCH($H31,Lab_Mat!$J$6:$J$9,0),MATCH($BW$4,Lab_Mat!$K$5:$N$5,0))*$Q31*INDEX(Act_Type_Repex_Splits,MATCH($I31,Act_Type_Repex,0),MATCH(BS$4,Mat_Type,0))*INDEX(Escalators!$I$44:$U$49,MATCH(BS$4,Escalators!$C$44:$C$49,0),MATCH(BS$5,Escalators!$I$43:$U$43,0))</f>
        <v>0</v>
      </c>
      <c r="BT31" s="47">
        <f>INDEX(Lab_Mat!$K$6:$N$9,MATCH($H31,Lab_Mat!$J$6:$J$9,0),MATCH($BW$4,Lab_Mat!$K$5:$N$5,0))*$Q31*INDEX(Act_Type_Repex_Splits,MATCH($I31,Act_Type_Repex,0),MATCH(BT$4,Mat_Type,0))*INDEX(Escalators!$I$44:$U$49,MATCH(BT$4,Escalators!$C$44:$C$49,0),MATCH(BT$5,Escalators!$I$43:$U$43,0))</f>
        <v>0</v>
      </c>
      <c r="BU31" s="47">
        <f>INDEX(Lab_Mat!$K$6:$N$9,MATCH($H31,Lab_Mat!$J$6:$J$9,0),MATCH($BW$4,Lab_Mat!$K$5:$N$5,0))*$Q31*INDEX(Act_Type_Repex_Splits,MATCH($I31,Act_Type_Repex,0),MATCH(BU$4,Mat_Type,0))*INDEX(Escalators!$I$44:$U$49,MATCH(BU$4,Escalators!$C$44:$C$49,0),MATCH(BU$5,Escalators!$I$43:$U$43,0))</f>
        <v>0</v>
      </c>
      <c r="BV31" s="47">
        <f>INDEX(Lab_Mat!$K$6:$N$9,MATCH($H31,Lab_Mat!$J$6:$J$9,0),MATCH($BW$4,Lab_Mat!$K$5:$N$5,0))*$Q31*INDEX(Act_Type_Repex_Splits,MATCH($I31,Act_Type_Repex,0),MATCH(BV$4,Mat_Type,0))*INDEX(Escalators!$I$44:$U$49,MATCH(BV$4,Escalators!$C$44:$C$49,0),MATCH(BV$5,Escalators!$I$43:$U$43,0))</f>
        <v>0</v>
      </c>
      <c r="BW31" s="47">
        <f t="shared" ref="BW31:BW37" si="87">SUM(BR31:BV31)</f>
        <v>0</v>
      </c>
      <c r="BY31" s="47">
        <f>INDEX(Lab_Mat!$K$6:$N$9,MATCH($H31,Lab_Mat!$J$6:$J$9,0),MATCH($BY$4,Lab_Mat!$K$5:$N$5,0))*J31*HLOOKUP(BY$5,Escalators!$I$25:$U$30,6,FALSE)</f>
        <v>0</v>
      </c>
      <c r="BZ31" s="47">
        <f>INDEX(Lab_Mat!$K$6:$N$9,MATCH($H31,Lab_Mat!$J$6:$J$9,0),MATCH($BY$4,Lab_Mat!$K$5:$N$5,0))*K31*HLOOKUP(BZ$5,Escalators!$I$25:$U$30,6,FALSE)</f>
        <v>0</v>
      </c>
      <c r="CA31" s="47">
        <f>INDEX(Lab_Mat!$K$6:$N$9,MATCH($H31,Lab_Mat!$J$6:$J$9,0),MATCH($BY$4,Lab_Mat!$K$5:$N$5,0))*L31*HLOOKUP(CA$5,Escalators!$I$25:$U$30,6,FALSE)</f>
        <v>0</v>
      </c>
      <c r="CB31" s="47">
        <f>INDEX(Lab_Mat!$K$6:$N$9,MATCH($H31,Lab_Mat!$J$6:$J$9,0),MATCH($BY$4,Lab_Mat!$K$5:$N$5,0))*M31*HLOOKUP(CB$5,Escalators!$I$25:$U$30,6,FALSE)</f>
        <v>-387.99703869703251</v>
      </c>
      <c r="CC31" s="47">
        <f>INDEX(Lab_Mat!$K$6:$N$9,MATCH($H31,Lab_Mat!$J$6:$J$9,0),MATCH($BY$4,Lab_Mat!$K$5:$N$5,0))*N31*HLOOKUP(CC$5,Escalators!$I$25:$U$30,6,FALSE)</f>
        <v>-193.36847445892252</v>
      </c>
      <c r="CD31" s="47">
        <f>INDEX(Lab_Mat!$K$6:$N$9,MATCH($H31,Lab_Mat!$J$6:$J$9,0),MATCH($BY$4,Lab_Mat!$K$5:$N$5,0))*O31*HLOOKUP(CD$5,Escalators!$I$25:$U$30,6,FALSE)</f>
        <v>0</v>
      </c>
      <c r="CE31" s="47">
        <f>INDEX(Lab_Mat!$K$6:$N$9,MATCH($H31,Lab_Mat!$J$6:$J$9,0),MATCH($BY$4,Lab_Mat!$K$5:$N$5,0))*P31*HLOOKUP(CE$5,Escalators!$I$25:$U$30,6,FALSE)</f>
        <v>0</v>
      </c>
      <c r="CF31" s="47">
        <f>INDEX(Lab_Mat!$K$6:$N$9,MATCH($H31,Lab_Mat!$J$6:$J$9,0),MATCH($BY$4,Lab_Mat!$K$5:$N$5,0))*Q31*HLOOKUP(CF$5,Escalators!$I$25:$U$30,6,FALSE)</f>
        <v>0</v>
      </c>
      <c r="CH31" s="82">
        <f>INDEX(Lab_Mat!$K$6:$N$9,MATCH($H31,Lab_Mat!$J$6:$J$9,0),MATCH($CH$4,Lab_Mat!$K$5:$N$5,0))*J31</f>
        <v>0</v>
      </c>
      <c r="CI31" s="82">
        <f>INDEX(Lab_Mat!$K$6:$N$9,MATCH($H31,Lab_Mat!$J$6:$J$9,0),MATCH($CH$4,Lab_Mat!$K$5:$N$5,0))*K31</f>
        <v>0</v>
      </c>
      <c r="CJ31" s="82">
        <f>INDEX(Lab_Mat!$K$6:$N$9,MATCH($H31,Lab_Mat!$J$6:$J$9,0),MATCH($CH$4,Lab_Mat!$K$5:$N$5,0))*L31</f>
        <v>0</v>
      </c>
      <c r="CK31" s="82">
        <f>INDEX(Lab_Mat!$K$6:$N$9,MATCH($H31,Lab_Mat!$J$6:$J$9,0),MATCH($CH$4,Lab_Mat!$K$5:$N$5,0))*M31</f>
        <v>-154.31972862175274</v>
      </c>
      <c r="CL31" s="82">
        <f>INDEX(Lab_Mat!$K$6:$N$9,MATCH($H31,Lab_Mat!$J$6:$J$9,0),MATCH($CH$4,Lab_Mat!$K$5:$N$5,0))*N31</f>
        <v>-76.90927385093849</v>
      </c>
      <c r="CM31" s="82">
        <f>INDEX(Lab_Mat!$K$6:$N$9,MATCH($H31,Lab_Mat!$J$6:$J$9,0),MATCH($CH$4,Lab_Mat!$K$5:$N$5,0))*O31</f>
        <v>0</v>
      </c>
      <c r="CN31" s="82">
        <f>INDEX(Lab_Mat!$K$6:$N$9,MATCH($H31,Lab_Mat!$J$6:$J$9,0),MATCH($CH$4,Lab_Mat!$K$5:$N$5,0))*P31</f>
        <v>0</v>
      </c>
      <c r="CO31" s="82">
        <f>INDEX(Lab_Mat!$K$6:$N$9,MATCH($H31,Lab_Mat!$J$6:$J$9,0),MATCH($CH$4,Lab_Mat!$K$5:$N$5,0))*Q31</f>
        <v>0</v>
      </c>
      <c r="CQ31" s="47">
        <f t="shared" ref="CQ31:CQ32" si="88">S31+AG31+BY31+CH31</f>
        <v>0</v>
      </c>
      <c r="CR31" s="47">
        <f t="shared" ref="CR31:CR32" si="89">T31+AM31+BZ31+CI31</f>
        <v>0</v>
      </c>
      <c r="CS31" s="47">
        <f t="shared" ref="CS31:CS32" si="90">U31+AS31+CA31+CJ31</f>
        <v>0</v>
      </c>
      <c r="CT31" s="47">
        <f t="shared" ref="CT31:CT32" si="91">V31+AY31+CB31+CK31</f>
        <v>-1985.8874211100419</v>
      </c>
      <c r="CU31" s="47">
        <f t="shared" ref="CU31:CU32" si="92">W31+BE31+CC31+CL31</f>
        <v>-990.64584598793317</v>
      </c>
      <c r="CV31" s="47">
        <f t="shared" ref="CV31:CV32" si="93">X31+BK31+CD31+CM31</f>
        <v>0</v>
      </c>
      <c r="CW31" s="47">
        <f t="shared" ref="CW31:CW32" si="94">Y31+BQ31+CE31+CN31</f>
        <v>0</v>
      </c>
      <c r="CX31" s="47">
        <f t="shared" ref="CX31:CX32" si="95">Z31+BW31+CF31+CO31</f>
        <v>0</v>
      </c>
    </row>
    <row r="32" spans="2:109">
      <c r="B32" s="6"/>
      <c r="C32" s="6" t="s">
        <v>409</v>
      </c>
      <c r="D32" s="744" t="s">
        <v>830</v>
      </c>
      <c r="E32" s="6" t="s">
        <v>45</v>
      </c>
      <c r="F32" s="6" t="s">
        <v>55</v>
      </c>
      <c r="G32" s="6" t="s">
        <v>10</v>
      </c>
      <c r="H32" s="6" t="s">
        <v>555</v>
      </c>
      <c r="I32" s="6" t="s">
        <v>186</v>
      </c>
      <c r="J32" s="47"/>
      <c r="K32" s="47"/>
      <c r="L32" s="47"/>
      <c r="M32" s="750">
        <f t="shared" ref="M32:N32" si="96">M24/(M$50-M$29)*-(M$56-M$29)</f>
        <v>-741.14911719098052</v>
      </c>
      <c r="N32" s="750">
        <f t="shared" si="96"/>
        <v>-533.55941470850325</v>
      </c>
      <c r="O32" s="47"/>
      <c r="P32" s="47"/>
      <c r="Q32" s="47"/>
      <c r="S32" s="47">
        <f>INDEX(Lab_Mat!$K$6:$N$9,MATCH($H32,Lab_Mat!$J$6:$J$9,0),MATCH($S$4,Lab_Mat!$K$5:$N$5,0))*J32*HLOOKUP(S$5,Escalators!$I$25:$U$30,3,FALSE)</f>
        <v>0</v>
      </c>
      <c r="T32" s="47">
        <f>INDEX(Lab_Mat!$K$6:$N$9,MATCH($H32,Lab_Mat!$J$6:$J$9,0),MATCH($S$4,Lab_Mat!$K$5:$N$5,0))*K32*HLOOKUP(T$5,Escalators!$I$25:$U$30,3,FALSE)</f>
        <v>0</v>
      </c>
      <c r="U32" s="47">
        <f>INDEX(Lab_Mat!$K$6:$N$9,MATCH($H32,Lab_Mat!$J$6:$J$9,0),MATCH($S$4,Lab_Mat!$K$5:$N$5,0))*L32*HLOOKUP(U$5,Escalators!$I$25:$U$30,3,FALSE)</f>
        <v>0</v>
      </c>
      <c r="V32" s="47">
        <f>INDEX(Lab_Mat!$K$6:$N$9,MATCH($H32,Lab_Mat!$J$6:$J$9,0),MATCH($S$4,Lab_Mat!$K$5:$N$5,0))*M32*HLOOKUP(V$5,Escalators!$I$25:$U$30,3,FALSE)</f>
        <v>-122.20260947366607</v>
      </c>
      <c r="W32" s="47">
        <f>INDEX(Lab_Mat!$K$6:$N$9,MATCH($H32,Lab_Mat!$J$6:$J$9,0),MATCH($S$4,Lab_Mat!$K$5:$N$5,0))*N32*HLOOKUP(W$5,Escalators!$I$25:$U$30,3,FALSE)</f>
        <v>-88.411108089992538</v>
      </c>
      <c r="X32" s="47">
        <f>INDEX(Lab_Mat!$K$6:$N$9,MATCH($H32,Lab_Mat!$J$6:$J$9,0),MATCH($S$4,Lab_Mat!$K$5:$N$5,0))*O32*HLOOKUP(X$5,Escalators!$I$25:$U$30,3,FALSE)</f>
        <v>0</v>
      </c>
      <c r="Y32" s="47">
        <f>INDEX(Lab_Mat!$K$6:$N$9,MATCH($H32,Lab_Mat!$J$6:$J$9,0),MATCH($S$4,Lab_Mat!$K$5:$N$5,0))*P32*HLOOKUP(Y$5,Escalators!$I$25:$U$30,3,FALSE)</f>
        <v>0</v>
      </c>
      <c r="Z32" s="47">
        <f>INDEX(Lab_Mat!$K$6:$N$9,MATCH($H32,Lab_Mat!$J$6:$J$9,0),MATCH($S$4,Lab_Mat!$K$5:$N$5,0))*Q32*HLOOKUP(Z$5,Escalators!$I$25:$U$30,3,FALSE)</f>
        <v>0</v>
      </c>
      <c r="AB32" s="47">
        <f>INDEX(Lab_Mat!$K$6:$N$9,MATCH($H32,Lab_Mat!$J$6:$J$9,0),MATCH($AG$4,Lab_Mat!$K$5:$N$5,0))*$J32*INDEX(Act_Type_Repex_Splits,MATCH($I32,Act_Type_Repex,0),MATCH(AB$4,Mat_Type,0))*INDEX(Escalators!$I$44:$Q$49,MATCH(AB$4,Escalators!$C$44:$C$49,0),MATCH(AB$5,Escalators!$I$43:$Q$43,0))</f>
        <v>0</v>
      </c>
      <c r="AC32" s="47">
        <f>INDEX(Lab_Mat!$K$6:$N$9,MATCH($H32,Lab_Mat!$J$6:$J$9,0),MATCH($AG$4,Lab_Mat!$K$5:$N$5,0))*$J32*INDEX(Act_Type_Repex_Splits,MATCH($I32,Act_Type_Repex,0),MATCH(AC$4,Mat_Type,0))*INDEX(Escalators!$I$44:$Q$49,MATCH(AC$4,Escalators!$C$44:$C$49,0),MATCH(AC$5,Escalators!$I$43:$Q$43,0))</f>
        <v>0</v>
      </c>
      <c r="AD32" s="47">
        <f>INDEX(Lab_Mat!$K$6:$N$9,MATCH($H32,Lab_Mat!$J$6:$J$9,0),MATCH($AG$4,Lab_Mat!$K$5:$N$5,0))*$J32*INDEX(Act_Type_Repex_Splits,MATCH($I32,Act_Type_Repex,0),MATCH(AD$4,Mat_Type,0))*INDEX(Escalators!$I$44:$Q$49,MATCH(AD$4,Escalators!$C$44:$C$49,0),MATCH(AD$5,Escalators!$I$43:$Q$43,0))</f>
        <v>0</v>
      </c>
      <c r="AE32" s="47">
        <f>INDEX(Lab_Mat!$K$6:$N$9,MATCH($H32,Lab_Mat!$J$6:$J$9,0),MATCH($AG$4,Lab_Mat!$K$5:$N$5,0))*$J32*INDEX(Act_Type_Repex_Splits,MATCH($I32,Act_Type_Repex,0),MATCH(AE$4,Mat_Type,0))*INDEX(Escalators!$I$44:$Q$49,MATCH(AE$4,Escalators!$C$44:$C$49,0),MATCH(AE$5,Escalators!$I$43:$Q$43,0))</f>
        <v>0</v>
      </c>
      <c r="AF32" s="47">
        <f>INDEX(Lab_Mat!$K$6:$N$9,MATCH($H32,Lab_Mat!$J$6:$J$9,0),MATCH($AG$4,Lab_Mat!$K$5:$N$5,0))*$J32*INDEX(Act_Type_Repex_Splits,MATCH($I32,Act_Type_Repex,0),MATCH(AF$4,Mat_Type,0))*INDEX(Escalators!$I$44:$Q$49,MATCH(AF$4,Escalators!$C$44:$C$49,0),MATCH(AF$5,Escalators!$I$43:$Q$43,0))</f>
        <v>0</v>
      </c>
      <c r="AG32" s="47">
        <f t="shared" si="80"/>
        <v>0</v>
      </c>
      <c r="AH32" s="47">
        <f>INDEX(Lab_Mat!$K$6:$N$9,MATCH($H32,Lab_Mat!$J$6:$J$9,0),MATCH($AY$4,Lab_Mat!$K$5:$N$5,0))*$K32*INDEX(Act_Type_Repex_Splits,MATCH($I32,Act_Type_Repex,0),MATCH(AH$4,Mat_Type,0))*INDEX(Escalators!$I$44:$U$49,MATCH(AH$4,Escalators!$C$44:$C$49,0),MATCH(AH$5,Escalators!$I$43:$U$43,0))</f>
        <v>0</v>
      </c>
      <c r="AI32" s="47">
        <f>INDEX(Lab_Mat!$K$6:$N$9,MATCH($H32,Lab_Mat!$J$6:$J$9,0),MATCH($AY$4,Lab_Mat!$K$5:$N$5,0))*$K32*INDEX(Act_Type_Repex_Splits,MATCH($I32,Act_Type_Repex,0),MATCH(AI$4,Mat_Type,0))*INDEX(Escalators!$I$44:$U$49,MATCH(AI$4,Escalators!$C$44:$C$49,0),MATCH(AI$5,Escalators!$I$43:$U$43,0))</f>
        <v>0</v>
      </c>
      <c r="AJ32" s="47">
        <f>INDEX(Lab_Mat!$K$6:$N$9,MATCH($H32,Lab_Mat!$J$6:$J$9,0),MATCH($AY$4,Lab_Mat!$K$5:$N$5,0))*$K32*INDEX(Act_Type_Repex_Splits,MATCH($I32,Act_Type_Repex,0),MATCH(AJ$4,Mat_Type,0))*INDEX(Escalators!$I$44:$U$49,MATCH(AJ$4,Escalators!$C$44:$C$49,0),MATCH(AJ$5,Escalators!$I$43:$U$43,0))</f>
        <v>0</v>
      </c>
      <c r="AK32" s="47">
        <f>INDEX(Lab_Mat!$K$6:$N$9,MATCH($H32,Lab_Mat!$J$6:$J$9,0),MATCH($AY$4,Lab_Mat!$K$5:$N$5,0))*$K32*INDEX(Act_Type_Repex_Splits,MATCH($I32,Act_Type_Repex,0),MATCH(AK$4,Mat_Type,0))*INDEX(Escalators!$I$44:$U$49,MATCH(AK$4,Escalators!$C$44:$C$49,0),MATCH(AK$5,Escalators!$I$43:$U$43,0))</f>
        <v>0</v>
      </c>
      <c r="AL32" s="47">
        <f>INDEX(Lab_Mat!$K$6:$N$9,MATCH($H32,Lab_Mat!$J$6:$J$9,0),MATCH($AY$4,Lab_Mat!$K$5:$N$5,0))*$K32*INDEX(Act_Type_Repex_Splits,MATCH($I32,Act_Type_Repex,0),MATCH(AL$4,Mat_Type,0))*INDEX(Escalators!$I$44:$U$49,MATCH(AL$4,Escalators!$C$44:$C$49,0),MATCH(AL$5,Escalators!$I$43:$U$43,0))</f>
        <v>0</v>
      </c>
      <c r="AM32" s="47">
        <f t="shared" si="81"/>
        <v>0</v>
      </c>
      <c r="AN32" s="47">
        <f>INDEX(Lab_Mat!$K$6:$N$9,MATCH($H32,Lab_Mat!$J$6:$J$9,0),MATCH($AY$4,Lab_Mat!$K$5:$N$5,0))*$L32*INDEX(Act_Type_Repex_Splits,MATCH($I32,Act_Type_Repex,0),MATCH(AN$4,Mat_Type,0))*INDEX(Escalators!$I$44:$U$49,MATCH(AN$4,Escalators!$C$44:$C$49,0),MATCH(AN$5,Escalators!$I$43:$U$43,0))</f>
        <v>0</v>
      </c>
      <c r="AO32" s="47">
        <f>INDEX(Lab_Mat!$K$6:$N$9,MATCH($H32,Lab_Mat!$J$6:$J$9,0),MATCH($AY$4,Lab_Mat!$K$5:$N$5,0))*$L32*INDEX(Act_Type_Repex_Splits,MATCH($I32,Act_Type_Repex,0),MATCH(AO$4,Mat_Type,0))*INDEX(Escalators!$I$44:$U$49,MATCH(AO$4,Escalators!$C$44:$C$49,0),MATCH(AO$5,Escalators!$I$43:$U$43,0))</f>
        <v>0</v>
      </c>
      <c r="AP32" s="47">
        <f>INDEX(Lab_Mat!$K$6:$N$9,MATCH($H32,Lab_Mat!$J$6:$J$9,0),MATCH($AY$4,Lab_Mat!$K$5:$N$5,0))*$L32*INDEX(Act_Type_Repex_Splits,MATCH($I32,Act_Type_Repex,0),MATCH(AP$4,Mat_Type,0))*INDEX(Escalators!$I$44:$U$49,MATCH(AP$4,Escalators!$C$44:$C$49,0),MATCH(AP$5,Escalators!$I$43:$U$43,0))</f>
        <v>0</v>
      </c>
      <c r="AQ32" s="47">
        <f>INDEX(Lab_Mat!$K$6:$N$9,MATCH($H32,Lab_Mat!$J$6:$J$9,0),MATCH($AY$4,Lab_Mat!$K$5:$N$5,0))*$L32*INDEX(Act_Type_Repex_Splits,MATCH($I32,Act_Type_Repex,0),MATCH(AQ$4,Mat_Type,0))*INDEX(Escalators!$I$44:$U$49,MATCH(AQ$4,Escalators!$C$44:$C$49,0),MATCH(AQ$5,Escalators!$I$43:$U$43,0))</f>
        <v>0</v>
      </c>
      <c r="AR32" s="47">
        <f>INDEX(Lab_Mat!$K$6:$N$9,MATCH($H32,Lab_Mat!$J$6:$J$9,0),MATCH($AY$4,Lab_Mat!$K$5:$N$5,0))*$L32*INDEX(Act_Type_Repex_Splits,MATCH($I32,Act_Type_Repex,0),MATCH(AR$4,Mat_Type,0))*INDEX(Escalators!$I$44:$U$49,MATCH(AR$4,Escalators!$C$44:$C$49,0),MATCH(AR$5,Escalators!$I$43:$U$43,0))</f>
        <v>0</v>
      </c>
      <c r="AS32" s="47">
        <f t="shared" si="82"/>
        <v>0</v>
      </c>
      <c r="AT32" s="47">
        <f>INDEX(Lab_Mat!$K$6:$N$9,MATCH($H32,Lab_Mat!$J$6:$J$9,0),MATCH($AY$4,Lab_Mat!$K$5:$N$5,0))*$M32*INDEX(Act_Type_Repex_Splits,MATCH($I32,Act_Type_Repex,0),MATCH(AT$4,Mat_Type,0))*INDEX(Escalators!$I$44:$U$49,MATCH(AT$4,Escalators!$C$44:$C$49,0),MATCH(AT$5,Escalators!$I$43:$U$43,0))</f>
        <v>0</v>
      </c>
      <c r="AU32" s="47">
        <f>INDEX(Lab_Mat!$K$6:$N$9,MATCH($H32,Lab_Mat!$J$6:$J$9,0),MATCH($AY$4,Lab_Mat!$K$5:$N$5,0))*$M32*INDEX(Act_Type_Repex_Splits,MATCH($I32,Act_Type_Repex,0),MATCH(AU$4,Mat_Type,0))*INDEX(Escalators!$I$44:$U$49,MATCH(AU$4,Escalators!$C$44:$C$49,0),MATCH(AU$5,Escalators!$I$43:$U$43,0))</f>
        <v>-74.058939931559294</v>
      </c>
      <c r="AV32" s="47">
        <f>INDEX(Lab_Mat!$K$6:$N$9,MATCH($H32,Lab_Mat!$J$6:$J$9,0),MATCH($AY$4,Lab_Mat!$K$5:$N$5,0))*$M32*INDEX(Act_Type_Repex_Splits,MATCH($I32,Act_Type_Repex,0),MATCH(AV$4,Mat_Type,0))*INDEX(Escalators!$I$44:$U$49,MATCH(AV$4,Escalators!$C$44:$C$49,0),MATCH(AV$5,Escalators!$I$43:$U$43,0))</f>
        <v>-148.11787986311859</v>
      </c>
      <c r="AW32" s="47">
        <f>INDEX(Lab_Mat!$K$6:$N$9,MATCH($H32,Lab_Mat!$J$6:$J$9,0),MATCH($AY$4,Lab_Mat!$K$5:$N$5,0))*$M32*INDEX(Act_Type_Repex_Splits,MATCH($I32,Act_Type_Repex,0),MATCH(AW$4,Mat_Type,0))*INDEX(Escalators!$I$44:$U$49,MATCH(AW$4,Escalators!$C$44:$C$49,0),MATCH(AW$5,Escalators!$I$43:$U$43,0))</f>
        <v>-24.686313310519765</v>
      </c>
      <c r="AX32" s="47">
        <f>INDEX(Lab_Mat!$K$6:$N$9,MATCH($H32,Lab_Mat!$J$6:$J$9,0),MATCH($AY$4,Lab_Mat!$K$5:$N$5,0))*$M32*INDEX(Act_Type_Repex_Splits,MATCH($I32,Act_Type_Repex,0),MATCH(AX$4,Mat_Type,0))*INDEX(Escalators!$I$44:$U$49,MATCH(AX$4,Escalators!$C$44:$C$49,0),MATCH(AX$5,Escalators!$I$43:$U$43,0))</f>
        <v>0</v>
      </c>
      <c r="AY32" s="47">
        <f t="shared" si="83"/>
        <v>-246.86313310519768</v>
      </c>
      <c r="AZ32" s="47">
        <f>INDEX(Lab_Mat!$K$6:$N$9,MATCH($H32,Lab_Mat!$J$6:$J$9,0),MATCH($BE$4,Lab_Mat!$K$5:$N$5,0))*$N32*INDEX(Act_Type_Repex_Splits,MATCH($I32,Act_Type_Repex,0),MATCH(AZ$4,Mat_Type,0))*INDEX(Escalators!$I$44:$U$49,MATCH(AZ$4,Escalators!$C$44:$C$49,0),MATCH(AZ$5,Escalators!$I$43:$U$43,0))</f>
        <v>0</v>
      </c>
      <c r="BA32" s="47">
        <f>INDEX(Lab_Mat!$K$6:$N$9,MATCH($H32,Lab_Mat!$J$6:$J$9,0),MATCH($BE$4,Lab_Mat!$K$5:$N$5,0))*$N32*INDEX(Act_Type_Repex_Splits,MATCH($I32,Act_Type_Repex,0),MATCH(BA$4,Mat_Type,0))*INDEX(Escalators!$I$44:$U$49,MATCH(BA$4,Escalators!$C$44:$C$49,0),MATCH(BA$5,Escalators!$I$43:$U$43,0))</f>
        <v>-53.315646915400329</v>
      </c>
      <c r="BB32" s="47">
        <f>INDEX(Lab_Mat!$K$6:$N$9,MATCH($H32,Lab_Mat!$J$6:$J$9,0),MATCH($BE$4,Lab_Mat!$K$5:$N$5,0))*$N32*INDEX(Act_Type_Repex_Splits,MATCH($I32,Act_Type_Repex,0),MATCH(BB$4,Mat_Type,0))*INDEX(Escalators!$I$44:$U$49,MATCH(BB$4,Escalators!$C$44:$C$49,0),MATCH(BB$5,Escalators!$I$43:$U$43,0))</f>
        <v>-106.63129383080066</v>
      </c>
      <c r="BC32" s="47">
        <f>INDEX(Lab_Mat!$K$6:$N$9,MATCH($H32,Lab_Mat!$J$6:$J$9,0),MATCH($BE$4,Lab_Mat!$K$5:$N$5,0))*$N32*INDEX(Act_Type_Repex_Splits,MATCH($I32,Act_Type_Repex,0),MATCH(BC$4,Mat_Type,0))*INDEX(Escalators!$I$44:$U$49,MATCH(BC$4,Escalators!$C$44:$C$49,0),MATCH(BC$5,Escalators!$I$43:$U$43,0))</f>
        <v>-17.771882305133442</v>
      </c>
      <c r="BD32" s="47">
        <f>INDEX(Lab_Mat!$K$6:$N$9,MATCH($H32,Lab_Mat!$J$6:$J$9,0),MATCH($BE$4,Lab_Mat!$K$5:$N$5,0))*$N32*INDEX(Act_Type_Repex_Splits,MATCH($I32,Act_Type_Repex,0),MATCH(BD$4,Mat_Type,0))*INDEX(Escalators!$I$44:$U$49,MATCH(BD$4,Escalators!$C$44:$C$49,0),MATCH(BD$5,Escalators!$I$43:$U$43,0))</f>
        <v>0</v>
      </c>
      <c r="BE32" s="47">
        <f t="shared" si="84"/>
        <v>-177.71882305133443</v>
      </c>
      <c r="BF32" s="47">
        <f>INDEX(Lab_Mat!$K$6:$N$9,MATCH($H32,Lab_Mat!$J$6:$J$9,0),MATCH($BK$4,Lab_Mat!$K$5:$N$5,0))*$O32*INDEX(Act_Type_Repex_Splits,MATCH($I32,Act_Type_Repex,0),MATCH(BF$4,Mat_Type,0))*INDEX(Escalators!$I$44:$U$49,MATCH(BF$4,Escalators!$C$44:$C$49,0),MATCH(BF$5,Escalators!$I$43:$U$43,0))</f>
        <v>0</v>
      </c>
      <c r="BG32" s="47">
        <f>INDEX(Lab_Mat!$K$6:$N$9,MATCH($H32,Lab_Mat!$J$6:$J$9,0),MATCH($BK$4,Lab_Mat!$K$5:$N$5,0))*$O32*INDEX(Act_Type_Repex_Splits,MATCH($I32,Act_Type_Repex,0),MATCH(BG$4,Mat_Type,0))*INDEX(Escalators!$I$44:$U$49,MATCH(BG$4,Escalators!$C$44:$C$49,0),MATCH(BG$5,Escalators!$I$43:$U$43,0))</f>
        <v>0</v>
      </c>
      <c r="BH32" s="47">
        <f>INDEX(Lab_Mat!$K$6:$N$9,MATCH($H32,Lab_Mat!$J$6:$J$9,0),MATCH($BK$4,Lab_Mat!$K$5:$N$5,0))*$O32*INDEX(Act_Type_Repex_Splits,MATCH($I32,Act_Type_Repex,0),MATCH(BH$4,Mat_Type,0))*INDEX(Escalators!$I$44:$U$49,MATCH(BH$4,Escalators!$C$44:$C$49,0),MATCH(BH$5,Escalators!$I$43:$U$43,0))</f>
        <v>0</v>
      </c>
      <c r="BI32" s="47">
        <f>INDEX(Lab_Mat!$K$6:$N$9,MATCH($H32,Lab_Mat!$J$6:$J$9,0),MATCH($BK$4,Lab_Mat!$K$5:$N$5,0))*$O32*INDEX(Act_Type_Repex_Splits,MATCH($I32,Act_Type_Repex,0),MATCH(BI$4,Mat_Type,0))*INDEX(Escalators!$I$44:$U$49,MATCH(BI$4,Escalators!$C$44:$C$49,0),MATCH(BI$5,Escalators!$I$43:$U$43,0))</f>
        <v>0</v>
      </c>
      <c r="BJ32" s="47">
        <f>INDEX(Lab_Mat!$K$6:$N$9,MATCH($H32,Lab_Mat!$J$6:$J$9,0),MATCH($BK$4,Lab_Mat!$K$5:$N$5,0))*$O32*INDEX(Act_Type_Repex_Splits,MATCH($I32,Act_Type_Repex,0),MATCH(BJ$4,Mat_Type,0))*INDEX(Escalators!$I$44:$U$49,MATCH(BJ$4,Escalators!$C$44:$C$49,0),MATCH(BJ$5,Escalators!$I$43:$U$43,0))</f>
        <v>0</v>
      </c>
      <c r="BK32" s="47">
        <f t="shared" si="85"/>
        <v>0</v>
      </c>
      <c r="BL32" s="47">
        <f>INDEX(Lab_Mat!$K$6:$N$9,MATCH($H32,Lab_Mat!$J$6:$J$9,0),MATCH($BQ$4,Lab_Mat!$K$5:$N$5,0))*$P32*INDEX(Act_Type_Repex_Splits,MATCH($I32,Act_Type_Repex,0),MATCH(BL$4,Mat_Type,0))*INDEX(Escalators!$I$44:$U$49,MATCH(BL$4,Escalators!$C$44:$C$49,0),MATCH(BL$5,Escalators!$I$43:$U$43,0))</f>
        <v>0</v>
      </c>
      <c r="BM32" s="47">
        <f>INDEX(Lab_Mat!$K$6:$N$9,MATCH($H32,Lab_Mat!$J$6:$J$9,0),MATCH($BQ$4,Lab_Mat!$K$5:$N$5,0))*$P32*INDEX(Act_Type_Repex_Splits,MATCH($I32,Act_Type_Repex,0),MATCH(BM$4,Mat_Type,0))*INDEX(Escalators!$I$44:$U$49,MATCH(BM$4,Escalators!$C$44:$C$49,0),MATCH(BM$5,Escalators!$I$43:$U$43,0))</f>
        <v>0</v>
      </c>
      <c r="BN32" s="47">
        <f>INDEX(Lab_Mat!$K$6:$N$9,MATCH($H32,Lab_Mat!$J$6:$J$9,0),MATCH($BQ$4,Lab_Mat!$K$5:$N$5,0))*$P32*INDEX(Act_Type_Repex_Splits,MATCH($I32,Act_Type_Repex,0),MATCH(BN$4,Mat_Type,0))*INDEX(Escalators!$I$44:$U$49,MATCH(BN$4,Escalators!$C$44:$C$49,0),MATCH(BN$5,Escalators!$I$43:$U$43,0))</f>
        <v>0</v>
      </c>
      <c r="BO32" s="47">
        <f>INDEX(Lab_Mat!$K$6:$N$9,MATCH($H32,Lab_Mat!$J$6:$J$9,0),MATCH($BQ$4,Lab_Mat!$K$5:$N$5,0))*$P32*INDEX(Act_Type_Repex_Splits,MATCH($I32,Act_Type_Repex,0),MATCH(BO$4,Mat_Type,0))*INDEX(Escalators!$I$44:$U$49,MATCH(BO$4,Escalators!$C$44:$C$49,0),MATCH(BO$5,Escalators!$I$43:$U$43,0))</f>
        <v>0</v>
      </c>
      <c r="BP32" s="47">
        <f>INDEX(Lab_Mat!$K$6:$N$9,MATCH($H32,Lab_Mat!$J$6:$J$9,0),MATCH($BQ$4,Lab_Mat!$K$5:$N$5,0))*$P32*INDEX(Act_Type_Repex_Splits,MATCH($I32,Act_Type_Repex,0),MATCH(BP$4,Mat_Type,0))*INDEX(Escalators!$I$44:$U$49,MATCH(BP$4,Escalators!$C$44:$C$49,0),MATCH(BP$5,Escalators!$I$43:$U$43,0))</f>
        <v>0</v>
      </c>
      <c r="BQ32" s="47">
        <f t="shared" si="86"/>
        <v>0</v>
      </c>
      <c r="BR32" s="47">
        <f>INDEX(Lab_Mat!$K$6:$N$9,MATCH($H32,Lab_Mat!$J$6:$J$9,0),MATCH($BW$4,Lab_Mat!$K$5:$N$5,0))*$Q32*INDEX(Act_Type_Repex_Splits,MATCH($I32,Act_Type_Repex,0),MATCH(BR$4,Mat_Type,0))*INDEX(Escalators!$I$44:$U$49,MATCH(BR$4,Escalators!$C$44:$C$49,0),MATCH(BR$5,Escalators!$I$43:$U$43,0))</f>
        <v>0</v>
      </c>
      <c r="BS32" s="47">
        <f>INDEX(Lab_Mat!$K$6:$N$9,MATCH($H32,Lab_Mat!$J$6:$J$9,0),MATCH($BW$4,Lab_Mat!$K$5:$N$5,0))*$Q32*INDEX(Act_Type_Repex_Splits,MATCH($I32,Act_Type_Repex,0),MATCH(BS$4,Mat_Type,0))*INDEX(Escalators!$I$44:$U$49,MATCH(BS$4,Escalators!$C$44:$C$49,0),MATCH(BS$5,Escalators!$I$43:$U$43,0))</f>
        <v>0</v>
      </c>
      <c r="BT32" s="47">
        <f>INDEX(Lab_Mat!$K$6:$N$9,MATCH($H32,Lab_Mat!$J$6:$J$9,0),MATCH($BW$4,Lab_Mat!$K$5:$N$5,0))*$Q32*INDEX(Act_Type_Repex_Splits,MATCH($I32,Act_Type_Repex,0),MATCH(BT$4,Mat_Type,0))*INDEX(Escalators!$I$44:$U$49,MATCH(BT$4,Escalators!$C$44:$C$49,0),MATCH(BT$5,Escalators!$I$43:$U$43,0))</f>
        <v>0</v>
      </c>
      <c r="BU32" s="47">
        <f>INDEX(Lab_Mat!$K$6:$N$9,MATCH($H32,Lab_Mat!$J$6:$J$9,0),MATCH($BW$4,Lab_Mat!$K$5:$N$5,0))*$Q32*INDEX(Act_Type_Repex_Splits,MATCH($I32,Act_Type_Repex,0),MATCH(BU$4,Mat_Type,0))*INDEX(Escalators!$I$44:$U$49,MATCH(BU$4,Escalators!$C$44:$C$49,0),MATCH(BU$5,Escalators!$I$43:$U$43,0))</f>
        <v>0</v>
      </c>
      <c r="BV32" s="47">
        <f>INDEX(Lab_Mat!$K$6:$N$9,MATCH($H32,Lab_Mat!$J$6:$J$9,0),MATCH($BW$4,Lab_Mat!$K$5:$N$5,0))*$Q32*INDEX(Act_Type_Repex_Splits,MATCH($I32,Act_Type_Repex,0),MATCH(BV$4,Mat_Type,0))*INDEX(Escalators!$I$44:$U$49,MATCH(BV$4,Escalators!$C$44:$C$49,0),MATCH(BV$5,Escalators!$I$43:$U$43,0))</f>
        <v>0</v>
      </c>
      <c r="BW32" s="47">
        <f t="shared" si="87"/>
        <v>0</v>
      </c>
      <c r="BY32" s="47">
        <f>INDEX(Lab_Mat!$K$6:$N$9,MATCH($H32,Lab_Mat!$J$6:$J$9,0),MATCH($BY$4,Lab_Mat!$K$5:$N$5,0))*J32*HLOOKUP(BY$5,Escalators!$I$25:$U$30,6,FALSE)</f>
        <v>0</v>
      </c>
      <c r="BZ32" s="47">
        <f>INDEX(Lab_Mat!$K$6:$N$9,MATCH($H32,Lab_Mat!$J$6:$J$9,0),MATCH($BY$4,Lab_Mat!$K$5:$N$5,0))*K32*HLOOKUP(BZ$5,Escalators!$I$25:$U$30,6,FALSE)</f>
        <v>0</v>
      </c>
      <c r="CA32" s="47">
        <f>INDEX(Lab_Mat!$K$6:$N$9,MATCH($H32,Lab_Mat!$J$6:$J$9,0),MATCH($BY$4,Lab_Mat!$K$5:$N$5,0))*L32*HLOOKUP(CA$5,Escalators!$I$25:$U$30,6,FALSE)</f>
        <v>0</v>
      </c>
      <c r="CB32" s="47">
        <f>INDEX(Lab_Mat!$K$6:$N$9,MATCH($H32,Lab_Mat!$J$6:$J$9,0),MATCH($BY$4,Lab_Mat!$K$5:$N$5,0))*M32*HLOOKUP(CB$5,Escalators!$I$25:$U$30,6,FALSE)</f>
        <v>-279.82929934082051</v>
      </c>
      <c r="CC32" s="47">
        <f>INDEX(Lab_Mat!$K$6:$N$9,MATCH($H32,Lab_Mat!$J$6:$J$9,0),MATCH($BY$4,Lab_Mat!$K$5:$N$5,0))*N32*HLOOKUP(CC$5,Escalators!$I$25:$U$30,6,FALSE)</f>
        <v>-201.45144035313675</v>
      </c>
      <c r="CD32" s="47">
        <f>INDEX(Lab_Mat!$K$6:$N$9,MATCH($H32,Lab_Mat!$J$6:$J$9,0),MATCH($BY$4,Lab_Mat!$K$5:$N$5,0))*O32*HLOOKUP(CD$5,Escalators!$I$25:$U$30,6,FALSE)</f>
        <v>0</v>
      </c>
      <c r="CE32" s="47">
        <f>INDEX(Lab_Mat!$K$6:$N$9,MATCH($H32,Lab_Mat!$J$6:$J$9,0),MATCH($BY$4,Lab_Mat!$K$5:$N$5,0))*P32*HLOOKUP(CE$5,Escalators!$I$25:$U$30,6,FALSE)</f>
        <v>0</v>
      </c>
      <c r="CF32" s="47">
        <f>INDEX(Lab_Mat!$K$6:$N$9,MATCH($H32,Lab_Mat!$J$6:$J$9,0),MATCH($BY$4,Lab_Mat!$K$5:$N$5,0))*Q32*HLOOKUP(CF$5,Escalators!$I$25:$U$30,6,FALSE)</f>
        <v>0</v>
      </c>
      <c r="CH32" s="82">
        <f>INDEX(Lab_Mat!$K$6:$N$9,MATCH($H32,Lab_Mat!$J$6:$J$9,0),MATCH($CH$4,Lab_Mat!$K$5:$N$5,0))*J32</f>
        <v>0</v>
      </c>
      <c r="CI32" s="82">
        <f>INDEX(Lab_Mat!$K$6:$N$9,MATCH($H32,Lab_Mat!$J$6:$J$9,0),MATCH($CH$4,Lab_Mat!$K$5:$N$5,0))*K32</f>
        <v>0</v>
      </c>
      <c r="CJ32" s="82">
        <f>INDEX(Lab_Mat!$K$6:$N$9,MATCH($H32,Lab_Mat!$J$6:$J$9,0),MATCH($CH$4,Lab_Mat!$K$5:$N$5,0))*L32</f>
        <v>0</v>
      </c>
      <c r="CK32" s="82">
        <f>INDEX(Lab_Mat!$K$6:$N$9,MATCH($H32,Lab_Mat!$J$6:$J$9,0),MATCH($CH$4,Lab_Mat!$K$5:$N$5,0))*M32</f>
        <v>-96.123497257461679</v>
      </c>
      <c r="CL32" s="82">
        <f>INDEX(Lab_Mat!$K$6:$N$9,MATCH($H32,Lab_Mat!$J$6:$J$9,0),MATCH($CH$4,Lab_Mat!$K$5:$N$5,0))*N32</f>
        <v>-69.200105278152549</v>
      </c>
      <c r="CM32" s="82">
        <f>INDEX(Lab_Mat!$K$6:$N$9,MATCH($H32,Lab_Mat!$J$6:$J$9,0),MATCH($CH$4,Lab_Mat!$K$5:$N$5,0))*O32</f>
        <v>0</v>
      </c>
      <c r="CN32" s="82">
        <f>INDEX(Lab_Mat!$K$6:$N$9,MATCH($H32,Lab_Mat!$J$6:$J$9,0),MATCH($CH$4,Lab_Mat!$K$5:$N$5,0))*P32</f>
        <v>0</v>
      </c>
      <c r="CO32" s="82">
        <f>INDEX(Lab_Mat!$K$6:$N$9,MATCH($H32,Lab_Mat!$J$6:$J$9,0),MATCH($CH$4,Lab_Mat!$K$5:$N$5,0))*Q32</f>
        <v>0</v>
      </c>
      <c r="CQ32" s="47">
        <f t="shared" si="88"/>
        <v>0</v>
      </c>
      <c r="CR32" s="47">
        <f t="shared" si="89"/>
        <v>0</v>
      </c>
      <c r="CS32" s="47">
        <f t="shared" si="90"/>
        <v>0</v>
      </c>
      <c r="CT32" s="47">
        <f t="shared" si="91"/>
        <v>-745.01853917714584</v>
      </c>
      <c r="CU32" s="47">
        <f t="shared" si="92"/>
        <v>-536.78147677261632</v>
      </c>
      <c r="CV32" s="47">
        <f t="shared" si="93"/>
        <v>0</v>
      </c>
      <c r="CW32" s="47">
        <f t="shared" si="94"/>
        <v>0</v>
      </c>
      <c r="CX32" s="47">
        <f t="shared" si="95"/>
        <v>0</v>
      </c>
    </row>
    <row r="33" spans="2:109">
      <c r="B33" s="6"/>
      <c r="C33" s="6" t="s">
        <v>410</v>
      </c>
      <c r="D33" s="744" t="s">
        <v>830</v>
      </c>
      <c r="E33" s="6" t="s">
        <v>45</v>
      </c>
      <c r="F33" s="6" t="s">
        <v>55</v>
      </c>
      <c r="G33" s="6" t="s">
        <v>150</v>
      </c>
      <c r="H33" s="6" t="s">
        <v>556</v>
      </c>
      <c r="I33" s="6" t="s">
        <v>203</v>
      </c>
      <c r="J33" s="47"/>
      <c r="K33" s="47"/>
      <c r="L33" s="47"/>
      <c r="M33" s="750">
        <f t="shared" ref="M33:N33" si="97">M25/(M$50-M$29)*-(M$56-M$29)</f>
        <v>-1481.0004247592112</v>
      </c>
      <c r="N33" s="750">
        <f t="shared" si="97"/>
        <v>-1046.2195927144021</v>
      </c>
      <c r="O33" s="47"/>
      <c r="P33" s="47"/>
      <c r="Q33" s="47"/>
      <c r="S33" s="47">
        <f>INDEX(Lab_Mat!$K$6:$N$9,MATCH($H33,Lab_Mat!$J$6:$J$9,0),MATCH($S$4,Lab_Mat!$K$5:$N$5,0))*J33*HLOOKUP(S$5,Escalators!$I$25:$U$30,3,FALSE)</f>
        <v>0</v>
      </c>
      <c r="T33" s="47">
        <f>INDEX(Lab_Mat!$K$6:$N$9,MATCH($H33,Lab_Mat!$J$6:$J$9,0),MATCH($S$4,Lab_Mat!$K$5:$N$5,0))*K33*HLOOKUP(T$5,Escalators!$I$25:$U$30,3,FALSE)</f>
        <v>0</v>
      </c>
      <c r="U33" s="47">
        <f>INDEX(Lab_Mat!$K$6:$N$9,MATCH($H33,Lab_Mat!$J$6:$J$9,0),MATCH($S$4,Lab_Mat!$K$5:$N$5,0))*L33*HLOOKUP(U$5,Escalators!$I$25:$U$30,3,FALSE)</f>
        <v>0</v>
      </c>
      <c r="V33" s="47">
        <f>INDEX(Lab_Mat!$K$6:$N$9,MATCH($H33,Lab_Mat!$J$6:$J$9,0),MATCH($S$4,Lab_Mat!$K$5:$N$5,0))*M33*HLOOKUP(V$5,Escalators!$I$25:$U$30,3,FALSE)</f>
        <v>-267.21597544979954</v>
      </c>
      <c r="W33" s="47">
        <f>INDEX(Lab_Mat!$K$6:$N$9,MATCH($H33,Lab_Mat!$J$6:$J$9,0),MATCH($S$4,Lab_Mat!$K$5:$N$5,0))*N33*HLOOKUP(W$5,Escalators!$I$25:$U$30,3,FALSE)</f>
        <v>-189.7052049156041</v>
      </c>
      <c r="X33" s="47">
        <f>INDEX(Lab_Mat!$K$6:$N$9,MATCH($H33,Lab_Mat!$J$6:$J$9,0),MATCH($S$4,Lab_Mat!$K$5:$N$5,0))*O33*HLOOKUP(X$5,Escalators!$I$25:$U$30,3,FALSE)</f>
        <v>0</v>
      </c>
      <c r="Y33" s="47">
        <f>INDEX(Lab_Mat!$K$6:$N$9,MATCH($H33,Lab_Mat!$J$6:$J$9,0),MATCH($S$4,Lab_Mat!$K$5:$N$5,0))*P33*HLOOKUP(Y$5,Escalators!$I$25:$U$30,3,FALSE)</f>
        <v>0</v>
      </c>
      <c r="Z33" s="47">
        <f>INDEX(Lab_Mat!$K$6:$N$9,MATCH($H33,Lab_Mat!$J$6:$J$9,0),MATCH($S$4,Lab_Mat!$K$5:$N$5,0))*Q33*HLOOKUP(Z$5,Escalators!$I$25:$U$30,3,FALSE)</f>
        <v>0</v>
      </c>
      <c r="AB33" s="47">
        <f>INDEX(Lab_Mat!$K$6:$N$9,MATCH($H33,Lab_Mat!$J$6:$J$9,0),MATCH($AG$4,Lab_Mat!$K$5:$N$5,0))*$J33*INDEX(Act_Type_Repex_Splits,MATCH($I33,Act_Type_Repex,0),MATCH(AB$4,Mat_Type,0))*INDEX(Escalators!$I$44:$Q$49,MATCH(AB$4,Escalators!$C$44:$C$49,0),MATCH(AB$5,Escalators!$I$43:$Q$43,0))</f>
        <v>0</v>
      </c>
      <c r="AC33" s="47">
        <f>INDEX(Lab_Mat!$K$6:$N$9,MATCH($H33,Lab_Mat!$J$6:$J$9,0),MATCH($AG$4,Lab_Mat!$K$5:$N$5,0))*$J33*INDEX(Act_Type_Repex_Splits,MATCH($I33,Act_Type_Repex,0),MATCH(AC$4,Mat_Type,0))*INDEX(Escalators!$I$44:$Q$49,MATCH(AC$4,Escalators!$C$44:$C$49,0),MATCH(AC$5,Escalators!$I$43:$Q$43,0))</f>
        <v>0</v>
      </c>
      <c r="AD33" s="47">
        <f>INDEX(Lab_Mat!$K$6:$N$9,MATCH($H33,Lab_Mat!$J$6:$J$9,0),MATCH($AG$4,Lab_Mat!$K$5:$N$5,0))*$J33*INDEX(Act_Type_Repex_Splits,MATCH($I33,Act_Type_Repex,0),MATCH(AD$4,Mat_Type,0))*INDEX(Escalators!$I$44:$Q$49,MATCH(AD$4,Escalators!$C$44:$C$49,0),MATCH(AD$5,Escalators!$I$43:$Q$43,0))</f>
        <v>0</v>
      </c>
      <c r="AE33" s="47">
        <f>INDEX(Lab_Mat!$K$6:$N$9,MATCH($H33,Lab_Mat!$J$6:$J$9,0),MATCH($AG$4,Lab_Mat!$K$5:$N$5,0))*$J33*INDEX(Act_Type_Repex_Splits,MATCH($I33,Act_Type_Repex,0),MATCH(AE$4,Mat_Type,0))*INDEX(Escalators!$I$44:$Q$49,MATCH(AE$4,Escalators!$C$44:$C$49,0),MATCH(AE$5,Escalators!$I$43:$Q$43,0))</f>
        <v>0</v>
      </c>
      <c r="AF33" s="47">
        <f>INDEX(Lab_Mat!$K$6:$N$9,MATCH($H33,Lab_Mat!$J$6:$J$9,0),MATCH($AG$4,Lab_Mat!$K$5:$N$5,0))*$J33*INDEX(Act_Type_Repex_Splits,MATCH($I33,Act_Type_Repex,0),MATCH(AF$4,Mat_Type,0))*INDEX(Escalators!$I$44:$Q$49,MATCH(AF$4,Escalators!$C$44:$C$49,0),MATCH(AF$5,Escalators!$I$43:$Q$43,0))</f>
        <v>0</v>
      </c>
      <c r="AG33" s="47">
        <f t="shared" si="80"/>
        <v>0</v>
      </c>
      <c r="AH33" s="47">
        <f>INDEX(Lab_Mat!$K$6:$N$9,MATCH($H33,Lab_Mat!$J$6:$J$9,0),MATCH($AY$4,Lab_Mat!$K$5:$N$5,0))*$K33*INDEX(Act_Type_Repex_Splits,MATCH($I33,Act_Type_Repex,0),MATCH(AH$4,Mat_Type,0))*INDEX(Escalators!$I$44:$U$49,MATCH(AH$4,Escalators!$C$44:$C$49,0),MATCH(AH$5,Escalators!$I$43:$U$43,0))</f>
        <v>0</v>
      </c>
      <c r="AI33" s="47">
        <f>INDEX(Lab_Mat!$K$6:$N$9,MATCH($H33,Lab_Mat!$J$6:$J$9,0),MATCH($AY$4,Lab_Mat!$K$5:$N$5,0))*$K33*INDEX(Act_Type_Repex_Splits,MATCH($I33,Act_Type_Repex,0),MATCH(AI$4,Mat_Type,0))*INDEX(Escalators!$I$44:$U$49,MATCH(AI$4,Escalators!$C$44:$C$49,0),MATCH(AI$5,Escalators!$I$43:$U$43,0))</f>
        <v>0</v>
      </c>
      <c r="AJ33" s="47">
        <f>INDEX(Lab_Mat!$K$6:$N$9,MATCH($H33,Lab_Mat!$J$6:$J$9,0),MATCH($AY$4,Lab_Mat!$K$5:$N$5,0))*$K33*INDEX(Act_Type_Repex_Splits,MATCH($I33,Act_Type_Repex,0),MATCH(AJ$4,Mat_Type,0))*INDEX(Escalators!$I$44:$U$49,MATCH(AJ$4,Escalators!$C$44:$C$49,0),MATCH(AJ$5,Escalators!$I$43:$U$43,0))</f>
        <v>0</v>
      </c>
      <c r="AK33" s="47">
        <f>INDEX(Lab_Mat!$K$6:$N$9,MATCH($H33,Lab_Mat!$J$6:$J$9,0),MATCH($AY$4,Lab_Mat!$K$5:$N$5,0))*$K33*INDEX(Act_Type_Repex_Splits,MATCH($I33,Act_Type_Repex,0),MATCH(AK$4,Mat_Type,0))*INDEX(Escalators!$I$44:$U$49,MATCH(AK$4,Escalators!$C$44:$C$49,0),MATCH(AK$5,Escalators!$I$43:$U$43,0))</f>
        <v>0</v>
      </c>
      <c r="AL33" s="47">
        <f>INDEX(Lab_Mat!$K$6:$N$9,MATCH($H33,Lab_Mat!$J$6:$J$9,0),MATCH($AY$4,Lab_Mat!$K$5:$N$5,0))*$K33*INDEX(Act_Type_Repex_Splits,MATCH($I33,Act_Type_Repex,0),MATCH(AL$4,Mat_Type,0))*INDEX(Escalators!$I$44:$U$49,MATCH(AL$4,Escalators!$C$44:$C$49,0),MATCH(AL$5,Escalators!$I$43:$U$43,0))</f>
        <v>0</v>
      </c>
      <c r="AM33" s="47">
        <f t="shared" si="81"/>
        <v>0</v>
      </c>
      <c r="AN33" s="47">
        <f>INDEX(Lab_Mat!$K$6:$N$9,MATCH($H33,Lab_Mat!$J$6:$J$9,0),MATCH($AY$4,Lab_Mat!$K$5:$N$5,0))*$L33*INDEX(Act_Type_Repex_Splits,MATCH($I33,Act_Type_Repex,0),MATCH(AN$4,Mat_Type,0))*INDEX(Escalators!$I$44:$U$49,MATCH(AN$4,Escalators!$C$44:$C$49,0),MATCH(AN$5,Escalators!$I$43:$U$43,0))</f>
        <v>0</v>
      </c>
      <c r="AO33" s="47">
        <f>INDEX(Lab_Mat!$K$6:$N$9,MATCH($H33,Lab_Mat!$J$6:$J$9,0),MATCH($AY$4,Lab_Mat!$K$5:$N$5,0))*$L33*INDEX(Act_Type_Repex_Splits,MATCH($I33,Act_Type_Repex,0),MATCH(AO$4,Mat_Type,0))*INDEX(Escalators!$I$44:$U$49,MATCH(AO$4,Escalators!$C$44:$C$49,0),MATCH(AO$5,Escalators!$I$43:$U$43,0))</f>
        <v>0</v>
      </c>
      <c r="AP33" s="47">
        <f>INDEX(Lab_Mat!$K$6:$N$9,MATCH($H33,Lab_Mat!$J$6:$J$9,0),MATCH($AY$4,Lab_Mat!$K$5:$N$5,0))*$L33*INDEX(Act_Type_Repex_Splits,MATCH($I33,Act_Type_Repex,0),MATCH(AP$4,Mat_Type,0))*INDEX(Escalators!$I$44:$U$49,MATCH(AP$4,Escalators!$C$44:$C$49,0),MATCH(AP$5,Escalators!$I$43:$U$43,0))</f>
        <v>0</v>
      </c>
      <c r="AQ33" s="47">
        <f>INDEX(Lab_Mat!$K$6:$N$9,MATCH($H33,Lab_Mat!$J$6:$J$9,0),MATCH($AY$4,Lab_Mat!$K$5:$N$5,0))*$L33*INDEX(Act_Type_Repex_Splits,MATCH($I33,Act_Type_Repex,0),MATCH(AQ$4,Mat_Type,0))*INDEX(Escalators!$I$44:$U$49,MATCH(AQ$4,Escalators!$C$44:$C$49,0),MATCH(AQ$5,Escalators!$I$43:$U$43,0))</f>
        <v>0</v>
      </c>
      <c r="AR33" s="47">
        <f>INDEX(Lab_Mat!$K$6:$N$9,MATCH($H33,Lab_Mat!$J$6:$J$9,0),MATCH($AY$4,Lab_Mat!$K$5:$N$5,0))*$L33*INDEX(Act_Type_Repex_Splits,MATCH($I33,Act_Type_Repex,0),MATCH(AR$4,Mat_Type,0))*INDEX(Escalators!$I$44:$U$49,MATCH(AR$4,Escalators!$C$44:$C$49,0),MATCH(AR$5,Escalators!$I$43:$U$43,0))</f>
        <v>0</v>
      </c>
      <c r="AS33" s="47">
        <f t="shared" si="82"/>
        <v>0</v>
      </c>
      <c r="AT33" s="47">
        <f>INDEX(Lab_Mat!$K$6:$N$9,MATCH($H33,Lab_Mat!$J$6:$J$9,0),MATCH($AY$4,Lab_Mat!$K$5:$N$5,0))*$M33*INDEX(Act_Type_Repex_Splits,MATCH($I33,Act_Type_Repex,0),MATCH(AT$4,Mat_Type,0))*INDEX(Escalators!$I$44:$U$49,MATCH(AT$4,Escalators!$C$44:$C$49,0),MATCH(AT$5,Escalators!$I$43:$U$43,0))</f>
        <v>0</v>
      </c>
      <c r="AU33" s="47">
        <f>INDEX(Lab_Mat!$K$6:$N$9,MATCH($H33,Lab_Mat!$J$6:$J$9,0),MATCH($AY$4,Lab_Mat!$K$5:$N$5,0))*$M33*INDEX(Act_Type_Repex_Splits,MATCH($I33,Act_Type_Repex,0),MATCH(AU$4,Mat_Type,0))*INDEX(Escalators!$I$44:$U$49,MATCH(AU$4,Escalators!$C$44:$C$49,0),MATCH(AU$5,Escalators!$I$43:$U$43,0))</f>
        <v>0</v>
      </c>
      <c r="AV33" s="47">
        <f>INDEX(Lab_Mat!$K$6:$N$9,MATCH($H33,Lab_Mat!$J$6:$J$9,0),MATCH($AY$4,Lab_Mat!$K$5:$N$5,0))*$M33*INDEX(Act_Type_Repex_Splits,MATCH($I33,Act_Type_Repex,0),MATCH(AV$4,Mat_Type,0))*INDEX(Escalators!$I$44:$U$49,MATCH(AV$4,Escalators!$C$44:$C$49,0),MATCH(AV$5,Escalators!$I$43:$U$43,0))</f>
        <v>-96.568870608226092</v>
      </c>
      <c r="AW33" s="47">
        <f>INDEX(Lab_Mat!$K$6:$N$9,MATCH($H33,Lab_Mat!$J$6:$J$9,0),MATCH($AY$4,Lab_Mat!$K$5:$N$5,0))*$M33*INDEX(Act_Type_Repex_Splits,MATCH($I33,Act_Type_Repex,0),MATCH(AW$4,Mat_Type,0))*INDEX(Escalators!$I$44:$U$49,MATCH(AW$4,Escalators!$C$44:$C$49,0),MATCH(AW$5,Escalators!$I$43:$U$43,0))</f>
        <v>0</v>
      </c>
      <c r="AX33" s="47">
        <f>INDEX(Lab_Mat!$K$6:$N$9,MATCH($H33,Lab_Mat!$J$6:$J$9,0),MATCH($AY$4,Lab_Mat!$K$5:$N$5,0))*$M33*INDEX(Act_Type_Repex_Splits,MATCH($I33,Act_Type_Repex,0),MATCH(AX$4,Mat_Type,0))*INDEX(Escalators!$I$44:$U$49,MATCH(AX$4,Escalators!$C$44:$C$49,0),MATCH(AX$5,Escalators!$I$43:$U$43,0))</f>
        <v>-96.568870608226092</v>
      </c>
      <c r="AY33" s="47">
        <f t="shared" si="83"/>
        <v>-193.13774121645218</v>
      </c>
      <c r="AZ33" s="47">
        <f>INDEX(Lab_Mat!$K$6:$N$9,MATCH($H33,Lab_Mat!$J$6:$J$9,0),MATCH($BE$4,Lab_Mat!$K$5:$N$5,0))*$N33*INDEX(Act_Type_Repex_Splits,MATCH($I33,Act_Type_Repex,0),MATCH(AZ$4,Mat_Type,0))*INDEX(Escalators!$I$44:$U$49,MATCH(AZ$4,Escalators!$C$44:$C$49,0),MATCH(AZ$5,Escalators!$I$43:$U$43,0))</f>
        <v>0</v>
      </c>
      <c r="BA33" s="47">
        <f>INDEX(Lab_Mat!$K$6:$N$9,MATCH($H33,Lab_Mat!$J$6:$J$9,0),MATCH($BE$4,Lab_Mat!$K$5:$N$5,0))*$N33*INDEX(Act_Type_Repex_Splits,MATCH($I33,Act_Type_Repex,0),MATCH(BA$4,Mat_Type,0))*INDEX(Escalators!$I$44:$U$49,MATCH(BA$4,Escalators!$C$44:$C$49,0),MATCH(BA$5,Escalators!$I$43:$U$43,0))</f>
        <v>0</v>
      </c>
      <c r="BB33" s="47">
        <f>INDEX(Lab_Mat!$K$6:$N$9,MATCH($H33,Lab_Mat!$J$6:$J$9,0),MATCH($BE$4,Lab_Mat!$K$5:$N$5,0))*$N33*INDEX(Act_Type_Repex_Splits,MATCH($I33,Act_Type_Repex,0),MATCH(BB$4,Mat_Type,0))*INDEX(Escalators!$I$44:$U$49,MATCH(BB$4,Escalators!$C$44:$C$49,0),MATCH(BB$5,Escalators!$I$43:$U$43,0))</f>
        <v>-68.218916610408428</v>
      </c>
      <c r="BC33" s="47">
        <f>INDEX(Lab_Mat!$K$6:$N$9,MATCH($H33,Lab_Mat!$J$6:$J$9,0),MATCH($BE$4,Lab_Mat!$K$5:$N$5,0))*$N33*INDEX(Act_Type_Repex_Splits,MATCH($I33,Act_Type_Repex,0),MATCH(BC$4,Mat_Type,0))*INDEX(Escalators!$I$44:$U$49,MATCH(BC$4,Escalators!$C$44:$C$49,0),MATCH(BC$5,Escalators!$I$43:$U$43,0))</f>
        <v>0</v>
      </c>
      <c r="BD33" s="47">
        <f>INDEX(Lab_Mat!$K$6:$N$9,MATCH($H33,Lab_Mat!$J$6:$J$9,0),MATCH($BE$4,Lab_Mat!$K$5:$N$5,0))*$N33*INDEX(Act_Type_Repex_Splits,MATCH($I33,Act_Type_Repex,0),MATCH(BD$4,Mat_Type,0))*INDEX(Escalators!$I$44:$U$49,MATCH(BD$4,Escalators!$C$44:$C$49,0),MATCH(BD$5,Escalators!$I$43:$U$43,0))</f>
        <v>-68.218916610408428</v>
      </c>
      <c r="BE33" s="47">
        <f t="shared" si="84"/>
        <v>-136.43783322081686</v>
      </c>
      <c r="BF33" s="47">
        <f>INDEX(Lab_Mat!$K$6:$N$9,MATCH($H33,Lab_Mat!$J$6:$J$9,0),MATCH($BK$4,Lab_Mat!$K$5:$N$5,0))*$O33*INDEX(Act_Type_Repex_Splits,MATCH($I33,Act_Type_Repex,0),MATCH(BF$4,Mat_Type,0))*INDEX(Escalators!$I$44:$U$49,MATCH(BF$4,Escalators!$C$44:$C$49,0),MATCH(BF$5,Escalators!$I$43:$U$43,0))</f>
        <v>0</v>
      </c>
      <c r="BG33" s="47">
        <f>INDEX(Lab_Mat!$K$6:$N$9,MATCH($H33,Lab_Mat!$J$6:$J$9,0),MATCH($BK$4,Lab_Mat!$K$5:$N$5,0))*$O33*INDEX(Act_Type_Repex_Splits,MATCH($I33,Act_Type_Repex,0),MATCH(BG$4,Mat_Type,0))*INDEX(Escalators!$I$44:$U$49,MATCH(BG$4,Escalators!$C$44:$C$49,0),MATCH(BG$5,Escalators!$I$43:$U$43,0))</f>
        <v>0</v>
      </c>
      <c r="BH33" s="47">
        <f>INDEX(Lab_Mat!$K$6:$N$9,MATCH($H33,Lab_Mat!$J$6:$J$9,0),MATCH($BK$4,Lab_Mat!$K$5:$N$5,0))*$O33*INDEX(Act_Type_Repex_Splits,MATCH($I33,Act_Type_Repex,0),MATCH(BH$4,Mat_Type,0))*INDEX(Escalators!$I$44:$U$49,MATCH(BH$4,Escalators!$C$44:$C$49,0),MATCH(BH$5,Escalators!$I$43:$U$43,0))</f>
        <v>0</v>
      </c>
      <c r="BI33" s="47">
        <f>INDEX(Lab_Mat!$K$6:$N$9,MATCH($H33,Lab_Mat!$J$6:$J$9,0),MATCH($BK$4,Lab_Mat!$K$5:$N$5,0))*$O33*INDEX(Act_Type_Repex_Splits,MATCH($I33,Act_Type_Repex,0),MATCH(BI$4,Mat_Type,0))*INDEX(Escalators!$I$44:$U$49,MATCH(BI$4,Escalators!$C$44:$C$49,0),MATCH(BI$5,Escalators!$I$43:$U$43,0))</f>
        <v>0</v>
      </c>
      <c r="BJ33" s="47">
        <f>INDEX(Lab_Mat!$K$6:$N$9,MATCH($H33,Lab_Mat!$J$6:$J$9,0),MATCH($BK$4,Lab_Mat!$K$5:$N$5,0))*$O33*INDEX(Act_Type_Repex_Splits,MATCH($I33,Act_Type_Repex,0),MATCH(BJ$4,Mat_Type,0))*INDEX(Escalators!$I$44:$U$49,MATCH(BJ$4,Escalators!$C$44:$C$49,0),MATCH(BJ$5,Escalators!$I$43:$U$43,0))</f>
        <v>0</v>
      </c>
      <c r="BK33" s="47">
        <f t="shared" si="85"/>
        <v>0</v>
      </c>
      <c r="BL33" s="47">
        <f>INDEX(Lab_Mat!$K$6:$N$9,MATCH($H33,Lab_Mat!$J$6:$J$9,0),MATCH($BQ$4,Lab_Mat!$K$5:$N$5,0))*$P33*INDEX(Act_Type_Repex_Splits,MATCH($I33,Act_Type_Repex,0),MATCH(BL$4,Mat_Type,0))*INDEX(Escalators!$I$44:$U$49,MATCH(BL$4,Escalators!$C$44:$C$49,0),MATCH(BL$5,Escalators!$I$43:$U$43,0))</f>
        <v>0</v>
      </c>
      <c r="BM33" s="47">
        <f>INDEX(Lab_Mat!$K$6:$N$9,MATCH($H33,Lab_Mat!$J$6:$J$9,0),MATCH($BQ$4,Lab_Mat!$K$5:$N$5,0))*$P33*INDEX(Act_Type_Repex_Splits,MATCH($I33,Act_Type_Repex,0),MATCH(BM$4,Mat_Type,0))*INDEX(Escalators!$I$44:$U$49,MATCH(BM$4,Escalators!$C$44:$C$49,0),MATCH(BM$5,Escalators!$I$43:$U$43,0))</f>
        <v>0</v>
      </c>
      <c r="BN33" s="47">
        <f>INDEX(Lab_Mat!$K$6:$N$9,MATCH($H33,Lab_Mat!$J$6:$J$9,0),MATCH($BQ$4,Lab_Mat!$K$5:$N$5,0))*$P33*INDEX(Act_Type_Repex_Splits,MATCH($I33,Act_Type_Repex,0),MATCH(BN$4,Mat_Type,0))*INDEX(Escalators!$I$44:$U$49,MATCH(BN$4,Escalators!$C$44:$C$49,0),MATCH(BN$5,Escalators!$I$43:$U$43,0))</f>
        <v>0</v>
      </c>
      <c r="BO33" s="47">
        <f>INDEX(Lab_Mat!$K$6:$N$9,MATCH($H33,Lab_Mat!$J$6:$J$9,0),MATCH($BQ$4,Lab_Mat!$K$5:$N$5,0))*$P33*INDEX(Act_Type_Repex_Splits,MATCH($I33,Act_Type_Repex,0),MATCH(BO$4,Mat_Type,0))*INDEX(Escalators!$I$44:$U$49,MATCH(BO$4,Escalators!$C$44:$C$49,0),MATCH(BO$5,Escalators!$I$43:$U$43,0))</f>
        <v>0</v>
      </c>
      <c r="BP33" s="47">
        <f>INDEX(Lab_Mat!$K$6:$N$9,MATCH($H33,Lab_Mat!$J$6:$J$9,0),MATCH($BQ$4,Lab_Mat!$K$5:$N$5,0))*$P33*INDEX(Act_Type_Repex_Splits,MATCH($I33,Act_Type_Repex,0),MATCH(BP$4,Mat_Type,0))*INDEX(Escalators!$I$44:$U$49,MATCH(BP$4,Escalators!$C$44:$C$49,0),MATCH(BP$5,Escalators!$I$43:$U$43,0))</f>
        <v>0</v>
      </c>
      <c r="BQ33" s="47">
        <f t="shared" si="86"/>
        <v>0</v>
      </c>
      <c r="BR33" s="47">
        <f>INDEX(Lab_Mat!$K$6:$N$9,MATCH($H33,Lab_Mat!$J$6:$J$9,0),MATCH($BW$4,Lab_Mat!$K$5:$N$5,0))*$Q33*INDEX(Act_Type_Repex_Splits,MATCH($I33,Act_Type_Repex,0),MATCH(BR$4,Mat_Type,0))*INDEX(Escalators!$I$44:$U$49,MATCH(BR$4,Escalators!$C$44:$C$49,0),MATCH(BR$5,Escalators!$I$43:$U$43,0))</f>
        <v>0</v>
      </c>
      <c r="BS33" s="47">
        <f>INDEX(Lab_Mat!$K$6:$N$9,MATCH($H33,Lab_Mat!$J$6:$J$9,0),MATCH($BW$4,Lab_Mat!$K$5:$N$5,0))*$Q33*INDEX(Act_Type_Repex_Splits,MATCH($I33,Act_Type_Repex,0),MATCH(BS$4,Mat_Type,0))*INDEX(Escalators!$I$44:$U$49,MATCH(BS$4,Escalators!$C$44:$C$49,0),MATCH(BS$5,Escalators!$I$43:$U$43,0))</f>
        <v>0</v>
      </c>
      <c r="BT33" s="47">
        <f>INDEX(Lab_Mat!$K$6:$N$9,MATCH($H33,Lab_Mat!$J$6:$J$9,0),MATCH($BW$4,Lab_Mat!$K$5:$N$5,0))*$Q33*INDEX(Act_Type_Repex_Splits,MATCH($I33,Act_Type_Repex,0),MATCH(BT$4,Mat_Type,0))*INDEX(Escalators!$I$44:$U$49,MATCH(BT$4,Escalators!$C$44:$C$49,0),MATCH(BT$5,Escalators!$I$43:$U$43,0))</f>
        <v>0</v>
      </c>
      <c r="BU33" s="47">
        <f>INDEX(Lab_Mat!$K$6:$N$9,MATCH($H33,Lab_Mat!$J$6:$J$9,0),MATCH($BW$4,Lab_Mat!$K$5:$N$5,0))*$Q33*INDEX(Act_Type_Repex_Splits,MATCH($I33,Act_Type_Repex,0),MATCH(BU$4,Mat_Type,0))*INDEX(Escalators!$I$44:$U$49,MATCH(BU$4,Escalators!$C$44:$C$49,0),MATCH(BU$5,Escalators!$I$43:$U$43,0))</f>
        <v>0</v>
      </c>
      <c r="BV33" s="47">
        <f>INDEX(Lab_Mat!$K$6:$N$9,MATCH($H33,Lab_Mat!$J$6:$J$9,0),MATCH($BW$4,Lab_Mat!$K$5:$N$5,0))*$Q33*INDEX(Act_Type_Repex_Splits,MATCH($I33,Act_Type_Repex,0),MATCH(BV$4,Mat_Type,0))*INDEX(Escalators!$I$44:$U$49,MATCH(BV$4,Escalators!$C$44:$C$49,0),MATCH(BV$5,Escalators!$I$43:$U$43,0))</f>
        <v>0</v>
      </c>
      <c r="BW33" s="47">
        <f t="shared" si="87"/>
        <v>0</v>
      </c>
      <c r="BY33" s="47">
        <f>INDEX(Lab_Mat!$K$6:$N$9,MATCH($H33,Lab_Mat!$J$6:$J$9,0),MATCH($BY$4,Lab_Mat!$K$5:$N$5,0))*J33*HLOOKUP(BY$5,Escalators!$I$25:$U$30,6,FALSE)</f>
        <v>0</v>
      </c>
      <c r="BZ33" s="47">
        <f>INDEX(Lab_Mat!$K$6:$N$9,MATCH($H33,Lab_Mat!$J$6:$J$9,0),MATCH($BY$4,Lab_Mat!$K$5:$N$5,0))*K33*HLOOKUP(BZ$5,Escalators!$I$25:$U$30,6,FALSE)</f>
        <v>0</v>
      </c>
      <c r="CA33" s="47">
        <f>INDEX(Lab_Mat!$K$6:$N$9,MATCH($H33,Lab_Mat!$J$6:$J$9,0),MATCH($BY$4,Lab_Mat!$K$5:$N$5,0))*L33*HLOOKUP(CA$5,Escalators!$I$25:$U$30,6,FALSE)</f>
        <v>0</v>
      </c>
      <c r="CB33" s="47">
        <f>INDEX(Lab_Mat!$K$6:$N$9,MATCH($H33,Lab_Mat!$J$6:$J$9,0),MATCH($BY$4,Lab_Mat!$K$5:$N$5,0))*M33*HLOOKUP(CB$5,Escalators!$I$25:$U$30,6,FALSE)</f>
        <v>-769.72082012767828</v>
      </c>
      <c r="CC33" s="47">
        <f>INDEX(Lab_Mat!$K$6:$N$9,MATCH($H33,Lab_Mat!$J$6:$J$9,0),MATCH($BY$4,Lab_Mat!$K$5:$N$5,0))*N33*HLOOKUP(CC$5,Escalators!$I$25:$U$30,6,FALSE)</f>
        <v>-543.75204049567003</v>
      </c>
      <c r="CD33" s="47">
        <f>INDEX(Lab_Mat!$K$6:$N$9,MATCH($H33,Lab_Mat!$J$6:$J$9,0),MATCH($BY$4,Lab_Mat!$K$5:$N$5,0))*O33*HLOOKUP(CD$5,Escalators!$I$25:$U$30,6,FALSE)</f>
        <v>0</v>
      </c>
      <c r="CE33" s="47">
        <f>INDEX(Lab_Mat!$K$6:$N$9,MATCH($H33,Lab_Mat!$J$6:$J$9,0),MATCH($BY$4,Lab_Mat!$K$5:$N$5,0))*P33*HLOOKUP(CE$5,Escalators!$I$25:$U$30,6,FALSE)</f>
        <v>0</v>
      </c>
      <c r="CF33" s="47">
        <f>INDEX(Lab_Mat!$K$6:$N$9,MATCH($H33,Lab_Mat!$J$6:$J$9,0),MATCH($BY$4,Lab_Mat!$K$5:$N$5,0))*Q33*HLOOKUP(CF$5,Escalators!$I$25:$U$30,6,FALSE)</f>
        <v>0</v>
      </c>
      <c r="CH33" s="82">
        <f>INDEX(Lab_Mat!$K$6:$N$9,MATCH($H33,Lab_Mat!$J$6:$J$9,0),MATCH($CH$4,Lab_Mat!$K$5:$N$5,0))*J33</f>
        <v>0</v>
      </c>
      <c r="CI33" s="82">
        <f>INDEX(Lab_Mat!$K$6:$N$9,MATCH($H33,Lab_Mat!$J$6:$J$9,0),MATCH($CH$4,Lab_Mat!$K$5:$N$5,0))*K33</f>
        <v>0</v>
      </c>
      <c r="CJ33" s="82">
        <f>INDEX(Lab_Mat!$K$6:$N$9,MATCH($H33,Lab_Mat!$J$6:$J$9,0),MATCH($CH$4,Lab_Mat!$K$5:$N$5,0))*L33</f>
        <v>0</v>
      </c>
      <c r="CK33" s="82">
        <f>INDEX(Lab_Mat!$K$6:$N$9,MATCH($H33,Lab_Mat!$J$6:$J$9,0),MATCH($CH$4,Lab_Mat!$K$5:$N$5,0))*M33</f>
        <v>-259.38701146267181</v>
      </c>
      <c r="CL33" s="82">
        <f>INDEX(Lab_Mat!$K$6:$N$9,MATCH($H33,Lab_Mat!$J$6:$J$9,0),MATCH($CH$4,Lab_Mat!$K$5:$N$5,0))*N33</f>
        <v>-183.23814696542314</v>
      </c>
      <c r="CM33" s="82">
        <f>INDEX(Lab_Mat!$K$6:$N$9,MATCH($H33,Lab_Mat!$J$6:$J$9,0),MATCH($CH$4,Lab_Mat!$K$5:$N$5,0))*O33</f>
        <v>0</v>
      </c>
      <c r="CN33" s="82">
        <f>INDEX(Lab_Mat!$K$6:$N$9,MATCH($H33,Lab_Mat!$J$6:$J$9,0),MATCH($CH$4,Lab_Mat!$K$5:$N$5,0))*P33</f>
        <v>0</v>
      </c>
      <c r="CO33" s="82">
        <f>INDEX(Lab_Mat!$K$6:$N$9,MATCH($H33,Lab_Mat!$J$6:$J$9,0),MATCH($CH$4,Lab_Mat!$K$5:$N$5,0))*Q33</f>
        <v>0</v>
      </c>
      <c r="CQ33" s="47">
        <f t="shared" ref="CQ33:CQ36" si="98">S33+AG33+BY33+CH33</f>
        <v>0</v>
      </c>
      <c r="CR33" s="47">
        <f t="shared" ref="CR33:CR36" si="99">T33+AM33+BZ33+CI33</f>
        <v>0</v>
      </c>
      <c r="CS33" s="47">
        <f t="shared" si="24"/>
        <v>0</v>
      </c>
      <c r="CT33" s="47">
        <f t="shared" ref="CT33:CT36" si="100">V33+AY33+CB33+CK33</f>
        <v>-1489.4615482566019</v>
      </c>
      <c r="CU33" s="47">
        <f t="shared" ref="CU33:CU36" si="101">W33+BE33+CC33+CL33</f>
        <v>-1053.1332255975142</v>
      </c>
      <c r="CV33" s="47">
        <f t="shared" ref="CV33:CV36" si="102">X33+BK33+CD33+CM33</f>
        <v>0</v>
      </c>
      <c r="CW33" s="47">
        <f t="shared" ref="CW33:CW36" si="103">Y33+BQ33+CE33+CN33</f>
        <v>0</v>
      </c>
      <c r="CX33" s="47">
        <f t="shared" ref="CX33:CX36" si="104">Z33+BW33+CF33+CO33</f>
        <v>0</v>
      </c>
    </row>
    <row r="34" spans="2:109">
      <c r="B34" s="6"/>
      <c r="C34" s="6" t="s">
        <v>411</v>
      </c>
      <c r="D34" s="744" t="s">
        <v>830</v>
      </c>
      <c r="E34" s="6" t="s">
        <v>48</v>
      </c>
      <c r="F34" s="6" t="s">
        <v>55</v>
      </c>
      <c r="G34" s="6" t="s">
        <v>10</v>
      </c>
      <c r="H34" s="6" t="s">
        <v>741</v>
      </c>
      <c r="I34" s="6" t="s">
        <v>204</v>
      </c>
      <c r="J34" s="47"/>
      <c r="K34" s="47"/>
      <c r="L34" s="47"/>
      <c r="M34" s="750">
        <f t="shared" ref="M34:N34" si="105">M26/(M$50-M$29)*-(M$56-M$29)</f>
        <v>-617.96215952823115</v>
      </c>
      <c r="N34" s="750">
        <f t="shared" si="105"/>
        <v>-191.32008073961933</v>
      </c>
      <c r="O34" s="47"/>
      <c r="P34" s="47"/>
      <c r="Q34" s="47"/>
      <c r="S34" s="47">
        <f>INDEX(Lab_Mat!$K$6:$N$9,MATCH($H34,Lab_Mat!$J$6:$J$9,0),MATCH($S$4,Lab_Mat!$K$5:$N$5,0))*J34*HLOOKUP(S$5,Escalators!$I$25:$U$30,3,FALSE)</f>
        <v>0</v>
      </c>
      <c r="T34" s="47">
        <f>INDEX(Lab_Mat!$K$6:$N$9,MATCH($H34,Lab_Mat!$J$6:$J$9,0),MATCH($S$4,Lab_Mat!$K$5:$N$5,0))*K34*HLOOKUP(T$5,Escalators!$I$25:$U$30,3,FALSE)</f>
        <v>0</v>
      </c>
      <c r="U34" s="47">
        <f>INDEX(Lab_Mat!$K$6:$N$9,MATCH($H34,Lab_Mat!$J$6:$J$9,0),MATCH($S$4,Lab_Mat!$K$5:$N$5,0))*L34*HLOOKUP(U$5,Escalators!$I$25:$U$30,3,FALSE)</f>
        <v>0</v>
      </c>
      <c r="V34" s="47">
        <f>INDEX(Lab_Mat!$K$6:$N$9,MATCH($H34,Lab_Mat!$J$6:$J$9,0),MATCH($S$4,Lab_Mat!$K$5:$N$5,0))*M34*HLOOKUP(V$5,Escalators!$I$25:$U$30,3,FALSE)</f>
        <v>-117.36152334956337</v>
      </c>
      <c r="W34" s="47">
        <f>INDEX(Lab_Mat!$K$6:$N$9,MATCH($H34,Lab_Mat!$J$6:$J$9,0),MATCH($S$4,Lab_Mat!$K$5:$N$5,0))*N34*HLOOKUP(W$5,Escalators!$I$25:$U$30,3,FALSE)</f>
        <v>-36.515190731255252</v>
      </c>
      <c r="X34" s="47">
        <f>INDEX(Lab_Mat!$K$6:$N$9,MATCH($H34,Lab_Mat!$J$6:$J$9,0),MATCH($S$4,Lab_Mat!$K$5:$N$5,0))*O34*HLOOKUP(X$5,Escalators!$I$25:$U$30,3,FALSE)</f>
        <v>0</v>
      </c>
      <c r="Y34" s="47">
        <f>INDEX(Lab_Mat!$K$6:$N$9,MATCH($H34,Lab_Mat!$J$6:$J$9,0),MATCH($S$4,Lab_Mat!$K$5:$N$5,0))*P34*HLOOKUP(Y$5,Escalators!$I$25:$U$30,3,FALSE)</f>
        <v>0</v>
      </c>
      <c r="Z34" s="47">
        <f>INDEX(Lab_Mat!$K$6:$N$9,MATCH($H34,Lab_Mat!$J$6:$J$9,0),MATCH($S$4,Lab_Mat!$K$5:$N$5,0))*Q34*HLOOKUP(Z$5,Escalators!$I$25:$U$30,3,FALSE)</f>
        <v>0</v>
      </c>
      <c r="AB34" s="47">
        <f>INDEX(Lab_Mat!$K$6:$N$9,MATCH($H34,Lab_Mat!$J$6:$J$9,0),MATCH($AG$4,Lab_Mat!$K$5:$N$5,0))*$J34*INDEX(Act_Type_Repex_Splits,MATCH($I34,Act_Type_Repex,0),MATCH(AB$4,Mat_Type,0))*INDEX(Escalators!$I$44:$Q$49,MATCH(AB$4,Escalators!$C$44:$C$49,0),MATCH(AB$5,Escalators!$I$43:$Q$43,0))</f>
        <v>0</v>
      </c>
      <c r="AC34" s="47">
        <f>INDEX(Lab_Mat!$K$6:$N$9,MATCH($H34,Lab_Mat!$J$6:$J$9,0),MATCH($AG$4,Lab_Mat!$K$5:$N$5,0))*$J34*INDEX(Act_Type_Repex_Splits,MATCH($I34,Act_Type_Repex,0),MATCH(AC$4,Mat_Type,0))*INDEX(Escalators!$I$44:$Q$49,MATCH(AC$4,Escalators!$C$44:$C$49,0),MATCH(AC$5,Escalators!$I$43:$Q$43,0))</f>
        <v>0</v>
      </c>
      <c r="AD34" s="47">
        <f>INDEX(Lab_Mat!$K$6:$N$9,MATCH($H34,Lab_Mat!$J$6:$J$9,0),MATCH($AG$4,Lab_Mat!$K$5:$N$5,0))*$J34*INDEX(Act_Type_Repex_Splits,MATCH($I34,Act_Type_Repex,0),MATCH(AD$4,Mat_Type,0))*INDEX(Escalators!$I$44:$Q$49,MATCH(AD$4,Escalators!$C$44:$C$49,0),MATCH(AD$5,Escalators!$I$43:$Q$43,0))</f>
        <v>0</v>
      </c>
      <c r="AE34" s="47">
        <f>INDEX(Lab_Mat!$K$6:$N$9,MATCH($H34,Lab_Mat!$J$6:$J$9,0),MATCH($AG$4,Lab_Mat!$K$5:$N$5,0))*$J34*INDEX(Act_Type_Repex_Splits,MATCH($I34,Act_Type_Repex,0),MATCH(AE$4,Mat_Type,0))*INDEX(Escalators!$I$44:$Q$49,MATCH(AE$4,Escalators!$C$44:$C$49,0),MATCH(AE$5,Escalators!$I$43:$Q$43,0))</f>
        <v>0</v>
      </c>
      <c r="AF34" s="47">
        <f>INDEX(Lab_Mat!$K$6:$N$9,MATCH($H34,Lab_Mat!$J$6:$J$9,0),MATCH($AG$4,Lab_Mat!$K$5:$N$5,0))*$J34*INDEX(Act_Type_Repex_Splits,MATCH($I34,Act_Type_Repex,0),MATCH(AF$4,Mat_Type,0))*INDEX(Escalators!$I$44:$Q$49,MATCH(AF$4,Escalators!$C$44:$C$49,0),MATCH(AF$5,Escalators!$I$43:$Q$43,0))</f>
        <v>0</v>
      </c>
      <c r="AG34" s="47">
        <f t="shared" si="80"/>
        <v>0</v>
      </c>
      <c r="AH34" s="47">
        <f>INDEX(Lab_Mat!$K$6:$N$9,MATCH($H34,Lab_Mat!$J$6:$J$9,0),MATCH($AY$4,Lab_Mat!$K$5:$N$5,0))*$K34*INDEX(Act_Type_Repex_Splits,MATCH($I34,Act_Type_Repex,0),MATCH(AH$4,Mat_Type,0))*INDEX(Escalators!$I$44:$U$49,MATCH(AH$4,Escalators!$C$44:$C$49,0),MATCH(AH$5,Escalators!$I$43:$U$43,0))</f>
        <v>0</v>
      </c>
      <c r="AI34" s="47">
        <f>INDEX(Lab_Mat!$K$6:$N$9,MATCH($H34,Lab_Mat!$J$6:$J$9,0),MATCH($AY$4,Lab_Mat!$K$5:$N$5,0))*$K34*INDEX(Act_Type_Repex_Splits,MATCH($I34,Act_Type_Repex,0),MATCH(AI$4,Mat_Type,0))*INDEX(Escalators!$I$44:$U$49,MATCH(AI$4,Escalators!$C$44:$C$49,0),MATCH(AI$5,Escalators!$I$43:$U$43,0))</f>
        <v>0</v>
      </c>
      <c r="AJ34" s="47">
        <f>INDEX(Lab_Mat!$K$6:$N$9,MATCH($H34,Lab_Mat!$J$6:$J$9,0),MATCH($AY$4,Lab_Mat!$K$5:$N$5,0))*$K34*INDEX(Act_Type_Repex_Splits,MATCH($I34,Act_Type_Repex,0),MATCH(AJ$4,Mat_Type,0))*INDEX(Escalators!$I$44:$U$49,MATCH(AJ$4,Escalators!$C$44:$C$49,0),MATCH(AJ$5,Escalators!$I$43:$U$43,0))</f>
        <v>0</v>
      </c>
      <c r="AK34" s="47">
        <f>INDEX(Lab_Mat!$K$6:$N$9,MATCH($H34,Lab_Mat!$J$6:$J$9,0),MATCH($AY$4,Lab_Mat!$K$5:$N$5,0))*$K34*INDEX(Act_Type_Repex_Splits,MATCH($I34,Act_Type_Repex,0),MATCH(AK$4,Mat_Type,0))*INDEX(Escalators!$I$44:$U$49,MATCH(AK$4,Escalators!$C$44:$C$49,0),MATCH(AK$5,Escalators!$I$43:$U$43,0))</f>
        <v>0</v>
      </c>
      <c r="AL34" s="47">
        <f>INDEX(Lab_Mat!$K$6:$N$9,MATCH($H34,Lab_Mat!$J$6:$J$9,0),MATCH($AY$4,Lab_Mat!$K$5:$N$5,0))*$K34*INDEX(Act_Type_Repex_Splits,MATCH($I34,Act_Type_Repex,0),MATCH(AL$4,Mat_Type,0))*INDEX(Escalators!$I$44:$U$49,MATCH(AL$4,Escalators!$C$44:$C$49,0),MATCH(AL$5,Escalators!$I$43:$U$43,0))</f>
        <v>0</v>
      </c>
      <c r="AM34" s="47">
        <f t="shared" si="81"/>
        <v>0</v>
      </c>
      <c r="AN34" s="47">
        <f>INDEX(Lab_Mat!$K$6:$N$9,MATCH($H34,Lab_Mat!$J$6:$J$9,0),MATCH($AY$4,Lab_Mat!$K$5:$N$5,0))*$L34*INDEX(Act_Type_Repex_Splits,MATCH($I34,Act_Type_Repex,0),MATCH(AN$4,Mat_Type,0))*INDEX(Escalators!$I$44:$U$49,MATCH(AN$4,Escalators!$C$44:$C$49,0),MATCH(AN$5,Escalators!$I$43:$U$43,0))</f>
        <v>0</v>
      </c>
      <c r="AO34" s="47">
        <f>INDEX(Lab_Mat!$K$6:$N$9,MATCH($H34,Lab_Mat!$J$6:$J$9,0),MATCH($AY$4,Lab_Mat!$K$5:$N$5,0))*$L34*INDEX(Act_Type_Repex_Splits,MATCH($I34,Act_Type_Repex,0),MATCH(AO$4,Mat_Type,0))*INDEX(Escalators!$I$44:$U$49,MATCH(AO$4,Escalators!$C$44:$C$49,0),MATCH(AO$5,Escalators!$I$43:$U$43,0))</f>
        <v>0</v>
      </c>
      <c r="AP34" s="47">
        <f>INDEX(Lab_Mat!$K$6:$N$9,MATCH($H34,Lab_Mat!$J$6:$J$9,0),MATCH($AY$4,Lab_Mat!$K$5:$N$5,0))*$L34*INDEX(Act_Type_Repex_Splits,MATCH($I34,Act_Type_Repex,0),MATCH(AP$4,Mat_Type,0))*INDEX(Escalators!$I$44:$U$49,MATCH(AP$4,Escalators!$C$44:$C$49,0),MATCH(AP$5,Escalators!$I$43:$U$43,0))</f>
        <v>0</v>
      </c>
      <c r="AQ34" s="47">
        <f>INDEX(Lab_Mat!$K$6:$N$9,MATCH($H34,Lab_Mat!$J$6:$J$9,0),MATCH($AY$4,Lab_Mat!$K$5:$N$5,0))*$L34*INDEX(Act_Type_Repex_Splits,MATCH($I34,Act_Type_Repex,0),MATCH(AQ$4,Mat_Type,0))*INDEX(Escalators!$I$44:$U$49,MATCH(AQ$4,Escalators!$C$44:$C$49,0),MATCH(AQ$5,Escalators!$I$43:$U$43,0))</f>
        <v>0</v>
      </c>
      <c r="AR34" s="47">
        <f>INDEX(Lab_Mat!$K$6:$N$9,MATCH($H34,Lab_Mat!$J$6:$J$9,0),MATCH($AY$4,Lab_Mat!$K$5:$N$5,0))*$L34*INDEX(Act_Type_Repex_Splits,MATCH($I34,Act_Type_Repex,0),MATCH(AR$4,Mat_Type,0))*INDEX(Escalators!$I$44:$U$49,MATCH(AR$4,Escalators!$C$44:$C$49,0),MATCH(AR$5,Escalators!$I$43:$U$43,0))</f>
        <v>0</v>
      </c>
      <c r="AS34" s="47">
        <f t="shared" si="82"/>
        <v>0</v>
      </c>
      <c r="AT34" s="47">
        <f>INDEX(Lab_Mat!$K$6:$N$9,MATCH($H34,Lab_Mat!$J$6:$J$9,0),MATCH($AY$4,Lab_Mat!$K$5:$N$5,0))*$M34*INDEX(Act_Type_Repex_Splits,MATCH($I34,Act_Type_Repex,0),MATCH(AT$4,Mat_Type,0))*INDEX(Escalators!$I$44:$U$49,MATCH(AT$4,Escalators!$C$44:$C$49,0),MATCH(AT$5,Escalators!$I$43:$U$43,0))</f>
        <v>0</v>
      </c>
      <c r="AU34" s="47">
        <f>INDEX(Lab_Mat!$K$6:$N$9,MATCH($H34,Lab_Mat!$J$6:$J$9,0),MATCH($AY$4,Lab_Mat!$K$5:$N$5,0))*$M34*INDEX(Act_Type_Repex_Splits,MATCH($I34,Act_Type_Repex,0),MATCH(AU$4,Mat_Type,0))*INDEX(Escalators!$I$44:$U$49,MATCH(AU$4,Escalators!$C$44:$C$49,0),MATCH(AU$5,Escalators!$I$43:$U$43,0))</f>
        <v>0</v>
      </c>
      <c r="AV34" s="47">
        <f>INDEX(Lab_Mat!$K$6:$N$9,MATCH($H34,Lab_Mat!$J$6:$J$9,0),MATCH($AY$4,Lab_Mat!$K$5:$N$5,0))*$M34*INDEX(Act_Type_Repex_Splits,MATCH($I34,Act_Type_Repex,0),MATCH(AV$4,Mat_Type,0))*INDEX(Escalators!$I$44:$U$49,MATCH(AV$4,Escalators!$C$44:$C$49,0),MATCH(AV$5,Escalators!$I$43:$U$43,0))</f>
        <v>-66.909106777782426</v>
      </c>
      <c r="AW34" s="47">
        <f>INDEX(Lab_Mat!$K$6:$N$9,MATCH($H34,Lab_Mat!$J$6:$J$9,0),MATCH($AY$4,Lab_Mat!$K$5:$N$5,0))*$M34*INDEX(Act_Type_Repex_Splits,MATCH($I34,Act_Type_Repex,0),MATCH(AW$4,Mat_Type,0))*INDEX(Escalators!$I$44:$U$49,MATCH(AW$4,Escalators!$C$44:$C$49,0),MATCH(AW$5,Escalators!$I$43:$U$43,0))</f>
        <v>0</v>
      </c>
      <c r="AX34" s="47">
        <f>INDEX(Lab_Mat!$K$6:$N$9,MATCH($H34,Lab_Mat!$J$6:$J$9,0),MATCH($AY$4,Lab_Mat!$K$5:$N$5,0))*$M34*INDEX(Act_Type_Repex_Splits,MATCH($I34,Act_Type_Repex,0),MATCH(AX$4,Mat_Type,0))*INDEX(Escalators!$I$44:$U$49,MATCH(AX$4,Escalators!$C$44:$C$49,0),MATCH(AX$5,Escalators!$I$43:$U$43,0))</f>
        <v>-267.63642711112971</v>
      </c>
      <c r="AY34" s="47">
        <f t="shared" si="83"/>
        <v>-334.54553388891213</v>
      </c>
      <c r="AZ34" s="47">
        <f>INDEX(Lab_Mat!$K$6:$N$9,MATCH($H34,Lab_Mat!$J$6:$J$9,0),MATCH($BE$4,Lab_Mat!$K$5:$N$5,0))*$N34*INDEX(Act_Type_Repex_Splits,MATCH($I34,Act_Type_Repex,0),MATCH(AZ$4,Mat_Type,0))*INDEX(Escalators!$I$44:$U$49,MATCH(AZ$4,Escalators!$C$44:$C$49,0),MATCH(AZ$5,Escalators!$I$43:$U$43,0))</f>
        <v>0</v>
      </c>
      <c r="BA34" s="47">
        <f>INDEX(Lab_Mat!$K$6:$N$9,MATCH($H34,Lab_Mat!$J$6:$J$9,0),MATCH($BE$4,Lab_Mat!$K$5:$N$5,0))*$N34*INDEX(Act_Type_Repex_Splits,MATCH($I34,Act_Type_Repex,0),MATCH(BA$4,Mat_Type,0))*INDEX(Escalators!$I$44:$U$49,MATCH(BA$4,Escalators!$C$44:$C$49,0),MATCH(BA$5,Escalators!$I$43:$U$43,0))</f>
        <v>0</v>
      </c>
      <c r="BB34" s="47">
        <f>INDEX(Lab_Mat!$K$6:$N$9,MATCH($H34,Lab_Mat!$J$6:$J$9,0),MATCH($BE$4,Lab_Mat!$K$5:$N$5,0))*$N34*INDEX(Act_Type_Repex_Splits,MATCH($I34,Act_Type_Repex,0),MATCH(BB$4,Mat_Type,0))*INDEX(Escalators!$I$44:$U$49,MATCH(BB$4,Escalators!$C$44:$C$49,0),MATCH(BB$5,Escalators!$I$43:$U$43,0))</f>
        <v>-20.714950767719845</v>
      </c>
      <c r="BC34" s="47">
        <f>INDEX(Lab_Mat!$K$6:$N$9,MATCH($H34,Lab_Mat!$J$6:$J$9,0),MATCH($BE$4,Lab_Mat!$K$5:$N$5,0))*$N34*INDEX(Act_Type_Repex_Splits,MATCH($I34,Act_Type_Repex,0),MATCH(BC$4,Mat_Type,0))*INDEX(Escalators!$I$44:$U$49,MATCH(BC$4,Escalators!$C$44:$C$49,0),MATCH(BC$5,Escalators!$I$43:$U$43,0))</f>
        <v>0</v>
      </c>
      <c r="BD34" s="47">
        <f>INDEX(Lab_Mat!$K$6:$N$9,MATCH($H34,Lab_Mat!$J$6:$J$9,0),MATCH($BE$4,Lab_Mat!$K$5:$N$5,0))*$N34*INDEX(Act_Type_Repex_Splits,MATCH($I34,Act_Type_Repex,0),MATCH(BD$4,Mat_Type,0))*INDEX(Escalators!$I$44:$U$49,MATCH(BD$4,Escalators!$C$44:$C$49,0),MATCH(BD$5,Escalators!$I$43:$U$43,0))</f>
        <v>-82.85980307087938</v>
      </c>
      <c r="BE34" s="47">
        <f t="shared" si="84"/>
        <v>-103.57475383859922</v>
      </c>
      <c r="BF34" s="47">
        <f>INDEX(Lab_Mat!$K$6:$N$9,MATCH($H34,Lab_Mat!$J$6:$J$9,0),MATCH($BK$4,Lab_Mat!$K$5:$N$5,0))*$O34*INDEX(Act_Type_Repex_Splits,MATCH($I34,Act_Type_Repex,0),MATCH(BF$4,Mat_Type,0))*INDEX(Escalators!$I$44:$U$49,MATCH(BF$4,Escalators!$C$44:$C$49,0),MATCH(BF$5,Escalators!$I$43:$U$43,0))</f>
        <v>0</v>
      </c>
      <c r="BG34" s="47">
        <f>INDEX(Lab_Mat!$K$6:$N$9,MATCH($H34,Lab_Mat!$J$6:$J$9,0),MATCH($BK$4,Lab_Mat!$K$5:$N$5,0))*$O34*INDEX(Act_Type_Repex_Splits,MATCH($I34,Act_Type_Repex,0),MATCH(BG$4,Mat_Type,0))*INDEX(Escalators!$I$44:$U$49,MATCH(BG$4,Escalators!$C$44:$C$49,0),MATCH(BG$5,Escalators!$I$43:$U$43,0))</f>
        <v>0</v>
      </c>
      <c r="BH34" s="47">
        <f>INDEX(Lab_Mat!$K$6:$N$9,MATCH($H34,Lab_Mat!$J$6:$J$9,0),MATCH($BK$4,Lab_Mat!$K$5:$N$5,0))*$O34*INDEX(Act_Type_Repex_Splits,MATCH($I34,Act_Type_Repex,0),MATCH(BH$4,Mat_Type,0))*INDEX(Escalators!$I$44:$U$49,MATCH(BH$4,Escalators!$C$44:$C$49,0),MATCH(BH$5,Escalators!$I$43:$U$43,0))</f>
        <v>0</v>
      </c>
      <c r="BI34" s="47">
        <f>INDEX(Lab_Mat!$K$6:$N$9,MATCH($H34,Lab_Mat!$J$6:$J$9,0),MATCH($BK$4,Lab_Mat!$K$5:$N$5,0))*$O34*INDEX(Act_Type_Repex_Splits,MATCH($I34,Act_Type_Repex,0),MATCH(BI$4,Mat_Type,0))*INDEX(Escalators!$I$44:$U$49,MATCH(BI$4,Escalators!$C$44:$C$49,0),MATCH(BI$5,Escalators!$I$43:$U$43,0))</f>
        <v>0</v>
      </c>
      <c r="BJ34" s="47">
        <f>INDEX(Lab_Mat!$K$6:$N$9,MATCH($H34,Lab_Mat!$J$6:$J$9,0),MATCH($BK$4,Lab_Mat!$K$5:$N$5,0))*$O34*INDEX(Act_Type_Repex_Splits,MATCH($I34,Act_Type_Repex,0),MATCH(BJ$4,Mat_Type,0))*INDEX(Escalators!$I$44:$U$49,MATCH(BJ$4,Escalators!$C$44:$C$49,0),MATCH(BJ$5,Escalators!$I$43:$U$43,0))</f>
        <v>0</v>
      </c>
      <c r="BK34" s="47">
        <f t="shared" si="85"/>
        <v>0</v>
      </c>
      <c r="BL34" s="47">
        <f>INDEX(Lab_Mat!$K$6:$N$9,MATCH($H34,Lab_Mat!$J$6:$J$9,0),MATCH($BQ$4,Lab_Mat!$K$5:$N$5,0))*$P34*INDEX(Act_Type_Repex_Splits,MATCH($I34,Act_Type_Repex,0),MATCH(BL$4,Mat_Type,0))*INDEX(Escalators!$I$44:$U$49,MATCH(BL$4,Escalators!$C$44:$C$49,0),MATCH(BL$5,Escalators!$I$43:$U$43,0))</f>
        <v>0</v>
      </c>
      <c r="BM34" s="47">
        <f>INDEX(Lab_Mat!$K$6:$N$9,MATCH($H34,Lab_Mat!$J$6:$J$9,0),MATCH($BQ$4,Lab_Mat!$K$5:$N$5,0))*$P34*INDEX(Act_Type_Repex_Splits,MATCH($I34,Act_Type_Repex,0),MATCH(BM$4,Mat_Type,0))*INDEX(Escalators!$I$44:$U$49,MATCH(BM$4,Escalators!$C$44:$C$49,0),MATCH(BM$5,Escalators!$I$43:$U$43,0))</f>
        <v>0</v>
      </c>
      <c r="BN34" s="47">
        <f>INDEX(Lab_Mat!$K$6:$N$9,MATCH($H34,Lab_Mat!$J$6:$J$9,0),MATCH($BQ$4,Lab_Mat!$K$5:$N$5,0))*$P34*INDEX(Act_Type_Repex_Splits,MATCH($I34,Act_Type_Repex,0),MATCH(BN$4,Mat_Type,0))*INDEX(Escalators!$I$44:$U$49,MATCH(BN$4,Escalators!$C$44:$C$49,0),MATCH(BN$5,Escalators!$I$43:$U$43,0))</f>
        <v>0</v>
      </c>
      <c r="BO34" s="47">
        <f>INDEX(Lab_Mat!$K$6:$N$9,MATCH($H34,Lab_Mat!$J$6:$J$9,0),MATCH($BQ$4,Lab_Mat!$K$5:$N$5,0))*$P34*INDEX(Act_Type_Repex_Splits,MATCH($I34,Act_Type_Repex,0),MATCH(BO$4,Mat_Type,0))*INDEX(Escalators!$I$44:$U$49,MATCH(BO$4,Escalators!$C$44:$C$49,0),MATCH(BO$5,Escalators!$I$43:$U$43,0))</f>
        <v>0</v>
      </c>
      <c r="BP34" s="47">
        <f>INDEX(Lab_Mat!$K$6:$N$9,MATCH($H34,Lab_Mat!$J$6:$J$9,0),MATCH($BQ$4,Lab_Mat!$K$5:$N$5,0))*$P34*INDEX(Act_Type_Repex_Splits,MATCH($I34,Act_Type_Repex,0),MATCH(BP$4,Mat_Type,0))*INDEX(Escalators!$I$44:$U$49,MATCH(BP$4,Escalators!$C$44:$C$49,0),MATCH(BP$5,Escalators!$I$43:$U$43,0))</f>
        <v>0</v>
      </c>
      <c r="BQ34" s="47">
        <f t="shared" si="86"/>
        <v>0</v>
      </c>
      <c r="BR34" s="47">
        <f>INDEX(Lab_Mat!$K$6:$N$9,MATCH($H34,Lab_Mat!$J$6:$J$9,0),MATCH($BW$4,Lab_Mat!$K$5:$N$5,0))*$Q34*INDEX(Act_Type_Repex_Splits,MATCH($I34,Act_Type_Repex,0),MATCH(BR$4,Mat_Type,0))*INDEX(Escalators!$I$44:$U$49,MATCH(BR$4,Escalators!$C$44:$C$49,0),MATCH(BR$5,Escalators!$I$43:$U$43,0))</f>
        <v>0</v>
      </c>
      <c r="BS34" s="47">
        <f>INDEX(Lab_Mat!$K$6:$N$9,MATCH($H34,Lab_Mat!$J$6:$J$9,0),MATCH($BW$4,Lab_Mat!$K$5:$N$5,0))*$Q34*INDEX(Act_Type_Repex_Splits,MATCH($I34,Act_Type_Repex,0),MATCH(BS$4,Mat_Type,0))*INDEX(Escalators!$I$44:$U$49,MATCH(BS$4,Escalators!$C$44:$C$49,0),MATCH(BS$5,Escalators!$I$43:$U$43,0))</f>
        <v>0</v>
      </c>
      <c r="BT34" s="47">
        <f>INDEX(Lab_Mat!$K$6:$N$9,MATCH($H34,Lab_Mat!$J$6:$J$9,0),MATCH($BW$4,Lab_Mat!$K$5:$N$5,0))*$Q34*INDEX(Act_Type_Repex_Splits,MATCH($I34,Act_Type_Repex,0),MATCH(BT$4,Mat_Type,0))*INDEX(Escalators!$I$44:$U$49,MATCH(BT$4,Escalators!$C$44:$C$49,0),MATCH(BT$5,Escalators!$I$43:$U$43,0))</f>
        <v>0</v>
      </c>
      <c r="BU34" s="47">
        <f>INDEX(Lab_Mat!$K$6:$N$9,MATCH($H34,Lab_Mat!$J$6:$J$9,0),MATCH($BW$4,Lab_Mat!$K$5:$N$5,0))*$Q34*INDEX(Act_Type_Repex_Splits,MATCH($I34,Act_Type_Repex,0),MATCH(BU$4,Mat_Type,0))*INDEX(Escalators!$I$44:$U$49,MATCH(BU$4,Escalators!$C$44:$C$49,0),MATCH(BU$5,Escalators!$I$43:$U$43,0))</f>
        <v>0</v>
      </c>
      <c r="BV34" s="47">
        <f>INDEX(Lab_Mat!$K$6:$N$9,MATCH($H34,Lab_Mat!$J$6:$J$9,0),MATCH($BW$4,Lab_Mat!$K$5:$N$5,0))*$Q34*INDEX(Act_Type_Repex_Splits,MATCH($I34,Act_Type_Repex,0),MATCH(BV$4,Mat_Type,0))*INDEX(Escalators!$I$44:$U$49,MATCH(BV$4,Escalators!$C$44:$C$49,0),MATCH(BV$5,Escalators!$I$43:$U$43,0))</f>
        <v>0</v>
      </c>
      <c r="BW34" s="47">
        <f t="shared" si="87"/>
        <v>0</v>
      </c>
      <c r="BY34" s="47">
        <f>INDEX(Lab_Mat!$K$6:$N$9,MATCH($H34,Lab_Mat!$J$6:$J$9,0),MATCH($BY$4,Lab_Mat!$K$5:$N$5,0))*J34*HLOOKUP(BY$5,Escalators!$I$25:$U$30,6,FALSE)</f>
        <v>0</v>
      </c>
      <c r="BZ34" s="47">
        <f>INDEX(Lab_Mat!$K$6:$N$9,MATCH($H34,Lab_Mat!$J$6:$J$9,0),MATCH($BY$4,Lab_Mat!$K$5:$N$5,0))*K34*HLOOKUP(BZ$5,Escalators!$I$25:$U$30,6,FALSE)</f>
        <v>0</v>
      </c>
      <c r="CA34" s="47">
        <f>INDEX(Lab_Mat!$K$6:$N$9,MATCH($H34,Lab_Mat!$J$6:$J$9,0),MATCH($BY$4,Lab_Mat!$K$5:$N$5,0))*L34*HLOOKUP(CA$5,Escalators!$I$25:$U$30,6,FALSE)</f>
        <v>0</v>
      </c>
      <c r="CB34" s="47">
        <f>INDEX(Lab_Mat!$K$6:$N$9,MATCH($H34,Lab_Mat!$J$6:$J$9,0),MATCH($BY$4,Lab_Mat!$K$5:$N$5,0))*M34*HLOOKUP(CB$5,Escalators!$I$25:$U$30,6,FALSE)</f>
        <v>-121.461737611752</v>
      </c>
      <c r="CC34" s="47">
        <f>INDEX(Lab_Mat!$K$6:$N$9,MATCH($H34,Lab_Mat!$J$6:$J$9,0),MATCH($BY$4,Lab_Mat!$K$5:$N$5,0))*N34*HLOOKUP(CC$5,Escalators!$I$25:$U$30,6,FALSE)</f>
        <v>-37.604356655746386</v>
      </c>
      <c r="CD34" s="47">
        <f>INDEX(Lab_Mat!$K$6:$N$9,MATCH($H34,Lab_Mat!$J$6:$J$9,0),MATCH($BY$4,Lab_Mat!$K$5:$N$5,0))*O34*HLOOKUP(CD$5,Escalators!$I$25:$U$30,6,FALSE)</f>
        <v>0</v>
      </c>
      <c r="CE34" s="47">
        <f>INDEX(Lab_Mat!$K$6:$N$9,MATCH($H34,Lab_Mat!$J$6:$J$9,0),MATCH($BY$4,Lab_Mat!$K$5:$N$5,0))*P34*HLOOKUP(CE$5,Escalators!$I$25:$U$30,6,FALSE)</f>
        <v>0</v>
      </c>
      <c r="CF34" s="47">
        <f>INDEX(Lab_Mat!$K$6:$N$9,MATCH($H34,Lab_Mat!$J$6:$J$9,0),MATCH($BY$4,Lab_Mat!$K$5:$N$5,0))*Q34*HLOOKUP(CF$5,Escalators!$I$25:$U$30,6,FALSE)</f>
        <v>0</v>
      </c>
      <c r="CH34" s="82">
        <f>INDEX(Lab_Mat!$K$6:$N$9,MATCH($H34,Lab_Mat!$J$6:$J$9,0),MATCH($CH$4,Lab_Mat!$K$5:$N$5,0))*J34</f>
        <v>0</v>
      </c>
      <c r="CI34" s="82">
        <f>INDEX(Lab_Mat!$K$6:$N$9,MATCH($H34,Lab_Mat!$J$6:$J$9,0),MATCH($CH$4,Lab_Mat!$K$5:$N$5,0))*K34</f>
        <v>0</v>
      </c>
      <c r="CJ34" s="82">
        <f>INDEX(Lab_Mat!$K$6:$N$9,MATCH($H34,Lab_Mat!$J$6:$J$9,0),MATCH($CH$4,Lab_Mat!$K$5:$N$5,0))*L34</f>
        <v>0</v>
      </c>
      <c r="CK34" s="82">
        <f>INDEX(Lab_Mat!$K$6:$N$9,MATCH($H34,Lab_Mat!$J$6:$J$9,0),MATCH($CH$4,Lab_Mat!$K$5:$N$5,0))*M34</f>
        <v>-48.309498570189639</v>
      </c>
      <c r="CL34" s="82">
        <f>INDEX(Lab_Mat!$K$6:$N$9,MATCH($H34,Lab_Mat!$J$6:$J$9,0),MATCH($CH$4,Lab_Mat!$K$5:$N$5,0))*N34</f>
        <v>-14.956542280833565</v>
      </c>
      <c r="CM34" s="82">
        <f>INDEX(Lab_Mat!$K$6:$N$9,MATCH($H34,Lab_Mat!$J$6:$J$9,0),MATCH($CH$4,Lab_Mat!$K$5:$N$5,0))*O34</f>
        <v>0</v>
      </c>
      <c r="CN34" s="82">
        <f>INDEX(Lab_Mat!$K$6:$N$9,MATCH($H34,Lab_Mat!$J$6:$J$9,0),MATCH($CH$4,Lab_Mat!$K$5:$N$5,0))*P34</f>
        <v>0</v>
      </c>
      <c r="CO34" s="82">
        <f>INDEX(Lab_Mat!$K$6:$N$9,MATCH($H34,Lab_Mat!$J$6:$J$9,0),MATCH($CH$4,Lab_Mat!$K$5:$N$5,0))*Q34</f>
        <v>0</v>
      </c>
      <c r="CQ34" s="47">
        <f t="shared" si="98"/>
        <v>0</v>
      </c>
      <c r="CR34" s="47">
        <f t="shared" si="99"/>
        <v>0</v>
      </c>
      <c r="CS34" s="47">
        <f t="shared" si="24"/>
        <v>0</v>
      </c>
      <c r="CT34" s="47">
        <f t="shared" si="100"/>
        <v>-621.67829342041705</v>
      </c>
      <c r="CU34" s="47">
        <f t="shared" si="101"/>
        <v>-192.65084350643443</v>
      </c>
      <c r="CV34" s="47">
        <f t="shared" si="102"/>
        <v>0</v>
      </c>
      <c r="CW34" s="47">
        <f t="shared" si="103"/>
        <v>0</v>
      </c>
      <c r="CX34" s="47">
        <f t="shared" si="104"/>
        <v>0</v>
      </c>
    </row>
    <row r="35" spans="2:109">
      <c r="B35" s="6"/>
      <c r="C35" s="6" t="s">
        <v>412</v>
      </c>
      <c r="D35" s="744" t="s">
        <v>830</v>
      </c>
      <c r="E35" s="6" t="s">
        <v>48</v>
      </c>
      <c r="F35" s="6" t="s">
        <v>55</v>
      </c>
      <c r="G35" s="6" t="s">
        <v>150</v>
      </c>
      <c r="H35" s="6" t="s">
        <v>741</v>
      </c>
      <c r="I35" s="6" t="s">
        <v>204</v>
      </c>
      <c r="J35" s="47"/>
      <c r="K35" s="47"/>
      <c r="L35" s="47"/>
      <c r="M35" s="750">
        <f t="shared" ref="M35:N35" si="106">M27/(M$50-M$29)*-(M$56-M$29)</f>
        <v>-11.532388746225001</v>
      </c>
      <c r="N35" s="750">
        <f t="shared" si="106"/>
        <v>-7.0834686977742596</v>
      </c>
      <c r="O35" s="47"/>
      <c r="P35" s="47"/>
      <c r="Q35" s="47"/>
      <c r="S35" s="47">
        <f>INDEX(Lab_Mat!$K$6:$N$9,MATCH($H35,Lab_Mat!$J$6:$J$9,0),MATCH($S$4,Lab_Mat!$K$5:$N$5,0))*J35*HLOOKUP(S$5,Escalators!$I$25:$U$30,3,FALSE)</f>
        <v>0</v>
      </c>
      <c r="T35" s="47">
        <f>INDEX(Lab_Mat!$K$6:$N$9,MATCH($H35,Lab_Mat!$J$6:$J$9,0),MATCH($S$4,Lab_Mat!$K$5:$N$5,0))*K35*HLOOKUP(T$5,Escalators!$I$25:$U$30,3,FALSE)</f>
        <v>0</v>
      </c>
      <c r="U35" s="47">
        <f>INDEX(Lab_Mat!$K$6:$N$9,MATCH($H35,Lab_Mat!$J$6:$J$9,0),MATCH($S$4,Lab_Mat!$K$5:$N$5,0))*L35*HLOOKUP(U$5,Escalators!$I$25:$U$30,3,FALSE)</f>
        <v>0</v>
      </c>
      <c r="V35" s="47">
        <f>INDEX(Lab_Mat!$K$6:$N$9,MATCH($H35,Lab_Mat!$J$6:$J$9,0),MATCH($S$4,Lab_Mat!$K$5:$N$5,0))*M35*HLOOKUP(V$5,Escalators!$I$25:$U$30,3,FALSE)</f>
        <v>-2.1901967462693737</v>
      </c>
      <c r="W35" s="47">
        <f>INDEX(Lab_Mat!$K$6:$N$9,MATCH($H35,Lab_Mat!$J$6:$J$9,0),MATCH($S$4,Lab_Mat!$K$5:$N$5,0))*N35*HLOOKUP(W$5,Escalators!$I$25:$U$30,3,FALSE)</f>
        <v>-1.3519449162794557</v>
      </c>
      <c r="X35" s="47">
        <f>INDEX(Lab_Mat!$K$6:$N$9,MATCH($H35,Lab_Mat!$J$6:$J$9,0),MATCH($S$4,Lab_Mat!$K$5:$N$5,0))*O35*HLOOKUP(X$5,Escalators!$I$25:$U$30,3,FALSE)</f>
        <v>0</v>
      </c>
      <c r="Y35" s="47">
        <f>INDEX(Lab_Mat!$K$6:$N$9,MATCH($H35,Lab_Mat!$J$6:$J$9,0),MATCH($S$4,Lab_Mat!$K$5:$N$5,0))*P35*HLOOKUP(Y$5,Escalators!$I$25:$U$30,3,FALSE)</f>
        <v>0</v>
      </c>
      <c r="Z35" s="47">
        <f>INDEX(Lab_Mat!$K$6:$N$9,MATCH($H35,Lab_Mat!$J$6:$J$9,0),MATCH($S$4,Lab_Mat!$K$5:$N$5,0))*Q35*HLOOKUP(Z$5,Escalators!$I$25:$U$30,3,FALSE)</f>
        <v>0</v>
      </c>
      <c r="AB35" s="47">
        <f>INDEX(Lab_Mat!$K$6:$N$9,MATCH($H35,Lab_Mat!$J$6:$J$9,0),MATCH($AG$4,Lab_Mat!$K$5:$N$5,0))*$J35*INDEX(Act_Type_Repex_Splits,MATCH($I35,Act_Type_Repex,0),MATCH(AB$4,Mat_Type,0))*INDEX(Escalators!$I$44:$Q$49,MATCH(AB$4,Escalators!$C$44:$C$49,0),MATCH(AB$5,Escalators!$I$43:$Q$43,0))</f>
        <v>0</v>
      </c>
      <c r="AC35" s="47">
        <f>INDEX(Lab_Mat!$K$6:$N$9,MATCH($H35,Lab_Mat!$J$6:$J$9,0),MATCH($AG$4,Lab_Mat!$K$5:$N$5,0))*$J35*INDEX(Act_Type_Repex_Splits,MATCH($I35,Act_Type_Repex,0),MATCH(AC$4,Mat_Type,0))*INDEX(Escalators!$I$44:$Q$49,MATCH(AC$4,Escalators!$C$44:$C$49,0),MATCH(AC$5,Escalators!$I$43:$Q$43,0))</f>
        <v>0</v>
      </c>
      <c r="AD35" s="47">
        <f>INDEX(Lab_Mat!$K$6:$N$9,MATCH($H35,Lab_Mat!$J$6:$J$9,0),MATCH($AG$4,Lab_Mat!$K$5:$N$5,0))*$J35*INDEX(Act_Type_Repex_Splits,MATCH($I35,Act_Type_Repex,0),MATCH(AD$4,Mat_Type,0))*INDEX(Escalators!$I$44:$Q$49,MATCH(AD$4,Escalators!$C$44:$C$49,0),MATCH(AD$5,Escalators!$I$43:$Q$43,0))</f>
        <v>0</v>
      </c>
      <c r="AE35" s="47">
        <f>INDEX(Lab_Mat!$K$6:$N$9,MATCH($H35,Lab_Mat!$J$6:$J$9,0),MATCH($AG$4,Lab_Mat!$K$5:$N$5,0))*$J35*INDEX(Act_Type_Repex_Splits,MATCH($I35,Act_Type_Repex,0),MATCH(AE$4,Mat_Type,0))*INDEX(Escalators!$I$44:$Q$49,MATCH(AE$4,Escalators!$C$44:$C$49,0),MATCH(AE$5,Escalators!$I$43:$Q$43,0))</f>
        <v>0</v>
      </c>
      <c r="AF35" s="47">
        <f>INDEX(Lab_Mat!$K$6:$N$9,MATCH($H35,Lab_Mat!$J$6:$J$9,0),MATCH($AG$4,Lab_Mat!$K$5:$N$5,0))*$J35*INDEX(Act_Type_Repex_Splits,MATCH($I35,Act_Type_Repex,0),MATCH(AF$4,Mat_Type,0))*INDEX(Escalators!$I$44:$Q$49,MATCH(AF$4,Escalators!$C$44:$C$49,0),MATCH(AF$5,Escalators!$I$43:$Q$43,0))</f>
        <v>0</v>
      </c>
      <c r="AG35" s="47">
        <f t="shared" si="80"/>
        <v>0</v>
      </c>
      <c r="AH35" s="47">
        <f>INDEX(Lab_Mat!$K$6:$N$9,MATCH($H35,Lab_Mat!$J$6:$J$9,0),MATCH($AY$4,Lab_Mat!$K$5:$N$5,0))*$K35*INDEX(Act_Type_Repex_Splits,MATCH($I35,Act_Type_Repex,0),MATCH(AH$4,Mat_Type,0))*INDEX(Escalators!$I$44:$U$49,MATCH(AH$4,Escalators!$C$44:$C$49,0),MATCH(AH$5,Escalators!$I$43:$U$43,0))</f>
        <v>0</v>
      </c>
      <c r="AI35" s="47">
        <f>INDEX(Lab_Mat!$K$6:$N$9,MATCH($H35,Lab_Mat!$J$6:$J$9,0),MATCH($AY$4,Lab_Mat!$K$5:$N$5,0))*$K35*INDEX(Act_Type_Repex_Splits,MATCH($I35,Act_Type_Repex,0),MATCH(AI$4,Mat_Type,0))*INDEX(Escalators!$I$44:$U$49,MATCH(AI$4,Escalators!$C$44:$C$49,0),MATCH(AI$5,Escalators!$I$43:$U$43,0))</f>
        <v>0</v>
      </c>
      <c r="AJ35" s="47">
        <f>INDEX(Lab_Mat!$K$6:$N$9,MATCH($H35,Lab_Mat!$J$6:$J$9,0),MATCH($AY$4,Lab_Mat!$K$5:$N$5,0))*$K35*INDEX(Act_Type_Repex_Splits,MATCH($I35,Act_Type_Repex,0),MATCH(AJ$4,Mat_Type,0))*INDEX(Escalators!$I$44:$U$49,MATCH(AJ$4,Escalators!$C$44:$C$49,0),MATCH(AJ$5,Escalators!$I$43:$U$43,0))</f>
        <v>0</v>
      </c>
      <c r="AK35" s="47">
        <f>INDEX(Lab_Mat!$K$6:$N$9,MATCH($H35,Lab_Mat!$J$6:$J$9,0),MATCH($AY$4,Lab_Mat!$K$5:$N$5,0))*$K35*INDEX(Act_Type_Repex_Splits,MATCH($I35,Act_Type_Repex,0),MATCH(AK$4,Mat_Type,0))*INDEX(Escalators!$I$44:$U$49,MATCH(AK$4,Escalators!$C$44:$C$49,0),MATCH(AK$5,Escalators!$I$43:$U$43,0))</f>
        <v>0</v>
      </c>
      <c r="AL35" s="47">
        <f>INDEX(Lab_Mat!$K$6:$N$9,MATCH($H35,Lab_Mat!$J$6:$J$9,0),MATCH($AY$4,Lab_Mat!$K$5:$N$5,0))*$K35*INDEX(Act_Type_Repex_Splits,MATCH($I35,Act_Type_Repex,0),MATCH(AL$4,Mat_Type,0))*INDEX(Escalators!$I$44:$U$49,MATCH(AL$4,Escalators!$C$44:$C$49,0),MATCH(AL$5,Escalators!$I$43:$U$43,0))</f>
        <v>0</v>
      </c>
      <c r="AM35" s="47">
        <f t="shared" si="81"/>
        <v>0</v>
      </c>
      <c r="AN35" s="47">
        <f>INDEX(Lab_Mat!$K$6:$N$9,MATCH($H35,Lab_Mat!$J$6:$J$9,0),MATCH($AY$4,Lab_Mat!$K$5:$N$5,0))*$L35*INDEX(Act_Type_Repex_Splits,MATCH($I35,Act_Type_Repex,0),MATCH(AN$4,Mat_Type,0))*INDEX(Escalators!$I$44:$U$49,MATCH(AN$4,Escalators!$C$44:$C$49,0),MATCH(AN$5,Escalators!$I$43:$U$43,0))</f>
        <v>0</v>
      </c>
      <c r="AO35" s="47">
        <f>INDEX(Lab_Mat!$K$6:$N$9,MATCH($H35,Lab_Mat!$J$6:$J$9,0),MATCH($AY$4,Lab_Mat!$K$5:$N$5,0))*$L35*INDEX(Act_Type_Repex_Splits,MATCH($I35,Act_Type_Repex,0),MATCH(AO$4,Mat_Type,0))*INDEX(Escalators!$I$44:$U$49,MATCH(AO$4,Escalators!$C$44:$C$49,0),MATCH(AO$5,Escalators!$I$43:$U$43,0))</f>
        <v>0</v>
      </c>
      <c r="AP35" s="47">
        <f>INDEX(Lab_Mat!$K$6:$N$9,MATCH($H35,Lab_Mat!$J$6:$J$9,0),MATCH($AY$4,Lab_Mat!$K$5:$N$5,0))*$L35*INDEX(Act_Type_Repex_Splits,MATCH($I35,Act_Type_Repex,0),MATCH(AP$4,Mat_Type,0))*INDEX(Escalators!$I$44:$U$49,MATCH(AP$4,Escalators!$C$44:$C$49,0),MATCH(AP$5,Escalators!$I$43:$U$43,0))</f>
        <v>0</v>
      </c>
      <c r="AQ35" s="47">
        <f>INDEX(Lab_Mat!$K$6:$N$9,MATCH($H35,Lab_Mat!$J$6:$J$9,0),MATCH($AY$4,Lab_Mat!$K$5:$N$5,0))*$L35*INDEX(Act_Type_Repex_Splits,MATCH($I35,Act_Type_Repex,0),MATCH(AQ$4,Mat_Type,0))*INDEX(Escalators!$I$44:$U$49,MATCH(AQ$4,Escalators!$C$44:$C$49,0),MATCH(AQ$5,Escalators!$I$43:$U$43,0))</f>
        <v>0</v>
      </c>
      <c r="AR35" s="47">
        <f>INDEX(Lab_Mat!$K$6:$N$9,MATCH($H35,Lab_Mat!$J$6:$J$9,0),MATCH($AY$4,Lab_Mat!$K$5:$N$5,0))*$L35*INDEX(Act_Type_Repex_Splits,MATCH($I35,Act_Type_Repex,0),MATCH(AR$4,Mat_Type,0))*INDEX(Escalators!$I$44:$U$49,MATCH(AR$4,Escalators!$C$44:$C$49,0),MATCH(AR$5,Escalators!$I$43:$U$43,0))</f>
        <v>0</v>
      </c>
      <c r="AS35" s="47">
        <f t="shared" si="82"/>
        <v>0</v>
      </c>
      <c r="AT35" s="47">
        <f>INDEX(Lab_Mat!$K$6:$N$9,MATCH($H35,Lab_Mat!$J$6:$J$9,0),MATCH($AY$4,Lab_Mat!$K$5:$N$5,0))*$M35*INDEX(Act_Type_Repex_Splits,MATCH($I35,Act_Type_Repex,0),MATCH(AT$4,Mat_Type,0))*INDEX(Escalators!$I$44:$U$49,MATCH(AT$4,Escalators!$C$44:$C$49,0),MATCH(AT$5,Escalators!$I$43:$U$43,0))</f>
        <v>0</v>
      </c>
      <c r="AU35" s="47">
        <f>INDEX(Lab_Mat!$K$6:$N$9,MATCH($H35,Lab_Mat!$J$6:$J$9,0),MATCH($AY$4,Lab_Mat!$K$5:$N$5,0))*$M35*INDEX(Act_Type_Repex_Splits,MATCH($I35,Act_Type_Repex,0),MATCH(AU$4,Mat_Type,0))*INDEX(Escalators!$I$44:$U$49,MATCH(AU$4,Escalators!$C$44:$C$49,0),MATCH(AU$5,Escalators!$I$43:$U$43,0))</f>
        <v>0</v>
      </c>
      <c r="AV35" s="47">
        <f>INDEX(Lab_Mat!$K$6:$N$9,MATCH($H35,Lab_Mat!$J$6:$J$9,0),MATCH($AY$4,Lab_Mat!$K$5:$N$5,0))*$M35*INDEX(Act_Type_Repex_Splits,MATCH($I35,Act_Type_Repex,0),MATCH(AV$4,Mat_Type,0))*INDEX(Escalators!$I$44:$U$49,MATCH(AV$4,Escalators!$C$44:$C$49,0),MATCH(AV$5,Escalators!$I$43:$U$43,0))</f>
        <v>-1.2486554688286122</v>
      </c>
      <c r="AW35" s="47">
        <f>INDEX(Lab_Mat!$K$6:$N$9,MATCH($H35,Lab_Mat!$J$6:$J$9,0),MATCH($AY$4,Lab_Mat!$K$5:$N$5,0))*$M35*INDEX(Act_Type_Repex_Splits,MATCH($I35,Act_Type_Repex,0),MATCH(AW$4,Mat_Type,0))*INDEX(Escalators!$I$44:$U$49,MATCH(AW$4,Escalators!$C$44:$C$49,0),MATCH(AW$5,Escalators!$I$43:$U$43,0))</f>
        <v>0</v>
      </c>
      <c r="AX35" s="47">
        <f>INDEX(Lab_Mat!$K$6:$N$9,MATCH($H35,Lab_Mat!$J$6:$J$9,0),MATCH($AY$4,Lab_Mat!$K$5:$N$5,0))*$M35*INDEX(Act_Type_Repex_Splits,MATCH($I35,Act_Type_Repex,0),MATCH(AX$4,Mat_Type,0))*INDEX(Escalators!$I$44:$U$49,MATCH(AX$4,Escalators!$C$44:$C$49,0),MATCH(AX$5,Escalators!$I$43:$U$43,0))</f>
        <v>-4.9946218753144489</v>
      </c>
      <c r="AY35" s="47">
        <f t="shared" si="83"/>
        <v>-6.2432773441430616</v>
      </c>
      <c r="AZ35" s="47">
        <f>INDEX(Lab_Mat!$K$6:$N$9,MATCH($H35,Lab_Mat!$J$6:$J$9,0),MATCH($BE$4,Lab_Mat!$K$5:$N$5,0))*$N35*INDEX(Act_Type_Repex_Splits,MATCH($I35,Act_Type_Repex,0),MATCH(AZ$4,Mat_Type,0))*INDEX(Escalators!$I$44:$U$49,MATCH(AZ$4,Escalators!$C$44:$C$49,0),MATCH(AZ$5,Escalators!$I$43:$U$43,0))</f>
        <v>0</v>
      </c>
      <c r="BA35" s="47">
        <f>INDEX(Lab_Mat!$K$6:$N$9,MATCH($H35,Lab_Mat!$J$6:$J$9,0),MATCH($BE$4,Lab_Mat!$K$5:$N$5,0))*$N35*INDEX(Act_Type_Repex_Splits,MATCH($I35,Act_Type_Repex,0),MATCH(BA$4,Mat_Type,0))*INDEX(Escalators!$I$44:$U$49,MATCH(BA$4,Escalators!$C$44:$C$49,0),MATCH(BA$5,Escalators!$I$43:$U$43,0))</f>
        <v>0</v>
      </c>
      <c r="BB35" s="47">
        <f>INDEX(Lab_Mat!$K$6:$N$9,MATCH($H35,Lab_Mat!$J$6:$J$9,0),MATCH($BE$4,Lab_Mat!$K$5:$N$5,0))*$N35*INDEX(Act_Type_Repex_Splits,MATCH($I35,Act_Type_Repex,0),MATCH(BB$4,Mat_Type,0))*INDEX(Escalators!$I$44:$U$49,MATCH(BB$4,Escalators!$C$44:$C$49,0),MATCH(BB$5,Escalators!$I$43:$U$43,0))</f>
        <v>-0.76695402161563164</v>
      </c>
      <c r="BC35" s="47">
        <f>INDEX(Lab_Mat!$K$6:$N$9,MATCH($H35,Lab_Mat!$J$6:$J$9,0),MATCH($BE$4,Lab_Mat!$K$5:$N$5,0))*$N35*INDEX(Act_Type_Repex_Splits,MATCH($I35,Act_Type_Repex,0),MATCH(BC$4,Mat_Type,0))*INDEX(Escalators!$I$44:$U$49,MATCH(BC$4,Escalators!$C$44:$C$49,0),MATCH(BC$5,Escalators!$I$43:$U$43,0))</f>
        <v>0</v>
      </c>
      <c r="BD35" s="47">
        <f>INDEX(Lab_Mat!$K$6:$N$9,MATCH($H35,Lab_Mat!$J$6:$J$9,0),MATCH($BE$4,Lab_Mat!$K$5:$N$5,0))*$N35*INDEX(Act_Type_Repex_Splits,MATCH($I35,Act_Type_Repex,0),MATCH(BD$4,Mat_Type,0))*INDEX(Escalators!$I$44:$U$49,MATCH(BD$4,Escalators!$C$44:$C$49,0),MATCH(BD$5,Escalators!$I$43:$U$43,0))</f>
        <v>-3.0678160864625266</v>
      </c>
      <c r="BE35" s="47">
        <f t="shared" si="84"/>
        <v>-3.8347701080781582</v>
      </c>
      <c r="BF35" s="47">
        <f>INDEX(Lab_Mat!$K$6:$N$9,MATCH($H35,Lab_Mat!$J$6:$J$9,0),MATCH($BK$4,Lab_Mat!$K$5:$N$5,0))*$O35*INDEX(Act_Type_Repex_Splits,MATCH($I35,Act_Type_Repex,0),MATCH(BF$4,Mat_Type,0))*INDEX(Escalators!$I$44:$U$49,MATCH(BF$4,Escalators!$C$44:$C$49,0),MATCH(BF$5,Escalators!$I$43:$U$43,0))</f>
        <v>0</v>
      </c>
      <c r="BG35" s="47">
        <f>INDEX(Lab_Mat!$K$6:$N$9,MATCH($H35,Lab_Mat!$J$6:$J$9,0),MATCH($BK$4,Lab_Mat!$K$5:$N$5,0))*$O35*INDEX(Act_Type_Repex_Splits,MATCH($I35,Act_Type_Repex,0),MATCH(BG$4,Mat_Type,0))*INDEX(Escalators!$I$44:$U$49,MATCH(BG$4,Escalators!$C$44:$C$49,0),MATCH(BG$5,Escalators!$I$43:$U$43,0))</f>
        <v>0</v>
      </c>
      <c r="BH35" s="47">
        <f>INDEX(Lab_Mat!$K$6:$N$9,MATCH($H35,Lab_Mat!$J$6:$J$9,0),MATCH($BK$4,Lab_Mat!$K$5:$N$5,0))*$O35*INDEX(Act_Type_Repex_Splits,MATCH($I35,Act_Type_Repex,0),MATCH(BH$4,Mat_Type,0))*INDEX(Escalators!$I$44:$U$49,MATCH(BH$4,Escalators!$C$44:$C$49,0),MATCH(BH$5,Escalators!$I$43:$U$43,0))</f>
        <v>0</v>
      </c>
      <c r="BI35" s="47">
        <f>INDEX(Lab_Mat!$K$6:$N$9,MATCH($H35,Lab_Mat!$J$6:$J$9,0),MATCH($BK$4,Lab_Mat!$K$5:$N$5,0))*$O35*INDEX(Act_Type_Repex_Splits,MATCH($I35,Act_Type_Repex,0),MATCH(BI$4,Mat_Type,0))*INDEX(Escalators!$I$44:$U$49,MATCH(BI$4,Escalators!$C$44:$C$49,0),MATCH(BI$5,Escalators!$I$43:$U$43,0))</f>
        <v>0</v>
      </c>
      <c r="BJ35" s="47">
        <f>INDEX(Lab_Mat!$K$6:$N$9,MATCH($H35,Lab_Mat!$J$6:$J$9,0),MATCH($BK$4,Lab_Mat!$K$5:$N$5,0))*$O35*INDEX(Act_Type_Repex_Splits,MATCH($I35,Act_Type_Repex,0),MATCH(BJ$4,Mat_Type,0))*INDEX(Escalators!$I$44:$U$49,MATCH(BJ$4,Escalators!$C$44:$C$49,0),MATCH(BJ$5,Escalators!$I$43:$U$43,0))</f>
        <v>0</v>
      </c>
      <c r="BK35" s="47">
        <f t="shared" si="85"/>
        <v>0</v>
      </c>
      <c r="BL35" s="47">
        <f>INDEX(Lab_Mat!$K$6:$N$9,MATCH($H35,Lab_Mat!$J$6:$J$9,0),MATCH($BQ$4,Lab_Mat!$K$5:$N$5,0))*$P35*INDEX(Act_Type_Repex_Splits,MATCH($I35,Act_Type_Repex,0),MATCH(BL$4,Mat_Type,0))*INDEX(Escalators!$I$44:$U$49,MATCH(BL$4,Escalators!$C$44:$C$49,0),MATCH(BL$5,Escalators!$I$43:$U$43,0))</f>
        <v>0</v>
      </c>
      <c r="BM35" s="47">
        <f>INDEX(Lab_Mat!$K$6:$N$9,MATCH($H35,Lab_Mat!$J$6:$J$9,0),MATCH($BQ$4,Lab_Mat!$K$5:$N$5,0))*$P35*INDEX(Act_Type_Repex_Splits,MATCH($I35,Act_Type_Repex,0),MATCH(BM$4,Mat_Type,0))*INDEX(Escalators!$I$44:$U$49,MATCH(BM$4,Escalators!$C$44:$C$49,0),MATCH(BM$5,Escalators!$I$43:$U$43,0))</f>
        <v>0</v>
      </c>
      <c r="BN35" s="47">
        <f>INDEX(Lab_Mat!$K$6:$N$9,MATCH($H35,Lab_Mat!$J$6:$J$9,0),MATCH($BQ$4,Lab_Mat!$K$5:$N$5,0))*$P35*INDEX(Act_Type_Repex_Splits,MATCH($I35,Act_Type_Repex,0),MATCH(BN$4,Mat_Type,0))*INDEX(Escalators!$I$44:$U$49,MATCH(BN$4,Escalators!$C$44:$C$49,0),MATCH(BN$5,Escalators!$I$43:$U$43,0))</f>
        <v>0</v>
      </c>
      <c r="BO35" s="47">
        <f>INDEX(Lab_Mat!$K$6:$N$9,MATCH($H35,Lab_Mat!$J$6:$J$9,0),MATCH($BQ$4,Lab_Mat!$K$5:$N$5,0))*$P35*INDEX(Act_Type_Repex_Splits,MATCH($I35,Act_Type_Repex,0),MATCH(BO$4,Mat_Type,0))*INDEX(Escalators!$I$44:$U$49,MATCH(BO$4,Escalators!$C$44:$C$49,0),MATCH(BO$5,Escalators!$I$43:$U$43,0))</f>
        <v>0</v>
      </c>
      <c r="BP35" s="47">
        <f>INDEX(Lab_Mat!$K$6:$N$9,MATCH($H35,Lab_Mat!$J$6:$J$9,0),MATCH($BQ$4,Lab_Mat!$K$5:$N$5,0))*$P35*INDEX(Act_Type_Repex_Splits,MATCH($I35,Act_Type_Repex,0),MATCH(BP$4,Mat_Type,0))*INDEX(Escalators!$I$44:$U$49,MATCH(BP$4,Escalators!$C$44:$C$49,0),MATCH(BP$5,Escalators!$I$43:$U$43,0))</f>
        <v>0</v>
      </c>
      <c r="BQ35" s="47">
        <f t="shared" si="86"/>
        <v>0</v>
      </c>
      <c r="BR35" s="47">
        <f>INDEX(Lab_Mat!$K$6:$N$9,MATCH($H35,Lab_Mat!$J$6:$J$9,0),MATCH($BW$4,Lab_Mat!$K$5:$N$5,0))*$Q35*INDEX(Act_Type_Repex_Splits,MATCH($I35,Act_Type_Repex,0),MATCH(BR$4,Mat_Type,0))*INDEX(Escalators!$I$44:$U$49,MATCH(BR$4,Escalators!$C$44:$C$49,0),MATCH(BR$5,Escalators!$I$43:$U$43,0))</f>
        <v>0</v>
      </c>
      <c r="BS35" s="47">
        <f>INDEX(Lab_Mat!$K$6:$N$9,MATCH($H35,Lab_Mat!$J$6:$J$9,0),MATCH($BW$4,Lab_Mat!$K$5:$N$5,0))*$Q35*INDEX(Act_Type_Repex_Splits,MATCH($I35,Act_Type_Repex,0),MATCH(BS$4,Mat_Type,0))*INDEX(Escalators!$I$44:$U$49,MATCH(BS$4,Escalators!$C$44:$C$49,0),MATCH(BS$5,Escalators!$I$43:$U$43,0))</f>
        <v>0</v>
      </c>
      <c r="BT35" s="47">
        <f>INDEX(Lab_Mat!$K$6:$N$9,MATCH($H35,Lab_Mat!$J$6:$J$9,0),MATCH($BW$4,Lab_Mat!$K$5:$N$5,0))*$Q35*INDEX(Act_Type_Repex_Splits,MATCH($I35,Act_Type_Repex,0),MATCH(BT$4,Mat_Type,0))*INDEX(Escalators!$I$44:$U$49,MATCH(BT$4,Escalators!$C$44:$C$49,0),MATCH(BT$5,Escalators!$I$43:$U$43,0))</f>
        <v>0</v>
      </c>
      <c r="BU35" s="47">
        <f>INDEX(Lab_Mat!$K$6:$N$9,MATCH($H35,Lab_Mat!$J$6:$J$9,0),MATCH($BW$4,Lab_Mat!$K$5:$N$5,0))*$Q35*INDEX(Act_Type_Repex_Splits,MATCH($I35,Act_Type_Repex,0),MATCH(BU$4,Mat_Type,0))*INDEX(Escalators!$I$44:$U$49,MATCH(BU$4,Escalators!$C$44:$C$49,0),MATCH(BU$5,Escalators!$I$43:$U$43,0))</f>
        <v>0</v>
      </c>
      <c r="BV35" s="47">
        <f>INDEX(Lab_Mat!$K$6:$N$9,MATCH($H35,Lab_Mat!$J$6:$J$9,0),MATCH($BW$4,Lab_Mat!$K$5:$N$5,0))*$Q35*INDEX(Act_Type_Repex_Splits,MATCH($I35,Act_Type_Repex,0),MATCH(BV$4,Mat_Type,0))*INDEX(Escalators!$I$44:$U$49,MATCH(BV$4,Escalators!$C$44:$C$49,0),MATCH(BV$5,Escalators!$I$43:$U$43,0))</f>
        <v>0</v>
      </c>
      <c r="BW35" s="47">
        <f t="shared" si="87"/>
        <v>0</v>
      </c>
      <c r="BY35" s="47">
        <f>INDEX(Lab_Mat!$K$6:$N$9,MATCH($H35,Lab_Mat!$J$6:$J$9,0),MATCH($BY$4,Lab_Mat!$K$5:$N$5,0))*J35*HLOOKUP(BY$5,Escalators!$I$25:$U$30,6,FALSE)</f>
        <v>0</v>
      </c>
      <c r="BZ35" s="47">
        <f>INDEX(Lab_Mat!$K$6:$N$9,MATCH($H35,Lab_Mat!$J$6:$J$9,0),MATCH($BY$4,Lab_Mat!$K$5:$N$5,0))*K35*HLOOKUP(BZ$5,Escalators!$I$25:$U$30,6,FALSE)</f>
        <v>0</v>
      </c>
      <c r="CA35" s="47">
        <f>INDEX(Lab_Mat!$K$6:$N$9,MATCH($H35,Lab_Mat!$J$6:$J$9,0),MATCH($BY$4,Lab_Mat!$K$5:$N$5,0))*L35*HLOOKUP(CA$5,Escalators!$I$25:$U$30,6,FALSE)</f>
        <v>0</v>
      </c>
      <c r="CB35" s="47">
        <f>INDEX(Lab_Mat!$K$6:$N$9,MATCH($H35,Lab_Mat!$J$6:$J$9,0),MATCH($BY$4,Lab_Mat!$K$5:$N$5,0))*M35*HLOOKUP(CB$5,Escalators!$I$25:$U$30,6,FALSE)</f>
        <v>-2.2667148049972319</v>
      </c>
      <c r="CC35" s="47">
        <f>INDEX(Lab_Mat!$K$6:$N$9,MATCH($H35,Lab_Mat!$J$6:$J$9,0),MATCH($BY$4,Lab_Mat!$K$5:$N$5,0))*N35*HLOOKUP(CC$5,Escalators!$I$25:$U$30,6,FALSE)</f>
        <v>-1.3922703891884667</v>
      </c>
      <c r="CD35" s="47">
        <f>INDEX(Lab_Mat!$K$6:$N$9,MATCH($H35,Lab_Mat!$J$6:$J$9,0),MATCH($BY$4,Lab_Mat!$K$5:$N$5,0))*O35*HLOOKUP(CD$5,Escalators!$I$25:$U$30,6,FALSE)</f>
        <v>0</v>
      </c>
      <c r="CE35" s="47">
        <f>INDEX(Lab_Mat!$K$6:$N$9,MATCH($H35,Lab_Mat!$J$6:$J$9,0),MATCH($BY$4,Lab_Mat!$K$5:$N$5,0))*P35*HLOOKUP(CE$5,Escalators!$I$25:$U$30,6,FALSE)</f>
        <v>0</v>
      </c>
      <c r="CF35" s="47">
        <f>INDEX(Lab_Mat!$K$6:$N$9,MATCH($H35,Lab_Mat!$J$6:$J$9,0),MATCH($BY$4,Lab_Mat!$K$5:$N$5,0))*Q35*HLOOKUP(CF$5,Escalators!$I$25:$U$30,6,FALSE)</f>
        <v>0</v>
      </c>
      <c r="CH35" s="82">
        <f>INDEX(Lab_Mat!$K$6:$N$9,MATCH($H35,Lab_Mat!$J$6:$J$9,0),MATCH($CH$4,Lab_Mat!$K$5:$N$5,0))*J35</f>
        <v>0</v>
      </c>
      <c r="CI35" s="82">
        <f>INDEX(Lab_Mat!$K$6:$N$9,MATCH($H35,Lab_Mat!$J$6:$J$9,0),MATCH($CH$4,Lab_Mat!$K$5:$N$5,0))*K35</f>
        <v>0</v>
      </c>
      <c r="CJ35" s="82">
        <f>INDEX(Lab_Mat!$K$6:$N$9,MATCH($H35,Lab_Mat!$J$6:$J$9,0),MATCH($CH$4,Lab_Mat!$K$5:$N$5,0))*L35</f>
        <v>0</v>
      </c>
      <c r="CK35" s="82">
        <f>INDEX(Lab_Mat!$K$6:$N$9,MATCH($H35,Lab_Mat!$J$6:$J$9,0),MATCH($CH$4,Lab_Mat!$K$5:$N$5,0))*M35</f>
        <v>-0.90155021477682562</v>
      </c>
      <c r="CL35" s="82">
        <f>INDEX(Lab_Mat!$K$6:$N$9,MATCH($H35,Lab_Mat!$J$6:$J$9,0),MATCH($CH$4,Lab_Mat!$K$5:$N$5,0))*N35</f>
        <v>-0.55375368159816196</v>
      </c>
      <c r="CM35" s="82">
        <f>INDEX(Lab_Mat!$K$6:$N$9,MATCH($H35,Lab_Mat!$J$6:$J$9,0),MATCH($CH$4,Lab_Mat!$K$5:$N$5,0))*O35</f>
        <v>0</v>
      </c>
      <c r="CN35" s="82">
        <f>INDEX(Lab_Mat!$K$6:$N$9,MATCH($H35,Lab_Mat!$J$6:$J$9,0),MATCH($CH$4,Lab_Mat!$K$5:$N$5,0))*P35</f>
        <v>0</v>
      </c>
      <c r="CO35" s="82">
        <f>INDEX(Lab_Mat!$K$6:$N$9,MATCH($H35,Lab_Mat!$J$6:$J$9,0),MATCH($CH$4,Lab_Mat!$K$5:$N$5,0))*Q35</f>
        <v>0</v>
      </c>
      <c r="CQ35" s="47">
        <f t="shared" si="98"/>
        <v>0</v>
      </c>
      <c r="CR35" s="47">
        <f t="shared" si="99"/>
        <v>0</v>
      </c>
      <c r="CS35" s="47">
        <f t="shared" si="24"/>
        <v>0</v>
      </c>
      <c r="CT35" s="47">
        <f t="shared" si="100"/>
        <v>-11.601739110186493</v>
      </c>
      <c r="CU35" s="47">
        <f t="shared" si="101"/>
        <v>-7.1327390951442426</v>
      </c>
      <c r="CV35" s="47">
        <f t="shared" si="102"/>
        <v>0</v>
      </c>
      <c r="CW35" s="47">
        <f t="shared" si="103"/>
        <v>0</v>
      </c>
      <c r="CX35" s="47">
        <f t="shared" si="104"/>
        <v>0</v>
      </c>
    </row>
    <row r="36" spans="2:109">
      <c r="B36" s="6"/>
      <c r="C36" s="6" t="s">
        <v>413</v>
      </c>
      <c r="D36" s="744" t="s">
        <v>830</v>
      </c>
      <c r="E36" s="6" t="s">
        <v>50</v>
      </c>
      <c r="F36" s="6" t="s">
        <v>55</v>
      </c>
      <c r="G36" s="6" t="s">
        <v>34</v>
      </c>
      <c r="H36" s="6" t="s">
        <v>557</v>
      </c>
      <c r="I36" s="6" t="s">
        <v>5</v>
      </c>
      <c r="J36" s="47"/>
      <c r="K36" s="47"/>
      <c r="L36" s="47"/>
      <c r="M36" s="750">
        <f>M28/(M$50-M$29)*-(M$56-M$29)</f>
        <v>0</v>
      </c>
      <c r="N36" s="750">
        <f t="shared" ref="N36" si="107">N28/(N$50-N$29)*-(N$56-N$29)</f>
        <v>0</v>
      </c>
      <c r="O36" s="47"/>
      <c r="P36" s="47"/>
      <c r="Q36" s="47"/>
      <c r="S36" s="47">
        <f>INDEX(Lab_Mat!$K$6:$N$9,MATCH($H36,Lab_Mat!$J$6:$J$9,0),MATCH($S$4,Lab_Mat!$K$5:$N$5,0))*J36*HLOOKUP(S$5,Escalators!$I$25:$U$30,3,FALSE)</f>
        <v>0</v>
      </c>
      <c r="T36" s="47">
        <f>INDEX(Lab_Mat!$K$6:$N$9,MATCH($H36,Lab_Mat!$J$6:$J$9,0),MATCH($S$4,Lab_Mat!$K$5:$N$5,0))*K36*HLOOKUP(T$5,Escalators!$I$25:$U$30,3,FALSE)</f>
        <v>0</v>
      </c>
      <c r="U36" s="47">
        <f>INDEX(Lab_Mat!$K$6:$N$9,MATCH($H36,Lab_Mat!$J$6:$J$9,0),MATCH($S$4,Lab_Mat!$K$5:$N$5,0))*L36*HLOOKUP(U$5,Escalators!$I$25:$U$30,3,FALSE)</f>
        <v>0</v>
      </c>
      <c r="V36" s="47">
        <f>INDEX(Lab_Mat!$K$6:$N$9,MATCH($H36,Lab_Mat!$J$6:$J$9,0),MATCH($S$4,Lab_Mat!$K$5:$N$5,0))*M36*HLOOKUP(V$5,Escalators!$I$25:$U$30,3,FALSE)</f>
        <v>0</v>
      </c>
      <c r="W36" s="47">
        <f>INDEX(Lab_Mat!$K$6:$N$9,MATCH($H36,Lab_Mat!$J$6:$J$9,0),MATCH($S$4,Lab_Mat!$K$5:$N$5,0))*N36*HLOOKUP(W$5,Escalators!$I$25:$U$30,3,FALSE)</f>
        <v>0</v>
      </c>
      <c r="X36" s="47">
        <f>INDEX(Lab_Mat!$K$6:$N$9,MATCH($H36,Lab_Mat!$J$6:$J$9,0),MATCH($S$4,Lab_Mat!$K$5:$N$5,0))*O36*HLOOKUP(X$5,Escalators!$I$25:$U$30,3,FALSE)</f>
        <v>0</v>
      </c>
      <c r="Y36" s="47">
        <f>INDEX(Lab_Mat!$K$6:$N$9,MATCH($H36,Lab_Mat!$J$6:$J$9,0),MATCH($S$4,Lab_Mat!$K$5:$N$5,0))*P36*HLOOKUP(Y$5,Escalators!$I$25:$U$30,3,FALSE)</f>
        <v>0</v>
      </c>
      <c r="Z36" s="47">
        <f>INDEX(Lab_Mat!$K$6:$N$9,MATCH($H36,Lab_Mat!$J$6:$J$9,0),MATCH($S$4,Lab_Mat!$K$5:$N$5,0))*Q36*HLOOKUP(Z$5,Escalators!$I$25:$U$30,3,FALSE)</f>
        <v>0</v>
      </c>
      <c r="AB36" s="47">
        <f>INDEX(Lab_Mat!$K$6:$N$9,MATCH($H36,Lab_Mat!$J$6:$J$9,0),MATCH($AG$4,Lab_Mat!$K$5:$N$5,0))*$J36*INDEX(Act_Type_Repex_Splits,MATCH($I36,Act_Type_Repex,0),MATCH(AB$4,Mat_Type,0))*INDEX(Escalators!$I$44:$Q$49,MATCH(AB$4,Escalators!$C$44:$C$49,0),MATCH(AB$5,Escalators!$I$43:$Q$43,0))</f>
        <v>0</v>
      </c>
      <c r="AC36" s="47">
        <f>INDEX(Lab_Mat!$K$6:$N$9,MATCH($H36,Lab_Mat!$J$6:$J$9,0),MATCH($AG$4,Lab_Mat!$K$5:$N$5,0))*$J36*INDEX(Act_Type_Repex_Splits,MATCH($I36,Act_Type_Repex,0),MATCH(AC$4,Mat_Type,0))*INDEX(Escalators!$I$44:$Q$49,MATCH(AC$4,Escalators!$C$44:$C$49,0),MATCH(AC$5,Escalators!$I$43:$Q$43,0))</f>
        <v>0</v>
      </c>
      <c r="AD36" s="47">
        <f>INDEX(Lab_Mat!$K$6:$N$9,MATCH($H36,Lab_Mat!$J$6:$J$9,0),MATCH($AG$4,Lab_Mat!$K$5:$N$5,0))*$J36*INDEX(Act_Type_Repex_Splits,MATCH($I36,Act_Type_Repex,0),MATCH(AD$4,Mat_Type,0))*INDEX(Escalators!$I$44:$Q$49,MATCH(AD$4,Escalators!$C$44:$C$49,0),MATCH(AD$5,Escalators!$I$43:$Q$43,0))</f>
        <v>0</v>
      </c>
      <c r="AE36" s="47">
        <f>INDEX(Lab_Mat!$K$6:$N$9,MATCH($H36,Lab_Mat!$J$6:$J$9,0),MATCH($AG$4,Lab_Mat!$K$5:$N$5,0))*$J36*INDEX(Act_Type_Repex_Splits,MATCH($I36,Act_Type_Repex,0),MATCH(AE$4,Mat_Type,0))*INDEX(Escalators!$I$44:$Q$49,MATCH(AE$4,Escalators!$C$44:$C$49,0),MATCH(AE$5,Escalators!$I$43:$Q$43,0))</f>
        <v>0</v>
      </c>
      <c r="AF36" s="47">
        <f>INDEX(Lab_Mat!$K$6:$N$9,MATCH($H36,Lab_Mat!$J$6:$J$9,0),MATCH($AG$4,Lab_Mat!$K$5:$N$5,0))*$J36*INDEX(Act_Type_Repex_Splits,MATCH($I36,Act_Type_Repex,0),MATCH(AF$4,Mat_Type,0))*INDEX(Escalators!$I$44:$Q$49,MATCH(AF$4,Escalators!$C$44:$C$49,0),MATCH(AF$5,Escalators!$I$43:$Q$43,0))</f>
        <v>0</v>
      </c>
      <c r="AG36" s="47">
        <f t="shared" si="80"/>
        <v>0</v>
      </c>
      <c r="AH36" s="47">
        <f>INDEX(Lab_Mat!$K$6:$N$9,MATCH($H36,Lab_Mat!$J$6:$J$9,0),MATCH($AY$4,Lab_Mat!$K$5:$N$5,0))*$K36*INDEX(Act_Type_Repex_Splits,MATCH($I36,Act_Type_Repex,0),MATCH(AH$4,Mat_Type,0))*INDEX(Escalators!$I$44:$U$49,MATCH(AH$4,Escalators!$C$44:$C$49,0),MATCH(AH$5,Escalators!$I$43:$U$43,0))</f>
        <v>0</v>
      </c>
      <c r="AI36" s="47">
        <f>INDEX(Lab_Mat!$K$6:$N$9,MATCH($H36,Lab_Mat!$J$6:$J$9,0),MATCH($AY$4,Lab_Mat!$K$5:$N$5,0))*$K36*INDEX(Act_Type_Repex_Splits,MATCH($I36,Act_Type_Repex,0),MATCH(AI$4,Mat_Type,0))*INDEX(Escalators!$I$44:$U$49,MATCH(AI$4,Escalators!$C$44:$C$49,0),MATCH(AI$5,Escalators!$I$43:$U$43,0))</f>
        <v>0</v>
      </c>
      <c r="AJ36" s="47">
        <f>INDEX(Lab_Mat!$K$6:$N$9,MATCH($H36,Lab_Mat!$J$6:$J$9,0),MATCH($AY$4,Lab_Mat!$K$5:$N$5,0))*$K36*INDEX(Act_Type_Repex_Splits,MATCH($I36,Act_Type_Repex,0),MATCH(AJ$4,Mat_Type,0))*INDEX(Escalators!$I$44:$U$49,MATCH(AJ$4,Escalators!$C$44:$C$49,0),MATCH(AJ$5,Escalators!$I$43:$U$43,0))</f>
        <v>0</v>
      </c>
      <c r="AK36" s="47">
        <f>INDEX(Lab_Mat!$K$6:$N$9,MATCH($H36,Lab_Mat!$J$6:$J$9,0),MATCH($AY$4,Lab_Mat!$K$5:$N$5,0))*$K36*INDEX(Act_Type_Repex_Splits,MATCH($I36,Act_Type_Repex,0),MATCH(AK$4,Mat_Type,0))*INDEX(Escalators!$I$44:$U$49,MATCH(AK$4,Escalators!$C$44:$C$49,0),MATCH(AK$5,Escalators!$I$43:$U$43,0))</f>
        <v>0</v>
      </c>
      <c r="AL36" s="47">
        <f>INDEX(Lab_Mat!$K$6:$N$9,MATCH($H36,Lab_Mat!$J$6:$J$9,0),MATCH($AY$4,Lab_Mat!$K$5:$N$5,0))*$K36*INDEX(Act_Type_Repex_Splits,MATCH($I36,Act_Type_Repex,0),MATCH(AL$4,Mat_Type,0))*INDEX(Escalators!$I$44:$U$49,MATCH(AL$4,Escalators!$C$44:$C$49,0),MATCH(AL$5,Escalators!$I$43:$U$43,0))</f>
        <v>0</v>
      </c>
      <c r="AM36" s="47">
        <f t="shared" si="81"/>
        <v>0</v>
      </c>
      <c r="AN36" s="47">
        <f>INDEX(Lab_Mat!$K$6:$N$9,MATCH($H36,Lab_Mat!$J$6:$J$9,0),MATCH($AY$4,Lab_Mat!$K$5:$N$5,0))*$L36*INDEX(Act_Type_Repex_Splits,MATCH($I36,Act_Type_Repex,0),MATCH(AN$4,Mat_Type,0))*INDEX(Escalators!$I$44:$U$49,MATCH(AN$4,Escalators!$C$44:$C$49,0),MATCH(AN$5,Escalators!$I$43:$U$43,0))</f>
        <v>0</v>
      </c>
      <c r="AO36" s="47">
        <f>INDEX(Lab_Mat!$K$6:$N$9,MATCH($H36,Lab_Mat!$J$6:$J$9,0),MATCH($AY$4,Lab_Mat!$K$5:$N$5,0))*$L36*INDEX(Act_Type_Repex_Splits,MATCH($I36,Act_Type_Repex,0),MATCH(AO$4,Mat_Type,0))*INDEX(Escalators!$I$44:$U$49,MATCH(AO$4,Escalators!$C$44:$C$49,0),MATCH(AO$5,Escalators!$I$43:$U$43,0))</f>
        <v>0</v>
      </c>
      <c r="AP36" s="47">
        <f>INDEX(Lab_Mat!$K$6:$N$9,MATCH($H36,Lab_Mat!$J$6:$J$9,0),MATCH($AY$4,Lab_Mat!$K$5:$N$5,0))*$L36*INDEX(Act_Type_Repex_Splits,MATCH($I36,Act_Type_Repex,0),MATCH(AP$4,Mat_Type,0))*INDEX(Escalators!$I$44:$U$49,MATCH(AP$4,Escalators!$C$44:$C$49,0),MATCH(AP$5,Escalators!$I$43:$U$43,0))</f>
        <v>0</v>
      </c>
      <c r="AQ36" s="47">
        <f>INDEX(Lab_Mat!$K$6:$N$9,MATCH($H36,Lab_Mat!$J$6:$J$9,0),MATCH($AY$4,Lab_Mat!$K$5:$N$5,0))*$L36*INDEX(Act_Type_Repex_Splits,MATCH($I36,Act_Type_Repex,0),MATCH(AQ$4,Mat_Type,0))*INDEX(Escalators!$I$44:$U$49,MATCH(AQ$4,Escalators!$C$44:$C$49,0),MATCH(AQ$5,Escalators!$I$43:$U$43,0))</f>
        <v>0</v>
      </c>
      <c r="AR36" s="47">
        <f>INDEX(Lab_Mat!$K$6:$N$9,MATCH($H36,Lab_Mat!$J$6:$J$9,0),MATCH($AY$4,Lab_Mat!$K$5:$N$5,0))*$L36*INDEX(Act_Type_Repex_Splits,MATCH($I36,Act_Type_Repex,0),MATCH(AR$4,Mat_Type,0))*INDEX(Escalators!$I$44:$U$49,MATCH(AR$4,Escalators!$C$44:$C$49,0),MATCH(AR$5,Escalators!$I$43:$U$43,0))</f>
        <v>0</v>
      </c>
      <c r="AS36" s="47">
        <f t="shared" si="82"/>
        <v>0</v>
      </c>
      <c r="AT36" s="47">
        <f>INDEX(Lab_Mat!$K$6:$N$9,MATCH($H36,Lab_Mat!$J$6:$J$9,0),MATCH($AY$4,Lab_Mat!$K$5:$N$5,0))*$M36*INDEX(Act_Type_Repex_Splits,MATCH($I36,Act_Type_Repex,0),MATCH(AT$4,Mat_Type,0))*INDEX(Escalators!$I$44:$U$49,MATCH(AT$4,Escalators!$C$44:$C$49,0),MATCH(AT$5,Escalators!$I$43:$U$43,0))</f>
        <v>0</v>
      </c>
      <c r="AU36" s="47">
        <f>INDEX(Lab_Mat!$K$6:$N$9,MATCH($H36,Lab_Mat!$J$6:$J$9,0),MATCH($AY$4,Lab_Mat!$K$5:$N$5,0))*$M36*INDEX(Act_Type_Repex_Splits,MATCH($I36,Act_Type_Repex,0),MATCH(AU$4,Mat_Type,0))*INDEX(Escalators!$I$44:$U$49,MATCH(AU$4,Escalators!$C$44:$C$49,0),MATCH(AU$5,Escalators!$I$43:$U$43,0))</f>
        <v>0</v>
      </c>
      <c r="AV36" s="47">
        <f>INDEX(Lab_Mat!$K$6:$N$9,MATCH($H36,Lab_Mat!$J$6:$J$9,0),MATCH($AY$4,Lab_Mat!$K$5:$N$5,0))*$M36*INDEX(Act_Type_Repex_Splits,MATCH($I36,Act_Type_Repex,0),MATCH(AV$4,Mat_Type,0))*INDEX(Escalators!$I$44:$U$49,MATCH(AV$4,Escalators!$C$44:$C$49,0),MATCH(AV$5,Escalators!$I$43:$U$43,0))</f>
        <v>0</v>
      </c>
      <c r="AW36" s="47">
        <f>INDEX(Lab_Mat!$K$6:$N$9,MATCH($H36,Lab_Mat!$J$6:$J$9,0),MATCH($AY$4,Lab_Mat!$K$5:$N$5,0))*$M36*INDEX(Act_Type_Repex_Splits,MATCH($I36,Act_Type_Repex,0),MATCH(AW$4,Mat_Type,0))*INDEX(Escalators!$I$44:$U$49,MATCH(AW$4,Escalators!$C$44:$C$49,0),MATCH(AW$5,Escalators!$I$43:$U$43,0))</f>
        <v>0</v>
      </c>
      <c r="AX36" s="47">
        <f>INDEX(Lab_Mat!$K$6:$N$9,MATCH($H36,Lab_Mat!$J$6:$J$9,0),MATCH($AY$4,Lab_Mat!$K$5:$N$5,0))*$M36*INDEX(Act_Type_Repex_Splits,MATCH($I36,Act_Type_Repex,0),MATCH(AX$4,Mat_Type,0))*INDEX(Escalators!$I$44:$U$49,MATCH(AX$4,Escalators!$C$44:$C$49,0),MATCH(AX$5,Escalators!$I$43:$U$43,0))</f>
        <v>0</v>
      </c>
      <c r="AY36" s="47">
        <f t="shared" si="83"/>
        <v>0</v>
      </c>
      <c r="AZ36" s="47">
        <f>INDEX(Lab_Mat!$K$6:$N$9,MATCH($H36,Lab_Mat!$J$6:$J$9,0),MATCH($BE$4,Lab_Mat!$K$5:$N$5,0))*$N36*INDEX(Act_Type_Repex_Splits,MATCH($I36,Act_Type_Repex,0),MATCH(AZ$4,Mat_Type,0))*INDEX(Escalators!$I$44:$U$49,MATCH(AZ$4,Escalators!$C$44:$C$49,0),MATCH(AZ$5,Escalators!$I$43:$U$43,0))</f>
        <v>0</v>
      </c>
      <c r="BA36" s="47">
        <f>INDEX(Lab_Mat!$K$6:$N$9,MATCH($H36,Lab_Mat!$J$6:$J$9,0),MATCH($BE$4,Lab_Mat!$K$5:$N$5,0))*$N36*INDEX(Act_Type_Repex_Splits,MATCH($I36,Act_Type_Repex,0),MATCH(BA$4,Mat_Type,0))*INDEX(Escalators!$I$44:$U$49,MATCH(BA$4,Escalators!$C$44:$C$49,0),MATCH(BA$5,Escalators!$I$43:$U$43,0))</f>
        <v>0</v>
      </c>
      <c r="BB36" s="47">
        <f>INDEX(Lab_Mat!$K$6:$N$9,MATCH($H36,Lab_Mat!$J$6:$J$9,0),MATCH($BE$4,Lab_Mat!$K$5:$N$5,0))*$N36*INDEX(Act_Type_Repex_Splits,MATCH($I36,Act_Type_Repex,0),MATCH(BB$4,Mat_Type,0))*INDEX(Escalators!$I$44:$U$49,MATCH(BB$4,Escalators!$C$44:$C$49,0),MATCH(BB$5,Escalators!$I$43:$U$43,0))</f>
        <v>0</v>
      </c>
      <c r="BC36" s="47">
        <f>INDEX(Lab_Mat!$K$6:$N$9,MATCH($H36,Lab_Mat!$J$6:$J$9,0),MATCH($BE$4,Lab_Mat!$K$5:$N$5,0))*$N36*INDEX(Act_Type_Repex_Splits,MATCH($I36,Act_Type_Repex,0),MATCH(BC$4,Mat_Type,0))*INDEX(Escalators!$I$44:$U$49,MATCH(BC$4,Escalators!$C$44:$C$49,0),MATCH(BC$5,Escalators!$I$43:$U$43,0))</f>
        <v>0</v>
      </c>
      <c r="BD36" s="47">
        <f>INDEX(Lab_Mat!$K$6:$N$9,MATCH($H36,Lab_Mat!$J$6:$J$9,0),MATCH($BE$4,Lab_Mat!$K$5:$N$5,0))*$N36*INDEX(Act_Type_Repex_Splits,MATCH($I36,Act_Type_Repex,0),MATCH(BD$4,Mat_Type,0))*INDEX(Escalators!$I$44:$U$49,MATCH(BD$4,Escalators!$C$44:$C$49,0),MATCH(BD$5,Escalators!$I$43:$U$43,0))</f>
        <v>0</v>
      </c>
      <c r="BE36" s="47">
        <f t="shared" si="84"/>
        <v>0</v>
      </c>
      <c r="BF36" s="47">
        <f>INDEX(Lab_Mat!$K$6:$N$9,MATCH($H36,Lab_Mat!$J$6:$J$9,0),MATCH($BK$4,Lab_Mat!$K$5:$N$5,0))*$O36*INDEX(Act_Type_Repex_Splits,MATCH($I36,Act_Type_Repex,0),MATCH(BF$4,Mat_Type,0))*INDEX(Escalators!$I$44:$U$49,MATCH(BF$4,Escalators!$C$44:$C$49,0),MATCH(BF$5,Escalators!$I$43:$U$43,0))</f>
        <v>0</v>
      </c>
      <c r="BG36" s="47">
        <f>INDEX(Lab_Mat!$K$6:$N$9,MATCH($H36,Lab_Mat!$J$6:$J$9,0),MATCH($BK$4,Lab_Mat!$K$5:$N$5,0))*$O36*INDEX(Act_Type_Repex_Splits,MATCH($I36,Act_Type_Repex,0),MATCH(BG$4,Mat_Type,0))*INDEX(Escalators!$I$44:$U$49,MATCH(BG$4,Escalators!$C$44:$C$49,0),MATCH(BG$5,Escalators!$I$43:$U$43,0))</f>
        <v>0</v>
      </c>
      <c r="BH36" s="47">
        <f>INDEX(Lab_Mat!$K$6:$N$9,MATCH($H36,Lab_Mat!$J$6:$J$9,0),MATCH($BK$4,Lab_Mat!$K$5:$N$5,0))*$O36*INDEX(Act_Type_Repex_Splits,MATCH($I36,Act_Type_Repex,0),MATCH(BH$4,Mat_Type,0))*INDEX(Escalators!$I$44:$U$49,MATCH(BH$4,Escalators!$C$44:$C$49,0),MATCH(BH$5,Escalators!$I$43:$U$43,0))</f>
        <v>0</v>
      </c>
      <c r="BI36" s="47">
        <f>INDEX(Lab_Mat!$K$6:$N$9,MATCH($H36,Lab_Mat!$J$6:$J$9,0),MATCH($BK$4,Lab_Mat!$K$5:$N$5,0))*$O36*INDEX(Act_Type_Repex_Splits,MATCH($I36,Act_Type_Repex,0),MATCH(BI$4,Mat_Type,0))*INDEX(Escalators!$I$44:$U$49,MATCH(BI$4,Escalators!$C$44:$C$49,0),MATCH(BI$5,Escalators!$I$43:$U$43,0))</f>
        <v>0</v>
      </c>
      <c r="BJ36" s="47">
        <f>INDEX(Lab_Mat!$K$6:$N$9,MATCH($H36,Lab_Mat!$J$6:$J$9,0),MATCH($BK$4,Lab_Mat!$K$5:$N$5,0))*$O36*INDEX(Act_Type_Repex_Splits,MATCH($I36,Act_Type_Repex,0),MATCH(BJ$4,Mat_Type,0))*INDEX(Escalators!$I$44:$U$49,MATCH(BJ$4,Escalators!$C$44:$C$49,0),MATCH(BJ$5,Escalators!$I$43:$U$43,0))</f>
        <v>0</v>
      </c>
      <c r="BK36" s="47">
        <f t="shared" si="85"/>
        <v>0</v>
      </c>
      <c r="BL36" s="47">
        <f>INDEX(Lab_Mat!$K$6:$N$9,MATCH($H36,Lab_Mat!$J$6:$J$9,0),MATCH($BQ$4,Lab_Mat!$K$5:$N$5,0))*$P36*INDEX(Act_Type_Repex_Splits,MATCH($I36,Act_Type_Repex,0),MATCH(BL$4,Mat_Type,0))*INDEX(Escalators!$I$44:$U$49,MATCH(BL$4,Escalators!$C$44:$C$49,0),MATCH(BL$5,Escalators!$I$43:$U$43,0))</f>
        <v>0</v>
      </c>
      <c r="BM36" s="47">
        <f>INDEX(Lab_Mat!$K$6:$N$9,MATCH($H36,Lab_Mat!$J$6:$J$9,0),MATCH($BQ$4,Lab_Mat!$K$5:$N$5,0))*$P36*INDEX(Act_Type_Repex_Splits,MATCH($I36,Act_Type_Repex,0),MATCH(BM$4,Mat_Type,0))*INDEX(Escalators!$I$44:$U$49,MATCH(BM$4,Escalators!$C$44:$C$49,0),MATCH(BM$5,Escalators!$I$43:$U$43,0))</f>
        <v>0</v>
      </c>
      <c r="BN36" s="47">
        <f>INDEX(Lab_Mat!$K$6:$N$9,MATCH($H36,Lab_Mat!$J$6:$J$9,0),MATCH($BQ$4,Lab_Mat!$K$5:$N$5,0))*$P36*INDEX(Act_Type_Repex_Splits,MATCH($I36,Act_Type_Repex,0),MATCH(BN$4,Mat_Type,0))*INDEX(Escalators!$I$44:$U$49,MATCH(BN$4,Escalators!$C$44:$C$49,0),MATCH(BN$5,Escalators!$I$43:$U$43,0))</f>
        <v>0</v>
      </c>
      <c r="BO36" s="47">
        <f>INDEX(Lab_Mat!$K$6:$N$9,MATCH($H36,Lab_Mat!$J$6:$J$9,0),MATCH($BQ$4,Lab_Mat!$K$5:$N$5,0))*$P36*INDEX(Act_Type_Repex_Splits,MATCH($I36,Act_Type_Repex,0),MATCH(BO$4,Mat_Type,0))*INDEX(Escalators!$I$44:$U$49,MATCH(BO$4,Escalators!$C$44:$C$49,0),MATCH(BO$5,Escalators!$I$43:$U$43,0))</f>
        <v>0</v>
      </c>
      <c r="BP36" s="47">
        <f>INDEX(Lab_Mat!$K$6:$N$9,MATCH($H36,Lab_Mat!$J$6:$J$9,0),MATCH($BQ$4,Lab_Mat!$K$5:$N$5,0))*$P36*INDEX(Act_Type_Repex_Splits,MATCH($I36,Act_Type_Repex,0),MATCH(BP$4,Mat_Type,0))*INDEX(Escalators!$I$44:$U$49,MATCH(BP$4,Escalators!$C$44:$C$49,0),MATCH(BP$5,Escalators!$I$43:$U$43,0))</f>
        <v>0</v>
      </c>
      <c r="BQ36" s="47">
        <f t="shared" si="86"/>
        <v>0</v>
      </c>
      <c r="BR36" s="47">
        <f>INDEX(Lab_Mat!$K$6:$N$9,MATCH($H36,Lab_Mat!$J$6:$J$9,0),MATCH($BW$4,Lab_Mat!$K$5:$N$5,0))*$Q36*INDEX(Act_Type_Repex_Splits,MATCH($I36,Act_Type_Repex,0),MATCH(BR$4,Mat_Type,0))*INDEX(Escalators!$I$44:$U$49,MATCH(BR$4,Escalators!$C$44:$C$49,0),MATCH(BR$5,Escalators!$I$43:$U$43,0))</f>
        <v>0</v>
      </c>
      <c r="BS36" s="47">
        <f>INDEX(Lab_Mat!$K$6:$N$9,MATCH($H36,Lab_Mat!$J$6:$J$9,0),MATCH($BW$4,Lab_Mat!$K$5:$N$5,0))*$Q36*INDEX(Act_Type_Repex_Splits,MATCH($I36,Act_Type_Repex,0),MATCH(BS$4,Mat_Type,0))*INDEX(Escalators!$I$44:$U$49,MATCH(BS$4,Escalators!$C$44:$C$49,0),MATCH(BS$5,Escalators!$I$43:$U$43,0))</f>
        <v>0</v>
      </c>
      <c r="BT36" s="47">
        <f>INDEX(Lab_Mat!$K$6:$N$9,MATCH($H36,Lab_Mat!$J$6:$J$9,0),MATCH($BW$4,Lab_Mat!$K$5:$N$5,0))*$Q36*INDEX(Act_Type_Repex_Splits,MATCH($I36,Act_Type_Repex,0),MATCH(BT$4,Mat_Type,0))*INDEX(Escalators!$I$44:$U$49,MATCH(BT$4,Escalators!$C$44:$C$49,0),MATCH(BT$5,Escalators!$I$43:$U$43,0))</f>
        <v>0</v>
      </c>
      <c r="BU36" s="47">
        <f>INDEX(Lab_Mat!$K$6:$N$9,MATCH($H36,Lab_Mat!$J$6:$J$9,0),MATCH($BW$4,Lab_Mat!$K$5:$N$5,0))*$Q36*INDEX(Act_Type_Repex_Splits,MATCH($I36,Act_Type_Repex,0),MATCH(BU$4,Mat_Type,0))*INDEX(Escalators!$I$44:$U$49,MATCH(BU$4,Escalators!$C$44:$C$49,0),MATCH(BU$5,Escalators!$I$43:$U$43,0))</f>
        <v>0</v>
      </c>
      <c r="BV36" s="47">
        <f>INDEX(Lab_Mat!$K$6:$N$9,MATCH($H36,Lab_Mat!$J$6:$J$9,0),MATCH($BW$4,Lab_Mat!$K$5:$N$5,0))*$Q36*INDEX(Act_Type_Repex_Splits,MATCH($I36,Act_Type_Repex,0),MATCH(BV$4,Mat_Type,0))*INDEX(Escalators!$I$44:$U$49,MATCH(BV$4,Escalators!$C$44:$C$49,0),MATCH(BV$5,Escalators!$I$43:$U$43,0))</f>
        <v>0</v>
      </c>
      <c r="BW36" s="47">
        <f t="shared" si="87"/>
        <v>0</v>
      </c>
      <c r="BY36" s="47">
        <f>INDEX(Lab_Mat!$K$6:$N$9,MATCH($H36,Lab_Mat!$J$6:$J$9,0),MATCH($BY$4,Lab_Mat!$K$5:$N$5,0))*J36*HLOOKUP(BY$5,Escalators!$I$25:$U$30,6,FALSE)</f>
        <v>0</v>
      </c>
      <c r="BZ36" s="47">
        <f>INDEX(Lab_Mat!$K$6:$N$9,MATCH($H36,Lab_Mat!$J$6:$J$9,0),MATCH($BY$4,Lab_Mat!$K$5:$N$5,0))*K36*HLOOKUP(BZ$5,Escalators!$I$25:$U$30,6,FALSE)</f>
        <v>0</v>
      </c>
      <c r="CA36" s="47">
        <f>INDEX(Lab_Mat!$K$6:$N$9,MATCH($H36,Lab_Mat!$J$6:$J$9,0),MATCH($BY$4,Lab_Mat!$K$5:$N$5,0))*L36*HLOOKUP(CA$5,Escalators!$I$25:$U$30,6,FALSE)</f>
        <v>0</v>
      </c>
      <c r="CB36" s="47">
        <f>INDEX(Lab_Mat!$K$6:$N$9,MATCH($H36,Lab_Mat!$J$6:$J$9,0),MATCH($BY$4,Lab_Mat!$K$5:$N$5,0))*M36*HLOOKUP(CB$5,Escalators!$I$25:$U$30,6,FALSE)</f>
        <v>0</v>
      </c>
      <c r="CC36" s="47">
        <f>INDEX(Lab_Mat!$K$6:$N$9,MATCH($H36,Lab_Mat!$J$6:$J$9,0),MATCH($BY$4,Lab_Mat!$K$5:$N$5,0))*N36*HLOOKUP(CC$5,Escalators!$I$25:$U$30,6,FALSE)</f>
        <v>0</v>
      </c>
      <c r="CD36" s="47">
        <f>INDEX(Lab_Mat!$K$6:$N$9,MATCH($H36,Lab_Mat!$J$6:$J$9,0),MATCH($BY$4,Lab_Mat!$K$5:$N$5,0))*O36*HLOOKUP(CD$5,Escalators!$I$25:$U$30,6,FALSE)</f>
        <v>0</v>
      </c>
      <c r="CE36" s="47">
        <f>INDEX(Lab_Mat!$K$6:$N$9,MATCH($H36,Lab_Mat!$J$6:$J$9,0),MATCH($BY$4,Lab_Mat!$K$5:$N$5,0))*P36*HLOOKUP(CE$5,Escalators!$I$25:$U$30,6,FALSE)</f>
        <v>0</v>
      </c>
      <c r="CF36" s="47">
        <f>INDEX(Lab_Mat!$K$6:$N$9,MATCH($H36,Lab_Mat!$J$6:$J$9,0),MATCH($BY$4,Lab_Mat!$K$5:$N$5,0))*Q36*HLOOKUP(CF$5,Escalators!$I$25:$U$30,6,FALSE)</f>
        <v>0</v>
      </c>
      <c r="CH36" s="82">
        <f>INDEX(Lab_Mat!$K$6:$N$9,MATCH($H36,Lab_Mat!$J$6:$J$9,0),MATCH($CH$4,Lab_Mat!$K$5:$N$5,0))*J36</f>
        <v>0</v>
      </c>
      <c r="CI36" s="82">
        <f>INDEX(Lab_Mat!$K$6:$N$9,MATCH($H36,Lab_Mat!$J$6:$J$9,0),MATCH($CH$4,Lab_Mat!$K$5:$N$5,0))*K36</f>
        <v>0</v>
      </c>
      <c r="CJ36" s="82">
        <f>INDEX(Lab_Mat!$K$6:$N$9,MATCH($H36,Lab_Mat!$J$6:$J$9,0),MATCH($CH$4,Lab_Mat!$K$5:$N$5,0))*L36</f>
        <v>0</v>
      </c>
      <c r="CK36" s="82">
        <f>INDEX(Lab_Mat!$K$6:$N$9,MATCH($H36,Lab_Mat!$J$6:$J$9,0),MATCH($CH$4,Lab_Mat!$K$5:$N$5,0))*M36</f>
        <v>0</v>
      </c>
      <c r="CL36" s="82">
        <f>INDEX(Lab_Mat!$K$6:$N$9,MATCH($H36,Lab_Mat!$J$6:$J$9,0),MATCH($CH$4,Lab_Mat!$K$5:$N$5,0))*N36</f>
        <v>0</v>
      </c>
      <c r="CM36" s="82">
        <f>INDEX(Lab_Mat!$K$6:$N$9,MATCH($H36,Lab_Mat!$J$6:$J$9,0),MATCH($CH$4,Lab_Mat!$K$5:$N$5,0))*O36</f>
        <v>0</v>
      </c>
      <c r="CN36" s="82">
        <f>INDEX(Lab_Mat!$K$6:$N$9,MATCH($H36,Lab_Mat!$J$6:$J$9,0),MATCH($CH$4,Lab_Mat!$K$5:$N$5,0))*P36</f>
        <v>0</v>
      </c>
      <c r="CO36" s="82">
        <f>INDEX(Lab_Mat!$K$6:$N$9,MATCH($H36,Lab_Mat!$J$6:$J$9,0),MATCH($CH$4,Lab_Mat!$K$5:$N$5,0))*Q36</f>
        <v>0</v>
      </c>
      <c r="CQ36" s="47">
        <f t="shared" si="98"/>
        <v>0</v>
      </c>
      <c r="CR36" s="47">
        <f t="shared" si="99"/>
        <v>0</v>
      </c>
      <c r="CS36" s="47">
        <f t="shared" si="24"/>
        <v>0</v>
      </c>
      <c r="CT36" s="47">
        <f t="shared" si="100"/>
        <v>0</v>
      </c>
      <c r="CU36" s="47">
        <f t="shared" si="101"/>
        <v>0</v>
      </c>
      <c r="CV36" s="47">
        <f t="shared" si="102"/>
        <v>0</v>
      </c>
      <c r="CW36" s="47">
        <f t="shared" si="103"/>
        <v>0</v>
      </c>
      <c r="CX36" s="47">
        <f t="shared" si="104"/>
        <v>0</v>
      </c>
    </row>
    <row r="37" spans="2:109">
      <c r="B37" s="6"/>
      <c r="C37" s="6" t="s">
        <v>573</v>
      </c>
      <c r="D37" s="744" t="s">
        <v>830</v>
      </c>
      <c r="E37" s="6" t="s">
        <v>395</v>
      </c>
      <c r="F37" s="6" t="s">
        <v>55</v>
      </c>
      <c r="G37" s="6" t="s">
        <v>34</v>
      </c>
      <c r="H37" s="6" t="s">
        <v>741</v>
      </c>
      <c r="I37" s="6" t="s">
        <v>5</v>
      </c>
      <c r="J37" s="47"/>
      <c r="K37" s="47"/>
      <c r="L37" s="47"/>
      <c r="M37" s="750">
        <f>-M29</f>
        <v>-32.342179828628524</v>
      </c>
      <c r="N37" s="750">
        <f>-N29</f>
        <v>-13.124362829008676</v>
      </c>
      <c r="O37" s="47"/>
      <c r="P37" s="47"/>
      <c r="Q37" s="47"/>
      <c r="S37" s="47">
        <f>INDEX(Lab_Mat!$K$6:$N$9,MATCH($H37,Lab_Mat!$J$6:$J$9,0),MATCH($S$4,Lab_Mat!$K$5:$N$5,0))*J37*HLOOKUP(S$5,Escalators!$I$25:$U$30,3,FALSE)</f>
        <v>0</v>
      </c>
      <c r="T37" s="47">
        <f>INDEX(Lab_Mat!$K$6:$N$9,MATCH($H37,Lab_Mat!$J$6:$J$9,0),MATCH($S$4,Lab_Mat!$K$5:$N$5,0))*K37*HLOOKUP(T$5,Escalators!$I$25:$U$30,3,FALSE)</f>
        <v>0</v>
      </c>
      <c r="U37" s="47">
        <f>INDEX(Lab_Mat!$K$6:$N$9,MATCH($H37,Lab_Mat!$J$6:$J$9,0),MATCH($S$4,Lab_Mat!$K$5:$N$5,0))*L37*HLOOKUP(U$5,Escalators!$I$25:$U$30,3,FALSE)</f>
        <v>0</v>
      </c>
      <c r="V37" s="47">
        <f>INDEX(Lab_Mat!$K$6:$N$9,MATCH($H37,Lab_Mat!$J$6:$J$9,0),MATCH($S$4,Lab_Mat!$K$5:$N$5,0))*M37*HLOOKUP(V$5,Escalators!$I$25:$U$30,3,FALSE)</f>
        <v>-6.1423299705456467</v>
      </c>
      <c r="W37" s="47">
        <f>INDEX(Lab_Mat!$K$6:$N$9,MATCH($H37,Lab_Mat!$J$6:$J$9,0),MATCH($S$4,Lab_Mat!$K$5:$N$5,0))*N37*HLOOKUP(W$5,Escalators!$I$25:$U$30,3,FALSE)</f>
        <v>-2.5049049220279045</v>
      </c>
      <c r="X37" s="47">
        <f>INDEX(Lab_Mat!$K$6:$N$9,MATCH($H37,Lab_Mat!$J$6:$J$9,0),MATCH($S$4,Lab_Mat!$K$5:$N$5,0))*O37*HLOOKUP(X$5,Escalators!$I$25:$U$30,3,FALSE)</f>
        <v>0</v>
      </c>
      <c r="Y37" s="47">
        <f>INDEX(Lab_Mat!$K$6:$N$9,MATCH($H37,Lab_Mat!$J$6:$J$9,0),MATCH($S$4,Lab_Mat!$K$5:$N$5,0))*P37*HLOOKUP(Y$5,Escalators!$I$25:$U$30,3,FALSE)</f>
        <v>0</v>
      </c>
      <c r="Z37" s="47">
        <f>INDEX(Lab_Mat!$K$6:$N$9,MATCH($H37,Lab_Mat!$J$6:$J$9,0),MATCH($S$4,Lab_Mat!$K$5:$N$5,0))*Q37*HLOOKUP(Z$5,Escalators!$I$25:$U$30,3,FALSE)</f>
        <v>0</v>
      </c>
      <c r="AB37" s="47">
        <f>INDEX(Lab_Mat!$K$6:$N$9,MATCH($H37,Lab_Mat!$J$6:$J$9,0),MATCH($AG$4,Lab_Mat!$K$5:$N$5,0))*$J37*INDEX(Act_Type_Repex_Splits,MATCH($I37,Act_Type_Repex,0),MATCH(AB$4,Mat_Type,0))*INDEX(Escalators!$I$44:$Q$49,MATCH(AB$4,Escalators!$C$44:$C$49,0),MATCH(AB$5,Escalators!$I$43:$Q$43,0))</f>
        <v>0</v>
      </c>
      <c r="AC37" s="47">
        <f>INDEX(Lab_Mat!$K$6:$N$9,MATCH($H37,Lab_Mat!$J$6:$J$9,0),MATCH($AG$4,Lab_Mat!$K$5:$N$5,0))*$J37*INDEX(Act_Type_Repex_Splits,MATCH($I37,Act_Type_Repex,0),MATCH(AC$4,Mat_Type,0))*INDEX(Escalators!$I$44:$Q$49,MATCH(AC$4,Escalators!$C$44:$C$49,0),MATCH(AC$5,Escalators!$I$43:$Q$43,0))</f>
        <v>0</v>
      </c>
      <c r="AD37" s="47">
        <f>INDEX(Lab_Mat!$K$6:$N$9,MATCH($H37,Lab_Mat!$J$6:$J$9,0),MATCH($AG$4,Lab_Mat!$K$5:$N$5,0))*$J37*INDEX(Act_Type_Repex_Splits,MATCH($I37,Act_Type_Repex,0),MATCH(AD$4,Mat_Type,0))*INDEX(Escalators!$I$44:$Q$49,MATCH(AD$4,Escalators!$C$44:$C$49,0),MATCH(AD$5,Escalators!$I$43:$Q$43,0))</f>
        <v>0</v>
      </c>
      <c r="AE37" s="47">
        <f>INDEX(Lab_Mat!$K$6:$N$9,MATCH($H37,Lab_Mat!$J$6:$J$9,0),MATCH($AG$4,Lab_Mat!$K$5:$N$5,0))*$J37*INDEX(Act_Type_Repex_Splits,MATCH($I37,Act_Type_Repex,0),MATCH(AE$4,Mat_Type,0))*INDEX(Escalators!$I$44:$Q$49,MATCH(AE$4,Escalators!$C$44:$C$49,0),MATCH(AE$5,Escalators!$I$43:$Q$43,0))</f>
        <v>0</v>
      </c>
      <c r="AF37" s="47">
        <f>INDEX(Lab_Mat!$K$6:$N$9,MATCH($H37,Lab_Mat!$J$6:$J$9,0),MATCH($AG$4,Lab_Mat!$K$5:$N$5,0))*$J37*INDEX(Act_Type_Repex_Splits,MATCH($I37,Act_Type_Repex,0),MATCH(AF$4,Mat_Type,0))*INDEX(Escalators!$I$44:$Q$49,MATCH(AF$4,Escalators!$C$44:$C$49,0),MATCH(AF$5,Escalators!$I$43:$Q$43,0))</f>
        <v>0</v>
      </c>
      <c r="AG37" s="47">
        <f t="shared" si="80"/>
        <v>0</v>
      </c>
      <c r="AH37" s="47">
        <f>INDEX(Lab_Mat!$K$6:$N$9,MATCH($H37,Lab_Mat!$J$6:$J$9,0),MATCH($AY$4,Lab_Mat!$K$5:$N$5,0))*$K37*INDEX(Act_Type_Repex_Splits,MATCH($I37,Act_Type_Repex,0),MATCH(AH$4,Mat_Type,0))*INDEX(Escalators!$I$44:$U$49,MATCH(AH$4,Escalators!$C$44:$C$49,0),MATCH(AH$5,Escalators!$I$43:$U$43,0))</f>
        <v>0</v>
      </c>
      <c r="AI37" s="47">
        <f>INDEX(Lab_Mat!$K$6:$N$9,MATCH($H37,Lab_Mat!$J$6:$J$9,0),MATCH($AY$4,Lab_Mat!$K$5:$N$5,0))*$K37*INDEX(Act_Type_Repex_Splits,MATCH($I37,Act_Type_Repex,0),MATCH(AI$4,Mat_Type,0))*INDEX(Escalators!$I$44:$U$49,MATCH(AI$4,Escalators!$C$44:$C$49,0),MATCH(AI$5,Escalators!$I$43:$U$43,0))</f>
        <v>0</v>
      </c>
      <c r="AJ37" s="47">
        <f>INDEX(Lab_Mat!$K$6:$N$9,MATCH($H37,Lab_Mat!$J$6:$J$9,0),MATCH($AY$4,Lab_Mat!$K$5:$N$5,0))*$K37*INDEX(Act_Type_Repex_Splits,MATCH($I37,Act_Type_Repex,0),MATCH(AJ$4,Mat_Type,0))*INDEX(Escalators!$I$44:$U$49,MATCH(AJ$4,Escalators!$C$44:$C$49,0),MATCH(AJ$5,Escalators!$I$43:$U$43,0))</f>
        <v>0</v>
      </c>
      <c r="AK37" s="47">
        <f>INDEX(Lab_Mat!$K$6:$N$9,MATCH($H37,Lab_Mat!$J$6:$J$9,0),MATCH($AY$4,Lab_Mat!$K$5:$N$5,0))*$K37*INDEX(Act_Type_Repex_Splits,MATCH($I37,Act_Type_Repex,0),MATCH(AK$4,Mat_Type,0))*INDEX(Escalators!$I$44:$U$49,MATCH(AK$4,Escalators!$C$44:$C$49,0),MATCH(AK$5,Escalators!$I$43:$U$43,0))</f>
        <v>0</v>
      </c>
      <c r="AL37" s="47">
        <f>INDEX(Lab_Mat!$K$6:$N$9,MATCH($H37,Lab_Mat!$J$6:$J$9,0),MATCH($AY$4,Lab_Mat!$K$5:$N$5,0))*$K37*INDEX(Act_Type_Repex_Splits,MATCH($I37,Act_Type_Repex,0),MATCH(AL$4,Mat_Type,0))*INDEX(Escalators!$I$44:$U$49,MATCH(AL$4,Escalators!$C$44:$C$49,0),MATCH(AL$5,Escalators!$I$43:$U$43,0))</f>
        <v>0</v>
      </c>
      <c r="AM37" s="47">
        <f t="shared" si="81"/>
        <v>0</v>
      </c>
      <c r="AN37" s="47">
        <f>INDEX(Lab_Mat!$K$6:$N$9,MATCH($H37,Lab_Mat!$J$6:$J$9,0),MATCH($AY$4,Lab_Mat!$K$5:$N$5,0))*$L37*INDEX(Act_Type_Repex_Splits,MATCH($I37,Act_Type_Repex,0),MATCH(AN$4,Mat_Type,0))*INDEX(Escalators!$I$44:$U$49,MATCH(AN$4,Escalators!$C$44:$C$49,0),MATCH(AN$5,Escalators!$I$43:$U$43,0))</f>
        <v>0</v>
      </c>
      <c r="AO37" s="47">
        <f>INDEX(Lab_Mat!$K$6:$N$9,MATCH($H37,Lab_Mat!$J$6:$J$9,0),MATCH($AY$4,Lab_Mat!$K$5:$N$5,0))*$L37*INDEX(Act_Type_Repex_Splits,MATCH($I37,Act_Type_Repex,0),MATCH(AO$4,Mat_Type,0))*INDEX(Escalators!$I$44:$U$49,MATCH(AO$4,Escalators!$C$44:$C$49,0),MATCH(AO$5,Escalators!$I$43:$U$43,0))</f>
        <v>0</v>
      </c>
      <c r="AP37" s="47">
        <f>INDEX(Lab_Mat!$K$6:$N$9,MATCH($H37,Lab_Mat!$J$6:$J$9,0),MATCH($AY$4,Lab_Mat!$K$5:$N$5,0))*$L37*INDEX(Act_Type_Repex_Splits,MATCH($I37,Act_Type_Repex,0),MATCH(AP$4,Mat_Type,0))*INDEX(Escalators!$I$44:$U$49,MATCH(AP$4,Escalators!$C$44:$C$49,0),MATCH(AP$5,Escalators!$I$43:$U$43,0))</f>
        <v>0</v>
      </c>
      <c r="AQ37" s="47">
        <f>INDEX(Lab_Mat!$K$6:$N$9,MATCH($H37,Lab_Mat!$J$6:$J$9,0),MATCH($AY$4,Lab_Mat!$K$5:$N$5,0))*$L37*INDEX(Act_Type_Repex_Splits,MATCH($I37,Act_Type_Repex,0),MATCH(AQ$4,Mat_Type,0))*INDEX(Escalators!$I$44:$U$49,MATCH(AQ$4,Escalators!$C$44:$C$49,0),MATCH(AQ$5,Escalators!$I$43:$U$43,0))</f>
        <v>0</v>
      </c>
      <c r="AR37" s="47">
        <f>INDEX(Lab_Mat!$K$6:$N$9,MATCH($H37,Lab_Mat!$J$6:$J$9,0),MATCH($AY$4,Lab_Mat!$K$5:$N$5,0))*$L37*INDEX(Act_Type_Repex_Splits,MATCH($I37,Act_Type_Repex,0),MATCH(AR$4,Mat_Type,0))*INDEX(Escalators!$I$44:$U$49,MATCH(AR$4,Escalators!$C$44:$C$49,0),MATCH(AR$5,Escalators!$I$43:$U$43,0))</f>
        <v>0</v>
      </c>
      <c r="AS37" s="47">
        <f t="shared" si="82"/>
        <v>0</v>
      </c>
      <c r="AT37" s="47">
        <f>INDEX(Lab_Mat!$K$6:$N$9,MATCH($H37,Lab_Mat!$J$6:$J$9,0),MATCH($AY$4,Lab_Mat!$K$5:$N$5,0))*$M37*INDEX(Act_Type_Repex_Splits,MATCH($I37,Act_Type_Repex,0),MATCH(AT$4,Mat_Type,0))*INDEX(Escalators!$I$44:$U$49,MATCH(AT$4,Escalators!$C$44:$C$49,0),MATCH(AT$5,Escalators!$I$43:$U$43,0))</f>
        <v>-1.7509052376540273</v>
      </c>
      <c r="AU37" s="47">
        <f>INDEX(Lab_Mat!$K$6:$N$9,MATCH($H37,Lab_Mat!$J$6:$J$9,0),MATCH($AY$4,Lab_Mat!$K$5:$N$5,0))*$M37*INDEX(Act_Type_Repex_Splits,MATCH($I37,Act_Type_Repex,0),MATCH(AU$4,Mat_Type,0))*INDEX(Escalators!$I$44:$U$49,MATCH(AU$4,Escalators!$C$44:$C$49,0),MATCH(AU$5,Escalators!$I$43:$U$43,0))</f>
        <v>-1.7509052376540273</v>
      </c>
      <c r="AV37" s="47">
        <f>INDEX(Lab_Mat!$K$6:$N$9,MATCH($H37,Lab_Mat!$J$6:$J$9,0),MATCH($AY$4,Lab_Mat!$K$5:$N$5,0))*$M37*INDEX(Act_Type_Repex_Splits,MATCH($I37,Act_Type_Repex,0),MATCH(AV$4,Mat_Type,0))*INDEX(Escalators!$I$44:$U$49,MATCH(AV$4,Escalators!$C$44:$C$49,0),MATCH(AV$5,Escalators!$I$43:$U$43,0))</f>
        <v>-1.7509052376540273</v>
      </c>
      <c r="AW37" s="47">
        <f>INDEX(Lab_Mat!$K$6:$N$9,MATCH($H37,Lab_Mat!$J$6:$J$9,0),MATCH($AY$4,Lab_Mat!$K$5:$N$5,0))*$M37*INDEX(Act_Type_Repex_Splits,MATCH($I37,Act_Type_Repex,0),MATCH(AW$4,Mat_Type,0))*INDEX(Escalators!$I$44:$U$49,MATCH(AW$4,Escalators!$C$44:$C$49,0),MATCH(AW$5,Escalators!$I$43:$U$43,0))</f>
        <v>0</v>
      </c>
      <c r="AX37" s="47">
        <f>INDEX(Lab_Mat!$K$6:$N$9,MATCH($H37,Lab_Mat!$J$6:$J$9,0),MATCH($AY$4,Lab_Mat!$K$5:$N$5,0))*$M37*INDEX(Act_Type_Repex_Splits,MATCH($I37,Act_Type_Repex,0),MATCH(AX$4,Mat_Type,0))*INDEX(Escalators!$I$44:$U$49,MATCH(AX$4,Escalators!$C$44:$C$49,0),MATCH(AX$5,Escalators!$I$43:$U$43,0))</f>
        <v>-12.256336663578189</v>
      </c>
      <c r="AY37" s="47">
        <f t="shared" si="83"/>
        <v>-17.509052376540271</v>
      </c>
      <c r="AZ37" s="47">
        <f>INDEX(Lab_Mat!$K$6:$N$9,MATCH($H37,Lab_Mat!$J$6:$J$9,0),MATCH($BE$4,Lab_Mat!$K$5:$N$5,0))*$N37*INDEX(Act_Type_Repex_Splits,MATCH($I37,Act_Type_Repex,0),MATCH(AZ$4,Mat_Type,0))*INDEX(Escalators!$I$44:$U$49,MATCH(AZ$4,Escalators!$C$44:$C$49,0),MATCH(AZ$5,Escalators!$I$43:$U$43,0))</f>
        <v>-0.71051227035235898</v>
      </c>
      <c r="BA37" s="47">
        <f>INDEX(Lab_Mat!$K$6:$N$9,MATCH($H37,Lab_Mat!$J$6:$J$9,0),MATCH($BE$4,Lab_Mat!$K$5:$N$5,0))*$N37*INDEX(Act_Type_Repex_Splits,MATCH($I37,Act_Type_Repex,0),MATCH(BA$4,Mat_Type,0))*INDEX(Escalators!$I$44:$U$49,MATCH(BA$4,Escalators!$C$44:$C$49,0),MATCH(BA$5,Escalators!$I$43:$U$43,0))</f>
        <v>-0.71051227035235898</v>
      </c>
      <c r="BB37" s="47">
        <f>INDEX(Lab_Mat!$K$6:$N$9,MATCH($H37,Lab_Mat!$J$6:$J$9,0),MATCH($BE$4,Lab_Mat!$K$5:$N$5,0))*$N37*INDEX(Act_Type_Repex_Splits,MATCH($I37,Act_Type_Repex,0),MATCH(BB$4,Mat_Type,0))*INDEX(Escalators!$I$44:$U$49,MATCH(BB$4,Escalators!$C$44:$C$49,0),MATCH(BB$5,Escalators!$I$43:$U$43,0))</f>
        <v>-0.71051227035235898</v>
      </c>
      <c r="BC37" s="47">
        <f>INDEX(Lab_Mat!$K$6:$N$9,MATCH($H37,Lab_Mat!$J$6:$J$9,0),MATCH($BE$4,Lab_Mat!$K$5:$N$5,0))*$N37*INDEX(Act_Type_Repex_Splits,MATCH($I37,Act_Type_Repex,0),MATCH(BC$4,Mat_Type,0))*INDEX(Escalators!$I$44:$U$49,MATCH(BC$4,Escalators!$C$44:$C$49,0),MATCH(BC$5,Escalators!$I$43:$U$43,0))</f>
        <v>0</v>
      </c>
      <c r="BD37" s="47">
        <f>INDEX(Lab_Mat!$K$6:$N$9,MATCH($H37,Lab_Mat!$J$6:$J$9,0),MATCH($BE$4,Lab_Mat!$K$5:$N$5,0))*$N37*INDEX(Act_Type_Repex_Splits,MATCH($I37,Act_Type_Repex,0),MATCH(BD$4,Mat_Type,0))*INDEX(Escalators!$I$44:$U$49,MATCH(BD$4,Escalators!$C$44:$C$49,0),MATCH(BD$5,Escalators!$I$43:$U$43,0))</f>
        <v>-4.9735858924665122</v>
      </c>
      <c r="BE37" s="47">
        <f t="shared" si="84"/>
        <v>-7.1051227035235893</v>
      </c>
      <c r="BF37" s="47">
        <f>INDEX(Lab_Mat!$K$6:$N$9,MATCH($H37,Lab_Mat!$J$6:$J$9,0),MATCH($BK$4,Lab_Mat!$K$5:$N$5,0))*$O37*INDEX(Act_Type_Repex_Splits,MATCH($I37,Act_Type_Repex,0),MATCH(BF$4,Mat_Type,0))*INDEX(Escalators!$I$44:$U$49,MATCH(BF$4,Escalators!$C$44:$C$49,0),MATCH(BF$5,Escalators!$I$43:$U$43,0))</f>
        <v>0</v>
      </c>
      <c r="BG37" s="47">
        <f>INDEX(Lab_Mat!$K$6:$N$9,MATCH($H37,Lab_Mat!$J$6:$J$9,0),MATCH($BK$4,Lab_Mat!$K$5:$N$5,0))*$O37*INDEX(Act_Type_Repex_Splits,MATCH($I37,Act_Type_Repex,0),MATCH(BG$4,Mat_Type,0))*INDEX(Escalators!$I$44:$U$49,MATCH(BG$4,Escalators!$C$44:$C$49,0),MATCH(BG$5,Escalators!$I$43:$U$43,0))</f>
        <v>0</v>
      </c>
      <c r="BH37" s="47">
        <f>INDEX(Lab_Mat!$K$6:$N$9,MATCH($H37,Lab_Mat!$J$6:$J$9,0),MATCH($BK$4,Lab_Mat!$K$5:$N$5,0))*$O37*INDEX(Act_Type_Repex_Splits,MATCH($I37,Act_Type_Repex,0),MATCH(BH$4,Mat_Type,0))*INDEX(Escalators!$I$44:$U$49,MATCH(BH$4,Escalators!$C$44:$C$49,0),MATCH(BH$5,Escalators!$I$43:$U$43,0))</f>
        <v>0</v>
      </c>
      <c r="BI37" s="47">
        <f>INDEX(Lab_Mat!$K$6:$N$9,MATCH($H37,Lab_Mat!$J$6:$J$9,0),MATCH($BK$4,Lab_Mat!$K$5:$N$5,0))*$O37*INDEX(Act_Type_Repex_Splits,MATCH($I37,Act_Type_Repex,0),MATCH(BI$4,Mat_Type,0))*INDEX(Escalators!$I$44:$U$49,MATCH(BI$4,Escalators!$C$44:$C$49,0),MATCH(BI$5,Escalators!$I$43:$U$43,0))</f>
        <v>0</v>
      </c>
      <c r="BJ37" s="47">
        <f>INDEX(Lab_Mat!$K$6:$N$9,MATCH($H37,Lab_Mat!$J$6:$J$9,0),MATCH($BK$4,Lab_Mat!$K$5:$N$5,0))*$O37*INDEX(Act_Type_Repex_Splits,MATCH($I37,Act_Type_Repex,0),MATCH(BJ$4,Mat_Type,0))*INDEX(Escalators!$I$44:$U$49,MATCH(BJ$4,Escalators!$C$44:$C$49,0),MATCH(BJ$5,Escalators!$I$43:$U$43,0))</f>
        <v>0</v>
      </c>
      <c r="BK37" s="47">
        <f t="shared" si="85"/>
        <v>0</v>
      </c>
      <c r="BL37" s="47">
        <f>INDEX(Lab_Mat!$K$6:$N$9,MATCH($H37,Lab_Mat!$J$6:$J$9,0),MATCH($BQ$4,Lab_Mat!$K$5:$N$5,0))*$P37*INDEX(Act_Type_Repex_Splits,MATCH($I37,Act_Type_Repex,0),MATCH(BL$4,Mat_Type,0))*INDEX(Escalators!$I$44:$U$49,MATCH(BL$4,Escalators!$C$44:$C$49,0),MATCH(BL$5,Escalators!$I$43:$U$43,0))</f>
        <v>0</v>
      </c>
      <c r="BM37" s="47">
        <f>INDEX(Lab_Mat!$K$6:$N$9,MATCH($H37,Lab_Mat!$J$6:$J$9,0),MATCH($BQ$4,Lab_Mat!$K$5:$N$5,0))*$P37*INDEX(Act_Type_Repex_Splits,MATCH($I37,Act_Type_Repex,0),MATCH(BM$4,Mat_Type,0))*INDEX(Escalators!$I$44:$U$49,MATCH(BM$4,Escalators!$C$44:$C$49,0),MATCH(BM$5,Escalators!$I$43:$U$43,0))</f>
        <v>0</v>
      </c>
      <c r="BN37" s="47">
        <f>INDEX(Lab_Mat!$K$6:$N$9,MATCH($H37,Lab_Mat!$J$6:$J$9,0),MATCH($BQ$4,Lab_Mat!$K$5:$N$5,0))*$P37*INDEX(Act_Type_Repex_Splits,MATCH($I37,Act_Type_Repex,0),MATCH(BN$4,Mat_Type,0))*INDEX(Escalators!$I$44:$U$49,MATCH(BN$4,Escalators!$C$44:$C$49,0),MATCH(BN$5,Escalators!$I$43:$U$43,0))</f>
        <v>0</v>
      </c>
      <c r="BO37" s="47">
        <f>INDEX(Lab_Mat!$K$6:$N$9,MATCH($H37,Lab_Mat!$J$6:$J$9,0),MATCH($BQ$4,Lab_Mat!$K$5:$N$5,0))*$P37*INDEX(Act_Type_Repex_Splits,MATCH($I37,Act_Type_Repex,0),MATCH(BO$4,Mat_Type,0))*INDEX(Escalators!$I$44:$U$49,MATCH(BO$4,Escalators!$C$44:$C$49,0),MATCH(BO$5,Escalators!$I$43:$U$43,0))</f>
        <v>0</v>
      </c>
      <c r="BP37" s="47">
        <f>INDEX(Lab_Mat!$K$6:$N$9,MATCH($H37,Lab_Mat!$J$6:$J$9,0),MATCH($BQ$4,Lab_Mat!$K$5:$N$5,0))*$P37*INDEX(Act_Type_Repex_Splits,MATCH($I37,Act_Type_Repex,0),MATCH(BP$4,Mat_Type,0))*INDEX(Escalators!$I$44:$U$49,MATCH(BP$4,Escalators!$C$44:$C$49,0),MATCH(BP$5,Escalators!$I$43:$U$43,0))</f>
        <v>0</v>
      </c>
      <c r="BQ37" s="47">
        <f t="shared" si="86"/>
        <v>0</v>
      </c>
      <c r="BR37" s="47">
        <f>INDEX(Lab_Mat!$K$6:$N$9,MATCH($H37,Lab_Mat!$J$6:$J$9,0),MATCH($BW$4,Lab_Mat!$K$5:$N$5,0))*$Q37*INDEX(Act_Type_Repex_Splits,MATCH($I37,Act_Type_Repex,0),MATCH(BR$4,Mat_Type,0))*INDEX(Escalators!$I$44:$U$49,MATCH(BR$4,Escalators!$C$44:$C$49,0),MATCH(BR$5,Escalators!$I$43:$U$43,0))</f>
        <v>0</v>
      </c>
      <c r="BS37" s="47">
        <f>INDEX(Lab_Mat!$K$6:$N$9,MATCH($H37,Lab_Mat!$J$6:$J$9,0),MATCH($BW$4,Lab_Mat!$K$5:$N$5,0))*$Q37*INDEX(Act_Type_Repex_Splits,MATCH($I37,Act_Type_Repex,0),MATCH(BS$4,Mat_Type,0))*INDEX(Escalators!$I$44:$U$49,MATCH(BS$4,Escalators!$C$44:$C$49,0),MATCH(BS$5,Escalators!$I$43:$U$43,0))</f>
        <v>0</v>
      </c>
      <c r="BT37" s="47">
        <f>INDEX(Lab_Mat!$K$6:$N$9,MATCH($H37,Lab_Mat!$J$6:$J$9,0),MATCH($BW$4,Lab_Mat!$K$5:$N$5,0))*$Q37*INDEX(Act_Type_Repex_Splits,MATCH($I37,Act_Type_Repex,0),MATCH(BT$4,Mat_Type,0))*INDEX(Escalators!$I$44:$U$49,MATCH(BT$4,Escalators!$C$44:$C$49,0),MATCH(BT$5,Escalators!$I$43:$U$43,0))</f>
        <v>0</v>
      </c>
      <c r="BU37" s="47">
        <f>INDEX(Lab_Mat!$K$6:$N$9,MATCH($H37,Lab_Mat!$J$6:$J$9,0),MATCH($BW$4,Lab_Mat!$K$5:$N$5,0))*$Q37*INDEX(Act_Type_Repex_Splits,MATCH($I37,Act_Type_Repex,0),MATCH(BU$4,Mat_Type,0))*INDEX(Escalators!$I$44:$U$49,MATCH(BU$4,Escalators!$C$44:$C$49,0),MATCH(BU$5,Escalators!$I$43:$U$43,0))</f>
        <v>0</v>
      </c>
      <c r="BV37" s="47">
        <f>INDEX(Lab_Mat!$K$6:$N$9,MATCH($H37,Lab_Mat!$J$6:$J$9,0),MATCH($BW$4,Lab_Mat!$K$5:$N$5,0))*$Q37*INDEX(Act_Type_Repex_Splits,MATCH($I37,Act_Type_Repex,0),MATCH(BV$4,Mat_Type,0))*INDEX(Escalators!$I$44:$U$49,MATCH(BV$4,Escalators!$C$44:$C$49,0),MATCH(BV$5,Escalators!$I$43:$U$43,0))</f>
        <v>0</v>
      </c>
      <c r="BW37" s="47">
        <f t="shared" si="87"/>
        <v>0</v>
      </c>
      <c r="BY37" s="47">
        <f>INDEX(Lab_Mat!$K$6:$N$9,MATCH($H37,Lab_Mat!$J$6:$J$9,0),MATCH($BY$4,Lab_Mat!$K$5:$N$5,0))*J37*HLOOKUP(BY$5,Escalators!$I$25:$U$30,6,FALSE)</f>
        <v>0</v>
      </c>
      <c r="BZ37" s="47">
        <f>INDEX(Lab_Mat!$K$6:$N$9,MATCH($H37,Lab_Mat!$J$6:$J$9,0),MATCH($BY$4,Lab_Mat!$K$5:$N$5,0))*K37*HLOOKUP(BZ$5,Escalators!$I$25:$U$30,6,FALSE)</f>
        <v>0</v>
      </c>
      <c r="CA37" s="47">
        <f>INDEX(Lab_Mat!$K$6:$N$9,MATCH($H37,Lab_Mat!$J$6:$J$9,0),MATCH($BY$4,Lab_Mat!$K$5:$N$5,0))*L37*HLOOKUP(CA$5,Escalators!$I$25:$U$30,6,FALSE)</f>
        <v>0</v>
      </c>
      <c r="CB37" s="47">
        <f>INDEX(Lab_Mat!$K$6:$N$9,MATCH($H37,Lab_Mat!$J$6:$J$9,0),MATCH($BY$4,Lab_Mat!$K$5:$N$5,0))*M37*HLOOKUP(CB$5,Escalators!$I$25:$U$30,6,FALSE)</f>
        <v>-6.3569221829633937</v>
      </c>
      <c r="CC37" s="47">
        <f>INDEX(Lab_Mat!$K$6:$N$9,MATCH($H37,Lab_Mat!$J$6:$J$9,0),MATCH($BY$4,Lab_Mat!$K$5:$N$5,0))*N37*HLOOKUP(CC$5,Escalators!$I$25:$U$30,6,FALSE)</f>
        <v>-2.579620595985145</v>
      </c>
      <c r="CD37" s="47">
        <f>INDEX(Lab_Mat!$K$6:$N$9,MATCH($H37,Lab_Mat!$J$6:$J$9,0),MATCH($BY$4,Lab_Mat!$K$5:$N$5,0))*O37*HLOOKUP(CD$5,Escalators!$I$25:$U$30,6,FALSE)</f>
        <v>0</v>
      </c>
      <c r="CE37" s="47">
        <f>INDEX(Lab_Mat!$K$6:$N$9,MATCH($H37,Lab_Mat!$J$6:$J$9,0),MATCH($BY$4,Lab_Mat!$K$5:$N$5,0))*P37*HLOOKUP(CE$5,Escalators!$I$25:$U$30,6,FALSE)</f>
        <v>0</v>
      </c>
      <c r="CF37" s="47">
        <f>INDEX(Lab_Mat!$K$6:$N$9,MATCH($H37,Lab_Mat!$J$6:$J$9,0),MATCH($BY$4,Lab_Mat!$K$5:$N$5,0))*Q37*HLOOKUP(CF$5,Escalators!$I$25:$U$30,6,FALSE)</f>
        <v>0</v>
      </c>
      <c r="CH37" s="82">
        <f>INDEX(Lab_Mat!$K$6:$N$9,MATCH($H37,Lab_Mat!$J$6:$J$9,0),MATCH($CH$4,Lab_Mat!$K$5:$N$5,0))*J37</f>
        <v>0</v>
      </c>
      <c r="CI37" s="82">
        <f>INDEX(Lab_Mat!$K$6:$N$9,MATCH($H37,Lab_Mat!$J$6:$J$9,0),MATCH($CH$4,Lab_Mat!$K$5:$N$5,0))*K37</f>
        <v>0</v>
      </c>
      <c r="CJ37" s="82">
        <f>INDEX(Lab_Mat!$K$6:$N$9,MATCH($H37,Lab_Mat!$J$6:$J$9,0),MATCH($CH$4,Lab_Mat!$K$5:$N$5,0))*L37</f>
        <v>0</v>
      </c>
      <c r="CK37" s="82">
        <f>INDEX(Lab_Mat!$K$6:$N$9,MATCH($H37,Lab_Mat!$J$6:$J$9,0),MATCH($CH$4,Lab_Mat!$K$5:$N$5,0))*M37</f>
        <v>-2.528365962376645</v>
      </c>
      <c r="CL37" s="82">
        <f>INDEX(Lab_Mat!$K$6:$N$9,MATCH($H37,Lab_Mat!$J$6:$J$9,0),MATCH($CH$4,Lab_Mat!$K$5:$N$5,0))*N37</f>
        <v>-1.02600357893545</v>
      </c>
      <c r="CM37" s="82">
        <f>INDEX(Lab_Mat!$K$6:$N$9,MATCH($H37,Lab_Mat!$J$6:$J$9,0),MATCH($CH$4,Lab_Mat!$K$5:$N$5,0))*O37</f>
        <v>0</v>
      </c>
      <c r="CN37" s="82">
        <f>INDEX(Lab_Mat!$K$6:$N$9,MATCH($H37,Lab_Mat!$J$6:$J$9,0),MATCH($CH$4,Lab_Mat!$K$5:$N$5,0))*P37</f>
        <v>0</v>
      </c>
      <c r="CO37" s="82">
        <f>INDEX(Lab_Mat!$K$6:$N$9,MATCH($H37,Lab_Mat!$J$6:$J$9,0),MATCH($CH$4,Lab_Mat!$K$5:$N$5,0))*Q37</f>
        <v>0</v>
      </c>
      <c r="CQ37" s="47">
        <f t="shared" ref="CQ37" si="108">S37+AG37+BY37+CH37</f>
        <v>0</v>
      </c>
      <c r="CR37" s="47">
        <f t="shared" ref="CR37" si="109">T37+AM37+BZ37+CI37</f>
        <v>0</v>
      </c>
      <c r="CS37" s="47">
        <f t="shared" ref="CS37" si="110">U37+AS37+CA37+CJ37</f>
        <v>0</v>
      </c>
      <c r="CT37" s="47">
        <f t="shared" ref="CT37" si="111">V37+AY37+CB37+CK37</f>
        <v>-32.536670492425955</v>
      </c>
      <c r="CU37" s="47">
        <f t="shared" ref="CU37" si="112">W37+BE37+CC37+CL37</f>
        <v>-13.21565180047209</v>
      </c>
      <c r="CV37" s="47">
        <f t="shared" ref="CV37" si="113">X37+BK37+CD37+CM37</f>
        <v>0</v>
      </c>
      <c r="CW37" s="47">
        <f t="shared" ref="CW37" si="114">Y37+BQ37+CE37+CN37</f>
        <v>0</v>
      </c>
      <c r="CX37" s="47">
        <f t="shared" ref="CX37" si="115">Z37+BW37+CF37+CO37</f>
        <v>0</v>
      </c>
    </row>
    <row r="38" spans="2:109">
      <c r="B38" s="6"/>
      <c r="C38" s="6"/>
      <c r="D38" s="6"/>
      <c r="E38" s="6"/>
      <c r="F38" s="6"/>
      <c r="G38" s="6"/>
      <c r="H38" s="6"/>
      <c r="I38" s="6"/>
      <c r="J38" s="47"/>
      <c r="K38" s="47"/>
      <c r="L38" s="47"/>
      <c r="M38" s="47"/>
      <c r="N38" s="47"/>
      <c r="O38" s="47"/>
      <c r="P38" s="47"/>
      <c r="Q38" s="47"/>
      <c r="S38" s="47"/>
      <c r="T38" s="47"/>
      <c r="U38" s="47"/>
      <c r="V38" s="47"/>
      <c r="W38" s="47"/>
      <c r="X38" s="47"/>
      <c r="Y38" s="47"/>
      <c r="Z38" s="47"/>
      <c r="AB38" s="6"/>
      <c r="AC38" s="6"/>
      <c r="AD38" s="6"/>
      <c r="AE38" s="6"/>
      <c r="AF38" s="6"/>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Y38" s="47"/>
      <c r="BZ38" s="47"/>
      <c r="CA38" s="47"/>
      <c r="CB38" s="47"/>
      <c r="CC38" s="47"/>
      <c r="CD38" s="47"/>
      <c r="CE38" s="47"/>
      <c r="CF38" s="47"/>
      <c r="CH38" s="47"/>
      <c r="CI38" s="47"/>
      <c r="CJ38" s="47"/>
      <c r="CK38" s="47"/>
      <c r="CL38" s="47"/>
      <c r="CM38" s="47"/>
      <c r="CN38" s="47"/>
      <c r="CO38" s="47"/>
      <c r="CQ38" s="47"/>
      <c r="CR38" s="47"/>
      <c r="CS38" s="47"/>
      <c r="CT38" s="47"/>
      <c r="CU38" s="47"/>
      <c r="CV38" s="47"/>
      <c r="CW38" s="47"/>
      <c r="CX38" s="47"/>
      <c r="DE38" s="1" t="str">
        <f t="shared" si="8"/>
        <v/>
      </c>
    </row>
    <row r="39" spans="2:109">
      <c r="B39" s="6"/>
      <c r="C39" s="64" t="s">
        <v>408</v>
      </c>
      <c r="D39" s="744" t="s">
        <v>829</v>
      </c>
      <c r="E39" s="6" t="s">
        <v>44</v>
      </c>
      <c r="F39" s="6" t="s">
        <v>55</v>
      </c>
      <c r="G39" s="6" t="s">
        <v>10</v>
      </c>
      <c r="H39" s="6" t="s">
        <v>741</v>
      </c>
      <c r="I39" s="6" t="s">
        <v>186</v>
      </c>
      <c r="J39" s="47"/>
      <c r="K39" s="47"/>
      <c r="L39" s="750">
        <f>[4]Summary!$E5/Escalators!$N$14</f>
        <v>1012.6634225546906</v>
      </c>
      <c r="M39" s="750">
        <f>SUM([4]Summary!$F5:$G5)/Escalators!$N$14</f>
        <v>8976.0035623655858</v>
      </c>
      <c r="N39" s="750">
        <f>SUM([4]Summary!$H5:$I5)/Escalators!$N$14</f>
        <v>10102.465102670252</v>
      </c>
      <c r="O39" s="47"/>
      <c r="P39" s="47"/>
      <c r="Q39" s="47"/>
      <c r="S39" s="47">
        <f>INDEX(Lab_Mat!$K$6:$N$9,MATCH($H39,Lab_Mat!$J$6:$J$9,0),MATCH($S$4,Lab_Mat!$K$5:$N$5,0))*J39*HLOOKUP(S$5,Escalators!$I$25:$U$30,3,FALSE)</f>
        <v>0</v>
      </c>
      <c r="T39" s="47">
        <f>INDEX(Lab_Mat!$K$6:$N$9,MATCH($H39,Lab_Mat!$J$6:$J$9,0),MATCH($S$4,Lab_Mat!$K$5:$N$5,0))*K39*HLOOKUP(T$5,Escalators!$I$25:$U$30,3,FALSE)</f>
        <v>0</v>
      </c>
      <c r="U39" s="47">
        <f>INDEX(Lab_Mat!$K$6:$N$9,MATCH($H39,Lab_Mat!$J$6:$J$9,0),MATCH($S$4,Lab_Mat!$K$5:$N$5,0))*L39*HLOOKUP(U$5,Escalators!$I$25:$U$30,3,FALSE)</f>
        <v>190.84067411533175</v>
      </c>
      <c r="V39" s="47">
        <f>INDEX(Lab_Mat!$K$6:$N$9,MATCH($H39,Lab_Mat!$J$6:$J$9,0),MATCH($S$4,Lab_Mat!$K$5:$N$5,0))*M39*HLOOKUP(V$5,Escalators!$I$25:$U$30,3,FALSE)</f>
        <v>1704.6957251792815</v>
      </c>
      <c r="W39" s="47">
        <f>INDEX(Lab_Mat!$K$6:$N$9,MATCH($H39,Lab_Mat!$J$6:$J$9,0),MATCH($S$4,Lab_Mat!$K$5:$N$5,0))*N39*HLOOKUP(W$5,Escalators!$I$25:$U$30,3,FALSE)</f>
        <v>1928.1480472606891</v>
      </c>
      <c r="X39" s="47">
        <f>INDEX(Lab_Mat!$K$6:$N$9,MATCH($H39,Lab_Mat!$J$6:$J$9,0),MATCH($S$4,Lab_Mat!$K$5:$N$5,0))*O39*HLOOKUP(X$5,Escalators!$I$25:$U$30,3,FALSE)</f>
        <v>0</v>
      </c>
      <c r="Y39" s="47">
        <f>INDEX(Lab_Mat!$K$6:$N$9,MATCH($H39,Lab_Mat!$J$6:$J$9,0),MATCH($S$4,Lab_Mat!$K$5:$N$5,0))*P39*HLOOKUP(Y$5,Escalators!$I$25:$U$30,3,FALSE)</f>
        <v>0</v>
      </c>
      <c r="Z39" s="47">
        <f>INDEX(Lab_Mat!$K$6:$N$9,MATCH($H39,Lab_Mat!$J$6:$J$9,0),MATCH($S$4,Lab_Mat!$K$5:$N$5,0))*Q39*HLOOKUP(Z$5,Escalators!$I$25:$U$30,3,FALSE)</f>
        <v>0</v>
      </c>
      <c r="AB39" s="47">
        <f>INDEX(Lab_Mat!$K$6:$N$9,MATCH($H39,Lab_Mat!$J$6:$J$9,0),MATCH($AG$4,Lab_Mat!$K$5:$N$5,0))*$J39*INDEX(Act_Type_Repex_Splits,MATCH($I39,Act_Type_Repex,0),MATCH(AB$4,Mat_Type,0))*INDEX(Escalators!$I$44:$Q$49,MATCH(AB$4,Escalators!$C$44:$C$49,0),MATCH(AB$5,Escalators!$I$43:$Q$43,0))</f>
        <v>0</v>
      </c>
      <c r="AC39" s="47">
        <f>INDEX(Lab_Mat!$K$6:$N$9,MATCH($H39,Lab_Mat!$J$6:$J$9,0),MATCH($AG$4,Lab_Mat!$K$5:$N$5,0))*$J39*INDEX(Act_Type_Repex_Splits,MATCH($I39,Act_Type_Repex,0),MATCH(AC$4,Mat_Type,0))*INDEX(Escalators!$I$44:$Q$49,MATCH(AC$4,Escalators!$C$44:$C$49,0),MATCH(AC$5,Escalators!$I$43:$Q$43,0))</f>
        <v>0</v>
      </c>
      <c r="AD39" s="47">
        <f>INDEX(Lab_Mat!$K$6:$N$9,MATCH($H39,Lab_Mat!$J$6:$J$9,0),MATCH($AG$4,Lab_Mat!$K$5:$N$5,0))*$J39*INDEX(Act_Type_Repex_Splits,MATCH($I39,Act_Type_Repex,0),MATCH(AD$4,Mat_Type,0))*INDEX(Escalators!$I$44:$Q$49,MATCH(AD$4,Escalators!$C$44:$C$49,0),MATCH(AD$5,Escalators!$I$43:$Q$43,0))</f>
        <v>0</v>
      </c>
      <c r="AE39" s="47">
        <f>INDEX(Lab_Mat!$K$6:$N$9,MATCH($H39,Lab_Mat!$J$6:$J$9,0),MATCH($AG$4,Lab_Mat!$K$5:$N$5,0))*$J39*INDEX(Act_Type_Repex_Splits,MATCH($I39,Act_Type_Repex,0),MATCH(AE$4,Mat_Type,0))*INDEX(Escalators!$I$44:$Q$49,MATCH(AE$4,Escalators!$C$44:$C$49,0),MATCH(AE$5,Escalators!$I$43:$Q$43,0))</f>
        <v>0</v>
      </c>
      <c r="AF39" s="47">
        <f>INDEX(Lab_Mat!$K$6:$N$9,MATCH($H39,Lab_Mat!$J$6:$J$9,0),MATCH($AG$4,Lab_Mat!$K$5:$N$5,0))*$J39*INDEX(Act_Type_Repex_Splits,MATCH($I39,Act_Type_Repex,0),MATCH(AF$4,Mat_Type,0))*INDEX(Escalators!$I$44:$Q$49,MATCH(AF$4,Escalators!$C$44:$C$49,0),MATCH(AF$5,Escalators!$I$43:$Q$43,0))</f>
        <v>0</v>
      </c>
      <c r="AG39" s="47">
        <f t="shared" ref="AG39:AG45" si="116">SUM(AB39:AF39)</f>
        <v>0</v>
      </c>
      <c r="AH39" s="47">
        <f>INDEX(Lab_Mat!$K$6:$N$9,MATCH($H39,Lab_Mat!$J$6:$J$9,0),MATCH($AY$4,Lab_Mat!$K$5:$N$5,0))*$K39*INDEX(Act_Type_Repex_Splits,MATCH($I39,Act_Type_Repex,0),MATCH(AH$4,Mat_Type,0))*INDEX(Escalators!$I$44:$U$49,MATCH(AH$4,Escalators!$C$44:$C$49,0),MATCH(AH$5,Escalators!$I$43:$U$43,0))</f>
        <v>0</v>
      </c>
      <c r="AI39" s="47">
        <f>INDEX(Lab_Mat!$K$6:$N$9,MATCH($H39,Lab_Mat!$J$6:$J$9,0),MATCH($AY$4,Lab_Mat!$K$5:$N$5,0))*$K39*INDEX(Act_Type_Repex_Splits,MATCH($I39,Act_Type_Repex,0),MATCH(AI$4,Mat_Type,0))*INDEX(Escalators!$I$44:$U$49,MATCH(AI$4,Escalators!$C$44:$C$49,0),MATCH(AI$5,Escalators!$I$43:$U$43,0))</f>
        <v>0</v>
      </c>
      <c r="AJ39" s="47">
        <f>INDEX(Lab_Mat!$K$6:$N$9,MATCH($H39,Lab_Mat!$J$6:$J$9,0),MATCH($AY$4,Lab_Mat!$K$5:$N$5,0))*$K39*INDEX(Act_Type_Repex_Splits,MATCH($I39,Act_Type_Repex,0),MATCH(AJ$4,Mat_Type,0))*INDEX(Escalators!$I$44:$U$49,MATCH(AJ$4,Escalators!$C$44:$C$49,0),MATCH(AJ$5,Escalators!$I$43:$U$43,0))</f>
        <v>0</v>
      </c>
      <c r="AK39" s="47">
        <f>INDEX(Lab_Mat!$K$6:$N$9,MATCH($H39,Lab_Mat!$J$6:$J$9,0),MATCH($AY$4,Lab_Mat!$K$5:$N$5,0))*$K39*INDEX(Act_Type_Repex_Splits,MATCH($I39,Act_Type_Repex,0),MATCH(AK$4,Mat_Type,0))*INDEX(Escalators!$I$44:$U$49,MATCH(AK$4,Escalators!$C$44:$C$49,0),MATCH(AK$5,Escalators!$I$43:$U$43,0))</f>
        <v>0</v>
      </c>
      <c r="AL39" s="47">
        <f>INDEX(Lab_Mat!$K$6:$N$9,MATCH($H39,Lab_Mat!$J$6:$J$9,0),MATCH($AY$4,Lab_Mat!$K$5:$N$5,0))*$K39*INDEX(Act_Type_Repex_Splits,MATCH($I39,Act_Type_Repex,0),MATCH(AL$4,Mat_Type,0))*INDEX(Escalators!$I$44:$U$49,MATCH(AL$4,Escalators!$C$44:$C$49,0),MATCH(AL$5,Escalators!$I$43:$U$43,0))</f>
        <v>0</v>
      </c>
      <c r="AM39" s="47">
        <f t="shared" ref="AM39:AM45" si="117">SUM(AH39:AL39)</f>
        <v>0</v>
      </c>
      <c r="AN39" s="47">
        <f>INDEX(Lab_Mat!$K$6:$N$9,MATCH($H39,Lab_Mat!$J$6:$J$9,0),MATCH($AY$4,Lab_Mat!$K$5:$N$5,0))*$L39*INDEX(Act_Type_Repex_Splits,MATCH($I39,Act_Type_Repex,0),MATCH(AN$4,Mat_Type,0))*INDEX(Escalators!$I$44:$U$49,MATCH(AN$4,Escalators!$C$44:$C$49,0),MATCH(AN$5,Escalators!$I$43:$U$43,0))</f>
        <v>0</v>
      </c>
      <c r="AO39" s="47">
        <f>INDEX(Lab_Mat!$K$6:$N$9,MATCH($H39,Lab_Mat!$J$6:$J$9,0),MATCH($AY$4,Lab_Mat!$K$5:$N$5,0))*$L39*INDEX(Act_Type_Repex_Splits,MATCH($I39,Act_Type_Repex,0),MATCH(AO$4,Mat_Type,0))*INDEX(Escalators!$I$44:$U$49,MATCH(AO$4,Escalators!$C$44:$C$49,0),MATCH(AO$5,Escalators!$I$43:$U$43,0))</f>
        <v>164.46736428342177</v>
      </c>
      <c r="AP39" s="47">
        <f>INDEX(Lab_Mat!$K$6:$N$9,MATCH($H39,Lab_Mat!$J$6:$J$9,0),MATCH($AY$4,Lab_Mat!$K$5:$N$5,0))*$L39*INDEX(Act_Type_Repex_Splits,MATCH($I39,Act_Type_Repex,0),MATCH(AP$4,Mat_Type,0))*INDEX(Escalators!$I$44:$U$49,MATCH(AP$4,Escalators!$C$44:$C$49,0),MATCH(AP$5,Escalators!$I$43:$U$43,0))</f>
        <v>328.93472856684355</v>
      </c>
      <c r="AQ39" s="47">
        <f>INDEX(Lab_Mat!$K$6:$N$9,MATCH($H39,Lab_Mat!$J$6:$J$9,0),MATCH($AY$4,Lab_Mat!$K$5:$N$5,0))*$L39*INDEX(Act_Type_Repex_Splits,MATCH($I39,Act_Type_Repex,0),MATCH(AQ$4,Mat_Type,0))*INDEX(Escalators!$I$44:$U$49,MATCH(AQ$4,Escalators!$C$44:$C$49,0),MATCH(AQ$5,Escalators!$I$43:$U$43,0))</f>
        <v>54.822454761140591</v>
      </c>
      <c r="AR39" s="47">
        <f>INDEX(Lab_Mat!$K$6:$N$9,MATCH($H39,Lab_Mat!$J$6:$J$9,0),MATCH($AY$4,Lab_Mat!$K$5:$N$5,0))*$L39*INDEX(Act_Type_Repex_Splits,MATCH($I39,Act_Type_Repex,0),MATCH(AR$4,Mat_Type,0))*INDEX(Escalators!$I$44:$U$49,MATCH(AR$4,Escalators!$C$44:$C$49,0),MATCH(AR$5,Escalators!$I$43:$U$43,0))</f>
        <v>0</v>
      </c>
      <c r="AS39" s="47">
        <f t="shared" ref="AS39:AS45" si="118">SUM(AN39:AR39)</f>
        <v>548.22454761140591</v>
      </c>
      <c r="AT39" s="47">
        <f>INDEX(Lab_Mat!$K$6:$N$9,MATCH($H39,Lab_Mat!$J$6:$J$9,0),MATCH($AY$4,Lab_Mat!$K$5:$N$5,0))*$M39*INDEX(Act_Type_Repex_Splits,MATCH($I39,Act_Type_Repex,0),MATCH(AT$4,Mat_Type,0))*INDEX(Escalators!$I$44:$U$49,MATCH(AT$4,Escalators!$C$44:$C$49,0),MATCH(AT$5,Escalators!$I$43:$U$43,0))</f>
        <v>0</v>
      </c>
      <c r="AU39" s="47">
        <f>INDEX(Lab_Mat!$K$6:$N$9,MATCH($H39,Lab_Mat!$J$6:$J$9,0),MATCH($AY$4,Lab_Mat!$K$5:$N$5,0))*$M39*INDEX(Act_Type_Repex_Splits,MATCH($I39,Act_Type_Repex,0),MATCH(AU$4,Mat_Type,0))*INDEX(Escalators!$I$44:$U$49,MATCH(AU$4,Escalators!$C$44:$C$49,0),MATCH(AU$5,Escalators!$I$43:$U$43,0))</f>
        <v>1457.7989239274063</v>
      </c>
      <c r="AV39" s="47">
        <f>INDEX(Lab_Mat!$K$6:$N$9,MATCH($H39,Lab_Mat!$J$6:$J$9,0),MATCH($AY$4,Lab_Mat!$K$5:$N$5,0))*$M39*INDEX(Act_Type_Repex_Splits,MATCH($I39,Act_Type_Repex,0),MATCH(AV$4,Mat_Type,0))*INDEX(Escalators!$I$44:$U$49,MATCH(AV$4,Escalators!$C$44:$C$49,0),MATCH(AV$5,Escalators!$I$43:$U$43,0))</f>
        <v>2915.5978478548127</v>
      </c>
      <c r="AW39" s="47">
        <f>INDEX(Lab_Mat!$K$6:$N$9,MATCH($H39,Lab_Mat!$J$6:$J$9,0),MATCH($AY$4,Lab_Mat!$K$5:$N$5,0))*$M39*INDEX(Act_Type_Repex_Splits,MATCH($I39,Act_Type_Repex,0),MATCH(AW$4,Mat_Type,0))*INDEX(Escalators!$I$44:$U$49,MATCH(AW$4,Escalators!$C$44:$C$49,0),MATCH(AW$5,Escalators!$I$43:$U$43,0))</f>
        <v>485.93297464246882</v>
      </c>
      <c r="AX39" s="47">
        <f>INDEX(Lab_Mat!$K$6:$N$9,MATCH($H39,Lab_Mat!$J$6:$J$9,0),MATCH($AY$4,Lab_Mat!$K$5:$N$5,0))*$M39*INDEX(Act_Type_Repex_Splits,MATCH($I39,Act_Type_Repex,0),MATCH(AX$4,Mat_Type,0))*INDEX(Escalators!$I$44:$U$49,MATCH(AX$4,Escalators!$C$44:$C$49,0),MATCH(AX$5,Escalators!$I$43:$U$43,0))</f>
        <v>0</v>
      </c>
      <c r="AY39" s="47">
        <f t="shared" ref="AY39:AY45" si="119">SUM(AT39:AX39)</f>
        <v>4859.329746424688</v>
      </c>
      <c r="AZ39" s="47">
        <f>INDEX(Lab_Mat!$K$6:$N$9,MATCH($H39,Lab_Mat!$J$6:$J$9,0),MATCH($BE$4,Lab_Mat!$K$5:$N$5,0))*$N39*INDEX(Act_Type_Repex_Splits,MATCH($I39,Act_Type_Repex,0),MATCH(AZ$4,Mat_Type,0))*INDEX(Escalators!$I$44:$U$49,MATCH(AZ$4,Escalators!$C$44:$C$49,0),MATCH(AZ$5,Escalators!$I$43:$U$43,0))</f>
        <v>0</v>
      </c>
      <c r="BA39" s="47">
        <f>INDEX(Lab_Mat!$K$6:$N$9,MATCH($H39,Lab_Mat!$J$6:$J$9,0),MATCH($BE$4,Lab_Mat!$K$5:$N$5,0))*$N39*INDEX(Act_Type_Repex_Splits,MATCH($I39,Act_Type_Repex,0),MATCH(BA$4,Mat_Type,0))*INDEX(Escalators!$I$44:$U$49,MATCH(BA$4,Escalators!$C$44:$C$49,0),MATCH(BA$5,Escalators!$I$43:$U$43,0))</f>
        <v>1640.7483189328791</v>
      </c>
      <c r="BB39" s="47">
        <f>INDEX(Lab_Mat!$K$6:$N$9,MATCH($H39,Lab_Mat!$J$6:$J$9,0),MATCH($BE$4,Lab_Mat!$K$5:$N$5,0))*$N39*INDEX(Act_Type_Repex_Splits,MATCH($I39,Act_Type_Repex,0),MATCH(BB$4,Mat_Type,0))*INDEX(Escalators!$I$44:$U$49,MATCH(BB$4,Escalators!$C$44:$C$49,0),MATCH(BB$5,Escalators!$I$43:$U$43,0))</f>
        <v>3281.4966378657582</v>
      </c>
      <c r="BC39" s="47">
        <f>INDEX(Lab_Mat!$K$6:$N$9,MATCH($H39,Lab_Mat!$J$6:$J$9,0),MATCH($BE$4,Lab_Mat!$K$5:$N$5,0))*$N39*INDEX(Act_Type_Repex_Splits,MATCH($I39,Act_Type_Repex,0),MATCH(BC$4,Mat_Type,0))*INDEX(Escalators!$I$44:$U$49,MATCH(BC$4,Escalators!$C$44:$C$49,0),MATCH(BC$5,Escalators!$I$43:$U$43,0))</f>
        <v>546.91610631095978</v>
      </c>
      <c r="BD39" s="47">
        <f>INDEX(Lab_Mat!$K$6:$N$9,MATCH($H39,Lab_Mat!$J$6:$J$9,0),MATCH($BE$4,Lab_Mat!$K$5:$N$5,0))*$N39*INDEX(Act_Type_Repex_Splits,MATCH($I39,Act_Type_Repex,0),MATCH(BD$4,Mat_Type,0))*INDEX(Escalators!$I$44:$U$49,MATCH(BD$4,Escalators!$C$44:$C$49,0),MATCH(BD$5,Escalators!$I$43:$U$43,0))</f>
        <v>0</v>
      </c>
      <c r="BE39" s="47">
        <f t="shared" ref="BE39:BE45" si="120">SUM(AZ39:BD39)</f>
        <v>5469.1610631095964</v>
      </c>
      <c r="BF39" s="47">
        <f>INDEX(Lab_Mat!$K$6:$N$9,MATCH($H39,Lab_Mat!$J$6:$J$9,0),MATCH($BK$4,Lab_Mat!$K$5:$N$5,0))*$O39*INDEX(Act_Type_Repex_Splits,MATCH($I39,Act_Type_Repex,0),MATCH(BF$4,Mat_Type,0))*INDEX(Escalators!$I$44:$U$49,MATCH(BF$4,Escalators!$C$44:$C$49,0),MATCH(BF$5,Escalators!$I$43:$U$43,0))</f>
        <v>0</v>
      </c>
      <c r="BG39" s="47">
        <f>INDEX(Lab_Mat!$K$6:$N$9,MATCH($H39,Lab_Mat!$J$6:$J$9,0),MATCH($BK$4,Lab_Mat!$K$5:$N$5,0))*$O39*INDEX(Act_Type_Repex_Splits,MATCH($I39,Act_Type_Repex,0),MATCH(BG$4,Mat_Type,0))*INDEX(Escalators!$I$44:$U$49,MATCH(BG$4,Escalators!$C$44:$C$49,0),MATCH(BG$5,Escalators!$I$43:$U$43,0))</f>
        <v>0</v>
      </c>
      <c r="BH39" s="47">
        <f>INDEX(Lab_Mat!$K$6:$N$9,MATCH($H39,Lab_Mat!$J$6:$J$9,0),MATCH($BK$4,Lab_Mat!$K$5:$N$5,0))*$O39*INDEX(Act_Type_Repex_Splits,MATCH($I39,Act_Type_Repex,0),MATCH(BH$4,Mat_Type,0))*INDEX(Escalators!$I$44:$U$49,MATCH(BH$4,Escalators!$C$44:$C$49,0),MATCH(BH$5,Escalators!$I$43:$U$43,0))</f>
        <v>0</v>
      </c>
      <c r="BI39" s="47">
        <f>INDEX(Lab_Mat!$K$6:$N$9,MATCH($H39,Lab_Mat!$J$6:$J$9,0),MATCH($BK$4,Lab_Mat!$K$5:$N$5,0))*$O39*INDEX(Act_Type_Repex_Splits,MATCH($I39,Act_Type_Repex,0),MATCH(BI$4,Mat_Type,0))*INDEX(Escalators!$I$44:$U$49,MATCH(BI$4,Escalators!$C$44:$C$49,0),MATCH(BI$5,Escalators!$I$43:$U$43,0))</f>
        <v>0</v>
      </c>
      <c r="BJ39" s="47">
        <f>INDEX(Lab_Mat!$K$6:$N$9,MATCH($H39,Lab_Mat!$J$6:$J$9,0),MATCH($BK$4,Lab_Mat!$K$5:$N$5,0))*$O39*INDEX(Act_Type_Repex_Splits,MATCH($I39,Act_Type_Repex,0),MATCH(BJ$4,Mat_Type,0))*INDEX(Escalators!$I$44:$U$49,MATCH(BJ$4,Escalators!$C$44:$C$49,0),MATCH(BJ$5,Escalators!$I$43:$U$43,0))</f>
        <v>0</v>
      </c>
      <c r="BK39" s="47">
        <f t="shared" ref="BK39:BK45" si="121">SUM(BF39:BJ39)</f>
        <v>0</v>
      </c>
      <c r="BL39" s="47">
        <f>INDEX(Lab_Mat!$K$6:$N$9,MATCH($H39,Lab_Mat!$J$6:$J$9,0),MATCH($BQ$4,Lab_Mat!$K$5:$N$5,0))*$P39*INDEX(Act_Type_Repex_Splits,MATCH($I39,Act_Type_Repex,0),MATCH(BL$4,Mat_Type,0))*INDEX(Escalators!$I$44:$U$49,MATCH(BL$4,Escalators!$C$44:$C$49,0),MATCH(BL$5,Escalators!$I$43:$U$43,0))</f>
        <v>0</v>
      </c>
      <c r="BM39" s="47">
        <f>INDEX(Lab_Mat!$K$6:$N$9,MATCH($H39,Lab_Mat!$J$6:$J$9,0),MATCH($BQ$4,Lab_Mat!$K$5:$N$5,0))*$P39*INDEX(Act_Type_Repex_Splits,MATCH($I39,Act_Type_Repex,0),MATCH(BM$4,Mat_Type,0))*INDEX(Escalators!$I$44:$U$49,MATCH(BM$4,Escalators!$C$44:$C$49,0),MATCH(BM$5,Escalators!$I$43:$U$43,0))</f>
        <v>0</v>
      </c>
      <c r="BN39" s="47">
        <f>INDEX(Lab_Mat!$K$6:$N$9,MATCH($H39,Lab_Mat!$J$6:$J$9,0),MATCH($BQ$4,Lab_Mat!$K$5:$N$5,0))*$P39*INDEX(Act_Type_Repex_Splits,MATCH($I39,Act_Type_Repex,0),MATCH(BN$4,Mat_Type,0))*INDEX(Escalators!$I$44:$U$49,MATCH(BN$4,Escalators!$C$44:$C$49,0),MATCH(BN$5,Escalators!$I$43:$U$43,0))</f>
        <v>0</v>
      </c>
      <c r="BO39" s="47">
        <f>INDEX(Lab_Mat!$K$6:$N$9,MATCH($H39,Lab_Mat!$J$6:$J$9,0),MATCH($BQ$4,Lab_Mat!$K$5:$N$5,0))*$P39*INDEX(Act_Type_Repex_Splits,MATCH($I39,Act_Type_Repex,0),MATCH(BO$4,Mat_Type,0))*INDEX(Escalators!$I$44:$U$49,MATCH(BO$4,Escalators!$C$44:$C$49,0),MATCH(BO$5,Escalators!$I$43:$U$43,0))</f>
        <v>0</v>
      </c>
      <c r="BP39" s="47">
        <f>INDEX(Lab_Mat!$K$6:$N$9,MATCH($H39,Lab_Mat!$J$6:$J$9,0),MATCH($BQ$4,Lab_Mat!$K$5:$N$5,0))*$P39*INDEX(Act_Type_Repex_Splits,MATCH($I39,Act_Type_Repex,0),MATCH(BP$4,Mat_Type,0))*INDEX(Escalators!$I$44:$U$49,MATCH(BP$4,Escalators!$C$44:$C$49,0),MATCH(BP$5,Escalators!$I$43:$U$43,0))</f>
        <v>0</v>
      </c>
      <c r="BQ39" s="47">
        <f t="shared" ref="BQ39:BQ45" si="122">SUM(BL39:BP39)</f>
        <v>0</v>
      </c>
      <c r="BR39" s="47">
        <f>INDEX(Lab_Mat!$K$6:$N$9,MATCH($H39,Lab_Mat!$J$6:$J$9,0),MATCH($BW$4,Lab_Mat!$K$5:$N$5,0))*$Q39*INDEX(Act_Type_Repex_Splits,MATCH($I39,Act_Type_Repex,0),MATCH(BR$4,Mat_Type,0))*INDEX(Escalators!$I$44:$U$49,MATCH(BR$4,Escalators!$C$44:$C$49,0),MATCH(BR$5,Escalators!$I$43:$U$43,0))</f>
        <v>0</v>
      </c>
      <c r="BS39" s="47">
        <f>INDEX(Lab_Mat!$K$6:$N$9,MATCH($H39,Lab_Mat!$J$6:$J$9,0),MATCH($BW$4,Lab_Mat!$K$5:$N$5,0))*$Q39*INDEX(Act_Type_Repex_Splits,MATCH($I39,Act_Type_Repex,0),MATCH(BS$4,Mat_Type,0))*INDEX(Escalators!$I$44:$U$49,MATCH(BS$4,Escalators!$C$44:$C$49,0),MATCH(BS$5,Escalators!$I$43:$U$43,0))</f>
        <v>0</v>
      </c>
      <c r="BT39" s="47">
        <f>INDEX(Lab_Mat!$K$6:$N$9,MATCH($H39,Lab_Mat!$J$6:$J$9,0),MATCH($BW$4,Lab_Mat!$K$5:$N$5,0))*$Q39*INDEX(Act_Type_Repex_Splits,MATCH($I39,Act_Type_Repex,0),MATCH(BT$4,Mat_Type,0))*INDEX(Escalators!$I$44:$U$49,MATCH(BT$4,Escalators!$C$44:$C$49,0),MATCH(BT$5,Escalators!$I$43:$U$43,0))</f>
        <v>0</v>
      </c>
      <c r="BU39" s="47">
        <f>INDEX(Lab_Mat!$K$6:$N$9,MATCH($H39,Lab_Mat!$J$6:$J$9,0),MATCH($BW$4,Lab_Mat!$K$5:$N$5,0))*$Q39*INDEX(Act_Type_Repex_Splits,MATCH($I39,Act_Type_Repex,0),MATCH(BU$4,Mat_Type,0))*INDEX(Escalators!$I$44:$U$49,MATCH(BU$4,Escalators!$C$44:$C$49,0),MATCH(BU$5,Escalators!$I$43:$U$43,0))</f>
        <v>0</v>
      </c>
      <c r="BV39" s="47">
        <f>INDEX(Lab_Mat!$K$6:$N$9,MATCH($H39,Lab_Mat!$J$6:$J$9,0),MATCH($BW$4,Lab_Mat!$K$5:$N$5,0))*$Q39*INDEX(Act_Type_Repex_Splits,MATCH($I39,Act_Type_Repex,0),MATCH(BV$4,Mat_Type,0))*INDEX(Escalators!$I$44:$U$49,MATCH(BV$4,Escalators!$C$44:$C$49,0),MATCH(BV$5,Escalators!$I$43:$U$43,0))</f>
        <v>0</v>
      </c>
      <c r="BW39" s="47">
        <f t="shared" ref="BW39:BW45" si="123">SUM(BR39:BV39)</f>
        <v>0</v>
      </c>
      <c r="BY39" s="47">
        <f>INDEX(Lab_Mat!$K$6:$N$9,MATCH($H39,Lab_Mat!$J$6:$J$9,0),MATCH($BY$4,Lab_Mat!$K$5:$N$5,0))*J39*HLOOKUP(BY$5,Escalators!$I$25:$U$30,6,FALSE)</f>
        <v>0</v>
      </c>
      <c r="BZ39" s="47">
        <f>INDEX(Lab_Mat!$K$6:$N$9,MATCH($H39,Lab_Mat!$J$6:$J$9,0),MATCH($BY$4,Lab_Mat!$K$5:$N$5,0))*K39*HLOOKUP(BZ$5,Escalators!$I$25:$U$30,6,FALSE)</f>
        <v>0</v>
      </c>
      <c r="CA39" s="47">
        <f>INDEX(Lab_Mat!$K$6:$N$9,MATCH($H39,Lab_Mat!$J$6:$J$9,0),MATCH($BY$4,Lab_Mat!$K$5:$N$5,0))*L39*HLOOKUP(CA$5,Escalators!$I$25:$U$30,6,FALSE)</f>
        <v>199.04108532026936</v>
      </c>
      <c r="CB39" s="47">
        <f>INDEX(Lab_Mat!$K$6:$N$9,MATCH($H39,Lab_Mat!$J$6:$J$9,0),MATCH($BY$4,Lab_Mat!$K$5:$N$5,0))*M39*HLOOKUP(CB$5,Escalators!$I$25:$U$30,6,FALSE)</f>
        <v>1764.2520220437432</v>
      </c>
      <c r="CC39" s="47">
        <f>INDEX(Lab_Mat!$K$6:$N$9,MATCH($H39,Lab_Mat!$J$6:$J$9,0),MATCH($BY$4,Lab_Mat!$K$5:$N$5,0))*N39*HLOOKUP(CC$5,Escalators!$I$25:$U$30,6,FALSE)</f>
        <v>1985.6603622286325</v>
      </c>
      <c r="CD39" s="47">
        <f>INDEX(Lab_Mat!$K$6:$N$9,MATCH($H39,Lab_Mat!$J$6:$J$9,0),MATCH($BY$4,Lab_Mat!$K$5:$N$5,0))*O39*HLOOKUP(CD$5,Escalators!$I$25:$U$30,6,FALSE)</f>
        <v>0</v>
      </c>
      <c r="CE39" s="47">
        <f>INDEX(Lab_Mat!$K$6:$N$9,MATCH($H39,Lab_Mat!$J$6:$J$9,0),MATCH($BY$4,Lab_Mat!$K$5:$N$5,0))*P39*HLOOKUP(CE$5,Escalators!$I$25:$U$30,6,FALSE)</f>
        <v>0</v>
      </c>
      <c r="CF39" s="47">
        <f>INDEX(Lab_Mat!$K$6:$N$9,MATCH($H39,Lab_Mat!$J$6:$J$9,0),MATCH($BY$4,Lab_Mat!$K$5:$N$5,0))*Q39*HLOOKUP(CF$5,Escalators!$I$25:$U$30,6,FALSE)</f>
        <v>0</v>
      </c>
      <c r="CH39" s="82">
        <f>INDEX(Lab_Mat!$K$6:$N$9,MATCH($H39,Lab_Mat!$J$6:$J$9,0),MATCH($CH$4,Lab_Mat!$K$5:$N$5,0))*J39</f>
        <v>0</v>
      </c>
      <c r="CI39" s="82">
        <f>INDEX(Lab_Mat!$K$6:$N$9,MATCH($H39,Lab_Mat!$J$6:$J$9,0),MATCH($CH$4,Lab_Mat!$K$5:$N$5,0))*K39</f>
        <v>0</v>
      </c>
      <c r="CJ39" s="82">
        <f>INDEX(Lab_Mat!$K$6:$N$9,MATCH($H39,Lab_Mat!$J$6:$J$9,0),MATCH($CH$4,Lab_Mat!$K$5:$N$5,0))*L39</f>
        <v>79.165465732298188</v>
      </c>
      <c r="CK39" s="82">
        <f>INDEX(Lab_Mat!$K$6:$N$9,MATCH($H39,Lab_Mat!$J$6:$J$9,0),MATCH($CH$4,Lab_Mat!$K$5:$N$5,0))*M39</f>
        <v>701.70353406939876</v>
      </c>
      <c r="CL39" s="82">
        <f>INDEX(Lab_Mat!$K$6:$N$9,MATCH($H39,Lab_Mat!$J$6:$J$9,0),MATCH($CH$4,Lab_Mat!$K$5:$N$5,0))*N39</f>
        <v>789.76522414483418</v>
      </c>
      <c r="CM39" s="82">
        <f>INDEX(Lab_Mat!$K$6:$N$9,MATCH($H39,Lab_Mat!$J$6:$J$9,0),MATCH($CH$4,Lab_Mat!$K$5:$N$5,0))*O39</f>
        <v>0</v>
      </c>
      <c r="CN39" s="82">
        <f>INDEX(Lab_Mat!$K$6:$N$9,MATCH($H39,Lab_Mat!$J$6:$J$9,0),MATCH($CH$4,Lab_Mat!$K$5:$N$5,0))*P39</f>
        <v>0</v>
      </c>
      <c r="CO39" s="82">
        <f>INDEX(Lab_Mat!$K$6:$N$9,MATCH($H39,Lab_Mat!$J$6:$J$9,0),MATCH($CH$4,Lab_Mat!$K$5:$N$5,0))*Q39</f>
        <v>0</v>
      </c>
      <c r="CQ39" s="47">
        <f t="shared" ref="CQ39:CQ45" si="124">S39+AG39+BY39+CH39</f>
        <v>0</v>
      </c>
      <c r="CR39" s="47">
        <f t="shared" ref="CR39:CR45" si="125">T39+AM39+BZ39+CI39</f>
        <v>0</v>
      </c>
      <c r="CS39" s="47">
        <f t="shared" ref="CS39:CS45" si="126">U39+AS39+CA39+CJ39</f>
        <v>1017.2717727793053</v>
      </c>
      <c r="CT39" s="47">
        <f t="shared" ref="CT39:CT45" si="127">V39+AY39+CB39+CK39</f>
        <v>9029.9810277171109</v>
      </c>
      <c r="CU39" s="47">
        <f t="shared" ref="CU39:CU45" si="128">W39+BE39+CC39+CL39</f>
        <v>10172.734696743752</v>
      </c>
      <c r="CV39" s="47">
        <f t="shared" ref="CV39:CV45" si="129">X39+BK39+CD39+CM39</f>
        <v>0</v>
      </c>
      <c r="CW39" s="47">
        <f t="shared" ref="CW39:CW45" si="130">Y39+BQ39+CE39+CN39</f>
        <v>0</v>
      </c>
      <c r="CX39" s="47">
        <f t="shared" ref="CX39:CX45" si="131">Z39+BW39+CF39+CO39</f>
        <v>0</v>
      </c>
    </row>
    <row r="40" spans="2:109">
      <c r="B40" s="6"/>
      <c r="C40" s="6" t="s">
        <v>409</v>
      </c>
      <c r="D40" s="744" t="s">
        <v>829</v>
      </c>
      <c r="E40" s="6" t="s">
        <v>45</v>
      </c>
      <c r="F40" s="6" t="s">
        <v>55</v>
      </c>
      <c r="G40" s="6" t="s">
        <v>10</v>
      </c>
      <c r="H40" s="6" t="s">
        <v>555</v>
      </c>
      <c r="I40" s="6" t="s">
        <v>186</v>
      </c>
      <c r="J40" s="47"/>
      <c r="K40" s="47"/>
      <c r="L40" s="750">
        <f>[4]Summary!$E6/Escalators!$N$14</f>
        <v>458.59565193443768</v>
      </c>
      <c r="M40" s="750">
        <f>SUM([4]Summary!$F6:$G6)/Escalators!$N$14</f>
        <v>4064.8809009654647</v>
      </c>
      <c r="N40" s="750">
        <f>SUM([4]Summary!$H6:$I6)/Escalators!$N$14</f>
        <v>4575.0112690120004</v>
      </c>
      <c r="O40" s="47"/>
      <c r="P40" s="47"/>
      <c r="Q40" s="47"/>
      <c r="S40" s="47">
        <f>INDEX(Lab_Mat!$K$6:$N$9,MATCH($H40,Lab_Mat!$J$6:$J$9,0),MATCH($S$4,Lab_Mat!$K$5:$N$5,0))*J40*HLOOKUP(S$5,Escalators!$I$25:$U$30,3,FALSE)</f>
        <v>0</v>
      </c>
      <c r="T40" s="47">
        <f>INDEX(Lab_Mat!$K$6:$N$9,MATCH($H40,Lab_Mat!$J$6:$J$9,0),MATCH($S$4,Lab_Mat!$K$5:$N$5,0))*K40*HLOOKUP(T$5,Escalators!$I$25:$U$30,3,FALSE)</f>
        <v>0</v>
      </c>
      <c r="U40" s="47">
        <f>INDEX(Lab_Mat!$K$6:$N$9,MATCH($H40,Lab_Mat!$J$6:$J$9,0),MATCH($S$4,Lab_Mat!$K$5:$N$5,0))*L40*HLOOKUP(U$5,Escalators!$I$25:$U$30,3,FALSE)</f>
        <v>75.032044344729755</v>
      </c>
      <c r="V40" s="47">
        <f>INDEX(Lab_Mat!$K$6:$N$9,MATCH($H40,Lab_Mat!$J$6:$J$9,0),MATCH($S$4,Lab_Mat!$K$5:$N$5,0))*M40*HLOOKUP(V$5,Escalators!$I$25:$U$30,3,FALSE)</f>
        <v>670.22821963322406</v>
      </c>
      <c r="W40" s="47">
        <f>INDEX(Lab_Mat!$K$6:$N$9,MATCH($H40,Lab_Mat!$J$6:$J$9,0),MATCH($S$4,Lab_Mat!$K$5:$N$5,0))*N40*HLOOKUP(W$5,Escalators!$I$25:$U$30,3,FALSE)</f>
        <v>758.08205172151702</v>
      </c>
      <c r="X40" s="47">
        <f>INDEX(Lab_Mat!$K$6:$N$9,MATCH($H40,Lab_Mat!$J$6:$J$9,0),MATCH($S$4,Lab_Mat!$K$5:$N$5,0))*O40*HLOOKUP(X$5,Escalators!$I$25:$U$30,3,FALSE)</f>
        <v>0</v>
      </c>
      <c r="Y40" s="47">
        <f>INDEX(Lab_Mat!$K$6:$N$9,MATCH($H40,Lab_Mat!$J$6:$J$9,0),MATCH($S$4,Lab_Mat!$K$5:$N$5,0))*P40*HLOOKUP(Y$5,Escalators!$I$25:$U$30,3,FALSE)</f>
        <v>0</v>
      </c>
      <c r="Z40" s="47">
        <f>INDEX(Lab_Mat!$K$6:$N$9,MATCH($H40,Lab_Mat!$J$6:$J$9,0),MATCH($S$4,Lab_Mat!$K$5:$N$5,0))*Q40*HLOOKUP(Z$5,Escalators!$I$25:$U$30,3,FALSE)</f>
        <v>0</v>
      </c>
      <c r="AB40" s="47">
        <f>INDEX(Lab_Mat!$K$6:$N$9,MATCH($H40,Lab_Mat!$J$6:$J$9,0),MATCH($AG$4,Lab_Mat!$K$5:$N$5,0))*$J40*INDEX(Act_Type_Repex_Splits,MATCH($I40,Act_Type_Repex,0),MATCH(AB$4,Mat_Type,0))*INDEX(Escalators!$I$44:$Q$49,MATCH(AB$4,Escalators!$C$44:$C$49,0),MATCH(AB$5,Escalators!$I$43:$Q$43,0))</f>
        <v>0</v>
      </c>
      <c r="AC40" s="47">
        <f>INDEX(Lab_Mat!$K$6:$N$9,MATCH($H40,Lab_Mat!$J$6:$J$9,0),MATCH($AG$4,Lab_Mat!$K$5:$N$5,0))*$J40*INDEX(Act_Type_Repex_Splits,MATCH($I40,Act_Type_Repex,0),MATCH(AC$4,Mat_Type,0))*INDEX(Escalators!$I$44:$Q$49,MATCH(AC$4,Escalators!$C$44:$C$49,0),MATCH(AC$5,Escalators!$I$43:$Q$43,0))</f>
        <v>0</v>
      </c>
      <c r="AD40" s="47">
        <f>INDEX(Lab_Mat!$K$6:$N$9,MATCH($H40,Lab_Mat!$J$6:$J$9,0),MATCH($AG$4,Lab_Mat!$K$5:$N$5,0))*$J40*INDEX(Act_Type_Repex_Splits,MATCH($I40,Act_Type_Repex,0),MATCH(AD$4,Mat_Type,0))*INDEX(Escalators!$I$44:$Q$49,MATCH(AD$4,Escalators!$C$44:$C$49,0),MATCH(AD$5,Escalators!$I$43:$Q$43,0))</f>
        <v>0</v>
      </c>
      <c r="AE40" s="47">
        <f>INDEX(Lab_Mat!$K$6:$N$9,MATCH($H40,Lab_Mat!$J$6:$J$9,0),MATCH($AG$4,Lab_Mat!$K$5:$N$5,0))*$J40*INDEX(Act_Type_Repex_Splits,MATCH($I40,Act_Type_Repex,0),MATCH(AE$4,Mat_Type,0))*INDEX(Escalators!$I$44:$Q$49,MATCH(AE$4,Escalators!$C$44:$C$49,0),MATCH(AE$5,Escalators!$I$43:$Q$43,0))</f>
        <v>0</v>
      </c>
      <c r="AF40" s="47">
        <f>INDEX(Lab_Mat!$K$6:$N$9,MATCH($H40,Lab_Mat!$J$6:$J$9,0),MATCH($AG$4,Lab_Mat!$K$5:$N$5,0))*$J40*INDEX(Act_Type_Repex_Splits,MATCH($I40,Act_Type_Repex,0),MATCH(AF$4,Mat_Type,0))*INDEX(Escalators!$I$44:$Q$49,MATCH(AF$4,Escalators!$C$44:$C$49,0),MATCH(AF$5,Escalators!$I$43:$Q$43,0))</f>
        <v>0</v>
      </c>
      <c r="AG40" s="47">
        <f t="shared" si="116"/>
        <v>0</v>
      </c>
      <c r="AH40" s="47">
        <f>INDEX(Lab_Mat!$K$6:$N$9,MATCH($H40,Lab_Mat!$J$6:$J$9,0),MATCH($AY$4,Lab_Mat!$K$5:$N$5,0))*$K40*INDEX(Act_Type_Repex_Splits,MATCH($I40,Act_Type_Repex,0),MATCH(AH$4,Mat_Type,0))*INDEX(Escalators!$I$44:$U$49,MATCH(AH$4,Escalators!$C$44:$C$49,0),MATCH(AH$5,Escalators!$I$43:$U$43,0))</f>
        <v>0</v>
      </c>
      <c r="AI40" s="47">
        <f>INDEX(Lab_Mat!$K$6:$N$9,MATCH($H40,Lab_Mat!$J$6:$J$9,0),MATCH($AY$4,Lab_Mat!$K$5:$N$5,0))*$K40*INDEX(Act_Type_Repex_Splits,MATCH($I40,Act_Type_Repex,0),MATCH(AI$4,Mat_Type,0))*INDEX(Escalators!$I$44:$U$49,MATCH(AI$4,Escalators!$C$44:$C$49,0),MATCH(AI$5,Escalators!$I$43:$U$43,0))</f>
        <v>0</v>
      </c>
      <c r="AJ40" s="47">
        <f>INDEX(Lab_Mat!$K$6:$N$9,MATCH($H40,Lab_Mat!$J$6:$J$9,0),MATCH($AY$4,Lab_Mat!$K$5:$N$5,0))*$K40*INDEX(Act_Type_Repex_Splits,MATCH($I40,Act_Type_Repex,0),MATCH(AJ$4,Mat_Type,0))*INDEX(Escalators!$I$44:$U$49,MATCH(AJ$4,Escalators!$C$44:$C$49,0),MATCH(AJ$5,Escalators!$I$43:$U$43,0))</f>
        <v>0</v>
      </c>
      <c r="AK40" s="47">
        <f>INDEX(Lab_Mat!$K$6:$N$9,MATCH($H40,Lab_Mat!$J$6:$J$9,0),MATCH($AY$4,Lab_Mat!$K$5:$N$5,0))*$K40*INDEX(Act_Type_Repex_Splits,MATCH($I40,Act_Type_Repex,0),MATCH(AK$4,Mat_Type,0))*INDEX(Escalators!$I$44:$U$49,MATCH(AK$4,Escalators!$C$44:$C$49,0),MATCH(AK$5,Escalators!$I$43:$U$43,0))</f>
        <v>0</v>
      </c>
      <c r="AL40" s="47">
        <f>INDEX(Lab_Mat!$K$6:$N$9,MATCH($H40,Lab_Mat!$J$6:$J$9,0),MATCH($AY$4,Lab_Mat!$K$5:$N$5,0))*$K40*INDEX(Act_Type_Repex_Splits,MATCH($I40,Act_Type_Repex,0),MATCH(AL$4,Mat_Type,0))*INDEX(Escalators!$I$44:$U$49,MATCH(AL$4,Escalators!$C$44:$C$49,0),MATCH(AL$5,Escalators!$I$43:$U$43,0))</f>
        <v>0</v>
      </c>
      <c r="AM40" s="47">
        <f t="shared" si="117"/>
        <v>0</v>
      </c>
      <c r="AN40" s="47">
        <f>INDEX(Lab_Mat!$K$6:$N$9,MATCH($H40,Lab_Mat!$J$6:$J$9,0),MATCH($AY$4,Lab_Mat!$K$5:$N$5,0))*$L40*INDEX(Act_Type_Repex_Splits,MATCH($I40,Act_Type_Repex,0),MATCH(AN$4,Mat_Type,0))*INDEX(Escalators!$I$44:$U$49,MATCH(AN$4,Escalators!$C$44:$C$49,0),MATCH(AN$5,Escalators!$I$43:$U$43,0))</f>
        <v>0</v>
      </c>
      <c r="AO40" s="47">
        <f>INDEX(Lab_Mat!$K$6:$N$9,MATCH($H40,Lab_Mat!$J$6:$J$9,0),MATCH($AY$4,Lab_Mat!$K$5:$N$5,0))*$L40*INDEX(Act_Type_Repex_Splits,MATCH($I40,Act_Type_Repex,0),MATCH(AO$4,Mat_Type,0))*INDEX(Escalators!$I$44:$U$49,MATCH(AO$4,Escalators!$C$44:$C$49,0),MATCH(AO$5,Escalators!$I$43:$U$43,0))</f>
        <v>45.824931922215491</v>
      </c>
      <c r="AP40" s="47">
        <f>INDEX(Lab_Mat!$K$6:$N$9,MATCH($H40,Lab_Mat!$J$6:$J$9,0),MATCH($AY$4,Lab_Mat!$K$5:$N$5,0))*$L40*INDEX(Act_Type_Repex_Splits,MATCH($I40,Act_Type_Repex,0),MATCH(AP$4,Mat_Type,0))*INDEX(Escalators!$I$44:$U$49,MATCH(AP$4,Escalators!$C$44:$C$49,0),MATCH(AP$5,Escalators!$I$43:$U$43,0))</f>
        <v>91.649863844430982</v>
      </c>
      <c r="AQ40" s="47">
        <f>INDEX(Lab_Mat!$K$6:$N$9,MATCH($H40,Lab_Mat!$J$6:$J$9,0),MATCH($AY$4,Lab_Mat!$K$5:$N$5,0))*$L40*INDEX(Act_Type_Repex_Splits,MATCH($I40,Act_Type_Repex,0),MATCH(AQ$4,Mat_Type,0))*INDEX(Escalators!$I$44:$U$49,MATCH(AQ$4,Escalators!$C$44:$C$49,0),MATCH(AQ$5,Escalators!$I$43:$U$43,0))</f>
        <v>15.274977307405164</v>
      </c>
      <c r="AR40" s="47">
        <f>INDEX(Lab_Mat!$K$6:$N$9,MATCH($H40,Lab_Mat!$J$6:$J$9,0),MATCH($AY$4,Lab_Mat!$K$5:$N$5,0))*$L40*INDEX(Act_Type_Repex_Splits,MATCH($I40,Act_Type_Repex,0),MATCH(AR$4,Mat_Type,0))*INDEX(Escalators!$I$44:$U$49,MATCH(AR$4,Escalators!$C$44:$C$49,0),MATCH(AR$5,Escalators!$I$43:$U$43,0))</f>
        <v>0</v>
      </c>
      <c r="AS40" s="47">
        <f t="shared" si="118"/>
        <v>152.74977307405163</v>
      </c>
      <c r="AT40" s="47">
        <f>INDEX(Lab_Mat!$K$6:$N$9,MATCH($H40,Lab_Mat!$J$6:$J$9,0),MATCH($AY$4,Lab_Mat!$K$5:$N$5,0))*$M40*INDEX(Act_Type_Repex_Splits,MATCH($I40,Act_Type_Repex,0),MATCH(AT$4,Mat_Type,0))*INDEX(Escalators!$I$44:$U$49,MATCH(AT$4,Escalators!$C$44:$C$49,0),MATCH(AT$5,Escalators!$I$43:$U$43,0))</f>
        <v>0</v>
      </c>
      <c r="AU40" s="47">
        <f>INDEX(Lab_Mat!$K$6:$N$9,MATCH($H40,Lab_Mat!$J$6:$J$9,0),MATCH($AY$4,Lab_Mat!$K$5:$N$5,0))*$M40*INDEX(Act_Type_Repex_Splits,MATCH($I40,Act_Type_Repex,0),MATCH(AU$4,Mat_Type,0))*INDEX(Escalators!$I$44:$U$49,MATCH(AU$4,Escalators!$C$44:$C$49,0),MATCH(AU$5,Escalators!$I$43:$U$43,0))</f>
        <v>406.18110915994157</v>
      </c>
      <c r="AV40" s="47">
        <f>INDEX(Lab_Mat!$K$6:$N$9,MATCH($H40,Lab_Mat!$J$6:$J$9,0),MATCH($AY$4,Lab_Mat!$K$5:$N$5,0))*$M40*INDEX(Act_Type_Repex_Splits,MATCH($I40,Act_Type_Repex,0),MATCH(AV$4,Mat_Type,0))*INDEX(Escalators!$I$44:$U$49,MATCH(AV$4,Escalators!$C$44:$C$49,0),MATCH(AV$5,Escalators!$I$43:$U$43,0))</f>
        <v>812.36221831988314</v>
      </c>
      <c r="AW40" s="47">
        <f>INDEX(Lab_Mat!$K$6:$N$9,MATCH($H40,Lab_Mat!$J$6:$J$9,0),MATCH($AY$4,Lab_Mat!$K$5:$N$5,0))*$M40*INDEX(Act_Type_Repex_Splits,MATCH($I40,Act_Type_Repex,0),MATCH(AW$4,Mat_Type,0))*INDEX(Escalators!$I$44:$U$49,MATCH(AW$4,Escalators!$C$44:$C$49,0),MATCH(AW$5,Escalators!$I$43:$U$43,0))</f>
        <v>135.39370305331386</v>
      </c>
      <c r="AX40" s="47">
        <f>INDEX(Lab_Mat!$K$6:$N$9,MATCH($H40,Lab_Mat!$J$6:$J$9,0),MATCH($AY$4,Lab_Mat!$K$5:$N$5,0))*$M40*INDEX(Act_Type_Repex_Splits,MATCH($I40,Act_Type_Repex,0),MATCH(AX$4,Mat_Type,0))*INDEX(Escalators!$I$44:$U$49,MATCH(AX$4,Escalators!$C$44:$C$49,0),MATCH(AX$5,Escalators!$I$43:$U$43,0))</f>
        <v>0</v>
      </c>
      <c r="AY40" s="47">
        <f t="shared" si="119"/>
        <v>1353.9370305331386</v>
      </c>
      <c r="AZ40" s="47">
        <f>INDEX(Lab_Mat!$K$6:$N$9,MATCH($H40,Lab_Mat!$J$6:$J$9,0),MATCH($BE$4,Lab_Mat!$K$5:$N$5,0))*$N40*INDEX(Act_Type_Repex_Splits,MATCH($I40,Act_Type_Repex,0),MATCH(AZ$4,Mat_Type,0))*INDEX(Escalators!$I$44:$U$49,MATCH(AZ$4,Escalators!$C$44:$C$49,0),MATCH(AZ$5,Escalators!$I$43:$U$43,0))</f>
        <v>0</v>
      </c>
      <c r="BA40" s="47">
        <f>INDEX(Lab_Mat!$K$6:$N$9,MATCH($H40,Lab_Mat!$J$6:$J$9,0),MATCH($BE$4,Lab_Mat!$K$5:$N$5,0))*$N40*INDEX(Act_Type_Repex_Splits,MATCH($I40,Act_Type_Repex,0),MATCH(BA$4,Mat_Type,0))*INDEX(Escalators!$I$44:$U$49,MATCH(BA$4,Escalators!$C$44:$C$49,0),MATCH(BA$5,Escalators!$I$43:$U$43,0))</f>
        <v>457.15562077726764</v>
      </c>
      <c r="BB40" s="47">
        <f>INDEX(Lab_Mat!$K$6:$N$9,MATCH($H40,Lab_Mat!$J$6:$J$9,0),MATCH($BE$4,Lab_Mat!$K$5:$N$5,0))*$N40*INDEX(Act_Type_Repex_Splits,MATCH($I40,Act_Type_Repex,0),MATCH(BB$4,Mat_Type,0))*INDEX(Escalators!$I$44:$U$49,MATCH(BB$4,Escalators!$C$44:$C$49,0),MATCH(BB$5,Escalators!$I$43:$U$43,0))</f>
        <v>914.31124155453529</v>
      </c>
      <c r="BC40" s="47">
        <f>INDEX(Lab_Mat!$K$6:$N$9,MATCH($H40,Lab_Mat!$J$6:$J$9,0),MATCH($BE$4,Lab_Mat!$K$5:$N$5,0))*$N40*INDEX(Act_Type_Repex_Splits,MATCH($I40,Act_Type_Repex,0),MATCH(BC$4,Mat_Type,0))*INDEX(Escalators!$I$44:$U$49,MATCH(BC$4,Escalators!$C$44:$C$49,0),MATCH(BC$5,Escalators!$I$43:$U$43,0))</f>
        <v>152.38520692575591</v>
      </c>
      <c r="BD40" s="47">
        <f>INDEX(Lab_Mat!$K$6:$N$9,MATCH($H40,Lab_Mat!$J$6:$J$9,0),MATCH($BE$4,Lab_Mat!$K$5:$N$5,0))*$N40*INDEX(Act_Type_Repex_Splits,MATCH($I40,Act_Type_Repex,0),MATCH(BD$4,Mat_Type,0))*INDEX(Escalators!$I$44:$U$49,MATCH(BD$4,Escalators!$C$44:$C$49,0),MATCH(BD$5,Escalators!$I$43:$U$43,0))</f>
        <v>0</v>
      </c>
      <c r="BE40" s="47">
        <f t="shared" si="120"/>
        <v>1523.8520692575589</v>
      </c>
      <c r="BF40" s="47">
        <f>INDEX(Lab_Mat!$K$6:$N$9,MATCH($H40,Lab_Mat!$J$6:$J$9,0),MATCH($BK$4,Lab_Mat!$K$5:$N$5,0))*$O40*INDEX(Act_Type_Repex_Splits,MATCH($I40,Act_Type_Repex,0),MATCH(BF$4,Mat_Type,0))*INDEX(Escalators!$I$44:$U$49,MATCH(BF$4,Escalators!$C$44:$C$49,0),MATCH(BF$5,Escalators!$I$43:$U$43,0))</f>
        <v>0</v>
      </c>
      <c r="BG40" s="47">
        <f>INDEX(Lab_Mat!$K$6:$N$9,MATCH($H40,Lab_Mat!$J$6:$J$9,0),MATCH($BK$4,Lab_Mat!$K$5:$N$5,0))*$O40*INDEX(Act_Type_Repex_Splits,MATCH($I40,Act_Type_Repex,0),MATCH(BG$4,Mat_Type,0))*INDEX(Escalators!$I$44:$U$49,MATCH(BG$4,Escalators!$C$44:$C$49,0),MATCH(BG$5,Escalators!$I$43:$U$43,0))</f>
        <v>0</v>
      </c>
      <c r="BH40" s="47">
        <f>INDEX(Lab_Mat!$K$6:$N$9,MATCH($H40,Lab_Mat!$J$6:$J$9,0),MATCH($BK$4,Lab_Mat!$K$5:$N$5,0))*$O40*INDEX(Act_Type_Repex_Splits,MATCH($I40,Act_Type_Repex,0),MATCH(BH$4,Mat_Type,0))*INDEX(Escalators!$I$44:$U$49,MATCH(BH$4,Escalators!$C$44:$C$49,0),MATCH(BH$5,Escalators!$I$43:$U$43,0))</f>
        <v>0</v>
      </c>
      <c r="BI40" s="47">
        <f>INDEX(Lab_Mat!$K$6:$N$9,MATCH($H40,Lab_Mat!$J$6:$J$9,0),MATCH($BK$4,Lab_Mat!$K$5:$N$5,0))*$O40*INDEX(Act_Type_Repex_Splits,MATCH($I40,Act_Type_Repex,0),MATCH(BI$4,Mat_Type,0))*INDEX(Escalators!$I$44:$U$49,MATCH(BI$4,Escalators!$C$44:$C$49,0),MATCH(BI$5,Escalators!$I$43:$U$43,0))</f>
        <v>0</v>
      </c>
      <c r="BJ40" s="47">
        <f>INDEX(Lab_Mat!$K$6:$N$9,MATCH($H40,Lab_Mat!$J$6:$J$9,0),MATCH($BK$4,Lab_Mat!$K$5:$N$5,0))*$O40*INDEX(Act_Type_Repex_Splits,MATCH($I40,Act_Type_Repex,0),MATCH(BJ$4,Mat_Type,0))*INDEX(Escalators!$I$44:$U$49,MATCH(BJ$4,Escalators!$C$44:$C$49,0),MATCH(BJ$5,Escalators!$I$43:$U$43,0))</f>
        <v>0</v>
      </c>
      <c r="BK40" s="47">
        <f t="shared" si="121"/>
        <v>0</v>
      </c>
      <c r="BL40" s="47">
        <f>INDEX(Lab_Mat!$K$6:$N$9,MATCH($H40,Lab_Mat!$J$6:$J$9,0),MATCH($BQ$4,Lab_Mat!$K$5:$N$5,0))*$P40*INDEX(Act_Type_Repex_Splits,MATCH($I40,Act_Type_Repex,0),MATCH(BL$4,Mat_Type,0))*INDEX(Escalators!$I$44:$U$49,MATCH(BL$4,Escalators!$C$44:$C$49,0),MATCH(BL$5,Escalators!$I$43:$U$43,0))</f>
        <v>0</v>
      </c>
      <c r="BM40" s="47">
        <f>INDEX(Lab_Mat!$K$6:$N$9,MATCH($H40,Lab_Mat!$J$6:$J$9,0),MATCH($BQ$4,Lab_Mat!$K$5:$N$5,0))*$P40*INDEX(Act_Type_Repex_Splits,MATCH($I40,Act_Type_Repex,0),MATCH(BM$4,Mat_Type,0))*INDEX(Escalators!$I$44:$U$49,MATCH(BM$4,Escalators!$C$44:$C$49,0),MATCH(BM$5,Escalators!$I$43:$U$43,0))</f>
        <v>0</v>
      </c>
      <c r="BN40" s="47">
        <f>INDEX(Lab_Mat!$K$6:$N$9,MATCH($H40,Lab_Mat!$J$6:$J$9,0),MATCH($BQ$4,Lab_Mat!$K$5:$N$5,0))*$P40*INDEX(Act_Type_Repex_Splits,MATCH($I40,Act_Type_Repex,0),MATCH(BN$4,Mat_Type,0))*INDEX(Escalators!$I$44:$U$49,MATCH(BN$4,Escalators!$C$44:$C$49,0),MATCH(BN$5,Escalators!$I$43:$U$43,0))</f>
        <v>0</v>
      </c>
      <c r="BO40" s="47">
        <f>INDEX(Lab_Mat!$K$6:$N$9,MATCH($H40,Lab_Mat!$J$6:$J$9,0),MATCH($BQ$4,Lab_Mat!$K$5:$N$5,0))*$P40*INDEX(Act_Type_Repex_Splits,MATCH($I40,Act_Type_Repex,0),MATCH(BO$4,Mat_Type,0))*INDEX(Escalators!$I$44:$U$49,MATCH(BO$4,Escalators!$C$44:$C$49,0),MATCH(BO$5,Escalators!$I$43:$U$43,0))</f>
        <v>0</v>
      </c>
      <c r="BP40" s="47">
        <f>INDEX(Lab_Mat!$K$6:$N$9,MATCH($H40,Lab_Mat!$J$6:$J$9,0),MATCH($BQ$4,Lab_Mat!$K$5:$N$5,0))*$P40*INDEX(Act_Type_Repex_Splits,MATCH($I40,Act_Type_Repex,0),MATCH(BP$4,Mat_Type,0))*INDEX(Escalators!$I$44:$U$49,MATCH(BP$4,Escalators!$C$44:$C$49,0),MATCH(BP$5,Escalators!$I$43:$U$43,0))</f>
        <v>0</v>
      </c>
      <c r="BQ40" s="47">
        <f t="shared" si="122"/>
        <v>0</v>
      </c>
      <c r="BR40" s="47">
        <f>INDEX(Lab_Mat!$K$6:$N$9,MATCH($H40,Lab_Mat!$J$6:$J$9,0),MATCH($BW$4,Lab_Mat!$K$5:$N$5,0))*$Q40*INDEX(Act_Type_Repex_Splits,MATCH($I40,Act_Type_Repex,0),MATCH(BR$4,Mat_Type,0))*INDEX(Escalators!$I$44:$U$49,MATCH(BR$4,Escalators!$C$44:$C$49,0),MATCH(BR$5,Escalators!$I$43:$U$43,0))</f>
        <v>0</v>
      </c>
      <c r="BS40" s="47">
        <f>INDEX(Lab_Mat!$K$6:$N$9,MATCH($H40,Lab_Mat!$J$6:$J$9,0),MATCH($BW$4,Lab_Mat!$K$5:$N$5,0))*$Q40*INDEX(Act_Type_Repex_Splits,MATCH($I40,Act_Type_Repex,0),MATCH(BS$4,Mat_Type,0))*INDEX(Escalators!$I$44:$U$49,MATCH(BS$4,Escalators!$C$44:$C$49,0),MATCH(BS$5,Escalators!$I$43:$U$43,0))</f>
        <v>0</v>
      </c>
      <c r="BT40" s="47">
        <f>INDEX(Lab_Mat!$K$6:$N$9,MATCH($H40,Lab_Mat!$J$6:$J$9,0),MATCH($BW$4,Lab_Mat!$K$5:$N$5,0))*$Q40*INDEX(Act_Type_Repex_Splits,MATCH($I40,Act_Type_Repex,0),MATCH(BT$4,Mat_Type,0))*INDEX(Escalators!$I$44:$U$49,MATCH(BT$4,Escalators!$C$44:$C$49,0),MATCH(BT$5,Escalators!$I$43:$U$43,0))</f>
        <v>0</v>
      </c>
      <c r="BU40" s="47">
        <f>INDEX(Lab_Mat!$K$6:$N$9,MATCH($H40,Lab_Mat!$J$6:$J$9,0),MATCH($BW$4,Lab_Mat!$K$5:$N$5,0))*$Q40*INDEX(Act_Type_Repex_Splits,MATCH($I40,Act_Type_Repex,0),MATCH(BU$4,Mat_Type,0))*INDEX(Escalators!$I$44:$U$49,MATCH(BU$4,Escalators!$C$44:$C$49,0),MATCH(BU$5,Escalators!$I$43:$U$43,0))</f>
        <v>0</v>
      </c>
      <c r="BV40" s="47">
        <f>INDEX(Lab_Mat!$K$6:$N$9,MATCH($H40,Lab_Mat!$J$6:$J$9,0),MATCH($BW$4,Lab_Mat!$K$5:$N$5,0))*$Q40*INDEX(Act_Type_Repex_Splits,MATCH($I40,Act_Type_Repex,0),MATCH(BV$4,Mat_Type,0))*INDEX(Escalators!$I$44:$U$49,MATCH(BV$4,Escalators!$C$44:$C$49,0),MATCH(BV$5,Escalators!$I$43:$U$43,0))</f>
        <v>0</v>
      </c>
      <c r="BW40" s="47">
        <f t="shared" si="123"/>
        <v>0</v>
      </c>
      <c r="BY40" s="47">
        <f>INDEX(Lab_Mat!$K$6:$N$9,MATCH($H40,Lab_Mat!$J$6:$J$9,0),MATCH($BY$4,Lab_Mat!$K$5:$N$5,0))*J40*HLOOKUP(BY$5,Escalators!$I$25:$U$30,6,FALSE)</f>
        <v>0</v>
      </c>
      <c r="BZ40" s="47">
        <f>INDEX(Lab_Mat!$K$6:$N$9,MATCH($H40,Lab_Mat!$J$6:$J$9,0),MATCH($BY$4,Lab_Mat!$K$5:$N$5,0))*K40*HLOOKUP(BZ$5,Escalators!$I$25:$U$30,6,FALSE)</f>
        <v>0</v>
      </c>
      <c r="CA40" s="47">
        <f>INDEX(Lab_Mat!$K$6:$N$9,MATCH($H40,Lab_Mat!$J$6:$J$9,0),MATCH($BY$4,Lab_Mat!$K$5:$N$5,0))*L40*HLOOKUP(CA$5,Escalators!$I$25:$U$30,6,FALSE)</f>
        <v>173.14801702515231</v>
      </c>
      <c r="CB40" s="47">
        <f>INDEX(Lab_Mat!$K$6:$N$9,MATCH($H40,Lab_Mat!$J$6:$J$9,0),MATCH($BY$4,Lab_Mat!$K$5:$N$5,0))*M40*HLOOKUP(CB$5,Escalators!$I$25:$U$30,6,FALSE)</f>
        <v>1534.7421295355107</v>
      </c>
      <c r="CC40" s="47">
        <f>INDEX(Lab_Mat!$K$6:$N$9,MATCH($H40,Lab_Mat!$J$6:$J$9,0),MATCH($BY$4,Lab_Mat!$K$5:$N$5,0))*N40*HLOOKUP(CC$5,Escalators!$I$25:$U$30,6,FALSE)</f>
        <v>1727.3476661972418</v>
      </c>
      <c r="CD40" s="47">
        <f>INDEX(Lab_Mat!$K$6:$N$9,MATCH($H40,Lab_Mat!$J$6:$J$9,0),MATCH($BY$4,Lab_Mat!$K$5:$N$5,0))*O40*HLOOKUP(CD$5,Escalators!$I$25:$U$30,6,FALSE)</f>
        <v>0</v>
      </c>
      <c r="CE40" s="47">
        <f>INDEX(Lab_Mat!$K$6:$N$9,MATCH($H40,Lab_Mat!$J$6:$J$9,0),MATCH($BY$4,Lab_Mat!$K$5:$N$5,0))*P40*HLOOKUP(CE$5,Escalators!$I$25:$U$30,6,FALSE)</f>
        <v>0</v>
      </c>
      <c r="CF40" s="47">
        <f>INDEX(Lab_Mat!$K$6:$N$9,MATCH($H40,Lab_Mat!$J$6:$J$9,0),MATCH($BY$4,Lab_Mat!$K$5:$N$5,0))*Q40*HLOOKUP(CF$5,Escalators!$I$25:$U$30,6,FALSE)</f>
        <v>0</v>
      </c>
      <c r="CH40" s="82">
        <f>INDEX(Lab_Mat!$K$6:$N$9,MATCH($H40,Lab_Mat!$J$6:$J$9,0),MATCH($CH$4,Lab_Mat!$K$5:$N$5,0))*J40</f>
        <v>0</v>
      </c>
      <c r="CI40" s="82">
        <f>INDEX(Lab_Mat!$K$6:$N$9,MATCH($H40,Lab_Mat!$J$6:$J$9,0),MATCH($CH$4,Lab_Mat!$K$5:$N$5,0))*K40</f>
        <v>0</v>
      </c>
      <c r="CJ40" s="82">
        <f>INDEX(Lab_Mat!$K$6:$N$9,MATCH($H40,Lab_Mat!$J$6:$J$9,0),MATCH($CH$4,Lab_Mat!$K$5:$N$5,0))*L40</f>
        <v>59.477663628714403</v>
      </c>
      <c r="CK40" s="82">
        <f>INDEX(Lab_Mat!$K$6:$N$9,MATCH($H40,Lab_Mat!$J$6:$J$9,0),MATCH($CH$4,Lab_Mat!$K$5:$N$5,0))*M40</f>
        <v>527.19561971113853</v>
      </c>
      <c r="CL40" s="82">
        <f>INDEX(Lab_Mat!$K$6:$N$9,MATCH($H40,Lab_Mat!$J$6:$J$9,0),MATCH($CH$4,Lab_Mat!$K$5:$N$5,0))*N40</f>
        <v>593.3570896454454</v>
      </c>
      <c r="CM40" s="82">
        <f>INDEX(Lab_Mat!$K$6:$N$9,MATCH($H40,Lab_Mat!$J$6:$J$9,0),MATCH($CH$4,Lab_Mat!$K$5:$N$5,0))*O40</f>
        <v>0</v>
      </c>
      <c r="CN40" s="82">
        <f>INDEX(Lab_Mat!$K$6:$N$9,MATCH($H40,Lab_Mat!$J$6:$J$9,0),MATCH($CH$4,Lab_Mat!$K$5:$N$5,0))*P40</f>
        <v>0</v>
      </c>
      <c r="CO40" s="82">
        <f>INDEX(Lab_Mat!$K$6:$N$9,MATCH($H40,Lab_Mat!$J$6:$J$9,0),MATCH($CH$4,Lab_Mat!$K$5:$N$5,0))*Q40</f>
        <v>0</v>
      </c>
      <c r="CQ40" s="47">
        <f t="shared" si="124"/>
        <v>0</v>
      </c>
      <c r="CR40" s="47">
        <f t="shared" si="125"/>
        <v>0</v>
      </c>
      <c r="CS40" s="47">
        <f t="shared" si="126"/>
        <v>460.40749807264814</v>
      </c>
      <c r="CT40" s="47">
        <f t="shared" si="127"/>
        <v>4086.1029994130117</v>
      </c>
      <c r="CU40" s="47">
        <f t="shared" si="128"/>
        <v>4602.638876821763</v>
      </c>
      <c r="CV40" s="47">
        <f t="shared" si="129"/>
        <v>0</v>
      </c>
      <c r="CW40" s="47">
        <f t="shared" si="130"/>
        <v>0</v>
      </c>
      <c r="CX40" s="47">
        <f t="shared" si="131"/>
        <v>0</v>
      </c>
    </row>
    <row r="41" spans="2:109">
      <c r="B41" s="6"/>
      <c r="C41" s="6" t="s">
        <v>410</v>
      </c>
      <c r="D41" s="744" t="s">
        <v>829</v>
      </c>
      <c r="E41" s="6" t="s">
        <v>45</v>
      </c>
      <c r="F41" s="6" t="s">
        <v>55</v>
      </c>
      <c r="G41" s="6" t="s">
        <v>150</v>
      </c>
      <c r="H41" s="6" t="s">
        <v>556</v>
      </c>
      <c r="I41" s="6" t="s">
        <v>203</v>
      </c>
      <c r="J41" s="47"/>
      <c r="K41" s="47"/>
      <c r="L41" s="750">
        <f>[4]Summary!$E13/Escalators!$N$14</f>
        <v>132.28531785646592</v>
      </c>
      <c r="M41" s="750">
        <f>SUM([4]Summary!$F$13:$G$13)/Escalators!$N$14</f>
        <v>1172.5450508845397</v>
      </c>
      <c r="N41" s="750">
        <f>SUM([4]Summary!$H$13:$I$13)/Escalators!$N$14</f>
        <v>1319.6959399098014</v>
      </c>
      <c r="O41" s="47"/>
      <c r="P41" s="47"/>
      <c r="Q41" s="47"/>
      <c r="S41" s="47">
        <f>INDEX(Lab_Mat!$K$6:$N$9,MATCH($H41,Lab_Mat!$J$6:$J$9,0),MATCH($S$4,Lab_Mat!$K$5:$N$5,0))*J41*HLOOKUP(S$5,Escalators!$I$25:$U$30,3,FALSE)</f>
        <v>0</v>
      </c>
      <c r="T41" s="47">
        <f>INDEX(Lab_Mat!$K$6:$N$9,MATCH($H41,Lab_Mat!$J$6:$J$9,0),MATCH($S$4,Lab_Mat!$K$5:$N$5,0))*K41*HLOOKUP(T$5,Escalators!$I$25:$U$30,3,FALSE)</f>
        <v>0</v>
      </c>
      <c r="U41" s="47">
        <f>INDEX(Lab_Mat!$K$6:$N$9,MATCH($H41,Lab_Mat!$J$6:$J$9,0),MATCH($S$4,Lab_Mat!$K$5:$N$5,0))*L41*HLOOKUP(U$5,Escalators!$I$25:$U$30,3,FALSE)</f>
        <v>23.684315816827951</v>
      </c>
      <c r="V41" s="47">
        <f>INDEX(Lab_Mat!$K$6:$N$9,MATCH($H41,Lab_Mat!$J$6:$J$9,0),MATCH($S$4,Lab_Mat!$K$5:$N$5,0))*M41*HLOOKUP(V$5,Escalators!$I$25:$U$30,3,FALSE)</f>
        <v>211.56156628509325</v>
      </c>
      <c r="W41" s="47">
        <f>INDEX(Lab_Mat!$K$6:$N$9,MATCH($H41,Lab_Mat!$J$6:$J$9,0),MATCH($S$4,Lab_Mat!$K$5:$N$5,0))*N41*HLOOKUP(W$5,Escalators!$I$25:$U$30,3,FALSE)</f>
        <v>239.2931564752499</v>
      </c>
      <c r="X41" s="47">
        <f>INDEX(Lab_Mat!$K$6:$N$9,MATCH($H41,Lab_Mat!$J$6:$J$9,0),MATCH($S$4,Lab_Mat!$K$5:$N$5,0))*O41*HLOOKUP(X$5,Escalators!$I$25:$U$30,3,FALSE)</f>
        <v>0</v>
      </c>
      <c r="Y41" s="47">
        <f>INDEX(Lab_Mat!$K$6:$N$9,MATCH($H41,Lab_Mat!$J$6:$J$9,0),MATCH($S$4,Lab_Mat!$K$5:$N$5,0))*P41*HLOOKUP(Y$5,Escalators!$I$25:$U$30,3,FALSE)</f>
        <v>0</v>
      </c>
      <c r="Z41" s="47">
        <f>INDEX(Lab_Mat!$K$6:$N$9,MATCH($H41,Lab_Mat!$J$6:$J$9,0),MATCH($S$4,Lab_Mat!$K$5:$N$5,0))*Q41*HLOOKUP(Z$5,Escalators!$I$25:$U$30,3,FALSE)</f>
        <v>0</v>
      </c>
      <c r="AB41" s="47">
        <f>INDEX(Lab_Mat!$K$6:$N$9,MATCH($H41,Lab_Mat!$J$6:$J$9,0),MATCH($AG$4,Lab_Mat!$K$5:$N$5,0))*$J41*INDEX(Act_Type_Repex_Splits,MATCH($I41,Act_Type_Repex,0),MATCH(AB$4,Mat_Type,0))*INDEX(Escalators!$I$44:$Q$49,MATCH(AB$4,Escalators!$C$44:$C$49,0),MATCH(AB$5,Escalators!$I$43:$Q$43,0))</f>
        <v>0</v>
      </c>
      <c r="AC41" s="47">
        <f>INDEX(Lab_Mat!$K$6:$N$9,MATCH($H41,Lab_Mat!$J$6:$J$9,0),MATCH($AG$4,Lab_Mat!$K$5:$N$5,0))*$J41*INDEX(Act_Type_Repex_Splits,MATCH($I41,Act_Type_Repex,0),MATCH(AC$4,Mat_Type,0))*INDEX(Escalators!$I$44:$Q$49,MATCH(AC$4,Escalators!$C$44:$C$49,0),MATCH(AC$5,Escalators!$I$43:$Q$43,0))</f>
        <v>0</v>
      </c>
      <c r="AD41" s="47">
        <f>INDEX(Lab_Mat!$K$6:$N$9,MATCH($H41,Lab_Mat!$J$6:$J$9,0),MATCH($AG$4,Lab_Mat!$K$5:$N$5,0))*$J41*INDEX(Act_Type_Repex_Splits,MATCH($I41,Act_Type_Repex,0),MATCH(AD$4,Mat_Type,0))*INDEX(Escalators!$I$44:$Q$49,MATCH(AD$4,Escalators!$C$44:$C$49,0),MATCH(AD$5,Escalators!$I$43:$Q$43,0))</f>
        <v>0</v>
      </c>
      <c r="AE41" s="47">
        <f>INDEX(Lab_Mat!$K$6:$N$9,MATCH($H41,Lab_Mat!$J$6:$J$9,0),MATCH($AG$4,Lab_Mat!$K$5:$N$5,0))*$J41*INDEX(Act_Type_Repex_Splits,MATCH($I41,Act_Type_Repex,0),MATCH(AE$4,Mat_Type,0))*INDEX(Escalators!$I$44:$Q$49,MATCH(AE$4,Escalators!$C$44:$C$49,0),MATCH(AE$5,Escalators!$I$43:$Q$43,0))</f>
        <v>0</v>
      </c>
      <c r="AF41" s="47">
        <f>INDEX(Lab_Mat!$K$6:$N$9,MATCH($H41,Lab_Mat!$J$6:$J$9,0),MATCH($AG$4,Lab_Mat!$K$5:$N$5,0))*$J41*INDEX(Act_Type_Repex_Splits,MATCH($I41,Act_Type_Repex,0),MATCH(AF$4,Mat_Type,0))*INDEX(Escalators!$I$44:$Q$49,MATCH(AF$4,Escalators!$C$44:$C$49,0),MATCH(AF$5,Escalators!$I$43:$Q$43,0))</f>
        <v>0</v>
      </c>
      <c r="AG41" s="47">
        <f t="shared" si="116"/>
        <v>0</v>
      </c>
      <c r="AH41" s="47">
        <f>INDEX(Lab_Mat!$K$6:$N$9,MATCH($H41,Lab_Mat!$J$6:$J$9,0),MATCH($AY$4,Lab_Mat!$K$5:$N$5,0))*$K41*INDEX(Act_Type_Repex_Splits,MATCH($I41,Act_Type_Repex,0),MATCH(AH$4,Mat_Type,0))*INDEX(Escalators!$I$44:$U$49,MATCH(AH$4,Escalators!$C$44:$C$49,0),MATCH(AH$5,Escalators!$I$43:$U$43,0))</f>
        <v>0</v>
      </c>
      <c r="AI41" s="47">
        <f>INDEX(Lab_Mat!$K$6:$N$9,MATCH($H41,Lab_Mat!$J$6:$J$9,0),MATCH($AY$4,Lab_Mat!$K$5:$N$5,0))*$K41*INDEX(Act_Type_Repex_Splits,MATCH($I41,Act_Type_Repex,0),MATCH(AI$4,Mat_Type,0))*INDEX(Escalators!$I$44:$U$49,MATCH(AI$4,Escalators!$C$44:$C$49,0),MATCH(AI$5,Escalators!$I$43:$U$43,0))</f>
        <v>0</v>
      </c>
      <c r="AJ41" s="47">
        <f>INDEX(Lab_Mat!$K$6:$N$9,MATCH($H41,Lab_Mat!$J$6:$J$9,0),MATCH($AY$4,Lab_Mat!$K$5:$N$5,0))*$K41*INDEX(Act_Type_Repex_Splits,MATCH($I41,Act_Type_Repex,0),MATCH(AJ$4,Mat_Type,0))*INDEX(Escalators!$I$44:$U$49,MATCH(AJ$4,Escalators!$C$44:$C$49,0),MATCH(AJ$5,Escalators!$I$43:$U$43,0))</f>
        <v>0</v>
      </c>
      <c r="AK41" s="47">
        <f>INDEX(Lab_Mat!$K$6:$N$9,MATCH($H41,Lab_Mat!$J$6:$J$9,0),MATCH($AY$4,Lab_Mat!$K$5:$N$5,0))*$K41*INDEX(Act_Type_Repex_Splits,MATCH($I41,Act_Type_Repex,0),MATCH(AK$4,Mat_Type,0))*INDEX(Escalators!$I$44:$U$49,MATCH(AK$4,Escalators!$C$44:$C$49,0),MATCH(AK$5,Escalators!$I$43:$U$43,0))</f>
        <v>0</v>
      </c>
      <c r="AL41" s="47">
        <f>INDEX(Lab_Mat!$K$6:$N$9,MATCH($H41,Lab_Mat!$J$6:$J$9,0),MATCH($AY$4,Lab_Mat!$K$5:$N$5,0))*$K41*INDEX(Act_Type_Repex_Splits,MATCH($I41,Act_Type_Repex,0),MATCH(AL$4,Mat_Type,0))*INDEX(Escalators!$I$44:$U$49,MATCH(AL$4,Escalators!$C$44:$C$49,0),MATCH(AL$5,Escalators!$I$43:$U$43,0))</f>
        <v>0</v>
      </c>
      <c r="AM41" s="47">
        <f t="shared" si="117"/>
        <v>0</v>
      </c>
      <c r="AN41" s="47">
        <f>INDEX(Lab_Mat!$K$6:$N$9,MATCH($H41,Lab_Mat!$J$6:$J$9,0),MATCH($AY$4,Lab_Mat!$K$5:$N$5,0))*$L41*INDEX(Act_Type_Repex_Splits,MATCH($I41,Act_Type_Repex,0),MATCH(AN$4,Mat_Type,0))*INDEX(Escalators!$I$44:$U$49,MATCH(AN$4,Escalators!$C$44:$C$49,0),MATCH(AN$5,Escalators!$I$43:$U$43,0))</f>
        <v>0</v>
      </c>
      <c r="AO41" s="47">
        <f>INDEX(Lab_Mat!$K$6:$N$9,MATCH($H41,Lab_Mat!$J$6:$J$9,0),MATCH($AY$4,Lab_Mat!$K$5:$N$5,0))*$L41*INDEX(Act_Type_Repex_Splits,MATCH($I41,Act_Type_Repex,0),MATCH(AO$4,Mat_Type,0))*INDEX(Escalators!$I$44:$U$49,MATCH(AO$4,Escalators!$C$44:$C$49,0),MATCH(AO$5,Escalators!$I$43:$U$43,0))</f>
        <v>0</v>
      </c>
      <c r="AP41" s="47">
        <f>INDEX(Lab_Mat!$K$6:$N$9,MATCH($H41,Lab_Mat!$J$6:$J$9,0),MATCH($AY$4,Lab_Mat!$K$5:$N$5,0))*$L41*INDEX(Act_Type_Repex_Splits,MATCH($I41,Act_Type_Repex,0),MATCH(AP$4,Mat_Type,0))*INDEX(Escalators!$I$44:$U$49,MATCH(AP$4,Escalators!$C$44:$C$49,0),MATCH(AP$5,Escalators!$I$43:$U$43,0))</f>
        <v>8.6256854014920936</v>
      </c>
      <c r="AQ41" s="47">
        <f>INDEX(Lab_Mat!$K$6:$N$9,MATCH($H41,Lab_Mat!$J$6:$J$9,0),MATCH($AY$4,Lab_Mat!$K$5:$N$5,0))*$L41*INDEX(Act_Type_Repex_Splits,MATCH($I41,Act_Type_Repex,0),MATCH(AQ$4,Mat_Type,0))*INDEX(Escalators!$I$44:$U$49,MATCH(AQ$4,Escalators!$C$44:$C$49,0),MATCH(AQ$5,Escalators!$I$43:$U$43,0))</f>
        <v>0</v>
      </c>
      <c r="AR41" s="47">
        <f>INDEX(Lab_Mat!$K$6:$N$9,MATCH($H41,Lab_Mat!$J$6:$J$9,0),MATCH($AY$4,Lab_Mat!$K$5:$N$5,0))*$L41*INDEX(Act_Type_Repex_Splits,MATCH($I41,Act_Type_Repex,0),MATCH(AR$4,Mat_Type,0))*INDEX(Escalators!$I$44:$U$49,MATCH(AR$4,Escalators!$C$44:$C$49,0),MATCH(AR$5,Escalators!$I$43:$U$43,0))</f>
        <v>8.6256854014920936</v>
      </c>
      <c r="AS41" s="47">
        <f t="shared" si="118"/>
        <v>17.251370802984187</v>
      </c>
      <c r="AT41" s="47">
        <f>INDEX(Lab_Mat!$K$6:$N$9,MATCH($H41,Lab_Mat!$J$6:$J$9,0),MATCH($AY$4,Lab_Mat!$K$5:$N$5,0))*$M41*INDEX(Act_Type_Repex_Splits,MATCH($I41,Act_Type_Repex,0),MATCH(AT$4,Mat_Type,0))*INDEX(Escalators!$I$44:$U$49,MATCH(AT$4,Escalators!$C$44:$C$49,0),MATCH(AT$5,Escalators!$I$43:$U$43,0))</f>
        <v>0</v>
      </c>
      <c r="AU41" s="47">
        <f>INDEX(Lab_Mat!$K$6:$N$9,MATCH($H41,Lab_Mat!$J$6:$J$9,0),MATCH($AY$4,Lab_Mat!$K$5:$N$5,0))*$M41*INDEX(Act_Type_Repex_Splits,MATCH($I41,Act_Type_Repex,0),MATCH(AU$4,Mat_Type,0))*INDEX(Escalators!$I$44:$U$49,MATCH(AU$4,Escalators!$C$44:$C$49,0),MATCH(AU$5,Escalators!$I$43:$U$43,0))</f>
        <v>0</v>
      </c>
      <c r="AV41" s="47">
        <f>INDEX(Lab_Mat!$K$6:$N$9,MATCH($H41,Lab_Mat!$J$6:$J$9,0),MATCH($AY$4,Lab_Mat!$K$5:$N$5,0))*$M41*INDEX(Act_Type_Repex_Splits,MATCH($I41,Act_Type_Repex,0),MATCH(AV$4,Mat_Type,0))*INDEX(Escalators!$I$44:$U$49,MATCH(AV$4,Escalators!$C$44:$C$49,0),MATCH(AV$5,Escalators!$I$43:$U$43,0))</f>
        <v>76.455988403645961</v>
      </c>
      <c r="AW41" s="47">
        <f>INDEX(Lab_Mat!$K$6:$N$9,MATCH($H41,Lab_Mat!$J$6:$J$9,0),MATCH($AY$4,Lab_Mat!$K$5:$N$5,0))*$M41*INDEX(Act_Type_Repex_Splits,MATCH($I41,Act_Type_Repex,0),MATCH(AW$4,Mat_Type,0))*INDEX(Escalators!$I$44:$U$49,MATCH(AW$4,Escalators!$C$44:$C$49,0),MATCH(AW$5,Escalators!$I$43:$U$43,0))</f>
        <v>0</v>
      </c>
      <c r="AX41" s="47">
        <f>INDEX(Lab_Mat!$K$6:$N$9,MATCH($H41,Lab_Mat!$J$6:$J$9,0),MATCH($AY$4,Lab_Mat!$K$5:$N$5,0))*$M41*INDEX(Act_Type_Repex_Splits,MATCH($I41,Act_Type_Repex,0),MATCH(AX$4,Mat_Type,0))*INDEX(Escalators!$I$44:$U$49,MATCH(AX$4,Escalators!$C$44:$C$49,0),MATCH(AX$5,Escalators!$I$43:$U$43,0))</f>
        <v>76.455988403645961</v>
      </c>
      <c r="AY41" s="47">
        <f t="shared" si="119"/>
        <v>152.91197680729192</v>
      </c>
      <c r="AZ41" s="47">
        <f>INDEX(Lab_Mat!$K$6:$N$9,MATCH($H41,Lab_Mat!$J$6:$J$9,0),MATCH($BE$4,Lab_Mat!$K$5:$N$5,0))*$N41*INDEX(Act_Type_Repex_Splits,MATCH($I41,Act_Type_Repex,0),MATCH(AZ$4,Mat_Type,0))*INDEX(Escalators!$I$44:$U$49,MATCH(AZ$4,Escalators!$C$44:$C$49,0),MATCH(AZ$5,Escalators!$I$43:$U$43,0))</f>
        <v>0</v>
      </c>
      <c r="BA41" s="47">
        <f>INDEX(Lab_Mat!$K$6:$N$9,MATCH($H41,Lab_Mat!$J$6:$J$9,0),MATCH($BE$4,Lab_Mat!$K$5:$N$5,0))*$N41*INDEX(Act_Type_Repex_Splits,MATCH($I41,Act_Type_Repex,0),MATCH(BA$4,Mat_Type,0))*INDEX(Escalators!$I$44:$U$49,MATCH(BA$4,Escalators!$C$44:$C$49,0),MATCH(BA$5,Escalators!$I$43:$U$43,0))</f>
        <v>0</v>
      </c>
      <c r="BB41" s="47">
        <f>INDEX(Lab_Mat!$K$6:$N$9,MATCH($H41,Lab_Mat!$J$6:$J$9,0),MATCH($BE$4,Lab_Mat!$K$5:$N$5,0))*$N41*INDEX(Act_Type_Repex_Splits,MATCH($I41,Act_Type_Repex,0),MATCH(BB$4,Mat_Type,0))*INDEX(Escalators!$I$44:$U$49,MATCH(BB$4,Escalators!$C$44:$C$49,0),MATCH(BB$5,Escalators!$I$43:$U$43,0))</f>
        <v>86.050985761243822</v>
      </c>
      <c r="BC41" s="47">
        <f>INDEX(Lab_Mat!$K$6:$N$9,MATCH($H41,Lab_Mat!$J$6:$J$9,0),MATCH($BE$4,Lab_Mat!$K$5:$N$5,0))*$N41*INDEX(Act_Type_Repex_Splits,MATCH($I41,Act_Type_Repex,0),MATCH(BC$4,Mat_Type,0))*INDEX(Escalators!$I$44:$U$49,MATCH(BC$4,Escalators!$C$44:$C$49,0),MATCH(BC$5,Escalators!$I$43:$U$43,0))</f>
        <v>0</v>
      </c>
      <c r="BD41" s="47">
        <f>INDEX(Lab_Mat!$K$6:$N$9,MATCH($H41,Lab_Mat!$J$6:$J$9,0),MATCH($BE$4,Lab_Mat!$K$5:$N$5,0))*$N41*INDEX(Act_Type_Repex_Splits,MATCH($I41,Act_Type_Repex,0),MATCH(BD$4,Mat_Type,0))*INDEX(Escalators!$I$44:$U$49,MATCH(BD$4,Escalators!$C$44:$C$49,0),MATCH(BD$5,Escalators!$I$43:$U$43,0))</f>
        <v>86.050985761243822</v>
      </c>
      <c r="BE41" s="47">
        <f t="shared" si="120"/>
        <v>172.10197152248764</v>
      </c>
      <c r="BF41" s="47">
        <f>INDEX(Lab_Mat!$K$6:$N$9,MATCH($H41,Lab_Mat!$J$6:$J$9,0),MATCH($BK$4,Lab_Mat!$K$5:$N$5,0))*$O41*INDEX(Act_Type_Repex_Splits,MATCH($I41,Act_Type_Repex,0),MATCH(BF$4,Mat_Type,0))*INDEX(Escalators!$I$44:$U$49,MATCH(BF$4,Escalators!$C$44:$C$49,0),MATCH(BF$5,Escalators!$I$43:$U$43,0))</f>
        <v>0</v>
      </c>
      <c r="BG41" s="47">
        <f>INDEX(Lab_Mat!$K$6:$N$9,MATCH($H41,Lab_Mat!$J$6:$J$9,0),MATCH($BK$4,Lab_Mat!$K$5:$N$5,0))*$O41*INDEX(Act_Type_Repex_Splits,MATCH($I41,Act_Type_Repex,0),MATCH(BG$4,Mat_Type,0))*INDEX(Escalators!$I$44:$U$49,MATCH(BG$4,Escalators!$C$44:$C$49,0),MATCH(BG$5,Escalators!$I$43:$U$43,0))</f>
        <v>0</v>
      </c>
      <c r="BH41" s="47">
        <f>INDEX(Lab_Mat!$K$6:$N$9,MATCH($H41,Lab_Mat!$J$6:$J$9,0),MATCH($BK$4,Lab_Mat!$K$5:$N$5,0))*$O41*INDEX(Act_Type_Repex_Splits,MATCH($I41,Act_Type_Repex,0),MATCH(BH$4,Mat_Type,0))*INDEX(Escalators!$I$44:$U$49,MATCH(BH$4,Escalators!$C$44:$C$49,0),MATCH(BH$5,Escalators!$I$43:$U$43,0))</f>
        <v>0</v>
      </c>
      <c r="BI41" s="47">
        <f>INDEX(Lab_Mat!$K$6:$N$9,MATCH($H41,Lab_Mat!$J$6:$J$9,0),MATCH($BK$4,Lab_Mat!$K$5:$N$5,0))*$O41*INDEX(Act_Type_Repex_Splits,MATCH($I41,Act_Type_Repex,0),MATCH(BI$4,Mat_Type,0))*INDEX(Escalators!$I$44:$U$49,MATCH(BI$4,Escalators!$C$44:$C$49,0),MATCH(BI$5,Escalators!$I$43:$U$43,0))</f>
        <v>0</v>
      </c>
      <c r="BJ41" s="47">
        <f>INDEX(Lab_Mat!$K$6:$N$9,MATCH($H41,Lab_Mat!$J$6:$J$9,0),MATCH($BK$4,Lab_Mat!$K$5:$N$5,0))*$O41*INDEX(Act_Type_Repex_Splits,MATCH($I41,Act_Type_Repex,0),MATCH(BJ$4,Mat_Type,0))*INDEX(Escalators!$I$44:$U$49,MATCH(BJ$4,Escalators!$C$44:$C$49,0),MATCH(BJ$5,Escalators!$I$43:$U$43,0))</f>
        <v>0</v>
      </c>
      <c r="BK41" s="47">
        <f t="shared" si="121"/>
        <v>0</v>
      </c>
      <c r="BL41" s="47">
        <f>INDEX(Lab_Mat!$K$6:$N$9,MATCH($H41,Lab_Mat!$J$6:$J$9,0),MATCH($BQ$4,Lab_Mat!$K$5:$N$5,0))*$P41*INDEX(Act_Type_Repex_Splits,MATCH($I41,Act_Type_Repex,0),MATCH(BL$4,Mat_Type,0))*INDEX(Escalators!$I$44:$U$49,MATCH(BL$4,Escalators!$C$44:$C$49,0),MATCH(BL$5,Escalators!$I$43:$U$43,0))</f>
        <v>0</v>
      </c>
      <c r="BM41" s="47">
        <f>INDEX(Lab_Mat!$K$6:$N$9,MATCH($H41,Lab_Mat!$J$6:$J$9,0),MATCH($BQ$4,Lab_Mat!$K$5:$N$5,0))*$P41*INDEX(Act_Type_Repex_Splits,MATCH($I41,Act_Type_Repex,0),MATCH(BM$4,Mat_Type,0))*INDEX(Escalators!$I$44:$U$49,MATCH(BM$4,Escalators!$C$44:$C$49,0),MATCH(BM$5,Escalators!$I$43:$U$43,0))</f>
        <v>0</v>
      </c>
      <c r="BN41" s="47">
        <f>INDEX(Lab_Mat!$K$6:$N$9,MATCH($H41,Lab_Mat!$J$6:$J$9,0),MATCH($BQ$4,Lab_Mat!$K$5:$N$5,0))*$P41*INDEX(Act_Type_Repex_Splits,MATCH($I41,Act_Type_Repex,0),MATCH(BN$4,Mat_Type,0))*INDEX(Escalators!$I$44:$U$49,MATCH(BN$4,Escalators!$C$44:$C$49,0),MATCH(BN$5,Escalators!$I$43:$U$43,0))</f>
        <v>0</v>
      </c>
      <c r="BO41" s="47">
        <f>INDEX(Lab_Mat!$K$6:$N$9,MATCH($H41,Lab_Mat!$J$6:$J$9,0),MATCH($BQ$4,Lab_Mat!$K$5:$N$5,0))*$P41*INDEX(Act_Type_Repex_Splits,MATCH($I41,Act_Type_Repex,0),MATCH(BO$4,Mat_Type,0))*INDEX(Escalators!$I$44:$U$49,MATCH(BO$4,Escalators!$C$44:$C$49,0),MATCH(BO$5,Escalators!$I$43:$U$43,0))</f>
        <v>0</v>
      </c>
      <c r="BP41" s="47">
        <f>INDEX(Lab_Mat!$K$6:$N$9,MATCH($H41,Lab_Mat!$J$6:$J$9,0),MATCH($BQ$4,Lab_Mat!$K$5:$N$5,0))*$P41*INDEX(Act_Type_Repex_Splits,MATCH($I41,Act_Type_Repex,0),MATCH(BP$4,Mat_Type,0))*INDEX(Escalators!$I$44:$U$49,MATCH(BP$4,Escalators!$C$44:$C$49,0),MATCH(BP$5,Escalators!$I$43:$U$43,0))</f>
        <v>0</v>
      </c>
      <c r="BQ41" s="47">
        <f t="shared" si="122"/>
        <v>0</v>
      </c>
      <c r="BR41" s="47">
        <f>INDEX(Lab_Mat!$K$6:$N$9,MATCH($H41,Lab_Mat!$J$6:$J$9,0),MATCH($BW$4,Lab_Mat!$K$5:$N$5,0))*$Q41*INDEX(Act_Type_Repex_Splits,MATCH($I41,Act_Type_Repex,0),MATCH(BR$4,Mat_Type,0))*INDEX(Escalators!$I$44:$U$49,MATCH(BR$4,Escalators!$C$44:$C$49,0),MATCH(BR$5,Escalators!$I$43:$U$43,0))</f>
        <v>0</v>
      </c>
      <c r="BS41" s="47">
        <f>INDEX(Lab_Mat!$K$6:$N$9,MATCH($H41,Lab_Mat!$J$6:$J$9,0),MATCH($BW$4,Lab_Mat!$K$5:$N$5,0))*$Q41*INDEX(Act_Type_Repex_Splits,MATCH($I41,Act_Type_Repex,0),MATCH(BS$4,Mat_Type,0))*INDEX(Escalators!$I$44:$U$49,MATCH(BS$4,Escalators!$C$44:$C$49,0),MATCH(BS$5,Escalators!$I$43:$U$43,0))</f>
        <v>0</v>
      </c>
      <c r="BT41" s="47">
        <f>INDEX(Lab_Mat!$K$6:$N$9,MATCH($H41,Lab_Mat!$J$6:$J$9,0),MATCH($BW$4,Lab_Mat!$K$5:$N$5,0))*$Q41*INDEX(Act_Type_Repex_Splits,MATCH($I41,Act_Type_Repex,0),MATCH(BT$4,Mat_Type,0))*INDEX(Escalators!$I$44:$U$49,MATCH(BT$4,Escalators!$C$44:$C$49,0),MATCH(BT$5,Escalators!$I$43:$U$43,0))</f>
        <v>0</v>
      </c>
      <c r="BU41" s="47">
        <f>INDEX(Lab_Mat!$K$6:$N$9,MATCH($H41,Lab_Mat!$J$6:$J$9,0),MATCH($BW$4,Lab_Mat!$K$5:$N$5,0))*$Q41*INDEX(Act_Type_Repex_Splits,MATCH($I41,Act_Type_Repex,0),MATCH(BU$4,Mat_Type,0))*INDEX(Escalators!$I$44:$U$49,MATCH(BU$4,Escalators!$C$44:$C$49,0),MATCH(BU$5,Escalators!$I$43:$U$43,0))</f>
        <v>0</v>
      </c>
      <c r="BV41" s="47">
        <f>INDEX(Lab_Mat!$K$6:$N$9,MATCH($H41,Lab_Mat!$J$6:$J$9,0),MATCH($BW$4,Lab_Mat!$K$5:$N$5,0))*$Q41*INDEX(Act_Type_Repex_Splits,MATCH($I41,Act_Type_Repex,0),MATCH(BV$4,Mat_Type,0))*INDEX(Escalators!$I$44:$U$49,MATCH(BV$4,Escalators!$C$44:$C$49,0),MATCH(BV$5,Escalators!$I$43:$U$43,0))</f>
        <v>0</v>
      </c>
      <c r="BW41" s="47">
        <f t="shared" si="123"/>
        <v>0</v>
      </c>
      <c r="BY41" s="47">
        <f>INDEX(Lab_Mat!$K$6:$N$9,MATCH($H41,Lab_Mat!$J$6:$J$9,0),MATCH($BY$4,Lab_Mat!$K$5:$N$5,0))*J41*HLOOKUP(BY$5,Escalators!$I$25:$U$30,6,FALSE)</f>
        <v>0</v>
      </c>
      <c r="BZ41" s="47">
        <f>INDEX(Lab_Mat!$K$6:$N$9,MATCH($H41,Lab_Mat!$J$6:$J$9,0),MATCH($BY$4,Lab_Mat!$K$5:$N$5,0))*K41*HLOOKUP(BZ$5,Escalators!$I$25:$U$30,6,FALSE)</f>
        <v>0</v>
      </c>
      <c r="CA41" s="47">
        <f>INDEX(Lab_Mat!$K$6:$N$9,MATCH($H41,Lab_Mat!$J$6:$J$9,0),MATCH($BY$4,Lab_Mat!$K$5:$N$5,0))*L41*HLOOKUP(CA$5,Escalators!$I$25:$U$30,6,FALSE)</f>
        <v>68.752690174200609</v>
      </c>
      <c r="CB41" s="47">
        <f>INDEX(Lab_Mat!$K$6:$N$9,MATCH($H41,Lab_Mat!$J$6:$J$9,0),MATCH($BY$4,Lab_Mat!$K$5:$N$5,0))*M41*HLOOKUP(CB$5,Escalators!$I$25:$U$30,6,FALSE)</f>
        <v>609.4072109062605</v>
      </c>
      <c r="CC41" s="47">
        <f>INDEX(Lab_Mat!$K$6:$N$9,MATCH($H41,Lab_Mat!$J$6:$J$9,0),MATCH($BY$4,Lab_Mat!$K$5:$N$5,0))*N41*HLOOKUP(CC$5,Escalators!$I$25:$U$30,6,FALSE)</f>
        <v>685.88598909530572</v>
      </c>
      <c r="CD41" s="47">
        <f>INDEX(Lab_Mat!$K$6:$N$9,MATCH($H41,Lab_Mat!$J$6:$J$9,0),MATCH($BY$4,Lab_Mat!$K$5:$N$5,0))*O41*HLOOKUP(CD$5,Escalators!$I$25:$U$30,6,FALSE)</f>
        <v>0</v>
      </c>
      <c r="CE41" s="47">
        <f>INDEX(Lab_Mat!$K$6:$N$9,MATCH($H41,Lab_Mat!$J$6:$J$9,0),MATCH($BY$4,Lab_Mat!$K$5:$N$5,0))*P41*HLOOKUP(CE$5,Escalators!$I$25:$U$30,6,FALSE)</f>
        <v>0</v>
      </c>
      <c r="CF41" s="47">
        <f>INDEX(Lab_Mat!$K$6:$N$9,MATCH($H41,Lab_Mat!$J$6:$J$9,0),MATCH($BY$4,Lab_Mat!$K$5:$N$5,0))*Q41*HLOOKUP(CF$5,Escalators!$I$25:$U$30,6,FALSE)</f>
        <v>0</v>
      </c>
      <c r="CH41" s="82">
        <f>INDEX(Lab_Mat!$K$6:$N$9,MATCH($H41,Lab_Mat!$J$6:$J$9,0),MATCH($CH$4,Lab_Mat!$K$5:$N$5,0))*J41</f>
        <v>0</v>
      </c>
      <c r="CI41" s="82">
        <f>INDEX(Lab_Mat!$K$6:$N$9,MATCH($H41,Lab_Mat!$J$6:$J$9,0),MATCH($CH$4,Lab_Mat!$K$5:$N$5,0))*K41</f>
        <v>0</v>
      </c>
      <c r="CJ41" s="82">
        <f>INDEX(Lab_Mat!$K$6:$N$9,MATCH($H41,Lab_Mat!$J$6:$J$9,0),MATCH($CH$4,Lab_Mat!$K$5:$N$5,0))*L41</f>
        <v>23.168861187029783</v>
      </c>
      <c r="CK41" s="82">
        <f>INDEX(Lab_Mat!$K$6:$N$9,MATCH($H41,Lab_Mat!$J$6:$J$9,0),MATCH($CH$4,Lab_Mat!$K$5:$N$5,0))*M41</f>
        <v>205.36317982740371</v>
      </c>
      <c r="CL41" s="82">
        <f>INDEX(Lab_Mat!$K$6:$N$9,MATCH($H41,Lab_Mat!$J$6:$J$9,0),MATCH($CH$4,Lab_Mat!$K$5:$N$5,0))*N41</f>
        <v>231.13564329212124</v>
      </c>
      <c r="CM41" s="82">
        <f>INDEX(Lab_Mat!$K$6:$N$9,MATCH($H41,Lab_Mat!$J$6:$J$9,0),MATCH($CH$4,Lab_Mat!$K$5:$N$5,0))*O41</f>
        <v>0</v>
      </c>
      <c r="CN41" s="82">
        <f>INDEX(Lab_Mat!$K$6:$N$9,MATCH($H41,Lab_Mat!$J$6:$J$9,0),MATCH($CH$4,Lab_Mat!$K$5:$N$5,0))*P41</f>
        <v>0</v>
      </c>
      <c r="CO41" s="82">
        <f>INDEX(Lab_Mat!$K$6:$N$9,MATCH($H41,Lab_Mat!$J$6:$J$9,0),MATCH($CH$4,Lab_Mat!$K$5:$N$5,0))*Q41</f>
        <v>0</v>
      </c>
      <c r="CQ41" s="47">
        <f t="shared" si="124"/>
        <v>0</v>
      </c>
      <c r="CR41" s="47">
        <f t="shared" si="125"/>
        <v>0</v>
      </c>
      <c r="CS41" s="47">
        <f t="shared" si="126"/>
        <v>132.85723798104254</v>
      </c>
      <c r="CT41" s="47">
        <f t="shared" si="127"/>
        <v>1179.2439338260494</v>
      </c>
      <c r="CU41" s="47">
        <f t="shared" si="128"/>
        <v>1328.4167603851643</v>
      </c>
      <c r="CV41" s="47">
        <f t="shared" si="129"/>
        <v>0</v>
      </c>
      <c r="CW41" s="47">
        <f t="shared" si="130"/>
        <v>0</v>
      </c>
      <c r="CX41" s="47">
        <f t="shared" si="131"/>
        <v>0</v>
      </c>
    </row>
    <row r="42" spans="2:109">
      <c r="B42" s="6"/>
      <c r="C42" s="6" t="s">
        <v>411</v>
      </c>
      <c r="D42" s="744" t="s">
        <v>829</v>
      </c>
      <c r="E42" s="6" t="s">
        <v>48</v>
      </c>
      <c r="F42" s="6" t="s">
        <v>55</v>
      </c>
      <c r="G42" s="6" t="s">
        <v>10</v>
      </c>
      <c r="H42" s="6" t="s">
        <v>741</v>
      </c>
      <c r="I42" s="6" t="s">
        <v>204</v>
      </c>
      <c r="J42" s="47"/>
      <c r="K42" s="47"/>
      <c r="L42" s="750">
        <f>[4]Summary!$E7/Escalators!$N$14</f>
        <v>282.35362244526306</v>
      </c>
      <c r="M42" s="750">
        <f>SUM([4]Summary!$F7:$G7)/Escalators!$N$14</f>
        <v>2502.7141935489767</v>
      </c>
      <c r="N42" s="750">
        <f>SUM([4]Summary!$H7:$I7)/Escalators!$N$14</f>
        <v>2816.7973226185622</v>
      </c>
      <c r="O42" s="47"/>
      <c r="P42" s="47"/>
      <c r="Q42" s="47"/>
      <c r="S42" s="47">
        <f>INDEX(Lab_Mat!$K$6:$N$9,MATCH($H42,Lab_Mat!$J$6:$J$9,0),MATCH($S$4,Lab_Mat!$K$5:$N$5,0))*J42*HLOOKUP(S$5,Escalators!$I$25:$U$30,3,FALSE)</f>
        <v>0</v>
      </c>
      <c r="T42" s="47">
        <f>INDEX(Lab_Mat!$K$6:$N$9,MATCH($H42,Lab_Mat!$J$6:$J$9,0),MATCH($S$4,Lab_Mat!$K$5:$N$5,0))*K42*HLOOKUP(T$5,Escalators!$I$25:$U$30,3,FALSE)</f>
        <v>0</v>
      </c>
      <c r="U42" s="47">
        <f>INDEX(Lab_Mat!$K$6:$N$9,MATCH($H42,Lab_Mat!$J$6:$J$9,0),MATCH($S$4,Lab_Mat!$K$5:$N$5,0))*L42*HLOOKUP(U$5,Escalators!$I$25:$U$30,3,FALSE)</f>
        <v>53.210725741849089</v>
      </c>
      <c r="V42" s="47">
        <f>INDEX(Lab_Mat!$K$6:$N$9,MATCH($H42,Lab_Mat!$J$6:$J$9,0),MATCH($S$4,Lab_Mat!$K$5:$N$5,0))*M42*HLOOKUP(V$5,Escalators!$I$25:$U$30,3,FALSE)</f>
        <v>475.30798728471888</v>
      </c>
      <c r="W42" s="47">
        <f>INDEX(Lab_Mat!$K$6:$N$9,MATCH($H42,Lab_Mat!$J$6:$J$9,0),MATCH($S$4,Lab_Mat!$K$5:$N$5,0))*N42*HLOOKUP(W$5,Escalators!$I$25:$U$30,3,FALSE)</f>
        <v>537.61158310762789</v>
      </c>
      <c r="X42" s="47">
        <f>INDEX(Lab_Mat!$K$6:$N$9,MATCH($H42,Lab_Mat!$J$6:$J$9,0),MATCH($S$4,Lab_Mat!$K$5:$N$5,0))*O42*HLOOKUP(X$5,Escalators!$I$25:$U$30,3,FALSE)</f>
        <v>0</v>
      </c>
      <c r="Y42" s="47">
        <f>INDEX(Lab_Mat!$K$6:$N$9,MATCH($H42,Lab_Mat!$J$6:$J$9,0),MATCH($S$4,Lab_Mat!$K$5:$N$5,0))*P42*HLOOKUP(Y$5,Escalators!$I$25:$U$30,3,FALSE)</f>
        <v>0</v>
      </c>
      <c r="Z42" s="47">
        <f>INDEX(Lab_Mat!$K$6:$N$9,MATCH($H42,Lab_Mat!$J$6:$J$9,0),MATCH($S$4,Lab_Mat!$K$5:$N$5,0))*Q42*HLOOKUP(Z$5,Escalators!$I$25:$U$30,3,FALSE)</f>
        <v>0</v>
      </c>
      <c r="AB42" s="47">
        <f>INDEX(Lab_Mat!$K$6:$N$9,MATCH($H42,Lab_Mat!$J$6:$J$9,0),MATCH($AG$4,Lab_Mat!$K$5:$N$5,0))*$J42*INDEX(Act_Type_Repex_Splits,MATCH($I42,Act_Type_Repex,0),MATCH(AB$4,Mat_Type,0))*INDEX(Escalators!$I$44:$Q$49,MATCH(AB$4,Escalators!$C$44:$C$49,0),MATCH(AB$5,Escalators!$I$43:$Q$43,0))</f>
        <v>0</v>
      </c>
      <c r="AC42" s="47">
        <f>INDEX(Lab_Mat!$K$6:$N$9,MATCH($H42,Lab_Mat!$J$6:$J$9,0),MATCH($AG$4,Lab_Mat!$K$5:$N$5,0))*$J42*INDEX(Act_Type_Repex_Splits,MATCH($I42,Act_Type_Repex,0),MATCH(AC$4,Mat_Type,0))*INDEX(Escalators!$I$44:$Q$49,MATCH(AC$4,Escalators!$C$44:$C$49,0),MATCH(AC$5,Escalators!$I$43:$Q$43,0))</f>
        <v>0</v>
      </c>
      <c r="AD42" s="47">
        <f>INDEX(Lab_Mat!$K$6:$N$9,MATCH($H42,Lab_Mat!$J$6:$J$9,0),MATCH($AG$4,Lab_Mat!$K$5:$N$5,0))*$J42*INDEX(Act_Type_Repex_Splits,MATCH($I42,Act_Type_Repex,0),MATCH(AD$4,Mat_Type,0))*INDEX(Escalators!$I$44:$Q$49,MATCH(AD$4,Escalators!$C$44:$C$49,0),MATCH(AD$5,Escalators!$I$43:$Q$43,0))</f>
        <v>0</v>
      </c>
      <c r="AE42" s="47">
        <f>INDEX(Lab_Mat!$K$6:$N$9,MATCH($H42,Lab_Mat!$J$6:$J$9,0),MATCH($AG$4,Lab_Mat!$K$5:$N$5,0))*$J42*INDEX(Act_Type_Repex_Splits,MATCH($I42,Act_Type_Repex,0),MATCH(AE$4,Mat_Type,0))*INDEX(Escalators!$I$44:$Q$49,MATCH(AE$4,Escalators!$C$44:$C$49,0),MATCH(AE$5,Escalators!$I$43:$Q$43,0))</f>
        <v>0</v>
      </c>
      <c r="AF42" s="47">
        <f>INDEX(Lab_Mat!$K$6:$N$9,MATCH($H42,Lab_Mat!$J$6:$J$9,0),MATCH($AG$4,Lab_Mat!$K$5:$N$5,0))*$J42*INDEX(Act_Type_Repex_Splits,MATCH($I42,Act_Type_Repex,0),MATCH(AF$4,Mat_Type,0))*INDEX(Escalators!$I$44:$Q$49,MATCH(AF$4,Escalators!$C$44:$C$49,0),MATCH(AF$5,Escalators!$I$43:$Q$43,0))</f>
        <v>0</v>
      </c>
      <c r="AG42" s="47">
        <f t="shared" si="116"/>
        <v>0</v>
      </c>
      <c r="AH42" s="47">
        <f>INDEX(Lab_Mat!$K$6:$N$9,MATCH($H42,Lab_Mat!$J$6:$J$9,0),MATCH($AY$4,Lab_Mat!$K$5:$N$5,0))*$K42*INDEX(Act_Type_Repex_Splits,MATCH($I42,Act_Type_Repex,0),MATCH(AH$4,Mat_Type,0))*INDEX(Escalators!$I$44:$U$49,MATCH(AH$4,Escalators!$C$44:$C$49,0),MATCH(AH$5,Escalators!$I$43:$U$43,0))</f>
        <v>0</v>
      </c>
      <c r="AI42" s="47">
        <f>INDEX(Lab_Mat!$K$6:$N$9,MATCH($H42,Lab_Mat!$J$6:$J$9,0),MATCH($AY$4,Lab_Mat!$K$5:$N$5,0))*$K42*INDEX(Act_Type_Repex_Splits,MATCH($I42,Act_Type_Repex,0),MATCH(AI$4,Mat_Type,0))*INDEX(Escalators!$I$44:$U$49,MATCH(AI$4,Escalators!$C$44:$C$49,0),MATCH(AI$5,Escalators!$I$43:$U$43,0))</f>
        <v>0</v>
      </c>
      <c r="AJ42" s="47">
        <f>INDEX(Lab_Mat!$K$6:$N$9,MATCH($H42,Lab_Mat!$J$6:$J$9,0),MATCH($AY$4,Lab_Mat!$K$5:$N$5,0))*$K42*INDEX(Act_Type_Repex_Splits,MATCH($I42,Act_Type_Repex,0),MATCH(AJ$4,Mat_Type,0))*INDEX(Escalators!$I$44:$U$49,MATCH(AJ$4,Escalators!$C$44:$C$49,0),MATCH(AJ$5,Escalators!$I$43:$U$43,0))</f>
        <v>0</v>
      </c>
      <c r="AK42" s="47">
        <f>INDEX(Lab_Mat!$K$6:$N$9,MATCH($H42,Lab_Mat!$J$6:$J$9,0),MATCH($AY$4,Lab_Mat!$K$5:$N$5,0))*$K42*INDEX(Act_Type_Repex_Splits,MATCH($I42,Act_Type_Repex,0),MATCH(AK$4,Mat_Type,0))*INDEX(Escalators!$I$44:$U$49,MATCH(AK$4,Escalators!$C$44:$C$49,0),MATCH(AK$5,Escalators!$I$43:$U$43,0))</f>
        <v>0</v>
      </c>
      <c r="AL42" s="47">
        <f>INDEX(Lab_Mat!$K$6:$N$9,MATCH($H42,Lab_Mat!$J$6:$J$9,0),MATCH($AY$4,Lab_Mat!$K$5:$N$5,0))*$K42*INDEX(Act_Type_Repex_Splits,MATCH($I42,Act_Type_Repex,0),MATCH(AL$4,Mat_Type,0))*INDEX(Escalators!$I$44:$U$49,MATCH(AL$4,Escalators!$C$44:$C$49,0),MATCH(AL$5,Escalators!$I$43:$U$43,0))</f>
        <v>0</v>
      </c>
      <c r="AM42" s="47">
        <f t="shared" si="117"/>
        <v>0</v>
      </c>
      <c r="AN42" s="47">
        <f>INDEX(Lab_Mat!$K$6:$N$9,MATCH($H42,Lab_Mat!$J$6:$J$9,0),MATCH($AY$4,Lab_Mat!$K$5:$N$5,0))*$L42*INDEX(Act_Type_Repex_Splits,MATCH($I42,Act_Type_Repex,0),MATCH(AN$4,Mat_Type,0))*INDEX(Escalators!$I$44:$U$49,MATCH(AN$4,Escalators!$C$44:$C$49,0),MATCH(AN$5,Escalators!$I$43:$U$43,0))</f>
        <v>0</v>
      </c>
      <c r="AO42" s="47">
        <f>INDEX(Lab_Mat!$K$6:$N$9,MATCH($H42,Lab_Mat!$J$6:$J$9,0),MATCH($AY$4,Lab_Mat!$K$5:$N$5,0))*$L42*INDEX(Act_Type_Repex_Splits,MATCH($I42,Act_Type_Repex,0),MATCH(AO$4,Mat_Type,0))*INDEX(Escalators!$I$44:$U$49,MATCH(AO$4,Escalators!$C$44:$C$49,0),MATCH(AO$5,Escalators!$I$43:$U$43,0))</f>
        <v>0</v>
      </c>
      <c r="AP42" s="47">
        <f>INDEX(Lab_Mat!$K$6:$N$9,MATCH($H42,Lab_Mat!$J$6:$J$9,0),MATCH($AY$4,Lab_Mat!$K$5:$N$5,0))*$L42*INDEX(Act_Type_Repex_Splits,MATCH($I42,Act_Type_Repex,0),MATCH(AP$4,Mat_Type,0))*INDEX(Escalators!$I$44:$U$49,MATCH(AP$4,Escalators!$C$44:$C$49,0),MATCH(AP$5,Escalators!$I$43:$U$43,0))</f>
        <v>30.571497594134975</v>
      </c>
      <c r="AQ42" s="47">
        <f>INDEX(Lab_Mat!$K$6:$N$9,MATCH($H42,Lab_Mat!$J$6:$J$9,0),MATCH($AY$4,Lab_Mat!$K$5:$N$5,0))*$L42*INDEX(Act_Type_Repex_Splits,MATCH($I42,Act_Type_Repex,0),MATCH(AQ$4,Mat_Type,0))*INDEX(Escalators!$I$44:$U$49,MATCH(AQ$4,Escalators!$C$44:$C$49,0),MATCH(AQ$5,Escalators!$I$43:$U$43,0))</f>
        <v>0</v>
      </c>
      <c r="AR42" s="47">
        <f>INDEX(Lab_Mat!$K$6:$N$9,MATCH($H42,Lab_Mat!$J$6:$J$9,0),MATCH($AY$4,Lab_Mat!$K$5:$N$5,0))*$L42*INDEX(Act_Type_Repex_Splits,MATCH($I42,Act_Type_Repex,0),MATCH(AR$4,Mat_Type,0))*INDEX(Escalators!$I$44:$U$49,MATCH(AR$4,Escalators!$C$44:$C$49,0),MATCH(AR$5,Escalators!$I$43:$U$43,0))</f>
        <v>122.2859903765399</v>
      </c>
      <c r="AS42" s="47">
        <f t="shared" si="118"/>
        <v>152.85748797067487</v>
      </c>
      <c r="AT42" s="47">
        <f>INDEX(Lab_Mat!$K$6:$N$9,MATCH($H42,Lab_Mat!$J$6:$J$9,0),MATCH($AY$4,Lab_Mat!$K$5:$N$5,0))*$M42*INDEX(Act_Type_Repex_Splits,MATCH($I42,Act_Type_Repex,0),MATCH(AT$4,Mat_Type,0))*INDEX(Escalators!$I$44:$U$49,MATCH(AT$4,Escalators!$C$44:$C$49,0),MATCH(AT$5,Escalators!$I$43:$U$43,0))</f>
        <v>0</v>
      </c>
      <c r="AU42" s="47">
        <f>INDEX(Lab_Mat!$K$6:$N$9,MATCH($H42,Lab_Mat!$J$6:$J$9,0),MATCH($AY$4,Lab_Mat!$K$5:$N$5,0))*$M42*INDEX(Act_Type_Repex_Splits,MATCH($I42,Act_Type_Repex,0),MATCH(AU$4,Mat_Type,0))*INDEX(Escalators!$I$44:$U$49,MATCH(AU$4,Escalators!$C$44:$C$49,0),MATCH(AU$5,Escalators!$I$43:$U$43,0))</f>
        <v>0</v>
      </c>
      <c r="AV42" s="47">
        <f>INDEX(Lab_Mat!$K$6:$N$9,MATCH($H42,Lab_Mat!$J$6:$J$9,0),MATCH($AY$4,Lab_Mat!$K$5:$N$5,0))*$M42*INDEX(Act_Type_Repex_Splits,MATCH($I42,Act_Type_Repex,0),MATCH(AV$4,Mat_Type,0))*INDEX(Escalators!$I$44:$U$49,MATCH(AV$4,Escalators!$C$44:$C$49,0),MATCH(AV$5,Escalators!$I$43:$U$43,0))</f>
        <v>270.97835786301101</v>
      </c>
      <c r="AW42" s="47">
        <f>INDEX(Lab_Mat!$K$6:$N$9,MATCH($H42,Lab_Mat!$J$6:$J$9,0),MATCH($AY$4,Lab_Mat!$K$5:$N$5,0))*$M42*INDEX(Act_Type_Repex_Splits,MATCH($I42,Act_Type_Repex,0),MATCH(AW$4,Mat_Type,0))*INDEX(Escalators!$I$44:$U$49,MATCH(AW$4,Escalators!$C$44:$C$49,0),MATCH(AW$5,Escalators!$I$43:$U$43,0))</f>
        <v>0</v>
      </c>
      <c r="AX42" s="47">
        <f>INDEX(Lab_Mat!$K$6:$N$9,MATCH($H42,Lab_Mat!$J$6:$J$9,0),MATCH($AY$4,Lab_Mat!$K$5:$N$5,0))*$M42*INDEX(Act_Type_Repex_Splits,MATCH($I42,Act_Type_Repex,0),MATCH(AX$4,Mat_Type,0))*INDEX(Escalators!$I$44:$U$49,MATCH(AX$4,Escalators!$C$44:$C$49,0),MATCH(AX$5,Escalators!$I$43:$U$43,0))</f>
        <v>1083.9134314520441</v>
      </c>
      <c r="AY42" s="47">
        <f t="shared" si="119"/>
        <v>1354.8917893150551</v>
      </c>
      <c r="AZ42" s="47">
        <f>INDEX(Lab_Mat!$K$6:$N$9,MATCH($H42,Lab_Mat!$J$6:$J$9,0),MATCH($BE$4,Lab_Mat!$K$5:$N$5,0))*$N42*INDEX(Act_Type_Repex_Splits,MATCH($I42,Act_Type_Repex,0),MATCH(AZ$4,Mat_Type,0))*INDEX(Escalators!$I$44:$U$49,MATCH(AZ$4,Escalators!$C$44:$C$49,0),MATCH(AZ$5,Escalators!$I$43:$U$43,0))</f>
        <v>0</v>
      </c>
      <c r="BA42" s="47">
        <f>INDEX(Lab_Mat!$K$6:$N$9,MATCH($H42,Lab_Mat!$J$6:$J$9,0),MATCH($BE$4,Lab_Mat!$K$5:$N$5,0))*$N42*INDEX(Act_Type_Repex_Splits,MATCH($I42,Act_Type_Repex,0),MATCH(BA$4,Mat_Type,0))*INDEX(Escalators!$I$44:$U$49,MATCH(BA$4,Escalators!$C$44:$C$49,0),MATCH(BA$5,Escalators!$I$43:$U$43,0))</f>
        <v>0</v>
      </c>
      <c r="BB42" s="47">
        <f>INDEX(Lab_Mat!$K$6:$N$9,MATCH($H42,Lab_Mat!$J$6:$J$9,0),MATCH($BE$4,Lab_Mat!$K$5:$N$5,0))*$N42*INDEX(Act_Type_Repex_Splits,MATCH($I42,Act_Type_Repex,0),MATCH(BB$4,Mat_Type,0))*INDEX(Escalators!$I$44:$U$49,MATCH(BB$4,Escalators!$C$44:$C$49,0),MATCH(BB$5,Escalators!$I$43:$U$43,0))</f>
        <v>304.98532948091781</v>
      </c>
      <c r="BC42" s="47">
        <f>INDEX(Lab_Mat!$K$6:$N$9,MATCH($H42,Lab_Mat!$J$6:$J$9,0),MATCH($BE$4,Lab_Mat!$K$5:$N$5,0))*$N42*INDEX(Act_Type_Repex_Splits,MATCH($I42,Act_Type_Repex,0),MATCH(BC$4,Mat_Type,0))*INDEX(Escalators!$I$44:$U$49,MATCH(BC$4,Escalators!$C$44:$C$49,0),MATCH(BC$5,Escalators!$I$43:$U$43,0))</f>
        <v>0</v>
      </c>
      <c r="BD42" s="47">
        <f>INDEX(Lab_Mat!$K$6:$N$9,MATCH($H42,Lab_Mat!$J$6:$J$9,0),MATCH($BE$4,Lab_Mat!$K$5:$N$5,0))*$N42*INDEX(Act_Type_Repex_Splits,MATCH($I42,Act_Type_Repex,0),MATCH(BD$4,Mat_Type,0))*INDEX(Escalators!$I$44:$U$49,MATCH(BD$4,Escalators!$C$44:$C$49,0),MATCH(BD$5,Escalators!$I$43:$U$43,0))</f>
        <v>1219.9413179236712</v>
      </c>
      <c r="BE42" s="47">
        <f t="shared" si="120"/>
        <v>1524.9266474045889</v>
      </c>
      <c r="BF42" s="47">
        <f>INDEX(Lab_Mat!$K$6:$N$9,MATCH($H42,Lab_Mat!$J$6:$J$9,0),MATCH($BK$4,Lab_Mat!$K$5:$N$5,0))*$O42*INDEX(Act_Type_Repex_Splits,MATCH($I42,Act_Type_Repex,0),MATCH(BF$4,Mat_Type,0))*INDEX(Escalators!$I$44:$U$49,MATCH(BF$4,Escalators!$C$44:$C$49,0),MATCH(BF$5,Escalators!$I$43:$U$43,0))</f>
        <v>0</v>
      </c>
      <c r="BG42" s="47">
        <f>INDEX(Lab_Mat!$K$6:$N$9,MATCH($H42,Lab_Mat!$J$6:$J$9,0),MATCH($BK$4,Lab_Mat!$K$5:$N$5,0))*$O42*INDEX(Act_Type_Repex_Splits,MATCH($I42,Act_Type_Repex,0),MATCH(BG$4,Mat_Type,0))*INDEX(Escalators!$I$44:$U$49,MATCH(BG$4,Escalators!$C$44:$C$49,0),MATCH(BG$5,Escalators!$I$43:$U$43,0))</f>
        <v>0</v>
      </c>
      <c r="BH42" s="47">
        <f>INDEX(Lab_Mat!$K$6:$N$9,MATCH($H42,Lab_Mat!$J$6:$J$9,0),MATCH($BK$4,Lab_Mat!$K$5:$N$5,0))*$O42*INDEX(Act_Type_Repex_Splits,MATCH($I42,Act_Type_Repex,0),MATCH(BH$4,Mat_Type,0))*INDEX(Escalators!$I$44:$U$49,MATCH(BH$4,Escalators!$C$44:$C$49,0),MATCH(BH$5,Escalators!$I$43:$U$43,0))</f>
        <v>0</v>
      </c>
      <c r="BI42" s="47">
        <f>INDEX(Lab_Mat!$K$6:$N$9,MATCH($H42,Lab_Mat!$J$6:$J$9,0),MATCH($BK$4,Lab_Mat!$K$5:$N$5,0))*$O42*INDEX(Act_Type_Repex_Splits,MATCH($I42,Act_Type_Repex,0),MATCH(BI$4,Mat_Type,0))*INDEX(Escalators!$I$44:$U$49,MATCH(BI$4,Escalators!$C$44:$C$49,0),MATCH(BI$5,Escalators!$I$43:$U$43,0))</f>
        <v>0</v>
      </c>
      <c r="BJ42" s="47">
        <f>INDEX(Lab_Mat!$K$6:$N$9,MATCH($H42,Lab_Mat!$J$6:$J$9,0),MATCH($BK$4,Lab_Mat!$K$5:$N$5,0))*$O42*INDEX(Act_Type_Repex_Splits,MATCH($I42,Act_Type_Repex,0),MATCH(BJ$4,Mat_Type,0))*INDEX(Escalators!$I$44:$U$49,MATCH(BJ$4,Escalators!$C$44:$C$49,0),MATCH(BJ$5,Escalators!$I$43:$U$43,0))</f>
        <v>0</v>
      </c>
      <c r="BK42" s="47">
        <f t="shared" si="121"/>
        <v>0</v>
      </c>
      <c r="BL42" s="47">
        <f>INDEX(Lab_Mat!$K$6:$N$9,MATCH($H42,Lab_Mat!$J$6:$J$9,0),MATCH($BQ$4,Lab_Mat!$K$5:$N$5,0))*$P42*INDEX(Act_Type_Repex_Splits,MATCH($I42,Act_Type_Repex,0),MATCH(BL$4,Mat_Type,0))*INDEX(Escalators!$I$44:$U$49,MATCH(BL$4,Escalators!$C$44:$C$49,0),MATCH(BL$5,Escalators!$I$43:$U$43,0))</f>
        <v>0</v>
      </c>
      <c r="BM42" s="47">
        <f>INDEX(Lab_Mat!$K$6:$N$9,MATCH($H42,Lab_Mat!$J$6:$J$9,0),MATCH($BQ$4,Lab_Mat!$K$5:$N$5,0))*$P42*INDEX(Act_Type_Repex_Splits,MATCH($I42,Act_Type_Repex,0),MATCH(BM$4,Mat_Type,0))*INDEX(Escalators!$I$44:$U$49,MATCH(BM$4,Escalators!$C$44:$C$49,0),MATCH(BM$5,Escalators!$I$43:$U$43,0))</f>
        <v>0</v>
      </c>
      <c r="BN42" s="47">
        <f>INDEX(Lab_Mat!$K$6:$N$9,MATCH($H42,Lab_Mat!$J$6:$J$9,0),MATCH($BQ$4,Lab_Mat!$K$5:$N$5,0))*$P42*INDEX(Act_Type_Repex_Splits,MATCH($I42,Act_Type_Repex,0),MATCH(BN$4,Mat_Type,0))*INDEX(Escalators!$I$44:$U$49,MATCH(BN$4,Escalators!$C$44:$C$49,0),MATCH(BN$5,Escalators!$I$43:$U$43,0))</f>
        <v>0</v>
      </c>
      <c r="BO42" s="47">
        <f>INDEX(Lab_Mat!$K$6:$N$9,MATCH($H42,Lab_Mat!$J$6:$J$9,0),MATCH($BQ$4,Lab_Mat!$K$5:$N$5,0))*$P42*INDEX(Act_Type_Repex_Splits,MATCH($I42,Act_Type_Repex,0),MATCH(BO$4,Mat_Type,0))*INDEX(Escalators!$I$44:$U$49,MATCH(BO$4,Escalators!$C$44:$C$49,0),MATCH(BO$5,Escalators!$I$43:$U$43,0))</f>
        <v>0</v>
      </c>
      <c r="BP42" s="47">
        <f>INDEX(Lab_Mat!$K$6:$N$9,MATCH($H42,Lab_Mat!$J$6:$J$9,0),MATCH($BQ$4,Lab_Mat!$K$5:$N$5,0))*$P42*INDEX(Act_Type_Repex_Splits,MATCH($I42,Act_Type_Repex,0),MATCH(BP$4,Mat_Type,0))*INDEX(Escalators!$I$44:$U$49,MATCH(BP$4,Escalators!$C$44:$C$49,0),MATCH(BP$5,Escalators!$I$43:$U$43,0))</f>
        <v>0</v>
      </c>
      <c r="BQ42" s="47">
        <f t="shared" si="122"/>
        <v>0</v>
      </c>
      <c r="BR42" s="47">
        <f>INDEX(Lab_Mat!$K$6:$N$9,MATCH($H42,Lab_Mat!$J$6:$J$9,0),MATCH($BW$4,Lab_Mat!$K$5:$N$5,0))*$Q42*INDEX(Act_Type_Repex_Splits,MATCH($I42,Act_Type_Repex,0),MATCH(BR$4,Mat_Type,0))*INDEX(Escalators!$I$44:$U$49,MATCH(BR$4,Escalators!$C$44:$C$49,0),MATCH(BR$5,Escalators!$I$43:$U$43,0))</f>
        <v>0</v>
      </c>
      <c r="BS42" s="47">
        <f>INDEX(Lab_Mat!$K$6:$N$9,MATCH($H42,Lab_Mat!$J$6:$J$9,0),MATCH($BW$4,Lab_Mat!$K$5:$N$5,0))*$Q42*INDEX(Act_Type_Repex_Splits,MATCH($I42,Act_Type_Repex,0),MATCH(BS$4,Mat_Type,0))*INDEX(Escalators!$I$44:$U$49,MATCH(BS$4,Escalators!$C$44:$C$49,0),MATCH(BS$5,Escalators!$I$43:$U$43,0))</f>
        <v>0</v>
      </c>
      <c r="BT42" s="47">
        <f>INDEX(Lab_Mat!$K$6:$N$9,MATCH($H42,Lab_Mat!$J$6:$J$9,0),MATCH($BW$4,Lab_Mat!$K$5:$N$5,0))*$Q42*INDEX(Act_Type_Repex_Splits,MATCH($I42,Act_Type_Repex,0),MATCH(BT$4,Mat_Type,0))*INDEX(Escalators!$I$44:$U$49,MATCH(BT$4,Escalators!$C$44:$C$49,0),MATCH(BT$5,Escalators!$I$43:$U$43,0))</f>
        <v>0</v>
      </c>
      <c r="BU42" s="47">
        <f>INDEX(Lab_Mat!$K$6:$N$9,MATCH($H42,Lab_Mat!$J$6:$J$9,0),MATCH($BW$4,Lab_Mat!$K$5:$N$5,0))*$Q42*INDEX(Act_Type_Repex_Splits,MATCH($I42,Act_Type_Repex,0),MATCH(BU$4,Mat_Type,0))*INDEX(Escalators!$I$44:$U$49,MATCH(BU$4,Escalators!$C$44:$C$49,0),MATCH(BU$5,Escalators!$I$43:$U$43,0))</f>
        <v>0</v>
      </c>
      <c r="BV42" s="47">
        <f>INDEX(Lab_Mat!$K$6:$N$9,MATCH($H42,Lab_Mat!$J$6:$J$9,0),MATCH($BW$4,Lab_Mat!$K$5:$N$5,0))*$Q42*INDEX(Act_Type_Repex_Splits,MATCH($I42,Act_Type_Repex,0),MATCH(BV$4,Mat_Type,0))*INDEX(Escalators!$I$44:$U$49,MATCH(BV$4,Escalators!$C$44:$C$49,0),MATCH(BV$5,Escalators!$I$43:$U$43,0))</f>
        <v>0</v>
      </c>
      <c r="BW42" s="47">
        <f t="shared" si="123"/>
        <v>0</v>
      </c>
      <c r="BY42" s="47">
        <f>INDEX(Lab_Mat!$K$6:$N$9,MATCH($H42,Lab_Mat!$J$6:$J$9,0),MATCH($BY$4,Lab_Mat!$K$5:$N$5,0))*J42*HLOOKUP(BY$5,Escalators!$I$25:$U$30,6,FALSE)</f>
        <v>0</v>
      </c>
      <c r="BZ42" s="47">
        <f>INDEX(Lab_Mat!$K$6:$N$9,MATCH($H42,Lab_Mat!$J$6:$J$9,0),MATCH($BY$4,Lab_Mat!$K$5:$N$5,0))*K42*HLOOKUP(BZ$5,Escalators!$I$25:$U$30,6,FALSE)</f>
        <v>0</v>
      </c>
      <c r="CA42" s="47">
        <f>INDEX(Lab_Mat!$K$6:$N$9,MATCH($H42,Lab_Mat!$J$6:$J$9,0),MATCH($BY$4,Lab_Mat!$K$5:$N$5,0))*L42*HLOOKUP(CA$5,Escalators!$I$25:$U$30,6,FALSE)</f>
        <v>55.497187124460943</v>
      </c>
      <c r="CB42" s="47">
        <f>INDEX(Lab_Mat!$K$6:$N$9,MATCH($H42,Lab_Mat!$J$6:$J$9,0),MATCH($BY$4,Lab_Mat!$K$5:$N$5,0))*M42*HLOOKUP(CB$5,Escalators!$I$25:$U$30,6,FALSE)</f>
        <v>491.91363905861624</v>
      </c>
      <c r="CC42" s="47">
        <f>INDEX(Lab_Mat!$K$6:$N$9,MATCH($H42,Lab_Mat!$J$6:$J$9,0),MATCH($BY$4,Lab_Mat!$K$5:$N$5,0))*N42*HLOOKUP(CC$5,Escalators!$I$25:$U$30,6,FALSE)</f>
        <v>553.64732618349137</v>
      </c>
      <c r="CD42" s="47">
        <f>INDEX(Lab_Mat!$K$6:$N$9,MATCH($H42,Lab_Mat!$J$6:$J$9,0),MATCH($BY$4,Lab_Mat!$K$5:$N$5,0))*O42*HLOOKUP(CD$5,Escalators!$I$25:$U$30,6,FALSE)</f>
        <v>0</v>
      </c>
      <c r="CE42" s="47">
        <f>INDEX(Lab_Mat!$K$6:$N$9,MATCH($H42,Lab_Mat!$J$6:$J$9,0),MATCH($BY$4,Lab_Mat!$K$5:$N$5,0))*P42*HLOOKUP(CE$5,Escalators!$I$25:$U$30,6,FALSE)</f>
        <v>0</v>
      </c>
      <c r="CF42" s="47">
        <f>INDEX(Lab_Mat!$K$6:$N$9,MATCH($H42,Lab_Mat!$J$6:$J$9,0),MATCH($BY$4,Lab_Mat!$K$5:$N$5,0))*Q42*HLOOKUP(CF$5,Escalators!$I$25:$U$30,6,FALSE)</f>
        <v>0</v>
      </c>
      <c r="CH42" s="82">
        <f>INDEX(Lab_Mat!$K$6:$N$9,MATCH($H42,Lab_Mat!$J$6:$J$9,0),MATCH($CH$4,Lab_Mat!$K$5:$N$5,0))*J42</f>
        <v>0</v>
      </c>
      <c r="CI42" s="82">
        <f>INDEX(Lab_Mat!$K$6:$N$9,MATCH($H42,Lab_Mat!$J$6:$J$9,0),MATCH($CH$4,Lab_Mat!$K$5:$N$5,0))*K42</f>
        <v>0</v>
      </c>
      <c r="CJ42" s="82">
        <f>INDEX(Lab_Mat!$K$6:$N$9,MATCH($H42,Lab_Mat!$J$6:$J$9,0),MATCH($CH$4,Lab_Mat!$K$5:$N$5,0))*L42</f>
        <v>22.073134591640237</v>
      </c>
      <c r="CK42" s="82">
        <f>INDEX(Lab_Mat!$K$6:$N$9,MATCH($H42,Lab_Mat!$J$6:$J$9,0),MATCH($CH$4,Lab_Mat!$K$5:$N$5,0))*M42</f>
        <v>195.65092439826674</v>
      </c>
      <c r="CL42" s="82">
        <f>INDEX(Lab_Mat!$K$6:$N$9,MATCH($H42,Lab_Mat!$J$6:$J$9,0),MATCH($CH$4,Lab_Mat!$K$5:$N$5,0))*N42</f>
        <v>220.20452892041331</v>
      </c>
      <c r="CM42" s="82">
        <f>INDEX(Lab_Mat!$K$6:$N$9,MATCH($H42,Lab_Mat!$J$6:$J$9,0),MATCH($CH$4,Lab_Mat!$K$5:$N$5,0))*O42</f>
        <v>0</v>
      </c>
      <c r="CN42" s="82">
        <f>INDEX(Lab_Mat!$K$6:$N$9,MATCH($H42,Lab_Mat!$J$6:$J$9,0),MATCH($CH$4,Lab_Mat!$K$5:$N$5,0))*P42</f>
        <v>0</v>
      </c>
      <c r="CO42" s="82">
        <f>INDEX(Lab_Mat!$K$6:$N$9,MATCH($H42,Lab_Mat!$J$6:$J$9,0),MATCH($CH$4,Lab_Mat!$K$5:$N$5,0))*Q42</f>
        <v>0</v>
      </c>
      <c r="CQ42" s="47">
        <f t="shared" si="124"/>
        <v>0</v>
      </c>
      <c r="CR42" s="47">
        <f t="shared" si="125"/>
        <v>0</v>
      </c>
      <c r="CS42" s="47">
        <f t="shared" si="126"/>
        <v>283.63853542862512</v>
      </c>
      <c r="CT42" s="47">
        <f t="shared" si="127"/>
        <v>2517.7643400566571</v>
      </c>
      <c r="CU42" s="47">
        <f t="shared" si="128"/>
        <v>2836.3900856161213</v>
      </c>
      <c r="CV42" s="47">
        <f t="shared" si="129"/>
        <v>0</v>
      </c>
      <c r="CW42" s="47">
        <f t="shared" si="130"/>
        <v>0</v>
      </c>
      <c r="CX42" s="47">
        <f t="shared" si="131"/>
        <v>0</v>
      </c>
    </row>
    <row r="43" spans="2:109">
      <c r="B43" s="6"/>
      <c r="C43" s="6" t="s">
        <v>412</v>
      </c>
      <c r="D43" s="744" t="s">
        <v>829</v>
      </c>
      <c r="E43" s="6" t="s">
        <v>48</v>
      </c>
      <c r="F43" s="6" t="s">
        <v>55</v>
      </c>
      <c r="G43" s="6" t="s">
        <v>150</v>
      </c>
      <c r="H43" s="6" t="s">
        <v>741</v>
      </c>
      <c r="I43" s="6" t="s">
        <v>204</v>
      </c>
      <c r="J43" s="47"/>
      <c r="K43" s="47"/>
      <c r="L43" s="750">
        <f>[4]Summary!$E14/Escalators!$N$14</f>
        <v>0</v>
      </c>
      <c r="M43" s="750">
        <f>SUM([4]Summary!$F14:$G14)/Escalators!$N$14</f>
        <v>0</v>
      </c>
      <c r="N43" s="750">
        <f>SUM([4]Summary!$H14:$I14)/Escalators!$N$14</f>
        <v>0</v>
      </c>
      <c r="O43" s="47"/>
      <c r="P43" s="47"/>
      <c r="Q43" s="47"/>
      <c r="S43" s="47">
        <f>INDEX(Lab_Mat!$K$6:$N$9,MATCH($H43,Lab_Mat!$J$6:$J$9,0),MATCH($S$4,Lab_Mat!$K$5:$N$5,0))*J43*HLOOKUP(S$5,Escalators!$I$25:$U$30,3,FALSE)</f>
        <v>0</v>
      </c>
      <c r="T43" s="47">
        <f>INDEX(Lab_Mat!$K$6:$N$9,MATCH($H43,Lab_Mat!$J$6:$J$9,0),MATCH($S$4,Lab_Mat!$K$5:$N$5,0))*K43*HLOOKUP(T$5,Escalators!$I$25:$U$30,3,FALSE)</f>
        <v>0</v>
      </c>
      <c r="U43" s="47">
        <f>INDEX(Lab_Mat!$K$6:$N$9,MATCH($H43,Lab_Mat!$J$6:$J$9,0),MATCH($S$4,Lab_Mat!$K$5:$N$5,0))*L43*HLOOKUP(U$5,Escalators!$I$25:$U$30,3,FALSE)</f>
        <v>0</v>
      </c>
      <c r="V43" s="47">
        <f>INDEX(Lab_Mat!$K$6:$N$9,MATCH($H43,Lab_Mat!$J$6:$J$9,0),MATCH($S$4,Lab_Mat!$K$5:$N$5,0))*M43*HLOOKUP(V$5,Escalators!$I$25:$U$30,3,FALSE)</f>
        <v>0</v>
      </c>
      <c r="W43" s="47">
        <f>INDEX(Lab_Mat!$K$6:$N$9,MATCH($H43,Lab_Mat!$J$6:$J$9,0),MATCH($S$4,Lab_Mat!$K$5:$N$5,0))*N43*HLOOKUP(W$5,Escalators!$I$25:$U$30,3,FALSE)</f>
        <v>0</v>
      </c>
      <c r="X43" s="47">
        <f>INDEX(Lab_Mat!$K$6:$N$9,MATCH($H43,Lab_Mat!$J$6:$J$9,0),MATCH($S$4,Lab_Mat!$K$5:$N$5,0))*O43*HLOOKUP(X$5,Escalators!$I$25:$U$30,3,FALSE)</f>
        <v>0</v>
      </c>
      <c r="Y43" s="47">
        <f>INDEX(Lab_Mat!$K$6:$N$9,MATCH($H43,Lab_Mat!$J$6:$J$9,0),MATCH($S$4,Lab_Mat!$K$5:$N$5,0))*P43*HLOOKUP(Y$5,Escalators!$I$25:$U$30,3,FALSE)</f>
        <v>0</v>
      </c>
      <c r="Z43" s="47">
        <f>INDEX(Lab_Mat!$K$6:$N$9,MATCH($H43,Lab_Mat!$J$6:$J$9,0),MATCH($S$4,Lab_Mat!$K$5:$N$5,0))*Q43*HLOOKUP(Z$5,Escalators!$I$25:$U$30,3,FALSE)</f>
        <v>0</v>
      </c>
      <c r="AB43" s="47">
        <f>INDEX(Lab_Mat!$K$6:$N$9,MATCH($H43,Lab_Mat!$J$6:$J$9,0),MATCH($AG$4,Lab_Mat!$K$5:$N$5,0))*$J43*INDEX(Act_Type_Repex_Splits,MATCH($I43,Act_Type_Repex,0),MATCH(AB$4,Mat_Type,0))*INDEX(Escalators!$I$44:$Q$49,MATCH(AB$4,Escalators!$C$44:$C$49,0),MATCH(AB$5,Escalators!$I$43:$Q$43,0))</f>
        <v>0</v>
      </c>
      <c r="AC43" s="47">
        <f>INDEX(Lab_Mat!$K$6:$N$9,MATCH($H43,Lab_Mat!$J$6:$J$9,0),MATCH($AG$4,Lab_Mat!$K$5:$N$5,0))*$J43*INDEX(Act_Type_Repex_Splits,MATCH($I43,Act_Type_Repex,0),MATCH(AC$4,Mat_Type,0))*INDEX(Escalators!$I$44:$Q$49,MATCH(AC$4,Escalators!$C$44:$C$49,0),MATCH(AC$5,Escalators!$I$43:$Q$43,0))</f>
        <v>0</v>
      </c>
      <c r="AD43" s="47">
        <f>INDEX(Lab_Mat!$K$6:$N$9,MATCH($H43,Lab_Mat!$J$6:$J$9,0),MATCH($AG$4,Lab_Mat!$K$5:$N$5,0))*$J43*INDEX(Act_Type_Repex_Splits,MATCH($I43,Act_Type_Repex,0),MATCH(AD$4,Mat_Type,0))*INDEX(Escalators!$I$44:$Q$49,MATCH(AD$4,Escalators!$C$44:$C$49,0),MATCH(AD$5,Escalators!$I$43:$Q$43,0))</f>
        <v>0</v>
      </c>
      <c r="AE43" s="47">
        <f>INDEX(Lab_Mat!$K$6:$N$9,MATCH($H43,Lab_Mat!$J$6:$J$9,0),MATCH($AG$4,Lab_Mat!$K$5:$N$5,0))*$J43*INDEX(Act_Type_Repex_Splits,MATCH($I43,Act_Type_Repex,0),MATCH(AE$4,Mat_Type,0))*INDEX(Escalators!$I$44:$Q$49,MATCH(AE$4,Escalators!$C$44:$C$49,0),MATCH(AE$5,Escalators!$I$43:$Q$43,0))</f>
        <v>0</v>
      </c>
      <c r="AF43" s="47">
        <f>INDEX(Lab_Mat!$K$6:$N$9,MATCH($H43,Lab_Mat!$J$6:$J$9,0),MATCH($AG$4,Lab_Mat!$K$5:$N$5,0))*$J43*INDEX(Act_Type_Repex_Splits,MATCH($I43,Act_Type_Repex,0),MATCH(AF$4,Mat_Type,0))*INDEX(Escalators!$I$44:$Q$49,MATCH(AF$4,Escalators!$C$44:$C$49,0),MATCH(AF$5,Escalators!$I$43:$Q$43,0))</f>
        <v>0</v>
      </c>
      <c r="AG43" s="47">
        <f t="shared" si="116"/>
        <v>0</v>
      </c>
      <c r="AH43" s="47">
        <f>INDEX(Lab_Mat!$K$6:$N$9,MATCH($H43,Lab_Mat!$J$6:$J$9,0),MATCH($AY$4,Lab_Mat!$K$5:$N$5,0))*$K43*INDEX(Act_Type_Repex_Splits,MATCH($I43,Act_Type_Repex,0),MATCH(AH$4,Mat_Type,0))*INDEX(Escalators!$I$44:$U$49,MATCH(AH$4,Escalators!$C$44:$C$49,0),MATCH(AH$5,Escalators!$I$43:$U$43,0))</f>
        <v>0</v>
      </c>
      <c r="AI43" s="47">
        <f>INDEX(Lab_Mat!$K$6:$N$9,MATCH($H43,Lab_Mat!$J$6:$J$9,0),MATCH($AY$4,Lab_Mat!$K$5:$N$5,0))*$K43*INDEX(Act_Type_Repex_Splits,MATCH($I43,Act_Type_Repex,0),MATCH(AI$4,Mat_Type,0))*INDEX(Escalators!$I$44:$U$49,MATCH(AI$4,Escalators!$C$44:$C$49,0),MATCH(AI$5,Escalators!$I$43:$U$43,0))</f>
        <v>0</v>
      </c>
      <c r="AJ43" s="47">
        <f>INDEX(Lab_Mat!$K$6:$N$9,MATCH($H43,Lab_Mat!$J$6:$J$9,0),MATCH($AY$4,Lab_Mat!$K$5:$N$5,0))*$K43*INDEX(Act_Type_Repex_Splits,MATCH($I43,Act_Type_Repex,0),MATCH(AJ$4,Mat_Type,0))*INDEX(Escalators!$I$44:$U$49,MATCH(AJ$4,Escalators!$C$44:$C$49,0),MATCH(AJ$5,Escalators!$I$43:$U$43,0))</f>
        <v>0</v>
      </c>
      <c r="AK43" s="47">
        <f>INDEX(Lab_Mat!$K$6:$N$9,MATCH($H43,Lab_Mat!$J$6:$J$9,0),MATCH($AY$4,Lab_Mat!$K$5:$N$5,0))*$K43*INDEX(Act_Type_Repex_Splits,MATCH($I43,Act_Type_Repex,0),MATCH(AK$4,Mat_Type,0))*INDEX(Escalators!$I$44:$U$49,MATCH(AK$4,Escalators!$C$44:$C$49,0),MATCH(AK$5,Escalators!$I$43:$U$43,0))</f>
        <v>0</v>
      </c>
      <c r="AL43" s="47">
        <f>INDEX(Lab_Mat!$K$6:$N$9,MATCH($H43,Lab_Mat!$J$6:$J$9,0),MATCH($AY$4,Lab_Mat!$K$5:$N$5,0))*$K43*INDEX(Act_Type_Repex_Splits,MATCH($I43,Act_Type_Repex,0),MATCH(AL$4,Mat_Type,0))*INDEX(Escalators!$I$44:$U$49,MATCH(AL$4,Escalators!$C$44:$C$49,0),MATCH(AL$5,Escalators!$I$43:$U$43,0))</f>
        <v>0</v>
      </c>
      <c r="AM43" s="47">
        <f t="shared" si="117"/>
        <v>0</v>
      </c>
      <c r="AN43" s="47">
        <f>INDEX(Lab_Mat!$K$6:$N$9,MATCH($H43,Lab_Mat!$J$6:$J$9,0),MATCH($AY$4,Lab_Mat!$K$5:$N$5,0))*$L43*INDEX(Act_Type_Repex_Splits,MATCH($I43,Act_Type_Repex,0),MATCH(AN$4,Mat_Type,0))*INDEX(Escalators!$I$44:$U$49,MATCH(AN$4,Escalators!$C$44:$C$49,0),MATCH(AN$5,Escalators!$I$43:$U$43,0))</f>
        <v>0</v>
      </c>
      <c r="AO43" s="47">
        <f>INDEX(Lab_Mat!$K$6:$N$9,MATCH($H43,Lab_Mat!$J$6:$J$9,0),MATCH($AY$4,Lab_Mat!$K$5:$N$5,0))*$L43*INDEX(Act_Type_Repex_Splits,MATCH($I43,Act_Type_Repex,0),MATCH(AO$4,Mat_Type,0))*INDEX(Escalators!$I$44:$U$49,MATCH(AO$4,Escalators!$C$44:$C$49,0),MATCH(AO$5,Escalators!$I$43:$U$43,0))</f>
        <v>0</v>
      </c>
      <c r="AP43" s="47">
        <f>INDEX(Lab_Mat!$K$6:$N$9,MATCH($H43,Lab_Mat!$J$6:$J$9,0),MATCH($AY$4,Lab_Mat!$K$5:$N$5,0))*$L43*INDEX(Act_Type_Repex_Splits,MATCH($I43,Act_Type_Repex,0),MATCH(AP$4,Mat_Type,0))*INDEX(Escalators!$I$44:$U$49,MATCH(AP$4,Escalators!$C$44:$C$49,0),MATCH(AP$5,Escalators!$I$43:$U$43,0))</f>
        <v>0</v>
      </c>
      <c r="AQ43" s="47">
        <f>INDEX(Lab_Mat!$K$6:$N$9,MATCH($H43,Lab_Mat!$J$6:$J$9,0),MATCH($AY$4,Lab_Mat!$K$5:$N$5,0))*$L43*INDEX(Act_Type_Repex_Splits,MATCH($I43,Act_Type_Repex,0),MATCH(AQ$4,Mat_Type,0))*INDEX(Escalators!$I$44:$U$49,MATCH(AQ$4,Escalators!$C$44:$C$49,0),MATCH(AQ$5,Escalators!$I$43:$U$43,0))</f>
        <v>0</v>
      </c>
      <c r="AR43" s="47">
        <f>INDEX(Lab_Mat!$K$6:$N$9,MATCH($H43,Lab_Mat!$J$6:$J$9,0),MATCH($AY$4,Lab_Mat!$K$5:$N$5,0))*$L43*INDEX(Act_Type_Repex_Splits,MATCH($I43,Act_Type_Repex,0),MATCH(AR$4,Mat_Type,0))*INDEX(Escalators!$I$44:$U$49,MATCH(AR$4,Escalators!$C$44:$C$49,0),MATCH(AR$5,Escalators!$I$43:$U$43,0))</f>
        <v>0</v>
      </c>
      <c r="AS43" s="47">
        <f t="shared" si="118"/>
        <v>0</v>
      </c>
      <c r="AT43" s="47">
        <f>INDEX(Lab_Mat!$K$6:$N$9,MATCH($H43,Lab_Mat!$J$6:$J$9,0),MATCH($AY$4,Lab_Mat!$K$5:$N$5,0))*$M43*INDEX(Act_Type_Repex_Splits,MATCH($I43,Act_Type_Repex,0),MATCH(AT$4,Mat_Type,0))*INDEX(Escalators!$I$44:$U$49,MATCH(AT$4,Escalators!$C$44:$C$49,0),MATCH(AT$5,Escalators!$I$43:$U$43,0))</f>
        <v>0</v>
      </c>
      <c r="AU43" s="47">
        <f>INDEX(Lab_Mat!$K$6:$N$9,MATCH($H43,Lab_Mat!$J$6:$J$9,0),MATCH($AY$4,Lab_Mat!$K$5:$N$5,0))*$M43*INDEX(Act_Type_Repex_Splits,MATCH($I43,Act_Type_Repex,0),MATCH(AU$4,Mat_Type,0))*INDEX(Escalators!$I$44:$U$49,MATCH(AU$4,Escalators!$C$44:$C$49,0),MATCH(AU$5,Escalators!$I$43:$U$43,0))</f>
        <v>0</v>
      </c>
      <c r="AV43" s="47">
        <f>INDEX(Lab_Mat!$K$6:$N$9,MATCH($H43,Lab_Mat!$J$6:$J$9,0),MATCH($AY$4,Lab_Mat!$K$5:$N$5,0))*$M43*INDEX(Act_Type_Repex_Splits,MATCH($I43,Act_Type_Repex,0),MATCH(AV$4,Mat_Type,0))*INDEX(Escalators!$I$44:$U$49,MATCH(AV$4,Escalators!$C$44:$C$49,0),MATCH(AV$5,Escalators!$I$43:$U$43,0))</f>
        <v>0</v>
      </c>
      <c r="AW43" s="47">
        <f>INDEX(Lab_Mat!$K$6:$N$9,MATCH($H43,Lab_Mat!$J$6:$J$9,0),MATCH($AY$4,Lab_Mat!$K$5:$N$5,0))*$M43*INDEX(Act_Type_Repex_Splits,MATCH($I43,Act_Type_Repex,0),MATCH(AW$4,Mat_Type,0))*INDEX(Escalators!$I$44:$U$49,MATCH(AW$4,Escalators!$C$44:$C$49,0),MATCH(AW$5,Escalators!$I$43:$U$43,0))</f>
        <v>0</v>
      </c>
      <c r="AX43" s="47">
        <f>INDEX(Lab_Mat!$K$6:$N$9,MATCH($H43,Lab_Mat!$J$6:$J$9,0),MATCH($AY$4,Lab_Mat!$K$5:$N$5,0))*$M43*INDEX(Act_Type_Repex_Splits,MATCH($I43,Act_Type_Repex,0),MATCH(AX$4,Mat_Type,0))*INDEX(Escalators!$I$44:$U$49,MATCH(AX$4,Escalators!$C$44:$C$49,0),MATCH(AX$5,Escalators!$I$43:$U$43,0))</f>
        <v>0</v>
      </c>
      <c r="AY43" s="47">
        <f t="shared" si="119"/>
        <v>0</v>
      </c>
      <c r="AZ43" s="47">
        <f>INDEX(Lab_Mat!$K$6:$N$9,MATCH($H43,Lab_Mat!$J$6:$J$9,0),MATCH($BE$4,Lab_Mat!$K$5:$N$5,0))*$N43*INDEX(Act_Type_Repex_Splits,MATCH($I43,Act_Type_Repex,0),MATCH(AZ$4,Mat_Type,0))*INDEX(Escalators!$I$44:$U$49,MATCH(AZ$4,Escalators!$C$44:$C$49,0),MATCH(AZ$5,Escalators!$I$43:$U$43,0))</f>
        <v>0</v>
      </c>
      <c r="BA43" s="47">
        <f>INDEX(Lab_Mat!$K$6:$N$9,MATCH($H43,Lab_Mat!$J$6:$J$9,0),MATCH($BE$4,Lab_Mat!$K$5:$N$5,0))*$N43*INDEX(Act_Type_Repex_Splits,MATCH($I43,Act_Type_Repex,0),MATCH(BA$4,Mat_Type,0))*INDEX(Escalators!$I$44:$U$49,MATCH(BA$4,Escalators!$C$44:$C$49,0),MATCH(BA$5,Escalators!$I$43:$U$43,0))</f>
        <v>0</v>
      </c>
      <c r="BB43" s="47">
        <f>INDEX(Lab_Mat!$K$6:$N$9,MATCH($H43,Lab_Mat!$J$6:$J$9,0),MATCH($BE$4,Lab_Mat!$K$5:$N$5,0))*$N43*INDEX(Act_Type_Repex_Splits,MATCH($I43,Act_Type_Repex,0),MATCH(BB$4,Mat_Type,0))*INDEX(Escalators!$I$44:$U$49,MATCH(BB$4,Escalators!$C$44:$C$49,0),MATCH(BB$5,Escalators!$I$43:$U$43,0))</f>
        <v>0</v>
      </c>
      <c r="BC43" s="47">
        <f>INDEX(Lab_Mat!$K$6:$N$9,MATCH($H43,Lab_Mat!$J$6:$J$9,0),MATCH($BE$4,Lab_Mat!$K$5:$N$5,0))*$N43*INDEX(Act_Type_Repex_Splits,MATCH($I43,Act_Type_Repex,0),MATCH(BC$4,Mat_Type,0))*INDEX(Escalators!$I$44:$U$49,MATCH(BC$4,Escalators!$C$44:$C$49,0),MATCH(BC$5,Escalators!$I$43:$U$43,0))</f>
        <v>0</v>
      </c>
      <c r="BD43" s="47">
        <f>INDEX(Lab_Mat!$K$6:$N$9,MATCH($H43,Lab_Mat!$J$6:$J$9,0),MATCH($BE$4,Lab_Mat!$K$5:$N$5,0))*$N43*INDEX(Act_Type_Repex_Splits,MATCH($I43,Act_Type_Repex,0),MATCH(BD$4,Mat_Type,0))*INDEX(Escalators!$I$44:$U$49,MATCH(BD$4,Escalators!$C$44:$C$49,0),MATCH(BD$5,Escalators!$I$43:$U$43,0))</f>
        <v>0</v>
      </c>
      <c r="BE43" s="47">
        <f t="shared" si="120"/>
        <v>0</v>
      </c>
      <c r="BF43" s="47">
        <f>INDEX(Lab_Mat!$K$6:$N$9,MATCH($H43,Lab_Mat!$J$6:$J$9,0),MATCH($BK$4,Lab_Mat!$K$5:$N$5,0))*$O43*INDEX(Act_Type_Repex_Splits,MATCH($I43,Act_Type_Repex,0),MATCH(BF$4,Mat_Type,0))*INDEX(Escalators!$I$44:$U$49,MATCH(BF$4,Escalators!$C$44:$C$49,0),MATCH(BF$5,Escalators!$I$43:$U$43,0))</f>
        <v>0</v>
      </c>
      <c r="BG43" s="47">
        <f>INDEX(Lab_Mat!$K$6:$N$9,MATCH($H43,Lab_Mat!$J$6:$J$9,0),MATCH($BK$4,Lab_Mat!$K$5:$N$5,0))*$O43*INDEX(Act_Type_Repex_Splits,MATCH($I43,Act_Type_Repex,0),MATCH(BG$4,Mat_Type,0))*INDEX(Escalators!$I$44:$U$49,MATCH(BG$4,Escalators!$C$44:$C$49,0),MATCH(BG$5,Escalators!$I$43:$U$43,0))</f>
        <v>0</v>
      </c>
      <c r="BH43" s="47">
        <f>INDEX(Lab_Mat!$K$6:$N$9,MATCH($H43,Lab_Mat!$J$6:$J$9,0),MATCH($BK$4,Lab_Mat!$K$5:$N$5,0))*$O43*INDEX(Act_Type_Repex_Splits,MATCH($I43,Act_Type_Repex,0),MATCH(BH$4,Mat_Type,0))*INDEX(Escalators!$I$44:$U$49,MATCH(BH$4,Escalators!$C$44:$C$49,0),MATCH(BH$5,Escalators!$I$43:$U$43,0))</f>
        <v>0</v>
      </c>
      <c r="BI43" s="47">
        <f>INDEX(Lab_Mat!$K$6:$N$9,MATCH($H43,Lab_Mat!$J$6:$J$9,0),MATCH($BK$4,Lab_Mat!$K$5:$N$5,0))*$O43*INDEX(Act_Type_Repex_Splits,MATCH($I43,Act_Type_Repex,0),MATCH(BI$4,Mat_Type,0))*INDEX(Escalators!$I$44:$U$49,MATCH(BI$4,Escalators!$C$44:$C$49,0),MATCH(BI$5,Escalators!$I$43:$U$43,0))</f>
        <v>0</v>
      </c>
      <c r="BJ43" s="47">
        <f>INDEX(Lab_Mat!$K$6:$N$9,MATCH($H43,Lab_Mat!$J$6:$J$9,0),MATCH($BK$4,Lab_Mat!$K$5:$N$5,0))*$O43*INDEX(Act_Type_Repex_Splits,MATCH($I43,Act_Type_Repex,0),MATCH(BJ$4,Mat_Type,0))*INDEX(Escalators!$I$44:$U$49,MATCH(BJ$4,Escalators!$C$44:$C$49,0),MATCH(BJ$5,Escalators!$I$43:$U$43,0))</f>
        <v>0</v>
      </c>
      <c r="BK43" s="47">
        <f t="shared" si="121"/>
        <v>0</v>
      </c>
      <c r="BL43" s="47">
        <f>INDEX(Lab_Mat!$K$6:$N$9,MATCH($H43,Lab_Mat!$J$6:$J$9,0),MATCH($BQ$4,Lab_Mat!$K$5:$N$5,0))*$P43*INDEX(Act_Type_Repex_Splits,MATCH($I43,Act_Type_Repex,0),MATCH(BL$4,Mat_Type,0))*INDEX(Escalators!$I$44:$U$49,MATCH(BL$4,Escalators!$C$44:$C$49,0),MATCH(BL$5,Escalators!$I$43:$U$43,0))</f>
        <v>0</v>
      </c>
      <c r="BM43" s="47">
        <f>INDEX(Lab_Mat!$K$6:$N$9,MATCH($H43,Lab_Mat!$J$6:$J$9,0),MATCH($BQ$4,Lab_Mat!$K$5:$N$5,0))*$P43*INDEX(Act_Type_Repex_Splits,MATCH($I43,Act_Type_Repex,0),MATCH(BM$4,Mat_Type,0))*INDEX(Escalators!$I$44:$U$49,MATCH(BM$4,Escalators!$C$44:$C$49,0),MATCH(BM$5,Escalators!$I$43:$U$43,0))</f>
        <v>0</v>
      </c>
      <c r="BN43" s="47">
        <f>INDEX(Lab_Mat!$K$6:$N$9,MATCH($H43,Lab_Mat!$J$6:$J$9,0),MATCH($BQ$4,Lab_Mat!$K$5:$N$5,0))*$P43*INDEX(Act_Type_Repex_Splits,MATCH($I43,Act_Type_Repex,0),MATCH(BN$4,Mat_Type,0))*INDEX(Escalators!$I$44:$U$49,MATCH(BN$4,Escalators!$C$44:$C$49,0),MATCH(BN$5,Escalators!$I$43:$U$43,0))</f>
        <v>0</v>
      </c>
      <c r="BO43" s="47">
        <f>INDEX(Lab_Mat!$K$6:$N$9,MATCH($H43,Lab_Mat!$J$6:$J$9,0),MATCH($BQ$4,Lab_Mat!$K$5:$N$5,0))*$P43*INDEX(Act_Type_Repex_Splits,MATCH($I43,Act_Type_Repex,0),MATCH(BO$4,Mat_Type,0))*INDEX(Escalators!$I$44:$U$49,MATCH(BO$4,Escalators!$C$44:$C$49,0),MATCH(BO$5,Escalators!$I$43:$U$43,0))</f>
        <v>0</v>
      </c>
      <c r="BP43" s="47">
        <f>INDEX(Lab_Mat!$K$6:$N$9,MATCH($H43,Lab_Mat!$J$6:$J$9,0),MATCH($BQ$4,Lab_Mat!$K$5:$N$5,0))*$P43*INDEX(Act_Type_Repex_Splits,MATCH($I43,Act_Type_Repex,0),MATCH(BP$4,Mat_Type,0))*INDEX(Escalators!$I$44:$U$49,MATCH(BP$4,Escalators!$C$44:$C$49,0),MATCH(BP$5,Escalators!$I$43:$U$43,0))</f>
        <v>0</v>
      </c>
      <c r="BQ43" s="47">
        <f t="shared" si="122"/>
        <v>0</v>
      </c>
      <c r="BR43" s="47">
        <f>INDEX(Lab_Mat!$K$6:$N$9,MATCH($H43,Lab_Mat!$J$6:$J$9,0),MATCH($BW$4,Lab_Mat!$K$5:$N$5,0))*$Q43*INDEX(Act_Type_Repex_Splits,MATCH($I43,Act_Type_Repex,0),MATCH(BR$4,Mat_Type,0))*INDEX(Escalators!$I$44:$U$49,MATCH(BR$4,Escalators!$C$44:$C$49,0),MATCH(BR$5,Escalators!$I$43:$U$43,0))</f>
        <v>0</v>
      </c>
      <c r="BS43" s="47">
        <f>INDEX(Lab_Mat!$K$6:$N$9,MATCH($H43,Lab_Mat!$J$6:$J$9,0),MATCH($BW$4,Lab_Mat!$K$5:$N$5,0))*$Q43*INDEX(Act_Type_Repex_Splits,MATCH($I43,Act_Type_Repex,0),MATCH(BS$4,Mat_Type,0))*INDEX(Escalators!$I$44:$U$49,MATCH(BS$4,Escalators!$C$44:$C$49,0),MATCH(BS$5,Escalators!$I$43:$U$43,0))</f>
        <v>0</v>
      </c>
      <c r="BT43" s="47">
        <f>INDEX(Lab_Mat!$K$6:$N$9,MATCH($H43,Lab_Mat!$J$6:$J$9,0),MATCH($BW$4,Lab_Mat!$K$5:$N$5,0))*$Q43*INDEX(Act_Type_Repex_Splits,MATCH($I43,Act_Type_Repex,0),MATCH(BT$4,Mat_Type,0))*INDEX(Escalators!$I$44:$U$49,MATCH(BT$4,Escalators!$C$44:$C$49,0),MATCH(BT$5,Escalators!$I$43:$U$43,0))</f>
        <v>0</v>
      </c>
      <c r="BU43" s="47">
        <f>INDEX(Lab_Mat!$K$6:$N$9,MATCH($H43,Lab_Mat!$J$6:$J$9,0),MATCH($BW$4,Lab_Mat!$K$5:$N$5,0))*$Q43*INDEX(Act_Type_Repex_Splits,MATCH($I43,Act_Type_Repex,0),MATCH(BU$4,Mat_Type,0))*INDEX(Escalators!$I$44:$U$49,MATCH(BU$4,Escalators!$C$44:$C$49,0),MATCH(BU$5,Escalators!$I$43:$U$43,0))</f>
        <v>0</v>
      </c>
      <c r="BV43" s="47">
        <f>INDEX(Lab_Mat!$K$6:$N$9,MATCH($H43,Lab_Mat!$J$6:$J$9,0),MATCH($BW$4,Lab_Mat!$K$5:$N$5,0))*$Q43*INDEX(Act_Type_Repex_Splits,MATCH($I43,Act_Type_Repex,0),MATCH(BV$4,Mat_Type,0))*INDEX(Escalators!$I$44:$U$49,MATCH(BV$4,Escalators!$C$44:$C$49,0),MATCH(BV$5,Escalators!$I$43:$U$43,0))</f>
        <v>0</v>
      </c>
      <c r="BW43" s="47">
        <f t="shared" si="123"/>
        <v>0</v>
      </c>
      <c r="BY43" s="47">
        <f>INDEX(Lab_Mat!$K$6:$N$9,MATCH($H43,Lab_Mat!$J$6:$J$9,0),MATCH($BY$4,Lab_Mat!$K$5:$N$5,0))*J43*HLOOKUP(BY$5,Escalators!$I$25:$U$30,6,FALSE)</f>
        <v>0</v>
      </c>
      <c r="BZ43" s="47">
        <f>INDEX(Lab_Mat!$K$6:$N$9,MATCH($H43,Lab_Mat!$J$6:$J$9,0),MATCH($BY$4,Lab_Mat!$K$5:$N$5,0))*K43*HLOOKUP(BZ$5,Escalators!$I$25:$U$30,6,FALSE)</f>
        <v>0</v>
      </c>
      <c r="CA43" s="47">
        <f>INDEX(Lab_Mat!$K$6:$N$9,MATCH($H43,Lab_Mat!$J$6:$J$9,0),MATCH($BY$4,Lab_Mat!$K$5:$N$5,0))*L43*HLOOKUP(CA$5,Escalators!$I$25:$U$30,6,FALSE)</f>
        <v>0</v>
      </c>
      <c r="CB43" s="47">
        <f>INDEX(Lab_Mat!$K$6:$N$9,MATCH($H43,Lab_Mat!$J$6:$J$9,0),MATCH($BY$4,Lab_Mat!$K$5:$N$5,0))*M43*HLOOKUP(CB$5,Escalators!$I$25:$U$30,6,FALSE)</f>
        <v>0</v>
      </c>
      <c r="CC43" s="47">
        <f>INDEX(Lab_Mat!$K$6:$N$9,MATCH($H43,Lab_Mat!$J$6:$J$9,0),MATCH($BY$4,Lab_Mat!$K$5:$N$5,0))*N43*HLOOKUP(CC$5,Escalators!$I$25:$U$30,6,FALSE)</f>
        <v>0</v>
      </c>
      <c r="CD43" s="47">
        <f>INDEX(Lab_Mat!$K$6:$N$9,MATCH($H43,Lab_Mat!$J$6:$J$9,0),MATCH($BY$4,Lab_Mat!$K$5:$N$5,0))*O43*HLOOKUP(CD$5,Escalators!$I$25:$U$30,6,FALSE)</f>
        <v>0</v>
      </c>
      <c r="CE43" s="47">
        <f>INDEX(Lab_Mat!$K$6:$N$9,MATCH($H43,Lab_Mat!$J$6:$J$9,0),MATCH($BY$4,Lab_Mat!$K$5:$N$5,0))*P43*HLOOKUP(CE$5,Escalators!$I$25:$U$30,6,FALSE)</f>
        <v>0</v>
      </c>
      <c r="CF43" s="47">
        <f>INDEX(Lab_Mat!$K$6:$N$9,MATCH($H43,Lab_Mat!$J$6:$J$9,0),MATCH($BY$4,Lab_Mat!$K$5:$N$5,0))*Q43*HLOOKUP(CF$5,Escalators!$I$25:$U$30,6,FALSE)</f>
        <v>0</v>
      </c>
      <c r="CH43" s="82">
        <f>INDEX(Lab_Mat!$K$6:$N$9,MATCH($H43,Lab_Mat!$J$6:$J$9,0),MATCH($CH$4,Lab_Mat!$K$5:$N$5,0))*J43</f>
        <v>0</v>
      </c>
      <c r="CI43" s="82">
        <f>INDEX(Lab_Mat!$K$6:$N$9,MATCH($H43,Lab_Mat!$J$6:$J$9,0),MATCH($CH$4,Lab_Mat!$K$5:$N$5,0))*K43</f>
        <v>0</v>
      </c>
      <c r="CJ43" s="82">
        <f>INDEX(Lab_Mat!$K$6:$N$9,MATCH($H43,Lab_Mat!$J$6:$J$9,0),MATCH($CH$4,Lab_Mat!$K$5:$N$5,0))*L43</f>
        <v>0</v>
      </c>
      <c r="CK43" s="82">
        <f>INDEX(Lab_Mat!$K$6:$N$9,MATCH($H43,Lab_Mat!$J$6:$J$9,0),MATCH($CH$4,Lab_Mat!$K$5:$N$5,0))*M43</f>
        <v>0</v>
      </c>
      <c r="CL43" s="82">
        <f>INDEX(Lab_Mat!$K$6:$N$9,MATCH($H43,Lab_Mat!$J$6:$J$9,0),MATCH($CH$4,Lab_Mat!$K$5:$N$5,0))*N43</f>
        <v>0</v>
      </c>
      <c r="CM43" s="82">
        <f>INDEX(Lab_Mat!$K$6:$N$9,MATCH($H43,Lab_Mat!$J$6:$J$9,0),MATCH($CH$4,Lab_Mat!$K$5:$N$5,0))*O43</f>
        <v>0</v>
      </c>
      <c r="CN43" s="82">
        <f>INDEX(Lab_Mat!$K$6:$N$9,MATCH($H43,Lab_Mat!$J$6:$J$9,0),MATCH($CH$4,Lab_Mat!$K$5:$N$5,0))*P43</f>
        <v>0</v>
      </c>
      <c r="CO43" s="82">
        <f>INDEX(Lab_Mat!$K$6:$N$9,MATCH($H43,Lab_Mat!$J$6:$J$9,0),MATCH($CH$4,Lab_Mat!$K$5:$N$5,0))*Q43</f>
        <v>0</v>
      </c>
      <c r="CQ43" s="47">
        <f t="shared" si="124"/>
        <v>0</v>
      </c>
      <c r="CR43" s="47">
        <f t="shared" si="125"/>
        <v>0</v>
      </c>
      <c r="CS43" s="47">
        <f t="shared" si="126"/>
        <v>0</v>
      </c>
      <c r="CT43" s="47">
        <f t="shared" si="127"/>
        <v>0</v>
      </c>
      <c r="CU43" s="47">
        <f t="shared" si="128"/>
        <v>0</v>
      </c>
      <c r="CV43" s="47">
        <f t="shared" si="129"/>
        <v>0</v>
      </c>
      <c r="CW43" s="47">
        <f t="shared" si="130"/>
        <v>0</v>
      </c>
      <c r="CX43" s="47">
        <f t="shared" si="131"/>
        <v>0</v>
      </c>
    </row>
    <row r="44" spans="2:109">
      <c r="B44" s="6"/>
      <c r="C44" s="6" t="s">
        <v>413</v>
      </c>
      <c r="D44" s="744" t="s">
        <v>829</v>
      </c>
      <c r="E44" s="6" t="s">
        <v>50</v>
      </c>
      <c r="F44" s="6" t="s">
        <v>55</v>
      </c>
      <c r="G44" s="6" t="s">
        <v>34</v>
      </c>
      <c r="H44" s="6" t="s">
        <v>557</v>
      </c>
      <c r="I44" s="6" t="s">
        <v>5</v>
      </c>
      <c r="J44" s="47"/>
      <c r="K44" s="47"/>
      <c r="L44" s="750">
        <v>0</v>
      </c>
      <c r="M44" s="750">
        <v>0</v>
      </c>
      <c r="N44" s="750">
        <v>0</v>
      </c>
      <c r="O44" s="47"/>
      <c r="P44" s="47"/>
      <c r="Q44" s="47"/>
      <c r="S44" s="47">
        <f>INDEX(Lab_Mat!$K$6:$N$9,MATCH($H44,Lab_Mat!$J$6:$J$9,0),MATCH($S$4,Lab_Mat!$K$5:$N$5,0))*J44*HLOOKUP(S$5,Escalators!$I$25:$U$30,3,FALSE)</f>
        <v>0</v>
      </c>
      <c r="T44" s="47">
        <f>INDEX(Lab_Mat!$K$6:$N$9,MATCH($H44,Lab_Mat!$J$6:$J$9,0),MATCH($S$4,Lab_Mat!$K$5:$N$5,0))*K44*HLOOKUP(T$5,Escalators!$I$25:$U$30,3,FALSE)</f>
        <v>0</v>
      </c>
      <c r="U44" s="47">
        <f>INDEX(Lab_Mat!$K$6:$N$9,MATCH($H44,Lab_Mat!$J$6:$J$9,0),MATCH($S$4,Lab_Mat!$K$5:$N$5,0))*L44*HLOOKUP(U$5,Escalators!$I$25:$U$30,3,FALSE)</f>
        <v>0</v>
      </c>
      <c r="V44" s="47">
        <f>INDEX(Lab_Mat!$K$6:$N$9,MATCH($H44,Lab_Mat!$J$6:$J$9,0),MATCH($S$4,Lab_Mat!$K$5:$N$5,0))*M44*HLOOKUP(V$5,Escalators!$I$25:$U$30,3,FALSE)</f>
        <v>0</v>
      </c>
      <c r="W44" s="47">
        <f>INDEX(Lab_Mat!$K$6:$N$9,MATCH($H44,Lab_Mat!$J$6:$J$9,0),MATCH($S$4,Lab_Mat!$K$5:$N$5,0))*N44*HLOOKUP(W$5,Escalators!$I$25:$U$30,3,FALSE)</f>
        <v>0</v>
      </c>
      <c r="X44" s="47">
        <f>INDEX(Lab_Mat!$K$6:$N$9,MATCH($H44,Lab_Mat!$J$6:$J$9,0),MATCH($S$4,Lab_Mat!$K$5:$N$5,0))*O44*HLOOKUP(X$5,Escalators!$I$25:$U$30,3,FALSE)</f>
        <v>0</v>
      </c>
      <c r="Y44" s="47">
        <f>INDEX(Lab_Mat!$K$6:$N$9,MATCH($H44,Lab_Mat!$J$6:$J$9,0),MATCH($S$4,Lab_Mat!$K$5:$N$5,0))*P44*HLOOKUP(Y$5,Escalators!$I$25:$U$30,3,FALSE)</f>
        <v>0</v>
      </c>
      <c r="Z44" s="47">
        <f>INDEX(Lab_Mat!$K$6:$N$9,MATCH($H44,Lab_Mat!$J$6:$J$9,0),MATCH($S$4,Lab_Mat!$K$5:$N$5,0))*Q44*HLOOKUP(Z$5,Escalators!$I$25:$U$30,3,FALSE)</f>
        <v>0</v>
      </c>
      <c r="AB44" s="47">
        <f>INDEX(Lab_Mat!$K$6:$N$9,MATCH($H44,Lab_Mat!$J$6:$J$9,0),MATCH($AG$4,Lab_Mat!$K$5:$N$5,0))*$J44*INDEX(Act_Type_Repex_Splits,MATCH($I44,Act_Type_Repex,0),MATCH(AB$4,Mat_Type,0))*INDEX(Escalators!$I$44:$Q$49,MATCH(AB$4,Escalators!$C$44:$C$49,0),MATCH(AB$5,Escalators!$I$43:$Q$43,0))</f>
        <v>0</v>
      </c>
      <c r="AC44" s="47">
        <f>INDEX(Lab_Mat!$K$6:$N$9,MATCH($H44,Lab_Mat!$J$6:$J$9,0),MATCH($AG$4,Lab_Mat!$K$5:$N$5,0))*$J44*INDEX(Act_Type_Repex_Splits,MATCH($I44,Act_Type_Repex,0),MATCH(AC$4,Mat_Type,0))*INDEX(Escalators!$I$44:$Q$49,MATCH(AC$4,Escalators!$C$44:$C$49,0),MATCH(AC$5,Escalators!$I$43:$Q$43,0))</f>
        <v>0</v>
      </c>
      <c r="AD44" s="47">
        <f>INDEX(Lab_Mat!$K$6:$N$9,MATCH($H44,Lab_Mat!$J$6:$J$9,0),MATCH($AG$4,Lab_Mat!$K$5:$N$5,0))*$J44*INDEX(Act_Type_Repex_Splits,MATCH($I44,Act_Type_Repex,0),MATCH(AD$4,Mat_Type,0))*INDEX(Escalators!$I$44:$Q$49,MATCH(AD$4,Escalators!$C$44:$C$49,0),MATCH(AD$5,Escalators!$I$43:$Q$43,0))</f>
        <v>0</v>
      </c>
      <c r="AE44" s="47">
        <f>INDEX(Lab_Mat!$K$6:$N$9,MATCH($H44,Lab_Mat!$J$6:$J$9,0),MATCH($AG$4,Lab_Mat!$K$5:$N$5,0))*$J44*INDEX(Act_Type_Repex_Splits,MATCH($I44,Act_Type_Repex,0),MATCH(AE$4,Mat_Type,0))*INDEX(Escalators!$I$44:$Q$49,MATCH(AE$4,Escalators!$C$44:$C$49,0),MATCH(AE$5,Escalators!$I$43:$Q$43,0))</f>
        <v>0</v>
      </c>
      <c r="AF44" s="47">
        <f>INDEX(Lab_Mat!$K$6:$N$9,MATCH($H44,Lab_Mat!$J$6:$J$9,0),MATCH($AG$4,Lab_Mat!$K$5:$N$5,0))*$J44*INDEX(Act_Type_Repex_Splits,MATCH($I44,Act_Type_Repex,0),MATCH(AF$4,Mat_Type,0))*INDEX(Escalators!$I$44:$Q$49,MATCH(AF$4,Escalators!$C$44:$C$49,0),MATCH(AF$5,Escalators!$I$43:$Q$43,0))</f>
        <v>0</v>
      </c>
      <c r="AG44" s="47">
        <f t="shared" si="116"/>
        <v>0</v>
      </c>
      <c r="AH44" s="47">
        <f>INDEX(Lab_Mat!$K$6:$N$9,MATCH($H44,Lab_Mat!$J$6:$J$9,0),MATCH($AY$4,Lab_Mat!$K$5:$N$5,0))*$K44*INDEX(Act_Type_Repex_Splits,MATCH($I44,Act_Type_Repex,0),MATCH(AH$4,Mat_Type,0))*INDEX(Escalators!$I$44:$U$49,MATCH(AH$4,Escalators!$C$44:$C$49,0),MATCH(AH$5,Escalators!$I$43:$U$43,0))</f>
        <v>0</v>
      </c>
      <c r="AI44" s="47">
        <f>INDEX(Lab_Mat!$K$6:$N$9,MATCH($H44,Lab_Mat!$J$6:$J$9,0),MATCH($AY$4,Lab_Mat!$K$5:$N$5,0))*$K44*INDEX(Act_Type_Repex_Splits,MATCH($I44,Act_Type_Repex,0),MATCH(AI$4,Mat_Type,0))*INDEX(Escalators!$I$44:$U$49,MATCH(AI$4,Escalators!$C$44:$C$49,0),MATCH(AI$5,Escalators!$I$43:$U$43,0))</f>
        <v>0</v>
      </c>
      <c r="AJ44" s="47">
        <f>INDEX(Lab_Mat!$K$6:$N$9,MATCH($H44,Lab_Mat!$J$6:$J$9,0),MATCH($AY$4,Lab_Mat!$K$5:$N$5,0))*$K44*INDEX(Act_Type_Repex_Splits,MATCH($I44,Act_Type_Repex,0),MATCH(AJ$4,Mat_Type,0))*INDEX(Escalators!$I$44:$U$49,MATCH(AJ$4,Escalators!$C$44:$C$49,0),MATCH(AJ$5,Escalators!$I$43:$U$43,0))</f>
        <v>0</v>
      </c>
      <c r="AK44" s="47">
        <f>INDEX(Lab_Mat!$K$6:$N$9,MATCH($H44,Lab_Mat!$J$6:$J$9,0),MATCH($AY$4,Lab_Mat!$K$5:$N$5,0))*$K44*INDEX(Act_Type_Repex_Splits,MATCH($I44,Act_Type_Repex,0),MATCH(AK$4,Mat_Type,0))*INDEX(Escalators!$I$44:$U$49,MATCH(AK$4,Escalators!$C$44:$C$49,0),MATCH(AK$5,Escalators!$I$43:$U$43,0))</f>
        <v>0</v>
      </c>
      <c r="AL44" s="47">
        <f>INDEX(Lab_Mat!$K$6:$N$9,MATCH($H44,Lab_Mat!$J$6:$J$9,0),MATCH($AY$4,Lab_Mat!$K$5:$N$5,0))*$K44*INDEX(Act_Type_Repex_Splits,MATCH($I44,Act_Type_Repex,0),MATCH(AL$4,Mat_Type,0))*INDEX(Escalators!$I$44:$U$49,MATCH(AL$4,Escalators!$C$44:$C$49,0),MATCH(AL$5,Escalators!$I$43:$U$43,0))</f>
        <v>0</v>
      </c>
      <c r="AM44" s="47">
        <f t="shared" si="117"/>
        <v>0</v>
      </c>
      <c r="AN44" s="47">
        <f>INDEX(Lab_Mat!$K$6:$N$9,MATCH($H44,Lab_Mat!$J$6:$J$9,0),MATCH($AY$4,Lab_Mat!$K$5:$N$5,0))*$L44*INDEX(Act_Type_Repex_Splits,MATCH($I44,Act_Type_Repex,0),MATCH(AN$4,Mat_Type,0))*INDEX(Escalators!$I$44:$U$49,MATCH(AN$4,Escalators!$C$44:$C$49,0),MATCH(AN$5,Escalators!$I$43:$U$43,0))</f>
        <v>0</v>
      </c>
      <c r="AO44" s="47">
        <f>INDEX(Lab_Mat!$K$6:$N$9,MATCH($H44,Lab_Mat!$J$6:$J$9,0),MATCH($AY$4,Lab_Mat!$K$5:$N$5,0))*$L44*INDEX(Act_Type_Repex_Splits,MATCH($I44,Act_Type_Repex,0),MATCH(AO$4,Mat_Type,0))*INDEX(Escalators!$I$44:$U$49,MATCH(AO$4,Escalators!$C$44:$C$49,0),MATCH(AO$5,Escalators!$I$43:$U$43,0))</f>
        <v>0</v>
      </c>
      <c r="AP44" s="47">
        <f>INDEX(Lab_Mat!$K$6:$N$9,MATCH($H44,Lab_Mat!$J$6:$J$9,0),MATCH($AY$4,Lab_Mat!$K$5:$N$5,0))*$L44*INDEX(Act_Type_Repex_Splits,MATCH($I44,Act_Type_Repex,0),MATCH(AP$4,Mat_Type,0))*INDEX(Escalators!$I$44:$U$49,MATCH(AP$4,Escalators!$C$44:$C$49,0),MATCH(AP$5,Escalators!$I$43:$U$43,0))</f>
        <v>0</v>
      </c>
      <c r="AQ44" s="47">
        <f>INDEX(Lab_Mat!$K$6:$N$9,MATCH($H44,Lab_Mat!$J$6:$J$9,0),MATCH($AY$4,Lab_Mat!$K$5:$N$5,0))*$L44*INDEX(Act_Type_Repex_Splits,MATCH($I44,Act_Type_Repex,0),MATCH(AQ$4,Mat_Type,0))*INDEX(Escalators!$I$44:$U$49,MATCH(AQ$4,Escalators!$C$44:$C$49,0),MATCH(AQ$5,Escalators!$I$43:$U$43,0))</f>
        <v>0</v>
      </c>
      <c r="AR44" s="47">
        <f>INDEX(Lab_Mat!$K$6:$N$9,MATCH($H44,Lab_Mat!$J$6:$J$9,0),MATCH($AY$4,Lab_Mat!$K$5:$N$5,0))*$L44*INDEX(Act_Type_Repex_Splits,MATCH($I44,Act_Type_Repex,0),MATCH(AR$4,Mat_Type,0))*INDEX(Escalators!$I$44:$U$49,MATCH(AR$4,Escalators!$C$44:$C$49,0),MATCH(AR$5,Escalators!$I$43:$U$43,0))</f>
        <v>0</v>
      </c>
      <c r="AS44" s="47">
        <f t="shared" si="118"/>
        <v>0</v>
      </c>
      <c r="AT44" s="47">
        <f>INDEX(Lab_Mat!$K$6:$N$9,MATCH($H44,Lab_Mat!$J$6:$J$9,0),MATCH($AY$4,Lab_Mat!$K$5:$N$5,0))*$M44*INDEX(Act_Type_Repex_Splits,MATCH($I44,Act_Type_Repex,0),MATCH(AT$4,Mat_Type,0))*INDEX(Escalators!$I$44:$U$49,MATCH(AT$4,Escalators!$C$44:$C$49,0),MATCH(AT$5,Escalators!$I$43:$U$43,0))</f>
        <v>0</v>
      </c>
      <c r="AU44" s="47">
        <f>INDEX(Lab_Mat!$K$6:$N$9,MATCH($H44,Lab_Mat!$J$6:$J$9,0),MATCH($AY$4,Lab_Mat!$K$5:$N$5,0))*$M44*INDEX(Act_Type_Repex_Splits,MATCH($I44,Act_Type_Repex,0),MATCH(AU$4,Mat_Type,0))*INDEX(Escalators!$I$44:$U$49,MATCH(AU$4,Escalators!$C$44:$C$49,0),MATCH(AU$5,Escalators!$I$43:$U$43,0))</f>
        <v>0</v>
      </c>
      <c r="AV44" s="47">
        <f>INDEX(Lab_Mat!$K$6:$N$9,MATCH($H44,Lab_Mat!$J$6:$J$9,0),MATCH($AY$4,Lab_Mat!$K$5:$N$5,0))*$M44*INDEX(Act_Type_Repex_Splits,MATCH($I44,Act_Type_Repex,0),MATCH(AV$4,Mat_Type,0))*INDEX(Escalators!$I$44:$U$49,MATCH(AV$4,Escalators!$C$44:$C$49,0),MATCH(AV$5,Escalators!$I$43:$U$43,0))</f>
        <v>0</v>
      </c>
      <c r="AW44" s="47">
        <f>INDEX(Lab_Mat!$K$6:$N$9,MATCH($H44,Lab_Mat!$J$6:$J$9,0),MATCH($AY$4,Lab_Mat!$K$5:$N$5,0))*$M44*INDEX(Act_Type_Repex_Splits,MATCH($I44,Act_Type_Repex,0),MATCH(AW$4,Mat_Type,0))*INDEX(Escalators!$I$44:$U$49,MATCH(AW$4,Escalators!$C$44:$C$49,0),MATCH(AW$5,Escalators!$I$43:$U$43,0))</f>
        <v>0</v>
      </c>
      <c r="AX44" s="47">
        <f>INDEX(Lab_Mat!$K$6:$N$9,MATCH($H44,Lab_Mat!$J$6:$J$9,0),MATCH($AY$4,Lab_Mat!$K$5:$N$5,0))*$M44*INDEX(Act_Type_Repex_Splits,MATCH($I44,Act_Type_Repex,0),MATCH(AX$4,Mat_Type,0))*INDEX(Escalators!$I$44:$U$49,MATCH(AX$4,Escalators!$C$44:$C$49,0),MATCH(AX$5,Escalators!$I$43:$U$43,0))</f>
        <v>0</v>
      </c>
      <c r="AY44" s="47">
        <f t="shared" si="119"/>
        <v>0</v>
      </c>
      <c r="AZ44" s="47">
        <f>INDEX(Lab_Mat!$K$6:$N$9,MATCH($H44,Lab_Mat!$J$6:$J$9,0),MATCH($BE$4,Lab_Mat!$K$5:$N$5,0))*$N44*INDEX(Act_Type_Repex_Splits,MATCH($I44,Act_Type_Repex,0),MATCH(AZ$4,Mat_Type,0))*INDEX(Escalators!$I$44:$U$49,MATCH(AZ$4,Escalators!$C$44:$C$49,0),MATCH(AZ$5,Escalators!$I$43:$U$43,0))</f>
        <v>0</v>
      </c>
      <c r="BA44" s="47">
        <f>INDEX(Lab_Mat!$K$6:$N$9,MATCH($H44,Lab_Mat!$J$6:$J$9,0),MATCH($BE$4,Lab_Mat!$K$5:$N$5,0))*$N44*INDEX(Act_Type_Repex_Splits,MATCH($I44,Act_Type_Repex,0),MATCH(BA$4,Mat_Type,0))*INDEX(Escalators!$I$44:$U$49,MATCH(BA$4,Escalators!$C$44:$C$49,0),MATCH(BA$5,Escalators!$I$43:$U$43,0))</f>
        <v>0</v>
      </c>
      <c r="BB44" s="47">
        <f>INDEX(Lab_Mat!$K$6:$N$9,MATCH($H44,Lab_Mat!$J$6:$J$9,0),MATCH($BE$4,Lab_Mat!$K$5:$N$5,0))*$N44*INDEX(Act_Type_Repex_Splits,MATCH($I44,Act_Type_Repex,0),MATCH(BB$4,Mat_Type,0))*INDEX(Escalators!$I$44:$U$49,MATCH(BB$4,Escalators!$C$44:$C$49,0),MATCH(BB$5,Escalators!$I$43:$U$43,0))</f>
        <v>0</v>
      </c>
      <c r="BC44" s="47">
        <f>INDEX(Lab_Mat!$K$6:$N$9,MATCH($H44,Lab_Mat!$J$6:$J$9,0),MATCH($BE$4,Lab_Mat!$K$5:$N$5,0))*$N44*INDEX(Act_Type_Repex_Splits,MATCH($I44,Act_Type_Repex,0),MATCH(BC$4,Mat_Type,0))*INDEX(Escalators!$I$44:$U$49,MATCH(BC$4,Escalators!$C$44:$C$49,0),MATCH(BC$5,Escalators!$I$43:$U$43,0))</f>
        <v>0</v>
      </c>
      <c r="BD44" s="47">
        <f>INDEX(Lab_Mat!$K$6:$N$9,MATCH($H44,Lab_Mat!$J$6:$J$9,0),MATCH($BE$4,Lab_Mat!$K$5:$N$5,0))*$N44*INDEX(Act_Type_Repex_Splits,MATCH($I44,Act_Type_Repex,0),MATCH(BD$4,Mat_Type,0))*INDEX(Escalators!$I$44:$U$49,MATCH(BD$4,Escalators!$C$44:$C$49,0),MATCH(BD$5,Escalators!$I$43:$U$43,0))</f>
        <v>0</v>
      </c>
      <c r="BE44" s="47">
        <f t="shared" si="120"/>
        <v>0</v>
      </c>
      <c r="BF44" s="47">
        <f>INDEX(Lab_Mat!$K$6:$N$9,MATCH($H44,Lab_Mat!$J$6:$J$9,0),MATCH($BK$4,Lab_Mat!$K$5:$N$5,0))*$O44*INDEX(Act_Type_Repex_Splits,MATCH($I44,Act_Type_Repex,0),MATCH(BF$4,Mat_Type,0))*INDEX(Escalators!$I$44:$U$49,MATCH(BF$4,Escalators!$C$44:$C$49,0),MATCH(BF$5,Escalators!$I$43:$U$43,0))</f>
        <v>0</v>
      </c>
      <c r="BG44" s="47">
        <f>INDEX(Lab_Mat!$K$6:$N$9,MATCH($H44,Lab_Mat!$J$6:$J$9,0),MATCH($BK$4,Lab_Mat!$K$5:$N$5,0))*$O44*INDEX(Act_Type_Repex_Splits,MATCH($I44,Act_Type_Repex,0),MATCH(BG$4,Mat_Type,0))*INDEX(Escalators!$I$44:$U$49,MATCH(BG$4,Escalators!$C$44:$C$49,0),MATCH(BG$5,Escalators!$I$43:$U$43,0))</f>
        <v>0</v>
      </c>
      <c r="BH44" s="47">
        <f>INDEX(Lab_Mat!$K$6:$N$9,MATCH($H44,Lab_Mat!$J$6:$J$9,0),MATCH($BK$4,Lab_Mat!$K$5:$N$5,0))*$O44*INDEX(Act_Type_Repex_Splits,MATCH($I44,Act_Type_Repex,0),MATCH(BH$4,Mat_Type,0))*INDEX(Escalators!$I$44:$U$49,MATCH(BH$4,Escalators!$C$44:$C$49,0),MATCH(BH$5,Escalators!$I$43:$U$43,0))</f>
        <v>0</v>
      </c>
      <c r="BI44" s="47">
        <f>INDEX(Lab_Mat!$K$6:$N$9,MATCH($H44,Lab_Mat!$J$6:$J$9,0),MATCH($BK$4,Lab_Mat!$K$5:$N$5,0))*$O44*INDEX(Act_Type_Repex_Splits,MATCH($I44,Act_Type_Repex,0),MATCH(BI$4,Mat_Type,0))*INDEX(Escalators!$I$44:$U$49,MATCH(BI$4,Escalators!$C$44:$C$49,0),MATCH(BI$5,Escalators!$I$43:$U$43,0))</f>
        <v>0</v>
      </c>
      <c r="BJ44" s="47">
        <f>INDEX(Lab_Mat!$K$6:$N$9,MATCH($H44,Lab_Mat!$J$6:$J$9,0),MATCH($BK$4,Lab_Mat!$K$5:$N$5,0))*$O44*INDEX(Act_Type_Repex_Splits,MATCH($I44,Act_Type_Repex,0),MATCH(BJ$4,Mat_Type,0))*INDEX(Escalators!$I$44:$U$49,MATCH(BJ$4,Escalators!$C$44:$C$49,0),MATCH(BJ$5,Escalators!$I$43:$U$43,0))</f>
        <v>0</v>
      </c>
      <c r="BK44" s="47">
        <f t="shared" si="121"/>
        <v>0</v>
      </c>
      <c r="BL44" s="47">
        <f>INDEX(Lab_Mat!$K$6:$N$9,MATCH($H44,Lab_Mat!$J$6:$J$9,0),MATCH($BQ$4,Lab_Mat!$K$5:$N$5,0))*$P44*INDEX(Act_Type_Repex_Splits,MATCH($I44,Act_Type_Repex,0),MATCH(BL$4,Mat_Type,0))*INDEX(Escalators!$I$44:$U$49,MATCH(BL$4,Escalators!$C$44:$C$49,0),MATCH(BL$5,Escalators!$I$43:$U$43,0))</f>
        <v>0</v>
      </c>
      <c r="BM44" s="47">
        <f>INDEX(Lab_Mat!$K$6:$N$9,MATCH($H44,Lab_Mat!$J$6:$J$9,0),MATCH($BQ$4,Lab_Mat!$K$5:$N$5,0))*$P44*INDEX(Act_Type_Repex_Splits,MATCH($I44,Act_Type_Repex,0),MATCH(BM$4,Mat_Type,0))*INDEX(Escalators!$I$44:$U$49,MATCH(BM$4,Escalators!$C$44:$C$49,0),MATCH(BM$5,Escalators!$I$43:$U$43,0))</f>
        <v>0</v>
      </c>
      <c r="BN44" s="47">
        <f>INDEX(Lab_Mat!$K$6:$N$9,MATCH($H44,Lab_Mat!$J$6:$J$9,0),MATCH($BQ$4,Lab_Mat!$K$5:$N$5,0))*$P44*INDEX(Act_Type_Repex_Splits,MATCH($I44,Act_Type_Repex,0),MATCH(BN$4,Mat_Type,0))*INDEX(Escalators!$I$44:$U$49,MATCH(BN$4,Escalators!$C$44:$C$49,0),MATCH(BN$5,Escalators!$I$43:$U$43,0))</f>
        <v>0</v>
      </c>
      <c r="BO44" s="47">
        <f>INDEX(Lab_Mat!$K$6:$N$9,MATCH($H44,Lab_Mat!$J$6:$J$9,0),MATCH($BQ$4,Lab_Mat!$K$5:$N$5,0))*$P44*INDEX(Act_Type_Repex_Splits,MATCH($I44,Act_Type_Repex,0),MATCH(BO$4,Mat_Type,0))*INDEX(Escalators!$I$44:$U$49,MATCH(BO$4,Escalators!$C$44:$C$49,0),MATCH(BO$5,Escalators!$I$43:$U$43,0))</f>
        <v>0</v>
      </c>
      <c r="BP44" s="47">
        <f>INDEX(Lab_Mat!$K$6:$N$9,MATCH($H44,Lab_Mat!$J$6:$J$9,0),MATCH($BQ$4,Lab_Mat!$K$5:$N$5,0))*$P44*INDEX(Act_Type_Repex_Splits,MATCH($I44,Act_Type_Repex,0),MATCH(BP$4,Mat_Type,0))*INDEX(Escalators!$I$44:$U$49,MATCH(BP$4,Escalators!$C$44:$C$49,0),MATCH(BP$5,Escalators!$I$43:$U$43,0))</f>
        <v>0</v>
      </c>
      <c r="BQ44" s="47">
        <f t="shared" si="122"/>
        <v>0</v>
      </c>
      <c r="BR44" s="47">
        <f>INDEX(Lab_Mat!$K$6:$N$9,MATCH($H44,Lab_Mat!$J$6:$J$9,0),MATCH($BW$4,Lab_Mat!$K$5:$N$5,0))*$Q44*INDEX(Act_Type_Repex_Splits,MATCH($I44,Act_Type_Repex,0),MATCH(BR$4,Mat_Type,0))*INDEX(Escalators!$I$44:$U$49,MATCH(BR$4,Escalators!$C$44:$C$49,0),MATCH(BR$5,Escalators!$I$43:$U$43,0))</f>
        <v>0</v>
      </c>
      <c r="BS44" s="47">
        <f>INDEX(Lab_Mat!$K$6:$N$9,MATCH($H44,Lab_Mat!$J$6:$J$9,0),MATCH($BW$4,Lab_Mat!$K$5:$N$5,0))*$Q44*INDEX(Act_Type_Repex_Splits,MATCH($I44,Act_Type_Repex,0),MATCH(BS$4,Mat_Type,0))*INDEX(Escalators!$I$44:$U$49,MATCH(BS$4,Escalators!$C$44:$C$49,0),MATCH(BS$5,Escalators!$I$43:$U$43,0))</f>
        <v>0</v>
      </c>
      <c r="BT44" s="47">
        <f>INDEX(Lab_Mat!$K$6:$N$9,MATCH($H44,Lab_Mat!$J$6:$J$9,0),MATCH($BW$4,Lab_Mat!$K$5:$N$5,0))*$Q44*INDEX(Act_Type_Repex_Splits,MATCH($I44,Act_Type_Repex,0),MATCH(BT$4,Mat_Type,0))*INDEX(Escalators!$I$44:$U$49,MATCH(BT$4,Escalators!$C$44:$C$49,0),MATCH(BT$5,Escalators!$I$43:$U$43,0))</f>
        <v>0</v>
      </c>
      <c r="BU44" s="47">
        <f>INDEX(Lab_Mat!$K$6:$N$9,MATCH($H44,Lab_Mat!$J$6:$J$9,0),MATCH($BW$4,Lab_Mat!$K$5:$N$5,0))*$Q44*INDEX(Act_Type_Repex_Splits,MATCH($I44,Act_Type_Repex,0),MATCH(BU$4,Mat_Type,0))*INDEX(Escalators!$I$44:$U$49,MATCH(BU$4,Escalators!$C$44:$C$49,0),MATCH(BU$5,Escalators!$I$43:$U$43,0))</f>
        <v>0</v>
      </c>
      <c r="BV44" s="47">
        <f>INDEX(Lab_Mat!$K$6:$N$9,MATCH($H44,Lab_Mat!$J$6:$J$9,0),MATCH($BW$4,Lab_Mat!$K$5:$N$5,0))*$Q44*INDEX(Act_Type_Repex_Splits,MATCH($I44,Act_Type_Repex,0),MATCH(BV$4,Mat_Type,0))*INDEX(Escalators!$I$44:$U$49,MATCH(BV$4,Escalators!$C$44:$C$49,0),MATCH(BV$5,Escalators!$I$43:$U$43,0))</f>
        <v>0</v>
      </c>
      <c r="BW44" s="47">
        <f t="shared" si="123"/>
        <v>0</v>
      </c>
      <c r="BY44" s="47">
        <f>INDEX(Lab_Mat!$K$6:$N$9,MATCH($H44,Lab_Mat!$J$6:$J$9,0),MATCH($BY$4,Lab_Mat!$K$5:$N$5,0))*J44*HLOOKUP(BY$5,Escalators!$I$25:$U$30,6,FALSE)</f>
        <v>0</v>
      </c>
      <c r="BZ44" s="47">
        <f>INDEX(Lab_Mat!$K$6:$N$9,MATCH($H44,Lab_Mat!$J$6:$J$9,0),MATCH($BY$4,Lab_Mat!$K$5:$N$5,0))*K44*HLOOKUP(BZ$5,Escalators!$I$25:$U$30,6,FALSE)</f>
        <v>0</v>
      </c>
      <c r="CA44" s="47">
        <f>INDEX(Lab_Mat!$K$6:$N$9,MATCH($H44,Lab_Mat!$J$6:$J$9,0),MATCH($BY$4,Lab_Mat!$K$5:$N$5,0))*L44*HLOOKUP(CA$5,Escalators!$I$25:$U$30,6,FALSE)</f>
        <v>0</v>
      </c>
      <c r="CB44" s="47">
        <f>INDEX(Lab_Mat!$K$6:$N$9,MATCH($H44,Lab_Mat!$J$6:$J$9,0),MATCH($BY$4,Lab_Mat!$K$5:$N$5,0))*M44*HLOOKUP(CB$5,Escalators!$I$25:$U$30,6,FALSE)</f>
        <v>0</v>
      </c>
      <c r="CC44" s="47">
        <f>INDEX(Lab_Mat!$K$6:$N$9,MATCH($H44,Lab_Mat!$J$6:$J$9,0),MATCH($BY$4,Lab_Mat!$K$5:$N$5,0))*N44*HLOOKUP(CC$5,Escalators!$I$25:$U$30,6,FALSE)</f>
        <v>0</v>
      </c>
      <c r="CD44" s="47">
        <f>INDEX(Lab_Mat!$K$6:$N$9,MATCH($H44,Lab_Mat!$J$6:$J$9,0),MATCH($BY$4,Lab_Mat!$K$5:$N$5,0))*O44*HLOOKUP(CD$5,Escalators!$I$25:$U$30,6,FALSE)</f>
        <v>0</v>
      </c>
      <c r="CE44" s="47">
        <f>INDEX(Lab_Mat!$K$6:$N$9,MATCH($H44,Lab_Mat!$J$6:$J$9,0),MATCH($BY$4,Lab_Mat!$K$5:$N$5,0))*P44*HLOOKUP(CE$5,Escalators!$I$25:$U$30,6,FALSE)</f>
        <v>0</v>
      </c>
      <c r="CF44" s="47">
        <f>INDEX(Lab_Mat!$K$6:$N$9,MATCH($H44,Lab_Mat!$J$6:$J$9,0),MATCH($BY$4,Lab_Mat!$K$5:$N$5,0))*Q44*HLOOKUP(CF$5,Escalators!$I$25:$U$30,6,FALSE)</f>
        <v>0</v>
      </c>
      <c r="CH44" s="82">
        <f>INDEX(Lab_Mat!$K$6:$N$9,MATCH($H44,Lab_Mat!$J$6:$J$9,0),MATCH($CH$4,Lab_Mat!$K$5:$N$5,0))*J44</f>
        <v>0</v>
      </c>
      <c r="CI44" s="82">
        <f>INDEX(Lab_Mat!$K$6:$N$9,MATCH($H44,Lab_Mat!$J$6:$J$9,0),MATCH($CH$4,Lab_Mat!$K$5:$N$5,0))*K44</f>
        <v>0</v>
      </c>
      <c r="CJ44" s="82">
        <f>INDEX(Lab_Mat!$K$6:$N$9,MATCH($H44,Lab_Mat!$J$6:$J$9,0),MATCH($CH$4,Lab_Mat!$K$5:$N$5,0))*L44</f>
        <v>0</v>
      </c>
      <c r="CK44" s="82">
        <f>INDEX(Lab_Mat!$K$6:$N$9,MATCH($H44,Lab_Mat!$J$6:$J$9,0),MATCH($CH$4,Lab_Mat!$K$5:$N$5,0))*M44</f>
        <v>0</v>
      </c>
      <c r="CL44" s="82">
        <f>INDEX(Lab_Mat!$K$6:$N$9,MATCH($H44,Lab_Mat!$J$6:$J$9,0),MATCH($CH$4,Lab_Mat!$K$5:$N$5,0))*N44</f>
        <v>0</v>
      </c>
      <c r="CM44" s="82">
        <f>INDEX(Lab_Mat!$K$6:$N$9,MATCH($H44,Lab_Mat!$J$6:$J$9,0),MATCH($CH$4,Lab_Mat!$K$5:$N$5,0))*O44</f>
        <v>0</v>
      </c>
      <c r="CN44" s="82">
        <f>INDEX(Lab_Mat!$K$6:$N$9,MATCH($H44,Lab_Mat!$J$6:$J$9,0),MATCH($CH$4,Lab_Mat!$K$5:$N$5,0))*P44</f>
        <v>0</v>
      </c>
      <c r="CO44" s="82">
        <f>INDEX(Lab_Mat!$K$6:$N$9,MATCH($H44,Lab_Mat!$J$6:$J$9,0),MATCH($CH$4,Lab_Mat!$K$5:$N$5,0))*Q44</f>
        <v>0</v>
      </c>
      <c r="CQ44" s="47">
        <f t="shared" si="124"/>
        <v>0</v>
      </c>
      <c r="CR44" s="47">
        <f t="shared" si="125"/>
        <v>0</v>
      </c>
      <c r="CS44" s="47">
        <f t="shared" si="126"/>
        <v>0</v>
      </c>
      <c r="CT44" s="47">
        <f t="shared" si="127"/>
        <v>0</v>
      </c>
      <c r="CU44" s="47">
        <f t="shared" si="128"/>
        <v>0</v>
      </c>
      <c r="CV44" s="47">
        <f t="shared" si="129"/>
        <v>0</v>
      </c>
      <c r="CW44" s="47">
        <f t="shared" si="130"/>
        <v>0</v>
      </c>
      <c r="CX44" s="47">
        <f t="shared" si="131"/>
        <v>0</v>
      </c>
    </row>
    <row r="45" spans="2:109">
      <c r="B45" s="6"/>
      <c r="C45" s="6" t="s">
        <v>573</v>
      </c>
      <c r="D45" s="744" t="s">
        <v>829</v>
      </c>
      <c r="E45" s="6" t="s">
        <v>395</v>
      </c>
      <c r="F45" s="6" t="s">
        <v>55</v>
      </c>
      <c r="G45" s="6" t="s">
        <v>34</v>
      </c>
      <c r="H45" s="6" t="s">
        <v>741</v>
      </c>
      <c r="I45" s="6" t="s">
        <v>5</v>
      </c>
      <c r="J45" s="47"/>
      <c r="K45" s="47"/>
      <c r="L45" s="750">
        <f>[4]Summary!$E8/Escalators!$N$14</f>
        <v>0</v>
      </c>
      <c r="M45" s="750">
        <f>SUM([4]Summary!$F8:$G8)/Escalators!$N$14</f>
        <v>637.30510531726634</v>
      </c>
      <c r="N45" s="750">
        <f>SUM([4]Summary!$H8:$I8)/Escalators!$N$14</f>
        <v>0</v>
      </c>
      <c r="O45" s="47"/>
      <c r="P45" s="47"/>
      <c r="Q45" s="47"/>
      <c r="S45" s="47">
        <f>INDEX(Lab_Mat!$K$6:$N$9,MATCH($H45,Lab_Mat!$J$6:$J$9,0),MATCH($S$4,Lab_Mat!$K$5:$N$5,0))*J45*HLOOKUP(S$5,Escalators!$I$25:$U$30,3,FALSE)</f>
        <v>0</v>
      </c>
      <c r="T45" s="47">
        <f>INDEX(Lab_Mat!$K$6:$N$9,MATCH($H45,Lab_Mat!$J$6:$J$9,0),MATCH($S$4,Lab_Mat!$K$5:$N$5,0))*K45*HLOOKUP(T$5,Escalators!$I$25:$U$30,3,FALSE)</f>
        <v>0</v>
      </c>
      <c r="U45" s="47">
        <f>INDEX(Lab_Mat!$K$6:$N$9,MATCH($H45,Lab_Mat!$J$6:$J$9,0),MATCH($S$4,Lab_Mat!$K$5:$N$5,0))*L45*HLOOKUP(U$5,Escalators!$I$25:$U$30,3,FALSE)</f>
        <v>0</v>
      </c>
      <c r="V45" s="47">
        <f>INDEX(Lab_Mat!$K$6:$N$9,MATCH($H45,Lab_Mat!$J$6:$J$9,0),MATCH($S$4,Lab_Mat!$K$5:$N$5,0))*M45*HLOOKUP(V$5,Escalators!$I$25:$U$30,3,FALSE)</f>
        <v>121.03507770700537</v>
      </c>
      <c r="W45" s="47">
        <f>INDEX(Lab_Mat!$K$6:$N$9,MATCH($H45,Lab_Mat!$J$6:$J$9,0),MATCH($S$4,Lab_Mat!$K$5:$N$5,0))*N45*HLOOKUP(W$5,Escalators!$I$25:$U$30,3,FALSE)</f>
        <v>0</v>
      </c>
      <c r="X45" s="47">
        <f>INDEX(Lab_Mat!$K$6:$N$9,MATCH($H45,Lab_Mat!$J$6:$J$9,0),MATCH($S$4,Lab_Mat!$K$5:$N$5,0))*O45*HLOOKUP(X$5,Escalators!$I$25:$U$30,3,FALSE)</f>
        <v>0</v>
      </c>
      <c r="Y45" s="47">
        <f>INDEX(Lab_Mat!$K$6:$N$9,MATCH($H45,Lab_Mat!$J$6:$J$9,0),MATCH($S$4,Lab_Mat!$K$5:$N$5,0))*P45*HLOOKUP(Y$5,Escalators!$I$25:$U$30,3,FALSE)</f>
        <v>0</v>
      </c>
      <c r="Z45" s="47">
        <f>INDEX(Lab_Mat!$K$6:$N$9,MATCH($H45,Lab_Mat!$J$6:$J$9,0),MATCH($S$4,Lab_Mat!$K$5:$N$5,0))*Q45*HLOOKUP(Z$5,Escalators!$I$25:$U$30,3,FALSE)</f>
        <v>0</v>
      </c>
      <c r="AB45" s="47">
        <f>INDEX(Lab_Mat!$K$6:$N$9,MATCH($H45,Lab_Mat!$J$6:$J$9,0),MATCH($AG$4,Lab_Mat!$K$5:$N$5,0))*$J45*INDEX(Act_Type_Repex_Splits,MATCH($I45,Act_Type_Repex,0),MATCH(AB$4,Mat_Type,0))*INDEX(Escalators!$I$44:$Q$49,MATCH(AB$4,Escalators!$C$44:$C$49,0),MATCH(AB$5,Escalators!$I$43:$Q$43,0))</f>
        <v>0</v>
      </c>
      <c r="AC45" s="47">
        <f>INDEX(Lab_Mat!$K$6:$N$9,MATCH($H45,Lab_Mat!$J$6:$J$9,0),MATCH($AG$4,Lab_Mat!$K$5:$N$5,0))*$J45*INDEX(Act_Type_Repex_Splits,MATCH($I45,Act_Type_Repex,0),MATCH(AC$4,Mat_Type,0))*INDEX(Escalators!$I$44:$Q$49,MATCH(AC$4,Escalators!$C$44:$C$49,0),MATCH(AC$5,Escalators!$I$43:$Q$43,0))</f>
        <v>0</v>
      </c>
      <c r="AD45" s="47">
        <f>INDEX(Lab_Mat!$K$6:$N$9,MATCH($H45,Lab_Mat!$J$6:$J$9,0),MATCH($AG$4,Lab_Mat!$K$5:$N$5,0))*$J45*INDEX(Act_Type_Repex_Splits,MATCH($I45,Act_Type_Repex,0),MATCH(AD$4,Mat_Type,0))*INDEX(Escalators!$I$44:$Q$49,MATCH(AD$4,Escalators!$C$44:$C$49,0),MATCH(AD$5,Escalators!$I$43:$Q$43,0))</f>
        <v>0</v>
      </c>
      <c r="AE45" s="47">
        <f>INDEX(Lab_Mat!$K$6:$N$9,MATCH($H45,Lab_Mat!$J$6:$J$9,0),MATCH($AG$4,Lab_Mat!$K$5:$N$5,0))*$J45*INDEX(Act_Type_Repex_Splits,MATCH($I45,Act_Type_Repex,0),MATCH(AE$4,Mat_Type,0))*INDEX(Escalators!$I$44:$Q$49,MATCH(AE$4,Escalators!$C$44:$C$49,0),MATCH(AE$5,Escalators!$I$43:$Q$43,0))</f>
        <v>0</v>
      </c>
      <c r="AF45" s="47">
        <f>INDEX(Lab_Mat!$K$6:$N$9,MATCH($H45,Lab_Mat!$J$6:$J$9,0),MATCH($AG$4,Lab_Mat!$K$5:$N$5,0))*$J45*INDEX(Act_Type_Repex_Splits,MATCH($I45,Act_Type_Repex,0),MATCH(AF$4,Mat_Type,0))*INDEX(Escalators!$I$44:$Q$49,MATCH(AF$4,Escalators!$C$44:$C$49,0),MATCH(AF$5,Escalators!$I$43:$Q$43,0))</f>
        <v>0</v>
      </c>
      <c r="AG45" s="47">
        <f t="shared" si="116"/>
        <v>0</v>
      </c>
      <c r="AH45" s="47">
        <f>INDEX(Lab_Mat!$K$6:$N$9,MATCH($H45,Lab_Mat!$J$6:$J$9,0),MATCH($AY$4,Lab_Mat!$K$5:$N$5,0))*$K45*INDEX(Act_Type_Repex_Splits,MATCH($I45,Act_Type_Repex,0),MATCH(AH$4,Mat_Type,0))*INDEX(Escalators!$I$44:$U$49,MATCH(AH$4,Escalators!$C$44:$C$49,0),MATCH(AH$5,Escalators!$I$43:$U$43,0))</f>
        <v>0</v>
      </c>
      <c r="AI45" s="47">
        <f>INDEX(Lab_Mat!$K$6:$N$9,MATCH($H45,Lab_Mat!$J$6:$J$9,0),MATCH($AY$4,Lab_Mat!$K$5:$N$5,0))*$K45*INDEX(Act_Type_Repex_Splits,MATCH($I45,Act_Type_Repex,0),MATCH(AI$4,Mat_Type,0))*INDEX(Escalators!$I$44:$U$49,MATCH(AI$4,Escalators!$C$44:$C$49,0),MATCH(AI$5,Escalators!$I$43:$U$43,0))</f>
        <v>0</v>
      </c>
      <c r="AJ45" s="47">
        <f>INDEX(Lab_Mat!$K$6:$N$9,MATCH($H45,Lab_Mat!$J$6:$J$9,0),MATCH($AY$4,Lab_Mat!$K$5:$N$5,0))*$K45*INDEX(Act_Type_Repex_Splits,MATCH($I45,Act_Type_Repex,0),MATCH(AJ$4,Mat_Type,0))*INDEX(Escalators!$I$44:$U$49,MATCH(AJ$4,Escalators!$C$44:$C$49,0),MATCH(AJ$5,Escalators!$I$43:$U$43,0))</f>
        <v>0</v>
      </c>
      <c r="AK45" s="47">
        <f>INDEX(Lab_Mat!$K$6:$N$9,MATCH($H45,Lab_Mat!$J$6:$J$9,0),MATCH($AY$4,Lab_Mat!$K$5:$N$5,0))*$K45*INDEX(Act_Type_Repex_Splits,MATCH($I45,Act_Type_Repex,0),MATCH(AK$4,Mat_Type,0))*INDEX(Escalators!$I$44:$U$49,MATCH(AK$4,Escalators!$C$44:$C$49,0),MATCH(AK$5,Escalators!$I$43:$U$43,0))</f>
        <v>0</v>
      </c>
      <c r="AL45" s="47">
        <f>INDEX(Lab_Mat!$K$6:$N$9,MATCH($H45,Lab_Mat!$J$6:$J$9,0),MATCH($AY$4,Lab_Mat!$K$5:$N$5,0))*$K45*INDEX(Act_Type_Repex_Splits,MATCH($I45,Act_Type_Repex,0),MATCH(AL$4,Mat_Type,0))*INDEX(Escalators!$I$44:$U$49,MATCH(AL$4,Escalators!$C$44:$C$49,0),MATCH(AL$5,Escalators!$I$43:$U$43,0))</f>
        <v>0</v>
      </c>
      <c r="AM45" s="47">
        <f t="shared" si="117"/>
        <v>0</v>
      </c>
      <c r="AN45" s="47">
        <f>INDEX(Lab_Mat!$K$6:$N$9,MATCH($H45,Lab_Mat!$J$6:$J$9,0),MATCH($AY$4,Lab_Mat!$K$5:$N$5,0))*$L45*INDEX(Act_Type_Repex_Splits,MATCH($I45,Act_Type_Repex,0),MATCH(AN$4,Mat_Type,0))*INDEX(Escalators!$I$44:$U$49,MATCH(AN$4,Escalators!$C$44:$C$49,0),MATCH(AN$5,Escalators!$I$43:$U$43,0))</f>
        <v>0</v>
      </c>
      <c r="AO45" s="47">
        <f>INDEX(Lab_Mat!$K$6:$N$9,MATCH($H45,Lab_Mat!$J$6:$J$9,0),MATCH($AY$4,Lab_Mat!$K$5:$N$5,0))*$L45*INDEX(Act_Type_Repex_Splits,MATCH($I45,Act_Type_Repex,0),MATCH(AO$4,Mat_Type,0))*INDEX(Escalators!$I$44:$U$49,MATCH(AO$4,Escalators!$C$44:$C$49,0),MATCH(AO$5,Escalators!$I$43:$U$43,0))</f>
        <v>0</v>
      </c>
      <c r="AP45" s="47">
        <f>INDEX(Lab_Mat!$K$6:$N$9,MATCH($H45,Lab_Mat!$J$6:$J$9,0),MATCH($AY$4,Lab_Mat!$K$5:$N$5,0))*$L45*INDEX(Act_Type_Repex_Splits,MATCH($I45,Act_Type_Repex,0),MATCH(AP$4,Mat_Type,0))*INDEX(Escalators!$I$44:$U$49,MATCH(AP$4,Escalators!$C$44:$C$49,0),MATCH(AP$5,Escalators!$I$43:$U$43,0))</f>
        <v>0</v>
      </c>
      <c r="AQ45" s="47">
        <f>INDEX(Lab_Mat!$K$6:$N$9,MATCH($H45,Lab_Mat!$J$6:$J$9,0),MATCH($AY$4,Lab_Mat!$K$5:$N$5,0))*$L45*INDEX(Act_Type_Repex_Splits,MATCH($I45,Act_Type_Repex,0),MATCH(AQ$4,Mat_Type,0))*INDEX(Escalators!$I$44:$U$49,MATCH(AQ$4,Escalators!$C$44:$C$49,0),MATCH(AQ$5,Escalators!$I$43:$U$43,0))</f>
        <v>0</v>
      </c>
      <c r="AR45" s="47">
        <f>INDEX(Lab_Mat!$K$6:$N$9,MATCH($H45,Lab_Mat!$J$6:$J$9,0),MATCH($AY$4,Lab_Mat!$K$5:$N$5,0))*$L45*INDEX(Act_Type_Repex_Splits,MATCH($I45,Act_Type_Repex,0),MATCH(AR$4,Mat_Type,0))*INDEX(Escalators!$I$44:$U$49,MATCH(AR$4,Escalators!$C$44:$C$49,0),MATCH(AR$5,Escalators!$I$43:$U$43,0))</f>
        <v>0</v>
      </c>
      <c r="AS45" s="47">
        <f t="shared" si="118"/>
        <v>0</v>
      </c>
      <c r="AT45" s="47">
        <f>INDEX(Lab_Mat!$K$6:$N$9,MATCH($H45,Lab_Mat!$J$6:$J$9,0),MATCH($AY$4,Lab_Mat!$K$5:$N$5,0))*$M45*INDEX(Act_Type_Repex_Splits,MATCH($I45,Act_Type_Repex,0),MATCH(AT$4,Mat_Type,0))*INDEX(Escalators!$I$44:$U$49,MATCH(AT$4,Escalators!$C$44:$C$49,0),MATCH(AT$5,Escalators!$I$43:$U$43,0))</f>
        <v>34.501720440497948</v>
      </c>
      <c r="AU45" s="47">
        <f>INDEX(Lab_Mat!$K$6:$N$9,MATCH($H45,Lab_Mat!$J$6:$J$9,0),MATCH($AY$4,Lab_Mat!$K$5:$N$5,0))*$M45*INDEX(Act_Type_Repex_Splits,MATCH($I45,Act_Type_Repex,0),MATCH(AU$4,Mat_Type,0))*INDEX(Escalators!$I$44:$U$49,MATCH(AU$4,Escalators!$C$44:$C$49,0),MATCH(AU$5,Escalators!$I$43:$U$43,0))</f>
        <v>34.501720440497948</v>
      </c>
      <c r="AV45" s="47">
        <f>INDEX(Lab_Mat!$K$6:$N$9,MATCH($H45,Lab_Mat!$J$6:$J$9,0),MATCH($AY$4,Lab_Mat!$K$5:$N$5,0))*$M45*INDEX(Act_Type_Repex_Splits,MATCH($I45,Act_Type_Repex,0),MATCH(AV$4,Mat_Type,0))*INDEX(Escalators!$I$44:$U$49,MATCH(AV$4,Escalators!$C$44:$C$49,0),MATCH(AV$5,Escalators!$I$43:$U$43,0))</f>
        <v>34.501720440497948</v>
      </c>
      <c r="AW45" s="47">
        <f>INDEX(Lab_Mat!$K$6:$N$9,MATCH($H45,Lab_Mat!$J$6:$J$9,0),MATCH($AY$4,Lab_Mat!$K$5:$N$5,0))*$M45*INDEX(Act_Type_Repex_Splits,MATCH($I45,Act_Type_Repex,0),MATCH(AW$4,Mat_Type,0))*INDEX(Escalators!$I$44:$U$49,MATCH(AW$4,Escalators!$C$44:$C$49,0),MATCH(AW$5,Escalators!$I$43:$U$43,0))</f>
        <v>0</v>
      </c>
      <c r="AX45" s="47">
        <f>INDEX(Lab_Mat!$K$6:$N$9,MATCH($H45,Lab_Mat!$J$6:$J$9,0),MATCH($AY$4,Lab_Mat!$K$5:$N$5,0))*$M45*INDEX(Act_Type_Repex_Splits,MATCH($I45,Act_Type_Repex,0),MATCH(AX$4,Mat_Type,0))*INDEX(Escalators!$I$44:$U$49,MATCH(AX$4,Escalators!$C$44:$C$49,0),MATCH(AX$5,Escalators!$I$43:$U$43,0))</f>
        <v>241.51204308348559</v>
      </c>
      <c r="AY45" s="47">
        <f t="shared" si="119"/>
        <v>345.01720440497945</v>
      </c>
      <c r="AZ45" s="47">
        <f>INDEX(Lab_Mat!$K$6:$N$9,MATCH($H45,Lab_Mat!$J$6:$J$9,0),MATCH($BE$4,Lab_Mat!$K$5:$N$5,0))*$N45*INDEX(Act_Type_Repex_Splits,MATCH($I45,Act_Type_Repex,0),MATCH(AZ$4,Mat_Type,0))*INDEX(Escalators!$I$44:$U$49,MATCH(AZ$4,Escalators!$C$44:$C$49,0),MATCH(AZ$5,Escalators!$I$43:$U$43,0))</f>
        <v>0</v>
      </c>
      <c r="BA45" s="47">
        <f>INDEX(Lab_Mat!$K$6:$N$9,MATCH($H45,Lab_Mat!$J$6:$J$9,0),MATCH($BE$4,Lab_Mat!$K$5:$N$5,0))*$N45*INDEX(Act_Type_Repex_Splits,MATCH($I45,Act_Type_Repex,0),MATCH(BA$4,Mat_Type,0))*INDEX(Escalators!$I$44:$U$49,MATCH(BA$4,Escalators!$C$44:$C$49,0),MATCH(BA$5,Escalators!$I$43:$U$43,0))</f>
        <v>0</v>
      </c>
      <c r="BB45" s="47">
        <f>INDEX(Lab_Mat!$K$6:$N$9,MATCH($H45,Lab_Mat!$J$6:$J$9,0),MATCH($BE$4,Lab_Mat!$K$5:$N$5,0))*$N45*INDEX(Act_Type_Repex_Splits,MATCH($I45,Act_Type_Repex,0),MATCH(BB$4,Mat_Type,0))*INDEX(Escalators!$I$44:$U$49,MATCH(BB$4,Escalators!$C$44:$C$49,0),MATCH(BB$5,Escalators!$I$43:$U$43,0))</f>
        <v>0</v>
      </c>
      <c r="BC45" s="47">
        <f>INDEX(Lab_Mat!$K$6:$N$9,MATCH($H45,Lab_Mat!$J$6:$J$9,0),MATCH($BE$4,Lab_Mat!$K$5:$N$5,0))*$N45*INDEX(Act_Type_Repex_Splits,MATCH($I45,Act_Type_Repex,0),MATCH(BC$4,Mat_Type,0))*INDEX(Escalators!$I$44:$U$49,MATCH(BC$4,Escalators!$C$44:$C$49,0),MATCH(BC$5,Escalators!$I$43:$U$43,0))</f>
        <v>0</v>
      </c>
      <c r="BD45" s="47">
        <f>INDEX(Lab_Mat!$K$6:$N$9,MATCH($H45,Lab_Mat!$J$6:$J$9,0),MATCH($BE$4,Lab_Mat!$K$5:$N$5,0))*$N45*INDEX(Act_Type_Repex_Splits,MATCH($I45,Act_Type_Repex,0),MATCH(BD$4,Mat_Type,0))*INDEX(Escalators!$I$44:$U$49,MATCH(BD$4,Escalators!$C$44:$C$49,0),MATCH(BD$5,Escalators!$I$43:$U$43,0))</f>
        <v>0</v>
      </c>
      <c r="BE45" s="47">
        <f t="shared" si="120"/>
        <v>0</v>
      </c>
      <c r="BF45" s="47">
        <f>INDEX(Lab_Mat!$K$6:$N$9,MATCH($H45,Lab_Mat!$J$6:$J$9,0),MATCH($BK$4,Lab_Mat!$K$5:$N$5,0))*$O45*INDEX(Act_Type_Repex_Splits,MATCH($I45,Act_Type_Repex,0),MATCH(BF$4,Mat_Type,0))*INDEX(Escalators!$I$44:$U$49,MATCH(BF$4,Escalators!$C$44:$C$49,0),MATCH(BF$5,Escalators!$I$43:$U$43,0))</f>
        <v>0</v>
      </c>
      <c r="BG45" s="47">
        <f>INDEX(Lab_Mat!$K$6:$N$9,MATCH($H45,Lab_Mat!$J$6:$J$9,0),MATCH($BK$4,Lab_Mat!$K$5:$N$5,0))*$O45*INDEX(Act_Type_Repex_Splits,MATCH($I45,Act_Type_Repex,0),MATCH(BG$4,Mat_Type,0))*INDEX(Escalators!$I$44:$U$49,MATCH(BG$4,Escalators!$C$44:$C$49,0),MATCH(BG$5,Escalators!$I$43:$U$43,0))</f>
        <v>0</v>
      </c>
      <c r="BH45" s="47">
        <f>INDEX(Lab_Mat!$K$6:$N$9,MATCH($H45,Lab_Mat!$J$6:$J$9,0),MATCH($BK$4,Lab_Mat!$K$5:$N$5,0))*$O45*INDEX(Act_Type_Repex_Splits,MATCH($I45,Act_Type_Repex,0),MATCH(BH$4,Mat_Type,0))*INDEX(Escalators!$I$44:$U$49,MATCH(BH$4,Escalators!$C$44:$C$49,0),MATCH(BH$5,Escalators!$I$43:$U$43,0))</f>
        <v>0</v>
      </c>
      <c r="BI45" s="47">
        <f>INDEX(Lab_Mat!$K$6:$N$9,MATCH($H45,Lab_Mat!$J$6:$J$9,0),MATCH($BK$4,Lab_Mat!$K$5:$N$5,0))*$O45*INDEX(Act_Type_Repex_Splits,MATCH($I45,Act_Type_Repex,0),MATCH(BI$4,Mat_Type,0))*INDEX(Escalators!$I$44:$U$49,MATCH(BI$4,Escalators!$C$44:$C$49,0),MATCH(BI$5,Escalators!$I$43:$U$43,0))</f>
        <v>0</v>
      </c>
      <c r="BJ45" s="47">
        <f>INDEX(Lab_Mat!$K$6:$N$9,MATCH($H45,Lab_Mat!$J$6:$J$9,0),MATCH($BK$4,Lab_Mat!$K$5:$N$5,0))*$O45*INDEX(Act_Type_Repex_Splits,MATCH($I45,Act_Type_Repex,0),MATCH(BJ$4,Mat_Type,0))*INDEX(Escalators!$I$44:$U$49,MATCH(BJ$4,Escalators!$C$44:$C$49,0),MATCH(BJ$5,Escalators!$I$43:$U$43,0))</f>
        <v>0</v>
      </c>
      <c r="BK45" s="47">
        <f t="shared" si="121"/>
        <v>0</v>
      </c>
      <c r="BL45" s="47">
        <f>INDEX(Lab_Mat!$K$6:$N$9,MATCH($H45,Lab_Mat!$J$6:$J$9,0),MATCH($BQ$4,Lab_Mat!$K$5:$N$5,0))*$P45*INDEX(Act_Type_Repex_Splits,MATCH($I45,Act_Type_Repex,0),MATCH(BL$4,Mat_Type,0))*INDEX(Escalators!$I$44:$U$49,MATCH(BL$4,Escalators!$C$44:$C$49,0),MATCH(BL$5,Escalators!$I$43:$U$43,0))</f>
        <v>0</v>
      </c>
      <c r="BM45" s="47">
        <f>INDEX(Lab_Mat!$K$6:$N$9,MATCH($H45,Lab_Mat!$J$6:$J$9,0),MATCH($BQ$4,Lab_Mat!$K$5:$N$5,0))*$P45*INDEX(Act_Type_Repex_Splits,MATCH($I45,Act_Type_Repex,0),MATCH(BM$4,Mat_Type,0))*INDEX(Escalators!$I$44:$U$49,MATCH(BM$4,Escalators!$C$44:$C$49,0),MATCH(BM$5,Escalators!$I$43:$U$43,0))</f>
        <v>0</v>
      </c>
      <c r="BN45" s="47">
        <f>INDEX(Lab_Mat!$K$6:$N$9,MATCH($H45,Lab_Mat!$J$6:$J$9,0),MATCH($BQ$4,Lab_Mat!$K$5:$N$5,0))*$P45*INDEX(Act_Type_Repex_Splits,MATCH($I45,Act_Type_Repex,0),MATCH(BN$4,Mat_Type,0))*INDEX(Escalators!$I$44:$U$49,MATCH(BN$4,Escalators!$C$44:$C$49,0),MATCH(BN$5,Escalators!$I$43:$U$43,0))</f>
        <v>0</v>
      </c>
      <c r="BO45" s="47">
        <f>INDEX(Lab_Mat!$K$6:$N$9,MATCH($H45,Lab_Mat!$J$6:$J$9,0),MATCH($BQ$4,Lab_Mat!$K$5:$N$5,0))*$P45*INDEX(Act_Type_Repex_Splits,MATCH($I45,Act_Type_Repex,0),MATCH(BO$4,Mat_Type,0))*INDEX(Escalators!$I$44:$U$49,MATCH(BO$4,Escalators!$C$44:$C$49,0),MATCH(BO$5,Escalators!$I$43:$U$43,0))</f>
        <v>0</v>
      </c>
      <c r="BP45" s="47">
        <f>INDEX(Lab_Mat!$K$6:$N$9,MATCH($H45,Lab_Mat!$J$6:$J$9,0),MATCH($BQ$4,Lab_Mat!$K$5:$N$5,0))*$P45*INDEX(Act_Type_Repex_Splits,MATCH($I45,Act_Type_Repex,0),MATCH(BP$4,Mat_Type,0))*INDEX(Escalators!$I$44:$U$49,MATCH(BP$4,Escalators!$C$44:$C$49,0),MATCH(BP$5,Escalators!$I$43:$U$43,0))</f>
        <v>0</v>
      </c>
      <c r="BQ45" s="47">
        <f t="shared" si="122"/>
        <v>0</v>
      </c>
      <c r="BR45" s="47">
        <f>INDEX(Lab_Mat!$K$6:$N$9,MATCH($H45,Lab_Mat!$J$6:$J$9,0),MATCH($BW$4,Lab_Mat!$K$5:$N$5,0))*$Q45*INDEX(Act_Type_Repex_Splits,MATCH($I45,Act_Type_Repex,0),MATCH(BR$4,Mat_Type,0))*INDEX(Escalators!$I$44:$U$49,MATCH(BR$4,Escalators!$C$44:$C$49,0),MATCH(BR$5,Escalators!$I$43:$U$43,0))</f>
        <v>0</v>
      </c>
      <c r="BS45" s="47">
        <f>INDEX(Lab_Mat!$K$6:$N$9,MATCH($H45,Lab_Mat!$J$6:$J$9,0),MATCH($BW$4,Lab_Mat!$K$5:$N$5,0))*$Q45*INDEX(Act_Type_Repex_Splits,MATCH($I45,Act_Type_Repex,0),MATCH(BS$4,Mat_Type,0))*INDEX(Escalators!$I$44:$U$49,MATCH(BS$4,Escalators!$C$44:$C$49,0),MATCH(BS$5,Escalators!$I$43:$U$43,0))</f>
        <v>0</v>
      </c>
      <c r="BT45" s="47">
        <f>INDEX(Lab_Mat!$K$6:$N$9,MATCH($H45,Lab_Mat!$J$6:$J$9,0),MATCH($BW$4,Lab_Mat!$K$5:$N$5,0))*$Q45*INDEX(Act_Type_Repex_Splits,MATCH($I45,Act_Type_Repex,0),MATCH(BT$4,Mat_Type,0))*INDEX(Escalators!$I$44:$U$49,MATCH(BT$4,Escalators!$C$44:$C$49,0),MATCH(BT$5,Escalators!$I$43:$U$43,0))</f>
        <v>0</v>
      </c>
      <c r="BU45" s="47">
        <f>INDEX(Lab_Mat!$K$6:$N$9,MATCH($H45,Lab_Mat!$J$6:$J$9,0),MATCH($BW$4,Lab_Mat!$K$5:$N$5,0))*$Q45*INDEX(Act_Type_Repex_Splits,MATCH($I45,Act_Type_Repex,0),MATCH(BU$4,Mat_Type,0))*INDEX(Escalators!$I$44:$U$49,MATCH(BU$4,Escalators!$C$44:$C$49,0),MATCH(BU$5,Escalators!$I$43:$U$43,0))</f>
        <v>0</v>
      </c>
      <c r="BV45" s="47">
        <f>INDEX(Lab_Mat!$K$6:$N$9,MATCH($H45,Lab_Mat!$J$6:$J$9,0),MATCH($BW$4,Lab_Mat!$K$5:$N$5,0))*$Q45*INDEX(Act_Type_Repex_Splits,MATCH($I45,Act_Type_Repex,0),MATCH(BV$4,Mat_Type,0))*INDEX(Escalators!$I$44:$U$49,MATCH(BV$4,Escalators!$C$44:$C$49,0),MATCH(BV$5,Escalators!$I$43:$U$43,0))</f>
        <v>0</v>
      </c>
      <c r="BW45" s="47">
        <f t="shared" si="123"/>
        <v>0</v>
      </c>
      <c r="BY45" s="47">
        <f>INDEX(Lab_Mat!$K$6:$N$9,MATCH($H45,Lab_Mat!$J$6:$J$9,0),MATCH($BY$4,Lab_Mat!$K$5:$N$5,0))*J45*HLOOKUP(BY$5,Escalators!$I$25:$U$30,6,FALSE)</f>
        <v>0</v>
      </c>
      <c r="BZ45" s="47">
        <f>INDEX(Lab_Mat!$K$6:$N$9,MATCH($H45,Lab_Mat!$J$6:$J$9,0),MATCH($BY$4,Lab_Mat!$K$5:$N$5,0))*K45*HLOOKUP(BZ$5,Escalators!$I$25:$U$30,6,FALSE)</f>
        <v>0</v>
      </c>
      <c r="CA45" s="47">
        <f>INDEX(Lab_Mat!$K$6:$N$9,MATCH($H45,Lab_Mat!$J$6:$J$9,0),MATCH($BY$4,Lab_Mat!$K$5:$N$5,0))*L45*HLOOKUP(CA$5,Escalators!$I$25:$U$30,6,FALSE)</f>
        <v>0</v>
      </c>
      <c r="CB45" s="47">
        <f>INDEX(Lab_Mat!$K$6:$N$9,MATCH($H45,Lab_Mat!$J$6:$J$9,0),MATCH($BY$4,Lab_Mat!$K$5:$N$5,0))*M45*HLOOKUP(CB$5,Escalators!$I$25:$U$30,6,FALSE)</f>
        <v>125.26363352049138</v>
      </c>
      <c r="CC45" s="47">
        <f>INDEX(Lab_Mat!$K$6:$N$9,MATCH($H45,Lab_Mat!$J$6:$J$9,0),MATCH($BY$4,Lab_Mat!$K$5:$N$5,0))*N45*HLOOKUP(CC$5,Escalators!$I$25:$U$30,6,FALSE)</f>
        <v>0</v>
      </c>
      <c r="CD45" s="47">
        <f>INDEX(Lab_Mat!$K$6:$N$9,MATCH($H45,Lab_Mat!$J$6:$J$9,0),MATCH($BY$4,Lab_Mat!$K$5:$N$5,0))*O45*HLOOKUP(CD$5,Escalators!$I$25:$U$30,6,FALSE)</f>
        <v>0</v>
      </c>
      <c r="CE45" s="47">
        <f>INDEX(Lab_Mat!$K$6:$N$9,MATCH($H45,Lab_Mat!$J$6:$J$9,0),MATCH($BY$4,Lab_Mat!$K$5:$N$5,0))*P45*HLOOKUP(CE$5,Escalators!$I$25:$U$30,6,FALSE)</f>
        <v>0</v>
      </c>
      <c r="CF45" s="47">
        <f>INDEX(Lab_Mat!$K$6:$N$9,MATCH($H45,Lab_Mat!$J$6:$J$9,0),MATCH($BY$4,Lab_Mat!$K$5:$N$5,0))*Q45*HLOOKUP(CF$5,Escalators!$I$25:$U$30,6,FALSE)</f>
        <v>0</v>
      </c>
      <c r="CH45" s="82">
        <f>INDEX(Lab_Mat!$K$6:$N$9,MATCH($H45,Lab_Mat!$J$6:$J$9,0),MATCH($CH$4,Lab_Mat!$K$5:$N$5,0))*J45</f>
        <v>0</v>
      </c>
      <c r="CI45" s="82">
        <f>INDEX(Lab_Mat!$K$6:$N$9,MATCH($H45,Lab_Mat!$J$6:$J$9,0),MATCH($CH$4,Lab_Mat!$K$5:$N$5,0))*K45</f>
        <v>0</v>
      </c>
      <c r="CJ45" s="82">
        <f>INDEX(Lab_Mat!$K$6:$N$9,MATCH($H45,Lab_Mat!$J$6:$J$9,0),MATCH($CH$4,Lab_Mat!$K$5:$N$5,0))*L45</f>
        <v>0</v>
      </c>
      <c r="CK45" s="82">
        <f>INDEX(Lab_Mat!$K$6:$N$9,MATCH($H45,Lab_Mat!$J$6:$J$9,0),MATCH($CH$4,Lab_Mat!$K$5:$N$5,0))*M45</f>
        <v>49.821642958855819</v>
      </c>
      <c r="CL45" s="82">
        <f>INDEX(Lab_Mat!$K$6:$N$9,MATCH($H45,Lab_Mat!$J$6:$J$9,0),MATCH($CH$4,Lab_Mat!$K$5:$N$5,0))*N45</f>
        <v>0</v>
      </c>
      <c r="CM45" s="82">
        <f>INDEX(Lab_Mat!$K$6:$N$9,MATCH($H45,Lab_Mat!$J$6:$J$9,0),MATCH($CH$4,Lab_Mat!$K$5:$N$5,0))*O45</f>
        <v>0</v>
      </c>
      <c r="CN45" s="82">
        <f>INDEX(Lab_Mat!$K$6:$N$9,MATCH($H45,Lab_Mat!$J$6:$J$9,0),MATCH($CH$4,Lab_Mat!$K$5:$N$5,0))*P45</f>
        <v>0</v>
      </c>
      <c r="CO45" s="82">
        <f>INDEX(Lab_Mat!$K$6:$N$9,MATCH($H45,Lab_Mat!$J$6:$J$9,0),MATCH($CH$4,Lab_Mat!$K$5:$N$5,0))*Q45</f>
        <v>0</v>
      </c>
      <c r="CQ45" s="47">
        <f t="shared" si="124"/>
        <v>0</v>
      </c>
      <c r="CR45" s="47">
        <f t="shared" si="125"/>
        <v>0</v>
      </c>
      <c r="CS45" s="47">
        <f t="shared" si="126"/>
        <v>0</v>
      </c>
      <c r="CT45" s="47">
        <f t="shared" si="127"/>
        <v>641.13755859133198</v>
      </c>
      <c r="CU45" s="47">
        <f t="shared" si="128"/>
        <v>0</v>
      </c>
      <c r="CV45" s="47">
        <f t="shared" si="129"/>
        <v>0</v>
      </c>
      <c r="CW45" s="47">
        <f t="shared" si="130"/>
        <v>0</v>
      </c>
      <c r="CX45" s="47">
        <f t="shared" si="131"/>
        <v>0</v>
      </c>
    </row>
    <row r="46" spans="2:109">
      <c r="B46" s="6"/>
      <c r="C46" s="6"/>
      <c r="D46" s="6"/>
      <c r="E46" s="6"/>
      <c r="F46" s="6"/>
      <c r="G46" s="6"/>
      <c r="H46" s="6"/>
      <c r="I46" s="6"/>
      <c r="J46" s="47"/>
      <c r="K46" s="47"/>
      <c r="L46" s="47"/>
      <c r="M46" s="47"/>
      <c r="N46" s="47"/>
      <c r="O46" s="47"/>
      <c r="P46" s="47"/>
      <c r="Q46" s="47"/>
      <c r="S46" s="47"/>
      <c r="T46" s="47"/>
      <c r="U46" s="47"/>
      <c r="V46" s="47"/>
      <c r="W46" s="47"/>
      <c r="X46" s="47"/>
      <c r="Y46" s="47"/>
      <c r="Z46" s="47"/>
      <c r="AB46" s="6"/>
      <c r="AC46" s="6"/>
      <c r="AD46" s="6"/>
      <c r="AE46" s="6"/>
      <c r="AF46" s="6"/>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Y46" s="47"/>
      <c r="BZ46" s="47"/>
      <c r="CA46" s="47"/>
      <c r="CB46" s="47"/>
      <c r="CC46" s="47"/>
      <c r="CD46" s="47"/>
      <c r="CE46" s="47"/>
      <c r="CF46" s="47"/>
      <c r="CH46" s="47"/>
      <c r="CI46" s="47"/>
      <c r="CJ46" s="47"/>
      <c r="CK46" s="47"/>
      <c r="CL46" s="47"/>
      <c r="CM46" s="47"/>
      <c r="CN46" s="47"/>
      <c r="CO46" s="47"/>
      <c r="CQ46" s="47"/>
      <c r="CR46" s="47"/>
      <c r="CS46" s="47"/>
      <c r="CT46" s="47"/>
      <c r="CU46" s="47"/>
      <c r="CV46" s="47"/>
      <c r="CW46" s="47"/>
      <c r="CX46" s="47"/>
    </row>
    <row r="47" spans="2:109">
      <c r="B47" s="6"/>
      <c r="C47" s="6"/>
      <c r="D47" s="6"/>
      <c r="E47" s="6"/>
      <c r="F47" s="6"/>
      <c r="G47" s="6"/>
      <c r="H47" s="6"/>
      <c r="I47" s="6"/>
      <c r="J47" s="47"/>
      <c r="K47" s="47"/>
      <c r="L47" s="47"/>
      <c r="M47" s="47"/>
      <c r="N47" s="47"/>
      <c r="O47" s="47"/>
      <c r="P47" s="47"/>
      <c r="Q47" s="47"/>
      <c r="S47" s="47"/>
      <c r="T47" s="47"/>
      <c r="U47" s="47"/>
      <c r="V47" s="47"/>
      <c r="W47" s="47"/>
      <c r="X47" s="47"/>
      <c r="Y47" s="47"/>
      <c r="Z47" s="47"/>
      <c r="AB47" s="6"/>
      <c r="AC47" s="6"/>
      <c r="AD47" s="6"/>
      <c r="AE47" s="6"/>
      <c r="AF47" s="6"/>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Y47" s="47"/>
      <c r="BZ47" s="47"/>
      <c r="CA47" s="47"/>
      <c r="CB47" s="47"/>
      <c r="CC47" s="47"/>
      <c r="CD47" s="47"/>
      <c r="CE47" s="47"/>
      <c r="CF47" s="47"/>
      <c r="CH47" s="47"/>
      <c r="CI47" s="47"/>
      <c r="CJ47" s="47"/>
      <c r="CK47" s="47"/>
      <c r="CL47" s="47"/>
      <c r="CM47" s="47"/>
      <c r="CN47" s="47"/>
      <c r="CO47" s="47"/>
      <c r="CQ47" s="47"/>
      <c r="CR47" s="47"/>
      <c r="CS47" s="47"/>
      <c r="CT47" s="47"/>
      <c r="CU47" s="47"/>
      <c r="CV47" s="47"/>
      <c r="CW47" s="47"/>
      <c r="CX47" s="47"/>
      <c r="DE47" s="1" t="str">
        <f t="shared" si="8"/>
        <v/>
      </c>
    </row>
    <row r="48" spans="2:109">
      <c r="J48" s="48">
        <f t="shared" ref="J48:Q48" si="132">SUM(J6:J47)</f>
        <v>0</v>
      </c>
      <c r="K48" s="48">
        <f t="shared" si="132"/>
        <v>0</v>
      </c>
      <c r="L48" s="48">
        <f t="shared" si="132"/>
        <v>1885.8980147908571</v>
      </c>
      <c r="M48" s="676">
        <f t="shared" si="132"/>
        <v>45786.731878782914</v>
      </c>
      <c r="N48" s="676">
        <f t="shared" si="132"/>
        <v>28743.613136915475</v>
      </c>
      <c r="O48" s="676">
        <f t="shared" si="132"/>
        <v>0</v>
      </c>
      <c r="P48" s="676">
        <f t="shared" si="132"/>
        <v>0</v>
      </c>
      <c r="Q48" s="676">
        <f t="shared" si="132"/>
        <v>0</v>
      </c>
      <c r="R48" s="129"/>
      <c r="S48" s="676">
        <f t="shared" ref="S48:Z48" si="133">SUM(S6:S47)</f>
        <v>0</v>
      </c>
      <c r="T48" s="676">
        <f t="shared" si="133"/>
        <v>0</v>
      </c>
      <c r="U48" s="676">
        <f t="shared" si="133"/>
        <v>342.76776001873856</v>
      </c>
      <c r="V48" s="676">
        <f t="shared" si="133"/>
        <v>8385.0200025354225</v>
      </c>
      <c r="W48" s="676">
        <f t="shared" si="133"/>
        <v>5277.3604501964901</v>
      </c>
      <c r="X48" s="676">
        <f t="shared" si="133"/>
        <v>0</v>
      </c>
      <c r="Y48" s="676">
        <f t="shared" si="133"/>
        <v>0</v>
      </c>
      <c r="Z48" s="676">
        <f t="shared" si="133"/>
        <v>0</v>
      </c>
      <c r="AA48" s="129"/>
      <c r="AB48" s="517">
        <f t="shared" ref="AB48:BW48" si="134">SUM(AB6:AB47)</f>
        <v>0</v>
      </c>
      <c r="AC48" s="517">
        <f t="shared" si="134"/>
        <v>0</v>
      </c>
      <c r="AD48" s="517">
        <f t="shared" si="134"/>
        <v>0</v>
      </c>
      <c r="AE48" s="517">
        <f t="shared" si="134"/>
        <v>0</v>
      </c>
      <c r="AF48" s="517">
        <f t="shared" si="134"/>
        <v>0</v>
      </c>
      <c r="AG48" s="676">
        <f t="shared" si="134"/>
        <v>0</v>
      </c>
      <c r="AH48" s="517">
        <f t="shared" ref="AH48:AS48" si="135">SUM(AH6:AH47)</f>
        <v>0</v>
      </c>
      <c r="AI48" s="517">
        <f t="shared" si="135"/>
        <v>0</v>
      </c>
      <c r="AJ48" s="517">
        <f t="shared" si="135"/>
        <v>0</v>
      </c>
      <c r="AK48" s="517">
        <f t="shared" si="135"/>
        <v>0</v>
      </c>
      <c r="AL48" s="517">
        <f t="shared" si="135"/>
        <v>0</v>
      </c>
      <c r="AM48" s="676">
        <f t="shared" si="135"/>
        <v>0</v>
      </c>
      <c r="AN48" s="517">
        <f t="shared" si="135"/>
        <v>0</v>
      </c>
      <c r="AO48" s="517">
        <f t="shared" si="135"/>
        <v>210.29229620563726</v>
      </c>
      <c r="AP48" s="517">
        <f t="shared" si="135"/>
        <v>459.7817754069016</v>
      </c>
      <c r="AQ48" s="517">
        <f t="shared" si="135"/>
        <v>70.097432068545757</v>
      </c>
      <c r="AR48" s="517">
        <f t="shared" si="135"/>
        <v>130.91167577803199</v>
      </c>
      <c r="AS48" s="676">
        <f t="shared" si="135"/>
        <v>871.08317945911654</v>
      </c>
      <c r="AT48" s="517">
        <f t="shared" si="134"/>
        <v>34.501720440497948</v>
      </c>
      <c r="AU48" s="517">
        <f t="shared" si="134"/>
        <v>4117.0481114807762</v>
      </c>
      <c r="AV48" s="517">
        <f t="shared" si="134"/>
        <v>9583.90561575434</v>
      </c>
      <c r="AW48" s="517">
        <f t="shared" si="134"/>
        <v>1360.8487970134263</v>
      </c>
      <c r="AX48" s="517">
        <f t="shared" si="134"/>
        <v>3874.6582888787293</v>
      </c>
      <c r="AY48" s="676">
        <f t="shared" si="134"/>
        <v>18970.96253356777</v>
      </c>
      <c r="AZ48" s="517">
        <f t="shared" si="134"/>
        <v>0</v>
      </c>
      <c r="BA48" s="517">
        <f t="shared" si="134"/>
        <v>2833.796685406357</v>
      </c>
      <c r="BB48" s="517">
        <f t="shared" si="134"/>
        <v>6414.9991376068947</v>
      </c>
      <c r="BC48" s="517">
        <f t="shared" si="134"/>
        <v>944.59889513545238</v>
      </c>
      <c r="BD48" s="517">
        <f t="shared" si="134"/>
        <v>2056.4594014784911</v>
      </c>
      <c r="BE48" s="676">
        <f t="shared" si="134"/>
        <v>12249.854119627194</v>
      </c>
      <c r="BF48" s="517">
        <f t="shared" si="134"/>
        <v>0</v>
      </c>
      <c r="BG48" s="517">
        <f t="shared" si="134"/>
        <v>0</v>
      </c>
      <c r="BH48" s="517">
        <f t="shared" si="134"/>
        <v>0</v>
      </c>
      <c r="BI48" s="517">
        <f t="shared" si="134"/>
        <v>0</v>
      </c>
      <c r="BJ48" s="517">
        <f t="shared" si="134"/>
        <v>0</v>
      </c>
      <c r="BK48" s="676">
        <f t="shared" si="134"/>
        <v>0</v>
      </c>
      <c r="BL48" s="517">
        <f t="shared" si="134"/>
        <v>0</v>
      </c>
      <c r="BM48" s="517">
        <f t="shared" si="134"/>
        <v>0</v>
      </c>
      <c r="BN48" s="517">
        <f t="shared" si="134"/>
        <v>0</v>
      </c>
      <c r="BO48" s="517">
        <f t="shared" si="134"/>
        <v>0</v>
      </c>
      <c r="BP48" s="517">
        <f t="shared" si="134"/>
        <v>0</v>
      </c>
      <c r="BQ48" s="676">
        <f t="shared" si="134"/>
        <v>0</v>
      </c>
      <c r="BR48" s="517">
        <f t="shared" si="134"/>
        <v>0</v>
      </c>
      <c r="BS48" s="517">
        <f t="shared" si="134"/>
        <v>0</v>
      </c>
      <c r="BT48" s="517">
        <f t="shared" si="134"/>
        <v>0</v>
      </c>
      <c r="BU48" s="517">
        <f t="shared" si="134"/>
        <v>0</v>
      </c>
      <c r="BV48" s="517">
        <f t="shared" si="134"/>
        <v>0</v>
      </c>
      <c r="BW48" s="676">
        <f t="shared" si="134"/>
        <v>0</v>
      </c>
      <c r="BX48" s="129"/>
      <c r="BY48" s="676">
        <f t="shared" ref="BY48:CF48" si="136">SUM(BY6:BY47)</f>
        <v>0</v>
      </c>
      <c r="BZ48" s="676">
        <f t="shared" si="136"/>
        <v>0</v>
      </c>
      <c r="CA48" s="676">
        <f t="shared" si="136"/>
        <v>496.43897964408325</v>
      </c>
      <c r="CB48" s="676">
        <f t="shared" si="136"/>
        <v>13723.712889966397</v>
      </c>
      <c r="CC48" s="676">
        <f t="shared" si="136"/>
        <v>8365.0345594067749</v>
      </c>
      <c r="CD48" s="676">
        <f t="shared" si="136"/>
        <v>0</v>
      </c>
      <c r="CE48" s="676">
        <f t="shared" si="136"/>
        <v>0</v>
      </c>
      <c r="CF48" s="676">
        <f t="shared" si="136"/>
        <v>0</v>
      </c>
      <c r="CG48" s="129"/>
      <c r="CH48" s="676">
        <f t="shared" ref="CH48:CO48" si="137">SUM(CH6:CH47)</f>
        <v>0</v>
      </c>
      <c r="CI48" s="676">
        <f t="shared" si="137"/>
        <v>0</v>
      </c>
      <c r="CJ48" s="676">
        <f t="shared" si="137"/>
        <v>183.88512513968263</v>
      </c>
      <c r="CK48" s="676">
        <f t="shared" si="137"/>
        <v>4972.5396272526332</v>
      </c>
      <c r="CL48" s="676">
        <f t="shared" si="137"/>
        <v>3043.6925880249428</v>
      </c>
      <c r="CM48" s="676">
        <f t="shared" si="137"/>
        <v>0</v>
      </c>
      <c r="CN48" s="676">
        <f t="shared" si="137"/>
        <v>0</v>
      </c>
      <c r="CO48" s="676">
        <f t="shared" si="137"/>
        <v>0</v>
      </c>
      <c r="CP48" s="129"/>
      <c r="CQ48" s="676">
        <f t="shared" ref="CQ48:CX48" si="138">SUM(CQ6:CQ47)</f>
        <v>0</v>
      </c>
      <c r="CR48" s="676">
        <f t="shared" si="138"/>
        <v>0</v>
      </c>
      <c r="CS48" s="676">
        <f t="shared" si="138"/>
        <v>1894.175044261621</v>
      </c>
      <c r="CT48" s="676">
        <f t="shared" si="138"/>
        <v>46052.235053322242</v>
      </c>
      <c r="CU48" s="676">
        <f t="shared" si="138"/>
        <v>28935.941717255402</v>
      </c>
      <c r="CV48" s="676">
        <f t="shared" si="138"/>
        <v>0</v>
      </c>
      <c r="CW48" s="676">
        <f t="shared" si="138"/>
        <v>0</v>
      </c>
      <c r="CX48" s="676">
        <f t="shared" si="138"/>
        <v>0</v>
      </c>
    </row>
    <row r="49" spans="3:102">
      <c r="M49" s="858" t="s">
        <v>398</v>
      </c>
      <c r="N49" s="858" t="s">
        <v>399</v>
      </c>
      <c r="O49" s="858" t="s">
        <v>146</v>
      </c>
      <c r="CQ49" s="84">
        <f t="shared" ref="CQ49:CX49" si="139">IF(ISERROR((CQ48-J48)/J48),0,(CQ48-J48)/J48)</f>
        <v>0</v>
      </c>
      <c r="CR49" s="84">
        <f t="shared" si="139"/>
        <v>0</v>
      </c>
      <c r="CS49" s="84">
        <f t="shared" si="139"/>
        <v>4.3889061899679517E-3</v>
      </c>
      <c r="CT49" s="84">
        <f t="shared" si="139"/>
        <v>5.7986924081462861E-3</v>
      </c>
      <c r="CU49" s="84">
        <f t="shared" si="139"/>
        <v>6.6911762075213413E-3</v>
      </c>
      <c r="CV49" s="84">
        <f t="shared" si="139"/>
        <v>0</v>
      </c>
      <c r="CW49" s="84">
        <f t="shared" si="139"/>
        <v>0</v>
      </c>
      <c r="CX49" s="84">
        <f t="shared" si="139"/>
        <v>0</v>
      </c>
    </row>
    <row r="50" spans="3:102">
      <c r="D50" s="1" t="s">
        <v>813</v>
      </c>
      <c r="J50" s="492"/>
      <c r="K50" s="492"/>
      <c r="L50" s="492"/>
      <c r="M50" s="741">
        <f>SUM(M23:M29)</f>
        <v>25481.703447649637</v>
      </c>
      <c r="N50" s="741">
        <f>SUM(N23:N29)</f>
        <v>9365.3387950433789</v>
      </c>
      <c r="O50" s="741">
        <f>SUM(M50:N50)</f>
        <v>34847.042242693016</v>
      </c>
      <c r="P50" s="492"/>
      <c r="Q50" s="492"/>
    </row>
    <row r="51" spans="3:102">
      <c r="M51" s="1" t="b">
        <f>M50=M62</f>
        <v>1</v>
      </c>
      <c r="N51" s="1" t="b">
        <f>N50=N62</f>
        <v>1</v>
      </c>
      <c r="P51" s="269"/>
      <c r="Q51" s="269"/>
      <c r="CQ51" s="39"/>
      <c r="CR51" s="39"/>
      <c r="CS51" s="39"/>
      <c r="CT51" s="39"/>
      <c r="CU51" s="39"/>
      <c r="CV51" s="39"/>
      <c r="CW51" s="39"/>
      <c r="CX51" s="39"/>
    </row>
    <row r="52" spans="3:102">
      <c r="C52" s="247" t="s">
        <v>827</v>
      </c>
      <c r="P52" s="269"/>
      <c r="Q52" s="269"/>
      <c r="CQ52" s="39"/>
      <c r="CR52" s="39"/>
      <c r="CS52" s="39"/>
      <c r="CT52" s="39"/>
      <c r="CU52" s="39"/>
      <c r="CV52" s="39"/>
      <c r="CW52" s="39"/>
      <c r="CX52" s="39"/>
    </row>
    <row r="53" spans="3:102">
      <c r="C53" s="2" t="s">
        <v>814</v>
      </c>
      <c r="P53" s="269"/>
      <c r="Q53" s="269"/>
      <c r="CQ53" s="39"/>
      <c r="CR53" s="39"/>
      <c r="CS53" s="39"/>
      <c r="CT53" s="39"/>
      <c r="CU53" s="39"/>
      <c r="CV53" s="39"/>
      <c r="CW53" s="39"/>
      <c r="CX53" s="39"/>
    </row>
    <row r="54" spans="3:102">
      <c r="C54" s="8" t="s">
        <v>759</v>
      </c>
      <c r="D54" s="28">
        <v>2018</v>
      </c>
      <c r="J54" s="28">
        <v>2019</v>
      </c>
      <c r="K54" s="28">
        <v>2020</v>
      </c>
      <c r="L54" s="28" t="s">
        <v>824</v>
      </c>
      <c r="M54" s="28" t="s">
        <v>615</v>
      </c>
      <c r="N54" s="28" t="s">
        <v>616</v>
      </c>
      <c r="O54" s="28" t="s">
        <v>783</v>
      </c>
      <c r="P54" s="269"/>
      <c r="Q54" s="269"/>
      <c r="CQ54" s="39"/>
      <c r="CR54" s="39"/>
      <c r="CS54" s="39"/>
      <c r="CT54" s="39"/>
      <c r="CU54" s="39"/>
      <c r="CV54" s="39"/>
      <c r="CW54" s="39"/>
      <c r="CX54" s="39"/>
    </row>
    <row r="55" spans="3:102">
      <c r="C55" s="6" t="s">
        <v>815</v>
      </c>
      <c r="D55" s="755">
        <f>[5]Capex_Allowance!E20</f>
        <v>0</v>
      </c>
      <c r="J55" s="755">
        <f>[5]Capex_Allowance!F20</f>
        <v>550.67442833345353</v>
      </c>
      <c r="K55" s="755">
        <f>[5]Capex_Allowance!G20</f>
        <v>8059.5938532384389</v>
      </c>
      <c r="L55" s="755">
        <f>[5]Capex_Allowance!H20</f>
        <v>4029.7969266192194</v>
      </c>
      <c r="M55" s="755">
        <f>[5]Capex_Allowance!I20</f>
        <v>5949.5946123381555</v>
      </c>
      <c r="N55" s="755">
        <f>[5]Capex_Allowance!J20</f>
        <v>1772.4391138326785</v>
      </c>
      <c r="O55" s="756">
        <f>SUM(D55,J55:N55)</f>
        <v>20362.098934361948</v>
      </c>
      <c r="P55" s="269"/>
      <c r="Q55" s="269"/>
      <c r="CQ55" s="39"/>
      <c r="CR55" s="39"/>
      <c r="CS55" s="39"/>
      <c r="CT55" s="39"/>
      <c r="CU55" s="39"/>
      <c r="CV55" s="39"/>
      <c r="CW55" s="39"/>
      <c r="CX55" s="39"/>
    </row>
    <row r="56" spans="3:102">
      <c r="C56" s="845" t="s">
        <v>816</v>
      </c>
      <c r="D56" s="846">
        <f>[5]Capex_Allowance!E21</f>
        <v>0</v>
      </c>
      <c r="E56" s="847"/>
      <c r="F56" s="847"/>
      <c r="G56" s="847"/>
      <c r="H56" s="847"/>
      <c r="I56" s="847"/>
      <c r="J56" s="846">
        <f>[5]Capex_Allowance!F21</f>
        <v>378.26357738630577</v>
      </c>
      <c r="K56" s="846">
        <f>[5]Capex_Allowance!G21</f>
        <v>13557.214730086729</v>
      </c>
      <c r="L56" s="846">
        <f>[5]Capex_Allowance!H21</f>
        <v>6778.6073650433646</v>
      </c>
      <c r="M56" s="846">
        <f>[5]Capex_Allowance!I21</f>
        <v>4858.0028833359293</v>
      </c>
      <c r="N56" s="846">
        <f>[5]Capex_Allowance!J21</f>
        <v>2775.1097403213889</v>
      </c>
      <c r="O56" s="848">
        <f t="shared" ref="O56:O61" si="140">SUM(D56,J56:N56)</f>
        <v>28347.198296173716</v>
      </c>
      <c r="P56" s="269"/>
      <c r="Q56" s="269"/>
      <c r="CQ56" s="39"/>
      <c r="CR56" s="39"/>
      <c r="CS56" s="39"/>
      <c r="CT56" s="39"/>
      <c r="CU56" s="39"/>
      <c r="CV56" s="39"/>
      <c r="CW56" s="39"/>
      <c r="CX56" s="39"/>
    </row>
    <row r="57" spans="3:102">
      <c r="C57" s="6" t="s">
        <v>817</v>
      </c>
      <c r="D57" s="755">
        <f>[5]Capex_Allowance!E22</f>
        <v>0</v>
      </c>
      <c r="J57" s="755">
        <f>[5]Capex_Allowance!F22</f>
        <v>376.7775447501499</v>
      </c>
      <c r="K57" s="755">
        <f>[5]Capex_Allowance!G22</f>
        <v>3274.9409186643725</v>
      </c>
      <c r="L57" s="755">
        <f>[5]Capex_Allowance!H22</f>
        <v>1637.4704593321862</v>
      </c>
      <c r="M57" s="755">
        <f>[5]Capex_Allowance!I22</f>
        <v>4613.87392541792</v>
      </c>
      <c r="N57" s="755">
        <f>[5]Capex_Allowance!J22</f>
        <v>949.20013856352307</v>
      </c>
      <c r="O57" s="756">
        <f t="shared" si="140"/>
        <v>10852.262986728152</v>
      </c>
      <c r="P57" s="269"/>
      <c r="Q57" s="269"/>
      <c r="CQ57" s="39"/>
      <c r="CR57" s="39"/>
      <c r="CS57" s="39"/>
      <c r="CT57" s="39"/>
      <c r="CU57" s="39"/>
      <c r="CV57" s="39"/>
      <c r="CW57" s="39"/>
      <c r="CX57" s="39"/>
    </row>
    <row r="58" spans="3:102">
      <c r="C58" s="6" t="s">
        <v>818</v>
      </c>
      <c r="D58" s="755">
        <f>[5]Capex_Allowance!E23</f>
        <v>236.21247840936343</v>
      </c>
      <c r="J58" s="755">
        <f>[5]Capex_Allowance!F23</f>
        <v>7463.0129283016986</v>
      </c>
      <c r="K58" s="755">
        <f>[5]Capex_Allowance!G23</f>
        <v>4431.7875248536102</v>
      </c>
      <c r="L58" s="755">
        <f>[5]Capex_Allowance!H23</f>
        <v>2215.8937624268051</v>
      </c>
      <c r="M58" s="755">
        <f>[5]Capex_Allowance!I23</f>
        <v>0</v>
      </c>
      <c r="N58" s="755">
        <f>[5]Capex_Allowance!J23</f>
        <v>0</v>
      </c>
      <c r="O58" s="756">
        <f t="shared" si="140"/>
        <v>14346.906693991477</v>
      </c>
      <c r="P58" s="269"/>
      <c r="Q58" s="269"/>
      <c r="CQ58" s="39"/>
      <c r="CR58" s="39"/>
      <c r="CS58" s="39"/>
      <c r="CT58" s="39"/>
      <c r="CU58" s="39"/>
      <c r="CV58" s="39"/>
      <c r="CW58" s="39"/>
      <c r="CX58" s="39"/>
    </row>
    <row r="59" spans="3:102">
      <c r="C59" s="6" t="s">
        <v>819</v>
      </c>
      <c r="D59" s="755">
        <f>[5]Capex_Allowance!E24</f>
        <v>0</v>
      </c>
      <c r="J59" s="755">
        <f>[5]Capex_Allowance!F24</f>
        <v>662.51272961823815</v>
      </c>
      <c r="K59" s="755">
        <f>[5]Capex_Allowance!G24</f>
        <v>6091.2503401539188</v>
      </c>
      <c r="L59" s="755">
        <f>[5]Capex_Allowance!H24</f>
        <v>3045.6251700769594</v>
      </c>
      <c r="M59" s="755">
        <f>[5]Capex_Allowance!I24</f>
        <v>5110.4885533667866</v>
      </c>
      <c r="N59" s="755">
        <f>[5]Capex_Allowance!J24</f>
        <v>1590.7653112332723</v>
      </c>
      <c r="O59" s="756">
        <f t="shared" si="140"/>
        <v>16500.642104449176</v>
      </c>
      <c r="P59" s="269"/>
      <c r="Q59" s="269"/>
      <c r="CQ59" s="39"/>
      <c r="CR59" s="39"/>
      <c r="CS59" s="39"/>
      <c r="CT59" s="39"/>
      <c r="CU59" s="39"/>
      <c r="CV59" s="39"/>
      <c r="CW59" s="39"/>
      <c r="CX59" s="39"/>
    </row>
    <row r="60" spans="3:102">
      <c r="C60" s="6" t="s">
        <v>820</v>
      </c>
      <c r="D60" s="755">
        <f>[5]Capex_Allowance!E25</f>
        <v>0</v>
      </c>
      <c r="J60" s="755">
        <f>[5]Capex_Allowance!F25</f>
        <v>0</v>
      </c>
      <c r="K60" s="755">
        <f>[5]Capex_Allowance!G25</f>
        <v>0</v>
      </c>
      <c r="L60" s="755">
        <f>[5]Capex_Allowance!H25</f>
        <v>0</v>
      </c>
      <c r="M60" s="755">
        <f>[5]Capex_Allowance!I25</f>
        <v>0</v>
      </c>
      <c r="N60" s="755">
        <f>[5]Capex_Allowance!J25</f>
        <v>0</v>
      </c>
      <c r="O60" s="756">
        <f t="shared" si="140"/>
        <v>0</v>
      </c>
      <c r="P60" s="269"/>
      <c r="Q60" s="269"/>
      <c r="CQ60" s="39"/>
      <c r="CR60" s="39"/>
      <c r="CS60" s="39"/>
      <c r="CT60" s="39"/>
      <c r="CU60" s="39"/>
      <c r="CV60" s="39"/>
      <c r="CW60" s="39"/>
      <c r="CX60" s="39"/>
    </row>
    <row r="61" spans="3:102">
      <c r="C61" s="6" t="s">
        <v>821</v>
      </c>
      <c r="D61" s="755">
        <f>[5]Capex_Allowance!E26</f>
        <v>0</v>
      </c>
      <c r="J61" s="755">
        <f>[5]Capex_Allowance!F26</f>
        <v>226.18935463892777</v>
      </c>
      <c r="K61" s="755">
        <f>[5]Capex_Allowance!G26</f>
        <v>511.49684108970411</v>
      </c>
      <c r="L61" s="755">
        <f>[5]Capex_Allowance!H26</f>
        <v>255.74842054485205</v>
      </c>
      <c r="M61" s="755">
        <f>[5]Capex_Allowance!I26</f>
        <v>4949.7434731908443</v>
      </c>
      <c r="N61" s="755">
        <f>[5]Capex_Allowance!J26</f>
        <v>2277.8244910925173</v>
      </c>
      <c r="O61" s="756">
        <f t="shared" si="140"/>
        <v>8221.0025805568457</v>
      </c>
      <c r="P61" s="269"/>
      <c r="Q61" s="269"/>
      <c r="CQ61" s="39"/>
      <c r="CR61" s="39"/>
      <c r="CS61" s="39"/>
      <c r="CT61" s="39"/>
      <c r="CU61" s="39"/>
      <c r="CV61" s="39"/>
      <c r="CW61" s="39"/>
      <c r="CX61" s="39"/>
    </row>
    <row r="62" spans="3:102">
      <c r="C62" s="8" t="s">
        <v>146</v>
      </c>
      <c r="D62" s="757">
        <f>SUM(D55:D61)</f>
        <v>236.21247840936343</v>
      </c>
      <c r="J62" s="757">
        <f t="shared" ref="J62:O62" si="141">SUM(J55:J61)</f>
        <v>9657.4305630287727</v>
      </c>
      <c r="K62" s="757">
        <f t="shared" si="141"/>
        <v>35926.284208086778</v>
      </c>
      <c r="L62" s="757">
        <f t="shared" si="141"/>
        <v>17963.142104043389</v>
      </c>
      <c r="M62" s="757">
        <f t="shared" si="141"/>
        <v>25481.703447649634</v>
      </c>
      <c r="N62" s="757">
        <f t="shared" si="141"/>
        <v>9365.3387950433789</v>
      </c>
      <c r="O62" s="758">
        <f t="shared" si="141"/>
        <v>98630.111596261311</v>
      </c>
      <c r="P62" s="269"/>
      <c r="Q62" s="269"/>
      <c r="CQ62" s="39"/>
      <c r="CR62" s="39"/>
      <c r="CS62" s="39"/>
      <c r="CT62" s="39"/>
      <c r="CU62" s="39"/>
      <c r="CV62" s="39"/>
      <c r="CW62" s="39"/>
      <c r="CX62" s="39"/>
    </row>
    <row r="63" spans="3:102">
      <c r="C63" s="762" t="s">
        <v>867</v>
      </c>
      <c r="D63" s="753"/>
      <c r="J63" s="753"/>
      <c r="K63" s="753"/>
      <c r="L63" s="753"/>
      <c r="M63" s="753"/>
      <c r="N63" s="753"/>
      <c r="O63" s="754"/>
      <c r="P63" s="269"/>
      <c r="Q63" s="269"/>
      <c r="CQ63" s="39"/>
      <c r="CR63" s="39"/>
      <c r="CS63" s="39"/>
      <c r="CT63" s="39"/>
      <c r="CU63" s="39"/>
      <c r="CV63" s="39"/>
      <c r="CW63" s="39"/>
      <c r="CX63" s="39"/>
    </row>
    <row r="64" spans="3:102">
      <c r="C64" s="762" t="s">
        <v>825</v>
      </c>
      <c r="D64" s="753"/>
      <c r="H64" s="41"/>
      <c r="I64" s="41"/>
      <c r="J64" s="753"/>
      <c r="K64" s="753"/>
      <c r="L64" s="753"/>
      <c r="M64" s="753"/>
      <c r="N64" s="753"/>
      <c r="O64" s="754"/>
      <c r="P64" s="269"/>
      <c r="Q64" s="269"/>
      <c r="CQ64" s="39"/>
      <c r="CR64" s="39"/>
      <c r="CS64" s="39"/>
      <c r="CT64" s="39"/>
      <c r="CU64" s="39"/>
      <c r="CV64" s="39"/>
      <c r="CW64" s="39"/>
      <c r="CX64" s="39"/>
    </row>
    <row r="65" spans="3:102" ht="45">
      <c r="C65" s="35" t="s">
        <v>826</v>
      </c>
      <c r="D65" s="102" t="s">
        <v>822</v>
      </c>
      <c r="H65" s="41"/>
      <c r="I65" s="41"/>
      <c r="J65" s="269"/>
      <c r="K65" s="269"/>
      <c r="L65" s="269"/>
      <c r="O65" s="752" t="s">
        <v>828</v>
      </c>
      <c r="P65" s="269"/>
      <c r="Q65" s="269"/>
      <c r="CQ65" s="39"/>
      <c r="CR65" s="39"/>
      <c r="CS65" s="39"/>
      <c r="CT65" s="39"/>
      <c r="CU65" s="39"/>
      <c r="CV65" s="39"/>
      <c r="CW65" s="39"/>
      <c r="CX65" s="39"/>
    </row>
    <row r="66" spans="3:102">
      <c r="C66" s="41" t="s">
        <v>811</v>
      </c>
      <c r="D66" s="41" t="s">
        <v>823</v>
      </c>
      <c r="E66" s="41"/>
      <c r="F66" s="41"/>
      <c r="G66" s="41"/>
      <c r="H66" s="41"/>
      <c r="I66" s="41"/>
      <c r="J66" s="269"/>
      <c r="K66" s="269"/>
      <c r="L66" s="269"/>
      <c r="M66" s="269"/>
      <c r="N66" s="269"/>
      <c r="O66" s="269">
        <f>O56</f>
        <v>28347.198296173716</v>
      </c>
      <c r="Q66" s="269"/>
    </row>
    <row r="67" spans="3:102">
      <c r="C67" s="1" t="s">
        <v>868</v>
      </c>
      <c r="D67" s="1" t="s">
        <v>876</v>
      </c>
      <c r="N67" s="670">
        <f>[5]Summary!$P$6/Escalators!$P$14</f>
        <v>353.47870471185212</v>
      </c>
      <c r="P67" s="751"/>
      <c r="Q67" s="493"/>
      <c r="CO67" s="78"/>
      <c r="CQ67" s="157"/>
      <c r="CR67" s="157"/>
      <c r="CS67" s="157"/>
      <c r="CT67" s="157"/>
      <c r="CU67" s="157"/>
      <c r="CV67" s="157"/>
      <c r="CW67" s="157"/>
      <c r="CX67" s="157"/>
    </row>
    <row r="68" spans="3:102">
      <c r="C68" s="42" t="s">
        <v>810</v>
      </c>
      <c r="D68" s="42" t="s">
        <v>877</v>
      </c>
      <c r="E68" s="42"/>
      <c r="F68" s="42"/>
      <c r="G68" s="42"/>
      <c r="H68" s="42"/>
      <c r="I68" s="42"/>
      <c r="J68" s="220"/>
      <c r="K68" s="220"/>
      <c r="L68" s="220"/>
      <c r="M68" s="220"/>
      <c r="N68" s="220">
        <f>'[4]All works'!$I$19</f>
        <v>38026.468919121318</v>
      </c>
      <c r="O68" s="220">
        <f>N67+N68</f>
        <v>38379.94762383317</v>
      </c>
      <c r="P68" s="751"/>
      <c r="Q68" s="493"/>
      <c r="CO68" s="78"/>
      <c r="CQ68" s="157"/>
      <c r="CR68" s="157"/>
      <c r="CS68" s="157"/>
      <c r="CT68" s="157"/>
      <c r="CU68" s="157"/>
      <c r="CV68" s="157"/>
      <c r="CW68" s="157"/>
      <c r="CX68" s="157"/>
    </row>
    <row r="69" spans="3:102">
      <c r="C69" s="841" t="s">
        <v>812</v>
      </c>
      <c r="D69" s="41"/>
      <c r="E69" s="41"/>
      <c r="F69" s="41"/>
      <c r="G69" s="41"/>
      <c r="H69" s="41"/>
      <c r="I69" s="41"/>
      <c r="J69" s="269"/>
      <c r="K69" s="269"/>
      <c r="L69" s="269"/>
      <c r="M69" s="269"/>
      <c r="N69" s="269"/>
      <c r="O69" s="493">
        <f>O68-O66</f>
        <v>10032.749327659454</v>
      </c>
      <c r="P69" s="751"/>
      <c r="Q69" s="493"/>
      <c r="CO69" s="78"/>
      <c r="CQ69" s="157"/>
      <c r="CR69" s="157"/>
      <c r="CS69" s="157"/>
      <c r="CT69" s="157"/>
      <c r="CU69" s="157"/>
      <c r="CV69" s="157"/>
      <c r="CW69" s="157"/>
      <c r="CX69" s="157"/>
    </row>
    <row r="70" spans="3:102">
      <c r="C70" s="41"/>
      <c r="D70" s="41"/>
      <c r="E70" s="41"/>
      <c r="F70" s="41"/>
      <c r="G70" s="41"/>
      <c r="H70" s="41"/>
      <c r="I70" s="41"/>
      <c r="J70" s="269"/>
      <c r="K70" s="269"/>
      <c r="L70" s="269"/>
      <c r="M70" s="842"/>
      <c r="N70" s="842"/>
      <c r="O70" s="843"/>
      <c r="P70" s="751"/>
      <c r="Q70" s="493"/>
      <c r="CO70" s="78"/>
      <c r="CQ70" s="157"/>
      <c r="CR70" s="157"/>
      <c r="CS70" s="157"/>
      <c r="CT70" s="157"/>
      <c r="CU70" s="157"/>
      <c r="CV70" s="157"/>
      <c r="CW70" s="157"/>
      <c r="CX70" s="157"/>
    </row>
    <row r="71" spans="3:102">
      <c r="C71" s="844"/>
      <c r="D71" s="41"/>
      <c r="E71" s="41"/>
      <c r="F71" s="41"/>
      <c r="G71" s="41"/>
      <c r="H71" s="304"/>
      <c r="I71" s="41"/>
      <c r="J71" s="493"/>
      <c r="K71" s="493"/>
      <c r="L71" s="493"/>
      <c r="M71" s="751"/>
      <c r="N71" s="751"/>
      <c r="O71" s="265"/>
      <c r="CO71" s="78"/>
      <c r="CQ71" s="157"/>
      <c r="CR71" s="157"/>
      <c r="CS71" s="157"/>
      <c r="CT71" s="157"/>
      <c r="CU71" s="157"/>
      <c r="CV71" s="157"/>
      <c r="CW71" s="157"/>
      <c r="CX71" s="157"/>
    </row>
    <row r="72" spans="3:102">
      <c r="CO72" s="78"/>
      <c r="CQ72" s="157"/>
      <c r="CR72" s="157"/>
      <c r="CS72" s="157"/>
      <c r="CT72" s="157"/>
      <c r="CU72" s="157"/>
      <c r="CV72" s="157"/>
      <c r="CW72" s="157"/>
      <c r="CX72" s="157"/>
    </row>
    <row r="73" spans="3:102">
      <c r="J73" s="39"/>
      <c r="K73" s="39"/>
      <c r="L73" s="39"/>
      <c r="CO73" s="78"/>
      <c r="CQ73" s="157"/>
      <c r="CR73" s="157"/>
      <c r="CS73" s="157"/>
      <c r="CT73" s="157"/>
      <c r="CU73" s="157"/>
      <c r="CV73" s="157"/>
      <c r="CW73" s="157"/>
      <c r="CX73" s="157"/>
    </row>
    <row r="74" spans="3:102">
      <c r="J74" s="39"/>
      <c r="K74" s="39"/>
      <c r="L74" s="39"/>
      <c r="CO74" s="78"/>
      <c r="CQ74" s="157"/>
      <c r="CR74" s="157"/>
      <c r="CS74" s="157"/>
      <c r="CT74" s="157"/>
      <c r="CU74" s="157"/>
      <c r="CV74" s="157"/>
      <c r="CW74" s="157"/>
      <c r="CX74" s="157"/>
    </row>
    <row r="75" spans="3:102">
      <c r="J75" s="39"/>
      <c r="K75" s="39"/>
      <c r="L75" s="39"/>
    </row>
    <row r="76" spans="3:102">
      <c r="J76" s="39"/>
      <c r="K76" s="39"/>
      <c r="L76" s="39"/>
    </row>
    <row r="77" spans="3:102">
      <c r="J77" s="39"/>
      <c r="K77" s="39"/>
      <c r="L77" s="39"/>
    </row>
    <row r="81" spans="10:12">
      <c r="J81" s="160"/>
      <c r="K81" s="160"/>
      <c r="L81" s="160"/>
    </row>
    <row r="82" spans="10:12">
      <c r="J82" s="160"/>
      <c r="K82" s="160"/>
      <c r="L82" s="160"/>
    </row>
    <row r="83" spans="10:12">
      <c r="J83" s="160"/>
      <c r="K83" s="160"/>
      <c r="L83" s="160"/>
    </row>
    <row r="84" spans="10:12">
      <c r="J84" s="160"/>
      <c r="K84" s="160"/>
      <c r="L84" s="160"/>
    </row>
  </sheetData>
  <autoFilter ref="B5:I47" xr:uid="{00000000-0009-0000-0000-000013000000}"/>
  <mergeCells count="11">
    <mergeCell ref="M1:N1"/>
    <mergeCell ref="J3:Q3"/>
    <mergeCell ref="S3:Z3"/>
    <mergeCell ref="BY3:CF3"/>
    <mergeCell ref="CH3:CO3"/>
    <mergeCell ref="CQ3:CX3"/>
    <mergeCell ref="J4:Q4"/>
    <mergeCell ref="S4:Z4"/>
    <mergeCell ref="BY4:CF4"/>
    <mergeCell ref="CH4:CO4"/>
    <mergeCell ref="CQ4:CX4"/>
  </mergeCells>
  <hyperlinks>
    <hyperlink ref="B2" location="Contents!A1" display="Table of Contents" xr:uid="{00000000-0004-0000-1300-000000000000}"/>
  </hyperlinks>
  <pageMargins left="0.7" right="0.7" top="0.75" bottom="0.75" header="0.3" footer="0.3"/>
  <pageSetup paperSize="9" orientation="portrait" horizontalDpi="4294967292" verticalDpi="4294967292" r:id="rId1"/>
  <ignoredErrors>
    <ignoredError sqref="D62:K62" formulaRange="1"/>
  </ignoredErrors>
  <extLst>
    <ext xmlns:x14="http://schemas.microsoft.com/office/spreadsheetml/2009/9/main" uri="{CCE6A557-97BC-4b89-ADB6-D9C93CAAB3DF}">
      <x14:dataValidations xmlns:xm="http://schemas.microsoft.com/office/excel/2006/main" disablePrompts="1" count="5">
        <x14:dataValidation type="list" errorStyle="warning" showInputMessage="1" showErrorMessage="1" error="Invalid data entered" prompt="Select from drop down list" xr:uid="{00000000-0002-0000-1300-000000000000}">
          <x14:formula1>
            <xm:f>Lookups!$I$5:$I$10</xm:f>
          </x14:formula1>
          <xm:sqref>G6:G47</xm:sqref>
        </x14:dataValidation>
        <x14:dataValidation type="list" errorStyle="warning" allowBlank="1" showInputMessage="1" showErrorMessage="1" prompt="Select from drop down list" xr:uid="{00000000-0002-0000-1300-000001000000}">
          <x14:formula1>
            <xm:f>Lab_Mat!$C$33:$C$98</xm:f>
          </x14:formula1>
          <xm:sqref>I6:I47</xm:sqref>
        </x14:dataValidation>
        <x14:dataValidation type="list" errorStyle="warning" showInputMessage="1" showErrorMessage="1" error="Invalid data entered" prompt="Select from drop down list" xr:uid="{00000000-0002-0000-1300-000002000000}">
          <x14:formula1>
            <xm:f>Lookups!$C$5:$C$13</xm:f>
          </x14:formula1>
          <xm:sqref>E6:E21 E23:E47</xm:sqref>
        </x14:dataValidation>
        <x14:dataValidation type="list" errorStyle="warning" showInputMessage="1" showErrorMessage="1" error="Invalid data entered" prompt="Select from drop down list" xr:uid="{00000000-0002-0000-1300-000003000000}">
          <x14:formula1>
            <xm:f>Lookups!$C$16:$C$27</xm:f>
          </x14:formula1>
          <xm:sqref>F6:F47</xm:sqref>
        </x14:dataValidation>
        <x14:dataValidation type="list" errorStyle="warning" allowBlank="1" showInputMessage="1" showErrorMessage="1" prompt="Select from drop down list" xr:uid="{00000000-0002-0000-1300-000004000000}">
          <x14:formula1>
            <xm:f>Lab_Mat!$J$6:$J$9</xm:f>
          </x14:formula1>
          <xm:sqref>H6:H47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BJ55"/>
  <sheetViews>
    <sheetView zoomScale="85" zoomScaleNormal="85" zoomScalePageLayoutView="125" workbookViewId="0">
      <pane xSplit="8" topLeftCell="I1" activePane="topRight" state="frozen"/>
      <selection activeCell="V33" sqref="V33"/>
      <selection pane="topRight" activeCell="M1" sqref="M1:N1"/>
    </sheetView>
  </sheetViews>
  <sheetFormatPr defaultColWidth="8.85546875" defaultRowHeight="15" outlineLevelCol="1"/>
  <cols>
    <col min="1" max="1" width="4" style="1" customWidth="1"/>
    <col min="2" max="2" width="21.42578125" style="1" bestFit="1" customWidth="1"/>
    <col min="3" max="3" width="12.5703125" style="1" customWidth="1"/>
    <col min="4" max="4" width="37.28515625" style="1" customWidth="1"/>
    <col min="5" max="5" width="43.140625" style="1" hidden="1" customWidth="1" outlineLevel="1"/>
    <col min="6" max="6" width="33.42578125" style="1" hidden="1" customWidth="1" outlineLevel="1"/>
    <col min="7" max="7" width="27.7109375" style="1" hidden="1" customWidth="1" outlineLevel="1"/>
    <col min="8" max="8" width="24.42578125" style="1" hidden="1" customWidth="1" outlineLevel="1"/>
    <col min="9" max="9" width="29.7109375" style="1" hidden="1" customWidth="1" outlineLevel="1"/>
    <col min="10" max="10" width="9" style="1" customWidth="1" collapsed="1"/>
    <col min="11" max="17" width="9" style="1" customWidth="1"/>
    <col min="18" max="18" width="3.140625" style="1" customWidth="1"/>
    <col min="19" max="26" width="8.85546875" style="1"/>
    <col min="27" max="27" width="2.85546875" style="1" customWidth="1"/>
    <col min="28" max="35" width="8.85546875" style="1"/>
    <col min="36" max="36" width="2.42578125" style="1" customWidth="1"/>
    <col min="37" max="44" width="8.85546875" style="1"/>
    <col min="45" max="45" width="2.85546875" style="1" customWidth="1"/>
    <col min="46" max="53" width="8.85546875" style="1"/>
    <col min="54" max="54" width="2.85546875" style="1" customWidth="1"/>
    <col min="55" max="16384" width="8.85546875" style="1"/>
  </cols>
  <sheetData>
    <row r="1" spans="2:62" ht="18.75">
      <c r="B1" s="10" t="s">
        <v>27</v>
      </c>
      <c r="M1" s="968"/>
      <c r="N1" s="968"/>
    </row>
    <row r="2" spans="2:62">
      <c r="B2" s="25" t="s">
        <v>6</v>
      </c>
      <c r="AB2" s="88"/>
      <c r="AC2" s="88"/>
      <c r="AD2" s="88"/>
    </row>
    <row r="3" spans="2:62">
      <c r="J3" s="964"/>
      <c r="K3" s="964"/>
      <c r="L3" s="964"/>
      <c r="M3" s="964"/>
      <c r="N3" s="964"/>
      <c r="O3" s="964"/>
      <c r="P3" s="964"/>
      <c r="Q3" s="964"/>
      <c r="S3" s="964"/>
      <c r="T3" s="964"/>
      <c r="U3" s="964"/>
      <c r="V3" s="964"/>
      <c r="W3" s="964"/>
      <c r="X3" s="964"/>
      <c r="Y3" s="964"/>
      <c r="Z3" s="964"/>
      <c r="AB3" s="964"/>
      <c r="AC3" s="964"/>
      <c r="AD3" s="964"/>
      <c r="AE3" s="964"/>
      <c r="AF3" s="964"/>
      <c r="AG3" s="964"/>
      <c r="AH3" s="964"/>
      <c r="AI3" s="964"/>
      <c r="AK3" s="964"/>
      <c r="AL3" s="964"/>
      <c r="AM3" s="964"/>
      <c r="AN3" s="964"/>
      <c r="AO3" s="964"/>
      <c r="AP3" s="964"/>
      <c r="AQ3" s="964"/>
      <c r="AR3" s="964"/>
      <c r="AT3" s="964"/>
      <c r="AU3" s="964"/>
      <c r="AV3" s="964"/>
      <c r="AW3" s="964"/>
      <c r="AX3" s="964"/>
      <c r="AY3" s="964"/>
      <c r="AZ3" s="964"/>
      <c r="BA3" s="964"/>
      <c r="BC3" s="964"/>
      <c r="BD3" s="964"/>
      <c r="BE3" s="964"/>
      <c r="BF3" s="964"/>
      <c r="BG3" s="964"/>
      <c r="BH3" s="964"/>
      <c r="BI3" s="964"/>
      <c r="BJ3" s="964"/>
    </row>
    <row r="4" spans="2:62" ht="35.450000000000003" customHeight="1">
      <c r="J4" s="961" t="s">
        <v>378</v>
      </c>
      <c r="K4" s="962"/>
      <c r="L4" s="962"/>
      <c r="M4" s="962"/>
      <c r="N4" s="962"/>
      <c r="O4" s="962"/>
      <c r="P4" s="962"/>
      <c r="Q4" s="963"/>
      <c r="S4" s="961" t="s">
        <v>174</v>
      </c>
      <c r="T4" s="962"/>
      <c r="U4" s="962"/>
      <c r="V4" s="962"/>
      <c r="W4" s="962"/>
      <c r="X4" s="962"/>
      <c r="Y4" s="962"/>
      <c r="Z4" s="963"/>
      <c r="AB4" s="961" t="s">
        <v>173</v>
      </c>
      <c r="AC4" s="962"/>
      <c r="AD4" s="962"/>
      <c r="AE4" s="962"/>
      <c r="AF4" s="962"/>
      <c r="AG4" s="962"/>
      <c r="AH4" s="962"/>
      <c r="AI4" s="963"/>
      <c r="AK4" s="961" t="s">
        <v>297</v>
      </c>
      <c r="AL4" s="962"/>
      <c r="AM4" s="962"/>
      <c r="AN4" s="962"/>
      <c r="AO4" s="962"/>
      <c r="AP4" s="962"/>
      <c r="AQ4" s="962"/>
      <c r="AR4" s="963"/>
      <c r="AT4" s="961" t="s">
        <v>175</v>
      </c>
      <c r="AU4" s="962"/>
      <c r="AV4" s="962"/>
      <c r="AW4" s="962"/>
      <c r="AX4" s="962"/>
      <c r="AY4" s="962"/>
      <c r="AZ4" s="962"/>
      <c r="BA4" s="963"/>
      <c r="BC4" s="961" t="s">
        <v>379</v>
      </c>
      <c r="BD4" s="962"/>
      <c r="BE4" s="962"/>
      <c r="BF4" s="962"/>
      <c r="BG4" s="962"/>
      <c r="BH4" s="962"/>
      <c r="BI4" s="962"/>
      <c r="BJ4" s="963"/>
    </row>
    <row r="5" spans="2:62">
      <c r="B5" s="8" t="s">
        <v>23</v>
      </c>
      <c r="C5" s="8" t="s">
        <v>24</v>
      </c>
      <c r="D5" s="17" t="s">
        <v>98</v>
      </c>
      <c r="E5" s="17" t="s">
        <v>76</v>
      </c>
      <c r="F5" s="17" t="s">
        <v>77</v>
      </c>
      <c r="G5" s="17" t="s">
        <v>322</v>
      </c>
      <c r="H5" s="17" t="s">
        <v>212</v>
      </c>
      <c r="I5" s="17" t="s">
        <v>359</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CP_Yr_4</f>
        <v>43800</v>
      </c>
      <c r="AC5" s="331">
        <f>CP_Yr_5</f>
        <v>44166</v>
      </c>
      <c r="AD5" s="331">
        <f>Stub</f>
        <v>44377</v>
      </c>
      <c r="AE5" s="331">
        <f>Yr_1</f>
        <v>44742</v>
      </c>
      <c r="AF5" s="331">
        <f>Yr_2</f>
        <v>45107</v>
      </c>
      <c r="AG5" s="331">
        <f>Yr_3</f>
        <v>45473</v>
      </c>
      <c r="AH5" s="331">
        <f>Yr_4</f>
        <v>45838</v>
      </c>
      <c r="AI5" s="331">
        <f>Yr_5</f>
        <v>46203</v>
      </c>
      <c r="AJ5" s="332"/>
      <c r="AK5" s="331">
        <f>CP_Yr_4</f>
        <v>43800</v>
      </c>
      <c r="AL5" s="331">
        <f>CP_Yr_5</f>
        <v>44166</v>
      </c>
      <c r="AM5" s="331">
        <f>Stub</f>
        <v>44377</v>
      </c>
      <c r="AN5" s="331">
        <f>Yr_1</f>
        <v>44742</v>
      </c>
      <c r="AO5" s="331">
        <f>Yr_2</f>
        <v>45107</v>
      </c>
      <c r="AP5" s="331">
        <f>Yr_3</f>
        <v>45473</v>
      </c>
      <c r="AQ5" s="331">
        <f>Yr_4</f>
        <v>45838</v>
      </c>
      <c r="AR5" s="331">
        <f>Yr_5</f>
        <v>46203</v>
      </c>
      <c r="AS5" s="332"/>
      <c r="AT5" s="331">
        <f>CP_Yr_4</f>
        <v>43800</v>
      </c>
      <c r="AU5" s="331">
        <f>CP_Yr_5</f>
        <v>44166</v>
      </c>
      <c r="AV5" s="331">
        <f>Stub</f>
        <v>44377</v>
      </c>
      <c r="AW5" s="331">
        <f>Yr_1</f>
        <v>44742</v>
      </c>
      <c r="AX5" s="331">
        <f>Yr_2</f>
        <v>45107</v>
      </c>
      <c r="AY5" s="331">
        <f>Yr_3</f>
        <v>45473</v>
      </c>
      <c r="AZ5" s="331">
        <f>Yr_4</f>
        <v>45838</v>
      </c>
      <c r="BA5" s="331">
        <f>Yr_5</f>
        <v>46203</v>
      </c>
      <c r="BB5" s="332"/>
      <c r="BC5" s="331">
        <f>CP_Yr_4</f>
        <v>43800</v>
      </c>
      <c r="BD5" s="331">
        <f>CP_Yr_5</f>
        <v>44166</v>
      </c>
      <c r="BE5" s="331">
        <f>Stub</f>
        <v>44377</v>
      </c>
      <c r="BF5" s="331">
        <f>Yr_1</f>
        <v>44742</v>
      </c>
      <c r="BG5" s="331">
        <f>Yr_2</f>
        <v>45107</v>
      </c>
      <c r="BH5" s="331">
        <f>Yr_3</f>
        <v>45473</v>
      </c>
      <c r="BI5" s="331">
        <f>Yr_4</f>
        <v>45838</v>
      </c>
      <c r="BJ5" s="331">
        <f>Yr_5</f>
        <v>46203</v>
      </c>
    </row>
    <row r="6" spans="2:62">
      <c r="B6" s="7"/>
      <c r="C6" s="7"/>
      <c r="D6" s="7" t="s">
        <v>597</v>
      </c>
      <c r="E6" s="7" t="s">
        <v>49</v>
      </c>
      <c r="F6" s="7" t="s">
        <v>49</v>
      </c>
      <c r="G6" s="7" t="s">
        <v>34</v>
      </c>
      <c r="H6" s="7" t="s">
        <v>166</v>
      </c>
      <c r="I6" s="7" t="s">
        <v>332</v>
      </c>
      <c r="J6" s="45"/>
      <c r="K6" s="45"/>
      <c r="L6" s="45"/>
      <c r="M6" s="128">
        <v>12909.356716666665</v>
      </c>
      <c r="N6" s="128">
        <v>5978.810183333334</v>
      </c>
      <c r="O6" s="128">
        <v>13310.785883333334</v>
      </c>
      <c r="P6" s="128">
        <v>7027.8743333333341</v>
      </c>
      <c r="Q6" s="128">
        <v>6329.1528833333341</v>
      </c>
      <c r="R6" s="129"/>
      <c r="S6" s="128">
        <f>INDEX(Direct_Cost_Splits_Non_Ntwk,MATCH($H6,RIN_Asset_Cat_Non_Ntwk,0),MATCH($S$4,Direct_Cost_Type,0))*J6*HLOOKUP(S$5,Escalators!$I$25:$U$30,3,FALSE)</f>
        <v>0</v>
      </c>
      <c r="T6" s="128">
        <f>INDEX(Direct_Cost_Splits_Non_Ntwk,MATCH($H6,RIN_Asset_Cat_Non_Ntwk,0),MATCH($S$4,Direct_Cost_Type,0))*K6*HLOOKUP(T$5,Escalators!$I$25:$U$30,3,FALSE)</f>
        <v>0</v>
      </c>
      <c r="U6" s="128">
        <f>INDEX(Direct_Cost_Splits_Non_Ntwk,MATCH($H6,RIN_Asset_Cat_Non_Ntwk,0),MATCH($S$4,Direct_Cost_Type,0))*L6*HLOOKUP(U$5,Escalators!$I$25:$U$30,3,FALSE)</f>
        <v>0</v>
      </c>
      <c r="V6" s="128">
        <f>INDEX(Direct_Cost_Splits_Non_Ntwk,MATCH($H6,RIN_Asset_Cat_Non_Ntwk,0),MATCH($S$4,Direct_Cost_Type,0))*M6*HLOOKUP(V$5,Escalators!$I$25:$U$30,3,FALSE)</f>
        <v>2407.6121601303371</v>
      </c>
      <c r="W6" s="128">
        <f>INDEX(Direct_Cost_Splits_Non_Ntwk,MATCH($H6,RIN_Asset_Cat_Non_Ntwk,0),MATCH($S$4,Direct_Cost_Type,0))*N6*HLOOKUP(W$5,Escalators!$I$25:$U$30,3,FALSE)</f>
        <v>1120.5877080486209</v>
      </c>
      <c r="X6" s="128">
        <f>INDEX(Direct_Cost_Splits_Non_Ntwk,MATCH($H6,RIN_Asset_Cat_Non_Ntwk,0),MATCH($S$4,Direct_Cost_Type,0))*O6*HLOOKUP(X$5,Escalators!$I$25:$U$30,3,FALSE)</f>
        <v>2511.0420907359548</v>
      </c>
      <c r="Y6" s="128">
        <f>INDEX(Direct_Cost_Splits_Non_Ntwk,MATCH($H6,RIN_Asset_Cat_Non_Ntwk,0),MATCH($S$4,Direct_Cost_Type,0))*P6*HLOOKUP(Y$5,Escalators!$I$25:$U$30,3,FALSE)</f>
        <v>1338.9598390327403</v>
      </c>
      <c r="Z6" s="128">
        <f>INDEX(Direct_Cost_Splits_Non_Ntwk,MATCH($H6,RIN_Asset_Cat_Non_Ntwk,0),MATCH($S$4,Direct_Cost_Type,0))*Q6*HLOOKUP(Z$5,Escalators!$I$25:$U$30,3,FALSE)</f>
        <v>1221.6053611611717</v>
      </c>
      <c r="AA6" s="129"/>
      <c r="AB6" s="128">
        <f t="shared" ref="AB6:AI8" si="0">INDEX(Direct_Cost_Splits_Non_Ntwk,MATCH($H6,RIN_Asset_Cat_Non_Ntwk,0),MATCH($AB$4,Direct_Cost_Type,0))*J6</f>
        <v>0</v>
      </c>
      <c r="AC6" s="128">
        <f t="shared" si="0"/>
        <v>0</v>
      </c>
      <c r="AD6" s="128">
        <f t="shared" si="0"/>
        <v>0</v>
      </c>
      <c r="AE6" s="128">
        <f t="shared" si="0"/>
        <v>4446.4334276920226</v>
      </c>
      <c r="AF6" s="128">
        <f t="shared" si="0"/>
        <v>2059.3110904338832</v>
      </c>
      <c r="AG6" s="128">
        <f t="shared" si="0"/>
        <v>4584.6996561875758</v>
      </c>
      <c r="AH6" s="128">
        <f t="shared" si="0"/>
        <v>2420.6454316200002</v>
      </c>
      <c r="AI6" s="128">
        <f t="shared" si="0"/>
        <v>2179.9813551587481</v>
      </c>
      <c r="AJ6" s="129"/>
      <c r="AK6" s="128">
        <f>INDEX(Direct_Cost_Splits_Non_Ntwk,MATCH($H6,RIN_Asset_Cat_Non_Ntwk,0),MATCH($AK$4,Direct_Cost_Type,0))*J6*HLOOKUP(AK$5,Escalators!$I$25:$U$30,6,FALSE)</f>
        <v>0</v>
      </c>
      <c r="AL6" s="128">
        <f>INDEX(Direct_Cost_Splits_Non_Ntwk,MATCH($H6,RIN_Asset_Cat_Non_Ntwk,0),MATCH($AK$4,Direct_Cost_Type,0))*K6*HLOOKUP(AL$5,Escalators!$I$25:$U$30,6,FALSE)</f>
        <v>0</v>
      </c>
      <c r="AM6" s="128">
        <f>INDEX(Direct_Cost_Splits_Non_Ntwk,MATCH($H6,RIN_Asset_Cat_Non_Ntwk,0),MATCH($AK$4,Direct_Cost_Type,0))*L6*HLOOKUP(AM$5,Escalators!$I$25:$U$30,6,FALSE)</f>
        <v>0</v>
      </c>
      <c r="AN6" s="128">
        <f>INDEX(Direct_Cost_Splits_Non_Ntwk,MATCH($H6,RIN_Asset_Cat_Non_Ntwk,0),MATCH($AK$4,Direct_Cost_Type,0))*M6*HLOOKUP(AN$5,Escalators!$I$25:$U$30,6,FALSE)</f>
        <v>6131.5457319079569</v>
      </c>
      <c r="AO6" s="128">
        <f>INDEX(Direct_Cost_Splits_Non_Ntwk,MATCH($H6,RIN_Asset_Cat_Non_Ntwk,0),MATCH($AK$4,Direct_Cost_Type,0))*N6*HLOOKUP(AO$5,Escalators!$I$25:$U$30,6,FALSE)</f>
        <v>2839.7501801291282</v>
      </c>
      <c r="AP6" s="128">
        <f>INDEX(Direct_Cost_Splits_Non_Ntwk,MATCH($H6,RIN_Asset_Cat_Non_Ntwk,0),MATCH($AK$4,Direct_Cost_Type,0))*O6*HLOOKUP(AP$5,Escalators!$I$25:$U$30,6,FALSE)</f>
        <v>6322.2121878406997</v>
      </c>
      <c r="AQ6" s="128">
        <f>INDEX(Direct_Cost_Splits_Non_Ntwk,MATCH($H6,RIN_Asset_Cat_Non_Ntwk,0),MATCH($AK$4,Direct_Cost_Type,0))*P6*HLOOKUP(AQ$5,Escalators!$I$25:$U$30,6,FALSE)</f>
        <v>3338.0232507869091</v>
      </c>
      <c r="AR6" s="128">
        <f>INDEX(Direct_Cost_Splits_Non_Ntwk,MATCH($H6,RIN_Asset_Cat_Non_Ntwk,0),MATCH($AK$4,Direct_Cost_Type,0))*Q6*HLOOKUP(AR$5,Escalators!$I$25:$U$30,6,FALSE)</f>
        <v>3006.152142212703</v>
      </c>
      <c r="AS6" s="129"/>
      <c r="AT6" s="675">
        <f t="shared" ref="AT6:BA8" si="1">INDEX(Direct_Cost_Splits_Non_Ntwk,MATCH($H6,RIN_Asset_Cat_Non_Ntwk,0),MATCH($AT$4,Direct_Cost_Type,0))*J6</f>
        <v>0</v>
      </c>
      <c r="AU6" s="675">
        <f t="shared" si="1"/>
        <v>0</v>
      </c>
      <c r="AV6" s="675">
        <f t="shared" si="1"/>
        <v>0</v>
      </c>
      <c r="AW6" s="675">
        <f t="shared" si="1"/>
        <v>0</v>
      </c>
      <c r="AX6" s="675">
        <f t="shared" si="1"/>
        <v>0</v>
      </c>
      <c r="AY6" s="675">
        <f t="shared" si="1"/>
        <v>0</v>
      </c>
      <c r="AZ6" s="675">
        <f t="shared" si="1"/>
        <v>0</v>
      </c>
      <c r="BA6" s="675">
        <f t="shared" si="1"/>
        <v>0</v>
      </c>
      <c r="BB6" s="129"/>
      <c r="BC6" s="128">
        <f>S6+AB6+AK6+AT6</f>
        <v>0</v>
      </c>
      <c r="BD6" s="128">
        <f t="shared" ref="BD6:BE23" si="2">T6+AC6+AL6+AU6</f>
        <v>0</v>
      </c>
      <c r="BE6" s="128">
        <f t="shared" si="2"/>
        <v>0</v>
      </c>
      <c r="BF6" s="128">
        <f t="shared" ref="BF6:BF23" si="3">V6+AE6+AN6+AW6</f>
        <v>12985.591319730316</v>
      </c>
      <c r="BG6" s="128">
        <f t="shared" ref="BG6:BG23" si="4">W6+AF6+AO6+AX6</f>
        <v>6019.6489786116326</v>
      </c>
      <c r="BH6" s="128">
        <f t="shared" ref="BH6:BH23" si="5">X6+AG6+AP6+AY6</f>
        <v>13417.953934764231</v>
      </c>
      <c r="BI6" s="128">
        <f t="shared" ref="BI6:BI23" si="6">Y6+AH6+AQ6+AZ6</f>
        <v>7097.6285214396503</v>
      </c>
      <c r="BJ6" s="128">
        <f t="shared" ref="BJ6:BJ23" si="7">Z6+AI6+AR6+BA6</f>
        <v>6407.7388585326225</v>
      </c>
    </row>
    <row r="7" spans="2:62">
      <c r="B7" s="7"/>
      <c r="C7" s="7"/>
      <c r="D7" s="7" t="s">
        <v>598</v>
      </c>
      <c r="E7" s="7" t="s">
        <v>49</v>
      </c>
      <c r="F7" s="7" t="s">
        <v>49</v>
      </c>
      <c r="G7" s="7" t="s">
        <v>34</v>
      </c>
      <c r="H7" s="7" t="s">
        <v>166</v>
      </c>
      <c r="I7" s="7" t="s">
        <v>333</v>
      </c>
      <c r="J7" s="45"/>
      <c r="K7" s="45"/>
      <c r="L7" s="45"/>
      <c r="M7" s="128">
        <v>18685.56385016895</v>
      </c>
      <c r="N7" s="128">
        <v>17689.928473572309</v>
      </c>
      <c r="O7" s="128">
        <v>16440.741563470612</v>
      </c>
      <c r="P7" s="128">
        <v>15485.536297578037</v>
      </c>
      <c r="Q7" s="128">
        <v>14518.978634931582</v>
      </c>
      <c r="R7" s="129"/>
      <c r="S7" s="128">
        <f>INDEX(Direct_Cost_Splits_Non_Ntwk,MATCH($H7,RIN_Asset_Cat_Non_Ntwk,0),MATCH($S$4,Direct_Cost_Type,0))*J7*HLOOKUP(S$5,Escalators!$I$25:$U$30,3,FALSE)</f>
        <v>0</v>
      </c>
      <c r="T7" s="128">
        <f>INDEX(Direct_Cost_Splits_Non_Ntwk,MATCH($H7,RIN_Asset_Cat_Non_Ntwk,0),MATCH($S$4,Direct_Cost_Type,0))*K7*HLOOKUP(T$5,Escalators!$I$25:$U$30,3,FALSE)</f>
        <v>0</v>
      </c>
      <c r="U7" s="128">
        <f>INDEX(Direct_Cost_Splits_Non_Ntwk,MATCH($H7,RIN_Asset_Cat_Non_Ntwk,0),MATCH($S$4,Direct_Cost_Type,0))*L7*HLOOKUP(U$5,Escalators!$I$25:$U$30,3,FALSE)</f>
        <v>0</v>
      </c>
      <c r="V7" s="128">
        <f>INDEX(Direct_Cost_Splits_Non_Ntwk,MATCH($H7,RIN_Asset_Cat_Non_Ntwk,0),MATCH($S$4,Direct_Cost_Type,0))*M7*HLOOKUP(V$5,Escalators!$I$25:$U$30,3,FALSE)</f>
        <v>3484.8824563409289</v>
      </c>
      <c r="W7" s="128">
        <f>INDEX(Direct_Cost_Splits_Non_Ntwk,MATCH($H7,RIN_Asset_Cat_Non_Ntwk,0),MATCH($S$4,Direct_Cost_Type,0))*N7*HLOOKUP(W$5,Escalators!$I$25:$U$30,3,FALSE)</f>
        <v>3315.5620927728733</v>
      </c>
      <c r="X7" s="128">
        <f>INDEX(Direct_Cost_Splits_Non_Ntwk,MATCH($H7,RIN_Asset_Cat_Non_Ntwk,0),MATCH($S$4,Direct_Cost_Type,0))*O7*HLOOKUP(X$5,Escalators!$I$25:$U$30,3,FALSE)</f>
        <v>3101.4993728115192</v>
      </c>
      <c r="Y7" s="128">
        <f>INDEX(Direct_Cost_Splits_Non_Ntwk,MATCH($H7,RIN_Asset_Cat_Non_Ntwk,0),MATCH($S$4,Direct_Cost_Type,0))*P7*HLOOKUP(Y$5,Escalators!$I$25:$U$30,3,FALSE)</f>
        <v>2950.3246934847125</v>
      </c>
      <c r="Z7" s="128">
        <f>INDEX(Direct_Cost_Splits_Non_Ntwk,MATCH($H7,RIN_Asset_Cat_Non_Ntwk,0),MATCH($S$4,Direct_Cost_Type,0))*Q7*HLOOKUP(Z$5,Escalators!$I$25:$U$30,3,FALSE)</f>
        <v>2802.3437679507883</v>
      </c>
      <c r="AA7" s="129"/>
      <c r="AB7" s="128">
        <f t="shared" si="0"/>
        <v>0</v>
      </c>
      <c r="AC7" s="128">
        <f t="shared" si="0"/>
        <v>0</v>
      </c>
      <c r="AD7" s="128">
        <f t="shared" si="0"/>
        <v>0</v>
      </c>
      <c r="AE7" s="128">
        <f t="shared" si="0"/>
        <v>6435.9609500447741</v>
      </c>
      <c r="AF7" s="128">
        <f t="shared" si="0"/>
        <v>6093.0293448954244</v>
      </c>
      <c r="AG7" s="128">
        <f t="shared" si="0"/>
        <v>5662.7657340572141</v>
      </c>
      <c r="AH7" s="128">
        <f t="shared" si="0"/>
        <v>5333.7596714167148</v>
      </c>
      <c r="AI7" s="128">
        <f t="shared" si="0"/>
        <v>5000.8434467504258</v>
      </c>
      <c r="AJ7" s="129"/>
      <c r="AK7" s="128">
        <f>INDEX(Direct_Cost_Splits_Non_Ntwk,MATCH($H7,RIN_Asset_Cat_Non_Ntwk,0),MATCH($AK$4,Direct_Cost_Type,0))*J7*HLOOKUP(AK$5,Escalators!$I$25:$U$30,6,FALSE)</f>
        <v>0</v>
      </c>
      <c r="AL7" s="128">
        <f>INDEX(Direct_Cost_Splits_Non_Ntwk,MATCH($H7,RIN_Asset_Cat_Non_Ntwk,0),MATCH($AK$4,Direct_Cost_Type,0))*K7*HLOOKUP(AL$5,Escalators!$I$25:$U$30,6,FALSE)</f>
        <v>0</v>
      </c>
      <c r="AM7" s="128">
        <f>INDEX(Direct_Cost_Splits_Non_Ntwk,MATCH($H7,RIN_Asset_Cat_Non_Ntwk,0),MATCH($AK$4,Direct_Cost_Type,0))*L7*HLOOKUP(AM$5,Escalators!$I$25:$U$30,6,FALSE)</f>
        <v>0</v>
      </c>
      <c r="AN7" s="128">
        <f>INDEX(Direct_Cost_Splits_Non_Ntwk,MATCH($H7,RIN_Asset_Cat_Non_Ntwk,0),MATCH($AK$4,Direct_Cost_Type,0))*M7*HLOOKUP(AN$5,Escalators!$I$25:$U$30,6,FALSE)</f>
        <v>8875.0657208100292</v>
      </c>
      <c r="AO7" s="128">
        <f>INDEX(Direct_Cost_Splits_Non_Ntwk,MATCH($H7,RIN_Asset_Cat_Non_Ntwk,0),MATCH($AK$4,Direct_Cost_Type,0))*N7*HLOOKUP(AO$5,Escalators!$I$25:$U$30,6,FALSE)</f>
        <v>8402.1696673586503</v>
      </c>
      <c r="AP7" s="128">
        <f>INDEX(Direct_Cost_Splits_Non_Ntwk,MATCH($H7,RIN_Asset_Cat_Non_Ntwk,0),MATCH($AK$4,Direct_Cost_Type,0))*O7*HLOOKUP(AP$5,Escalators!$I$25:$U$30,6,FALSE)</f>
        <v>7808.8444664909275</v>
      </c>
      <c r="AQ7" s="128">
        <f>INDEX(Direct_Cost_Splits_Non_Ntwk,MATCH($H7,RIN_Asset_Cat_Non_Ntwk,0),MATCH($AK$4,Direct_Cost_Type,0))*P7*HLOOKUP(AQ$5,Escalators!$I$25:$U$30,6,FALSE)</f>
        <v>7355.1514669305334</v>
      </c>
      <c r="AR7" s="128">
        <f>INDEX(Direct_Cost_Splits_Non_Ntwk,MATCH($H7,RIN_Asset_Cat_Non_Ntwk,0),MATCH($AK$4,Direct_Cost_Type,0))*Q7*HLOOKUP(AR$5,Escalators!$I$25:$U$30,6,FALSE)</f>
        <v>6896.0664295334809</v>
      </c>
      <c r="AS7" s="129"/>
      <c r="AT7" s="675">
        <f t="shared" si="1"/>
        <v>0</v>
      </c>
      <c r="AU7" s="675">
        <f t="shared" si="1"/>
        <v>0</v>
      </c>
      <c r="AV7" s="675">
        <f t="shared" si="1"/>
        <v>0</v>
      </c>
      <c r="AW7" s="675">
        <f t="shared" si="1"/>
        <v>0</v>
      </c>
      <c r="AX7" s="675">
        <f t="shared" si="1"/>
        <v>0</v>
      </c>
      <c r="AY7" s="675">
        <f t="shared" si="1"/>
        <v>0</v>
      </c>
      <c r="AZ7" s="675">
        <f t="shared" si="1"/>
        <v>0</v>
      </c>
      <c r="BA7" s="675">
        <f t="shared" si="1"/>
        <v>0</v>
      </c>
      <c r="BB7" s="129"/>
      <c r="BC7" s="128">
        <f t="shared" ref="BC7:BC23" si="8">S7+AB7+AK7+AT7</f>
        <v>0</v>
      </c>
      <c r="BD7" s="128">
        <f t="shared" si="2"/>
        <v>0</v>
      </c>
      <c r="BE7" s="128">
        <f t="shared" si="2"/>
        <v>0</v>
      </c>
      <c r="BF7" s="128">
        <f t="shared" si="3"/>
        <v>18795.90912719573</v>
      </c>
      <c r="BG7" s="128">
        <f t="shared" si="4"/>
        <v>17810.761105026948</v>
      </c>
      <c r="BH7" s="128">
        <f t="shared" si="5"/>
        <v>16573.109573359659</v>
      </c>
      <c r="BI7" s="128">
        <f t="shared" si="6"/>
        <v>15639.23583183196</v>
      </c>
      <c r="BJ7" s="128">
        <f t="shared" si="7"/>
        <v>14699.253644234695</v>
      </c>
    </row>
    <row r="8" spans="2:62">
      <c r="B8" s="7"/>
      <c r="C8" s="7"/>
      <c r="D8" s="7" t="s">
        <v>599</v>
      </c>
      <c r="E8" s="7" t="s">
        <v>49</v>
      </c>
      <c r="F8" s="7" t="s">
        <v>49</v>
      </c>
      <c r="G8" s="7" t="s">
        <v>34</v>
      </c>
      <c r="H8" s="7" t="s">
        <v>166</v>
      </c>
      <c r="I8" s="7" t="s">
        <v>329</v>
      </c>
      <c r="J8" s="45"/>
      <c r="K8" s="45"/>
      <c r="L8" s="45"/>
      <c r="M8" s="128">
        <v>619.99999999999989</v>
      </c>
      <c r="N8" s="128">
        <v>139.99999999999997</v>
      </c>
      <c r="O8" s="128">
        <v>819.99999999999989</v>
      </c>
      <c r="P8" s="128">
        <v>199.99999999999997</v>
      </c>
      <c r="Q8" s="128">
        <v>219.99999999999994</v>
      </c>
      <c r="R8" s="129"/>
      <c r="S8" s="128">
        <f>INDEX(Direct_Cost_Splits_Non_Ntwk,MATCH($H8,RIN_Asset_Cat_Non_Ntwk,0),MATCH($S$4,Direct_Cost_Type,0))*J8*HLOOKUP(S$5,Escalators!$I$25:$U$30,3,FALSE)</f>
        <v>0</v>
      </c>
      <c r="T8" s="128">
        <f>INDEX(Direct_Cost_Splits_Non_Ntwk,MATCH($H8,RIN_Asset_Cat_Non_Ntwk,0),MATCH($S$4,Direct_Cost_Type,0))*K8*HLOOKUP(T$5,Escalators!$I$25:$U$30,3,FALSE)</f>
        <v>0</v>
      </c>
      <c r="U8" s="128">
        <f>INDEX(Direct_Cost_Splits_Non_Ntwk,MATCH($H8,RIN_Asset_Cat_Non_Ntwk,0),MATCH($S$4,Direct_Cost_Type,0))*L8*HLOOKUP(U$5,Escalators!$I$25:$U$30,3,FALSE)</f>
        <v>0</v>
      </c>
      <c r="V8" s="128">
        <f>INDEX(Direct_Cost_Splits_Non_Ntwk,MATCH($H8,RIN_Asset_Cat_Non_Ntwk,0),MATCH($S$4,Direct_Cost_Type,0))*M8*HLOOKUP(V$5,Escalators!$I$25:$U$30,3,FALSE)</f>
        <v>115.63082282431846</v>
      </c>
      <c r="W8" s="128">
        <f>INDEX(Direct_Cost_Splits_Non_Ntwk,MATCH($H8,RIN_Asset_Cat_Non_Ntwk,0),MATCH($S$4,Direct_Cost_Type,0))*N8*HLOOKUP(W$5,Escalators!$I$25:$U$30,3,FALSE)</f>
        <v>26.239715648463882</v>
      </c>
      <c r="X8" s="128">
        <f>INDEX(Direct_Cost_Splits_Non_Ntwk,MATCH($H8,RIN_Asset_Cat_Non_Ntwk,0),MATCH($S$4,Direct_Cost_Type,0))*O8*HLOOKUP(X$5,Escalators!$I$25:$U$30,3,FALSE)</f>
        <v>154.69067960755501</v>
      </c>
      <c r="Y8" s="128">
        <f>INDEX(Direct_Cost_Splits_Non_Ntwk,MATCH($H8,RIN_Asset_Cat_Non_Ntwk,0),MATCH($S$4,Direct_Cost_Type,0))*P8*HLOOKUP(Y$5,Escalators!$I$25:$U$30,3,FALSE)</f>
        <v>38.104262413516125</v>
      </c>
      <c r="Z8" s="128">
        <f>INDEX(Direct_Cost_Splits_Non_Ntwk,MATCH($H8,RIN_Asset_Cat_Non_Ntwk,0),MATCH($S$4,Direct_Cost_Type,0))*Q8*HLOOKUP(Z$5,Escalators!$I$25:$U$30,3,FALSE)</f>
        <v>42.462740971729417</v>
      </c>
      <c r="AA8" s="129"/>
      <c r="AB8" s="128">
        <f t="shared" si="0"/>
        <v>0</v>
      </c>
      <c r="AC8" s="128">
        <f t="shared" si="0"/>
        <v>0</v>
      </c>
      <c r="AD8" s="128">
        <f t="shared" si="0"/>
        <v>0</v>
      </c>
      <c r="AE8" s="128">
        <f t="shared" si="0"/>
        <v>213.54965903218812</v>
      </c>
      <c r="AF8" s="128">
        <f t="shared" si="0"/>
        <v>48.220890749203761</v>
      </c>
      <c r="AG8" s="128">
        <f t="shared" si="0"/>
        <v>282.43664581676495</v>
      </c>
      <c r="AH8" s="128">
        <f t="shared" si="0"/>
        <v>68.886986784576806</v>
      </c>
      <c r="AI8" s="128">
        <f t="shared" si="0"/>
        <v>75.775685463034478</v>
      </c>
      <c r="AJ8" s="129"/>
      <c r="AK8" s="128">
        <f>INDEX(Direct_Cost_Splits_Non_Ntwk,MATCH($H8,RIN_Asset_Cat_Non_Ntwk,0),MATCH($AK$4,Direct_Cost_Type,0))*J8*HLOOKUP(AK$5,Escalators!$I$25:$U$30,6,FALSE)</f>
        <v>0</v>
      </c>
      <c r="AL8" s="128">
        <f>INDEX(Direct_Cost_Splits_Non_Ntwk,MATCH($H8,RIN_Asset_Cat_Non_Ntwk,0),MATCH($AK$4,Direct_Cost_Type,0))*K8*HLOOKUP(AL$5,Escalators!$I$25:$U$30,6,FALSE)</f>
        <v>0</v>
      </c>
      <c r="AM8" s="128">
        <f>INDEX(Direct_Cost_Splits_Non_Ntwk,MATCH($H8,RIN_Asset_Cat_Non_Ntwk,0),MATCH($AK$4,Direct_Cost_Type,0))*L8*HLOOKUP(AM$5,Escalators!$I$25:$U$30,6,FALSE)</f>
        <v>0</v>
      </c>
      <c r="AN8" s="128">
        <f>INDEX(Direct_Cost_Splits_Non_Ntwk,MATCH($H8,RIN_Asset_Cat_Non_Ntwk,0),MATCH($AK$4,Direct_Cost_Type,0))*M8*HLOOKUP(AN$5,Escalators!$I$25:$U$30,6,FALSE)</f>
        <v>294.48085115464494</v>
      </c>
      <c r="AO8" s="128">
        <f>INDEX(Direct_Cost_Splits_Non_Ntwk,MATCH($H8,RIN_Asset_Cat_Non_Ntwk,0),MATCH($AK$4,Direct_Cost_Type,0))*N8*HLOOKUP(AO$5,Escalators!$I$25:$U$30,6,FALSE)</f>
        <v>66.495676067177897</v>
      </c>
      <c r="AP8" s="128">
        <f>INDEX(Direct_Cost_Splits_Non_Ntwk,MATCH($H8,RIN_Asset_Cat_Non_Ntwk,0),MATCH($AK$4,Direct_Cost_Type,0))*O8*HLOOKUP(AP$5,Escalators!$I$25:$U$30,6,FALSE)</f>
        <v>389.47467410775624</v>
      </c>
      <c r="AQ8" s="128">
        <f>INDEX(Direct_Cost_Splits_Non_Ntwk,MATCH($H8,RIN_Asset_Cat_Non_Ntwk,0),MATCH($AK$4,Direct_Cost_Type,0))*P8*HLOOKUP(AQ$5,Escalators!$I$25:$U$30,6,FALSE)</f>
        <v>94.993822953111277</v>
      </c>
      <c r="AR8" s="128">
        <f>INDEX(Direct_Cost_Splits_Non_Ntwk,MATCH($H8,RIN_Asset_Cat_Non_Ntwk,0),MATCH($AK$4,Direct_Cost_Type,0))*Q8*HLOOKUP(AR$5,Escalators!$I$25:$U$30,6,FALSE)</f>
        <v>104.4932052484224</v>
      </c>
      <c r="AS8" s="129"/>
      <c r="AT8" s="675">
        <f t="shared" si="1"/>
        <v>0</v>
      </c>
      <c r="AU8" s="675">
        <f t="shared" si="1"/>
        <v>0</v>
      </c>
      <c r="AV8" s="675">
        <f t="shared" si="1"/>
        <v>0</v>
      </c>
      <c r="AW8" s="675">
        <f t="shared" si="1"/>
        <v>0</v>
      </c>
      <c r="AX8" s="675">
        <f t="shared" si="1"/>
        <v>0</v>
      </c>
      <c r="AY8" s="675">
        <f t="shared" si="1"/>
        <v>0</v>
      </c>
      <c r="AZ8" s="675">
        <f t="shared" si="1"/>
        <v>0</v>
      </c>
      <c r="BA8" s="675">
        <f t="shared" si="1"/>
        <v>0</v>
      </c>
      <c r="BB8" s="129"/>
      <c r="BC8" s="128">
        <f t="shared" si="8"/>
        <v>0</v>
      </c>
      <c r="BD8" s="128">
        <f t="shared" si="2"/>
        <v>0</v>
      </c>
      <c r="BE8" s="128">
        <f t="shared" si="2"/>
        <v>0</v>
      </c>
      <c r="BF8" s="128">
        <f t="shared" si="3"/>
        <v>623.66133301115156</v>
      </c>
      <c r="BG8" s="128">
        <f t="shared" si="4"/>
        <v>140.95628246484554</v>
      </c>
      <c r="BH8" s="128">
        <f t="shared" si="5"/>
        <v>826.60199953207621</v>
      </c>
      <c r="BI8" s="128">
        <f t="shared" si="6"/>
        <v>201.98507215120421</v>
      </c>
      <c r="BJ8" s="128">
        <f t="shared" si="7"/>
        <v>222.73163168318629</v>
      </c>
    </row>
    <row r="9" spans="2:62">
      <c r="B9" s="7"/>
      <c r="C9" s="7"/>
      <c r="D9" s="7" t="s">
        <v>600</v>
      </c>
      <c r="E9" s="7" t="s">
        <v>49</v>
      </c>
      <c r="F9" s="7" t="s">
        <v>49</v>
      </c>
      <c r="G9" s="7" t="s">
        <v>34</v>
      </c>
      <c r="H9" s="7" t="s">
        <v>166</v>
      </c>
      <c r="I9" s="7" t="s">
        <v>333</v>
      </c>
      <c r="J9" s="45"/>
      <c r="K9" s="45"/>
      <c r="L9" s="45"/>
      <c r="M9" s="128">
        <v>1249.0452880242547</v>
      </c>
      <c r="N9" s="128">
        <v>1604.7860346134412</v>
      </c>
      <c r="O9" s="128">
        <v>1894.8515664477009</v>
      </c>
      <c r="P9" s="128">
        <v>2257.8895591207684</v>
      </c>
      <c r="Q9" s="128">
        <v>2620.9275517938349</v>
      </c>
      <c r="R9" s="129"/>
      <c r="S9" s="128">
        <f>INDEX(Direct_Cost_Splits_Non_Ntwk,MATCH($H9,RIN_Asset_Cat_Non_Ntwk,0),MATCH($S$4,Direct_Cost_Type,0))*J9*HLOOKUP(S$5,Escalators!$I$25:$U$30,3,FALSE)</f>
        <v>0</v>
      </c>
      <c r="T9" s="128">
        <f>INDEX(Direct_Cost_Splits_Non_Ntwk,MATCH($H9,RIN_Asset_Cat_Non_Ntwk,0),MATCH($S$4,Direct_Cost_Type,0))*K9*HLOOKUP(T$5,Escalators!$I$25:$U$30,3,FALSE)</f>
        <v>0</v>
      </c>
      <c r="U9" s="128">
        <f>INDEX(Direct_Cost_Splits_Non_Ntwk,MATCH($H9,RIN_Asset_Cat_Non_Ntwk,0),MATCH($S$4,Direct_Cost_Type,0))*L9*HLOOKUP(U$5,Escalators!$I$25:$U$30,3,FALSE)</f>
        <v>0</v>
      </c>
      <c r="V9" s="128">
        <f>INDEX(Direct_Cost_Splits_Non_Ntwk,MATCH($H9,RIN_Asset_Cat_Non_Ntwk,0),MATCH($S$4,Direct_Cost_Type,0))*M9*HLOOKUP(V$5,Escalators!$I$25:$U$30,3,FALSE)</f>
        <v>232.94860386948778</v>
      </c>
      <c r="W9" s="128">
        <f>INDEX(Direct_Cost_Splits_Non_Ntwk,MATCH($H9,RIN_Asset_Cat_Non_Ntwk,0),MATCH($S$4,Direct_Cost_Type,0))*N9*HLOOKUP(W$5,Escalators!$I$25:$U$30,3,FALSE)</f>
        <v>300.77949446344735</v>
      </c>
      <c r="X9" s="128">
        <f>INDEX(Direct_Cost_Splits_Non_Ntwk,MATCH($H9,RIN_Asset_Cat_Non_Ntwk,0),MATCH($S$4,Direct_Cost_Type,0))*O9*HLOOKUP(X$5,Escalators!$I$25:$U$30,3,FALSE)</f>
        <v>357.45838606004276</v>
      </c>
      <c r="Y9" s="128">
        <f>INDEX(Direct_Cost_Splits_Non_Ntwk,MATCH($H9,RIN_Asset_Cat_Non_Ntwk,0),MATCH($S$4,Direct_Cost_Type,0))*P9*HLOOKUP(Y$5,Escalators!$I$25:$U$30,3,FALSE)</f>
        <v>430.17608130737995</v>
      </c>
      <c r="Z9" s="128">
        <f>INDEX(Direct_Cost_Splits_Non_Ntwk,MATCH($H9,RIN_Asset_Cat_Non_Ntwk,0),MATCH($S$4,Direct_Cost_Type,0))*Q9*HLOOKUP(Z$5,Escalators!$I$25:$U$30,3,FALSE)</f>
        <v>505.87167153404801</v>
      </c>
      <c r="AA9" s="129"/>
      <c r="AB9" s="128">
        <f t="shared" ref="AB9" si="9">INDEX(Direct_Cost_Splits_Non_Ntwk,MATCH($H9,RIN_Asset_Cat_Non_Ntwk,0),MATCH($AB$4,Direct_Cost_Type,0))*J9</f>
        <v>0</v>
      </c>
      <c r="AC9" s="128">
        <f t="shared" ref="AC9" si="10">INDEX(Direct_Cost_Splits_Non_Ntwk,MATCH($H9,RIN_Asset_Cat_Non_Ntwk,0),MATCH($AB$4,Direct_Cost_Type,0))*K9</f>
        <v>0</v>
      </c>
      <c r="AD9" s="128">
        <f t="shared" ref="AD9" si="11">INDEX(Direct_Cost_Splits_Non_Ntwk,MATCH($H9,RIN_Asset_Cat_Non_Ntwk,0),MATCH($AB$4,Direct_Cost_Type,0))*L9</f>
        <v>0</v>
      </c>
      <c r="AE9" s="128">
        <f t="shared" ref="AE9" si="12">INDEX(Direct_Cost_Splits_Non_Ntwk,MATCH($H9,RIN_Asset_Cat_Non_Ntwk,0),MATCH($AB$4,Direct_Cost_Type,0))*M9</f>
        <v>430.2148312473239</v>
      </c>
      <c r="AF9" s="128">
        <f t="shared" ref="AF9" si="13">INDEX(Direct_Cost_Splits_Non_Ntwk,MATCH($H9,RIN_Asset_Cat_Non_Ntwk,0),MATCH($AB$4,Direct_Cost_Type,0))*N9</f>
        <v>552.74437179244785</v>
      </c>
      <c r="AG9" s="128">
        <f t="shared" ref="AG9" si="14">INDEX(Direct_Cost_Splits_Non_Ntwk,MATCH($H9,RIN_Asset_Cat_Non_Ntwk,0),MATCH($AB$4,Direct_Cost_Type,0))*O9</f>
        <v>652.65307408308729</v>
      </c>
      <c r="AH9" s="128">
        <f t="shared" ref="AH9" si="15">INDEX(Direct_Cost_Splits_Non_Ntwk,MATCH($H9,RIN_Asset_Cat_Non_Ntwk,0),MATCH($AB$4,Direct_Cost_Type,0))*P9</f>
        <v>777.69604110093178</v>
      </c>
      <c r="AI9" s="128">
        <f t="shared" ref="AI9" si="16">INDEX(Direct_Cost_Splits_Non_Ntwk,MATCH($H9,RIN_Asset_Cat_Non_Ntwk,0),MATCH($AB$4,Direct_Cost_Type,0))*Q9</f>
        <v>902.73900811877593</v>
      </c>
      <c r="AJ9" s="129"/>
      <c r="AK9" s="128">
        <f>INDEX(Direct_Cost_Splits_Non_Ntwk,MATCH($H9,RIN_Asset_Cat_Non_Ntwk,0),MATCH($AK$4,Direct_Cost_Type,0))*J9*HLOOKUP(AK$5,Escalators!$I$25:$U$30,6,FALSE)</f>
        <v>0</v>
      </c>
      <c r="AL9" s="128">
        <f>INDEX(Direct_Cost_Splits_Non_Ntwk,MATCH($H9,RIN_Asset_Cat_Non_Ntwk,0),MATCH($AK$4,Direct_Cost_Type,0))*K9*HLOOKUP(AL$5,Escalators!$I$25:$U$30,6,FALSE)</f>
        <v>0</v>
      </c>
      <c r="AM9" s="128">
        <f>INDEX(Direct_Cost_Splits_Non_Ntwk,MATCH($H9,RIN_Asset_Cat_Non_Ntwk,0),MATCH($AK$4,Direct_Cost_Type,0))*L9*HLOOKUP(AM$5,Escalators!$I$25:$U$30,6,FALSE)</f>
        <v>0</v>
      </c>
      <c r="AN9" s="128">
        <f>INDEX(Direct_Cost_Splits_Non_Ntwk,MATCH($H9,RIN_Asset_Cat_Non_Ntwk,0),MATCH($AK$4,Direct_Cost_Type,0))*M9*HLOOKUP(AN$5,Escalators!$I$25:$U$30,6,FALSE)</f>
        <v>593.25793475496971</v>
      </c>
      <c r="AO9" s="128">
        <f>INDEX(Direct_Cost_Splits_Non_Ntwk,MATCH($H9,RIN_Asset_Cat_Non_Ntwk,0),MATCH($AK$4,Direct_Cost_Type,0))*N9*HLOOKUP(AO$5,Escalators!$I$25:$U$30,6,FALSE)</f>
        <v>762.22380224847382</v>
      </c>
      <c r="AP9" s="128">
        <f>INDEX(Direct_Cost_Splits_Non_Ntwk,MATCH($H9,RIN_Asset_Cat_Non_Ntwk,0),MATCH($AK$4,Direct_Cost_Type,0))*O9*HLOOKUP(AP$5,Escalators!$I$25:$U$30,6,FALSE)</f>
        <v>899.99597112779247</v>
      </c>
      <c r="AQ9" s="128">
        <f>INDEX(Direct_Cost_Splits_Non_Ntwk,MATCH($H9,RIN_Asset_Cat_Non_Ntwk,0),MATCH($AK$4,Direct_Cost_Type,0))*P9*HLOOKUP(AQ$5,Escalators!$I$25:$U$30,6,FALSE)</f>
        <v>1072.4278051339838</v>
      </c>
      <c r="AR9" s="128">
        <f>INDEX(Direct_Cost_Splits_Non_Ntwk,MATCH($H9,RIN_Asset_Cat_Non_Ntwk,0),MATCH($AK$4,Direct_Cost_Type,0))*Q9*HLOOKUP(AR$5,Escalators!$I$25:$U$30,6,FALSE)</f>
        <v>1244.859639140175</v>
      </c>
      <c r="AS9" s="129"/>
      <c r="AT9" s="675">
        <f t="shared" ref="AT9" si="17">INDEX(Direct_Cost_Splits_Non_Ntwk,MATCH($H9,RIN_Asset_Cat_Non_Ntwk,0),MATCH($AT$4,Direct_Cost_Type,0))*J9</f>
        <v>0</v>
      </c>
      <c r="AU9" s="675">
        <f t="shared" ref="AU9" si="18">INDEX(Direct_Cost_Splits_Non_Ntwk,MATCH($H9,RIN_Asset_Cat_Non_Ntwk,0),MATCH($AT$4,Direct_Cost_Type,0))*K9</f>
        <v>0</v>
      </c>
      <c r="AV9" s="675">
        <f t="shared" ref="AV9" si="19">INDEX(Direct_Cost_Splits_Non_Ntwk,MATCH($H9,RIN_Asset_Cat_Non_Ntwk,0),MATCH($AT$4,Direct_Cost_Type,0))*L9</f>
        <v>0</v>
      </c>
      <c r="AW9" s="675">
        <f t="shared" ref="AW9" si="20">INDEX(Direct_Cost_Splits_Non_Ntwk,MATCH($H9,RIN_Asset_Cat_Non_Ntwk,0),MATCH($AT$4,Direct_Cost_Type,0))*M9</f>
        <v>0</v>
      </c>
      <c r="AX9" s="675">
        <f t="shared" ref="AX9" si="21">INDEX(Direct_Cost_Splits_Non_Ntwk,MATCH($H9,RIN_Asset_Cat_Non_Ntwk,0),MATCH($AT$4,Direct_Cost_Type,0))*N9</f>
        <v>0</v>
      </c>
      <c r="AY9" s="675">
        <f t="shared" ref="AY9" si="22">INDEX(Direct_Cost_Splits_Non_Ntwk,MATCH($H9,RIN_Asset_Cat_Non_Ntwk,0),MATCH($AT$4,Direct_Cost_Type,0))*O9</f>
        <v>0</v>
      </c>
      <c r="AZ9" s="675">
        <f t="shared" ref="AZ9" si="23">INDEX(Direct_Cost_Splits_Non_Ntwk,MATCH($H9,RIN_Asset_Cat_Non_Ntwk,0),MATCH($AT$4,Direct_Cost_Type,0))*P9</f>
        <v>0</v>
      </c>
      <c r="BA9" s="675">
        <f t="shared" ref="BA9" si="24">INDEX(Direct_Cost_Splits_Non_Ntwk,MATCH($H9,RIN_Asset_Cat_Non_Ntwk,0),MATCH($AT$4,Direct_Cost_Type,0))*Q9</f>
        <v>0</v>
      </c>
      <c r="BB9" s="129"/>
      <c r="BC9" s="128">
        <f t="shared" si="8"/>
        <v>0</v>
      </c>
      <c r="BD9" s="128">
        <f t="shared" si="2"/>
        <v>0</v>
      </c>
      <c r="BE9" s="128">
        <f t="shared" si="2"/>
        <v>0</v>
      </c>
      <c r="BF9" s="128">
        <f t="shared" si="3"/>
        <v>1256.4213698717813</v>
      </c>
      <c r="BG9" s="128">
        <f t="shared" si="4"/>
        <v>1615.7476685043689</v>
      </c>
      <c r="BH9" s="128">
        <f t="shared" si="5"/>
        <v>1910.1074312709225</v>
      </c>
      <c r="BI9" s="128">
        <f t="shared" si="6"/>
        <v>2280.2999275422953</v>
      </c>
      <c r="BJ9" s="128">
        <f t="shared" si="7"/>
        <v>2653.470318792999</v>
      </c>
    </row>
    <row r="10" spans="2:62">
      <c r="B10" s="7"/>
      <c r="C10" s="7"/>
      <c r="D10" s="7"/>
      <c r="E10" s="7" t="s">
        <v>49</v>
      </c>
      <c r="F10" s="7" t="s">
        <v>49</v>
      </c>
      <c r="G10" s="7" t="s">
        <v>34</v>
      </c>
      <c r="H10" s="7" t="s">
        <v>166</v>
      </c>
      <c r="I10" s="7" t="s">
        <v>333</v>
      </c>
      <c r="J10" s="45"/>
      <c r="K10" s="45"/>
      <c r="L10" s="45"/>
      <c r="M10" s="45"/>
      <c r="N10" s="45"/>
      <c r="O10" s="45"/>
      <c r="P10" s="45"/>
      <c r="Q10" s="45"/>
      <c r="S10" s="47">
        <f>INDEX(Direct_Cost_Splits_Non_Ntwk,MATCH($H10,RIN_Asset_Cat_Non_Ntwk,0),MATCH($S$4,Direct_Cost_Type,0))*J10*HLOOKUP(S$5,Escalators!$I$25:$U$30,3,FALSE)</f>
        <v>0</v>
      </c>
      <c r="T10" s="47">
        <f>INDEX(Direct_Cost_Splits_Non_Ntwk,MATCH($H10,RIN_Asset_Cat_Non_Ntwk,0),MATCH($S$4,Direct_Cost_Type,0))*K10*HLOOKUP(T$5,Escalators!$I$25:$U$30,3,FALSE)</f>
        <v>0</v>
      </c>
      <c r="U10" s="47">
        <f>INDEX(Direct_Cost_Splits_Non_Ntwk,MATCH($H10,RIN_Asset_Cat_Non_Ntwk,0),MATCH($S$4,Direct_Cost_Type,0))*L10*HLOOKUP(U$5,Escalators!$I$25:$U$30,3,FALSE)</f>
        <v>0</v>
      </c>
      <c r="V10" s="47">
        <f>INDEX(Direct_Cost_Splits_Non_Ntwk,MATCH($H10,RIN_Asset_Cat_Non_Ntwk,0),MATCH($S$4,Direct_Cost_Type,0))*M10*HLOOKUP(V$5,Escalators!$I$25:$U$30,3,FALSE)</f>
        <v>0</v>
      </c>
      <c r="W10" s="47">
        <f>INDEX(Direct_Cost_Splits_Non_Ntwk,MATCH($H10,RIN_Asset_Cat_Non_Ntwk,0),MATCH($S$4,Direct_Cost_Type,0))*N10*HLOOKUP(W$5,Escalators!$I$25:$U$30,3,FALSE)</f>
        <v>0</v>
      </c>
      <c r="X10" s="47">
        <f>INDEX(Direct_Cost_Splits_Non_Ntwk,MATCH($H10,RIN_Asset_Cat_Non_Ntwk,0),MATCH($S$4,Direct_Cost_Type,0))*O10*HLOOKUP(X$5,Escalators!$I$25:$U$30,3,FALSE)</f>
        <v>0</v>
      </c>
      <c r="Y10" s="47">
        <f>INDEX(Direct_Cost_Splits_Non_Ntwk,MATCH($H10,RIN_Asset_Cat_Non_Ntwk,0),MATCH($S$4,Direct_Cost_Type,0))*P10*HLOOKUP(Y$5,Escalators!$I$25:$U$30,3,FALSE)</f>
        <v>0</v>
      </c>
      <c r="Z10" s="47">
        <f>INDEX(Direct_Cost_Splits_Non_Ntwk,MATCH($H10,RIN_Asset_Cat_Non_Ntwk,0),MATCH($S$4,Direct_Cost_Type,0))*Q10*HLOOKUP(Z$5,Escalators!$I$25:$U$30,3,FALSE)</f>
        <v>0</v>
      </c>
      <c r="AB10" s="47">
        <f t="shared" ref="AB10" si="25">INDEX(Direct_Cost_Splits_Non_Ntwk,MATCH($H10,RIN_Asset_Cat_Non_Ntwk,0),MATCH($AB$4,Direct_Cost_Type,0))*J10</f>
        <v>0</v>
      </c>
      <c r="AC10" s="47">
        <f t="shared" ref="AC10:AD10" si="26">INDEX(Direct_Cost_Splits_Non_Ntwk,MATCH($H10,RIN_Asset_Cat_Non_Ntwk,0),MATCH($AB$4,Direct_Cost_Type,0))*K10</f>
        <v>0</v>
      </c>
      <c r="AD10" s="47">
        <f t="shared" si="26"/>
        <v>0</v>
      </c>
      <c r="AE10" s="47">
        <f t="shared" ref="AE10" si="27">INDEX(Direct_Cost_Splits_Non_Ntwk,MATCH($H10,RIN_Asset_Cat_Non_Ntwk,0),MATCH($AB$4,Direct_Cost_Type,0))*M10</f>
        <v>0</v>
      </c>
      <c r="AF10" s="47">
        <f t="shared" ref="AF10" si="28">INDEX(Direct_Cost_Splits_Non_Ntwk,MATCH($H10,RIN_Asset_Cat_Non_Ntwk,0),MATCH($AB$4,Direct_Cost_Type,0))*N10</f>
        <v>0</v>
      </c>
      <c r="AG10" s="47">
        <f t="shared" ref="AG10" si="29">INDEX(Direct_Cost_Splits_Non_Ntwk,MATCH($H10,RIN_Asset_Cat_Non_Ntwk,0),MATCH($AB$4,Direct_Cost_Type,0))*O10</f>
        <v>0</v>
      </c>
      <c r="AH10" s="47">
        <f t="shared" ref="AH10" si="30">INDEX(Direct_Cost_Splits_Non_Ntwk,MATCH($H10,RIN_Asset_Cat_Non_Ntwk,0),MATCH($AB$4,Direct_Cost_Type,0))*P10</f>
        <v>0</v>
      </c>
      <c r="AI10" s="47">
        <f t="shared" ref="AI10" si="31">INDEX(Direct_Cost_Splits_Non_Ntwk,MATCH($H10,RIN_Asset_Cat_Non_Ntwk,0),MATCH($AB$4,Direct_Cost_Type,0))*Q10</f>
        <v>0</v>
      </c>
      <c r="AK10" s="47">
        <f>INDEX(Direct_Cost_Splits_Non_Ntwk,MATCH($H10,RIN_Asset_Cat_Non_Ntwk,0),MATCH($AK$4,Direct_Cost_Type,0))*J10*HLOOKUP(AK$5,Escalators!$I$25:$U$30,6,FALSE)</f>
        <v>0</v>
      </c>
      <c r="AL10" s="47">
        <f>INDEX(Direct_Cost_Splits_Non_Ntwk,MATCH($H10,RIN_Asset_Cat_Non_Ntwk,0),MATCH($AK$4,Direct_Cost_Type,0))*K10*HLOOKUP(AL$5,Escalators!$I$25:$U$30,6,FALSE)</f>
        <v>0</v>
      </c>
      <c r="AM10" s="47">
        <f>INDEX(Direct_Cost_Splits_Non_Ntwk,MATCH($H10,RIN_Asset_Cat_Non_Ntwk,0),MATCH($AK$4,Direct_Cost_Type,0))*L10*HLOOKUP(AM$5,Escalators!$I$25:$U$30,6,FALSE)</f>
        <v>0</v>
      </c>
      <c r="AN10" s="47">
        <f>INDEX(Direct_Cost_Splits_Non_Ntwk,MATCH($H10,RIN_Asset_Cat_Non_Ntwk,0),MATCH($AK$4,Direct_Cost_Type,0))*M10*HLOOKUP(AN$5,Escalators!$I$25:$U$30,6,FALSE)</f>
        <v>0</v>
      </c>
      <c r="AO10" s="47">
        <f>INDEX(Direct_Cost_Splits_Non_Ntwk,MATCH($H10,RIN_Asset_Cat_Non_Ntwk,0),MATCH($AK$4,Direct_Cost_Type,0))*N10*HLOOKUP(AO$5,Escalators!$I$25:$U$30,6,FALSE)</f>
        <v>0</v>
      </c>
      <c r="AP10" s="47">
        <f>INDEX(Direct_Cost_Splits_Non_Ntwk,MATCH($H10,RIN_Asset_Cat_Non_Ntwk,0),MATCH($AK$4,Direct_Cost_Type,0))*O10*HLOOKUP(AP$5,Escalators!$I$25:$U$30,6,FALSE)</f>
        <v>0</v>
      </c>
      <c r="AQ10" s="47">
        <f>INDEX(Direct_Cost_Splits_Non_Ntwk,MATCH($H10,RIN_Asset_Cat_Non_Ntwk,0),MATCH($AK$4,Direct_Cost_Type,0))*P10*HLOOKUP(AQ$5,Escalators!$I$25:$U$30,6,FALSE)</f>
        <v>0</v>
      </c>
      <c r="AR10" s="47">
        <f>INDEX(Direct_Cost_Splits_Non_Ntwk,MATCH($H10,RIN_Asset_Cat_Non_Ntwk,0),MATCH($AK$4,Direct_Cost_Type,0))*Q10*HLOOKUP(AR$5,Escalators!$I$25:$U$30,6,FALSE)</f>
        <v>0</v>
      </c>
      <c r="AT10" s="82">
        <f t="shared" ref="AT10" si="32">INDEX(Direct_Cost_Splits_Non_Ntwk,MATCH($H10,RIN_Asset_Cat_Non_Ntwk,0),MATCH($AT$4,Direct_Cost_Type,0))*J10</f>
        <v>0</v>
      </c>
      <c r="AU10" s="82">
        <f t="shared" ref="AU10:AV10" si="33">INDEX(Direct_Cost_Splits_Non_Ntwk,MATCH($H10,RIN_Asset_Cat_Non_Ntwk,0),MATCH($AT$4,Direct_Cost_Type,0))*K10</f>
        <v>0</v>
      </c>
      <c r="AV10" s="82">
        <f t="shared" si="33"/>
        <v>0</v>
      </c>
      <c r="AW10" s="82">
        <f t="shared" ref="AW10" si="34">INDEX(Direct_Cost_Splits_Non_Ntwk,MATCH($H10,RIN_Asset_Cat_Non_Ntwk,0),MATCH($AT$4,Direct_Cost_Type,0))*M10</f>
        <v>0</v>
      </c>
      <c r="AX10" s="82">
        <f t="shared" ref="AX10" si="35">INDEX(Direct_Cost_Splits_Non_Ntwk,MATCH($H10,RIN_Asset_Cat_Non_Ntwk,0),MATCH($AT$4,Direct_Cost_Type,0))*N10</f>
        <v>0</v>
      </c>
      <c r="AY10" s="82">
        <f t="shared" ref="AY10" si="36">INDEX(Direct_Cost_Splits_Non_Ntwk,MATCH($H10,RIN_Asset_Cat_Non_Ntwk,0),MATCH($AT$4,Direct_Cost_Type,0))*O10</f>
        <v>0</v>
      </c>
      <c r="AZ10" s="82">
        <f t="shared" ref="AZ10" si="37">INDEX(Direct_Cost_Splits_Non_Ntwk,MATCH($H10,RIN_Asset_Cat_Non_Ntwk,0),MATCH($AT$4,Direct_Cost_Type,0))*P10</f>
        <v>0</v>
      </c>
      <c r="BA10" s="82">
        <f t="shared" ref="BA10" si="38">INDEX(Direct_Cost_Splits_Non_Ntwk,MATCH($H10,RIN_Asset_Cat_Non_Ntwk,0),MATCH($AT$4,Direct_Cost_Type,0))*Q10</f>
        <v>0</v>
      </c>
      <c r="BC10" s="369">
        <f t="shared" si="8"/>
        <v>0</v>
      </c>
      <c r="BD10" s="369">
        <f t="shared" si="2"/>
        <v>0</v>
      </c>
      <c r="BE10" s="47">
        <f t="shared" si="2"/>
        <v>0</v>
      </c>
      <c r="BF10" s="47">
        <f t="shared" si="3"/>
        <v>0</v>
      </c>
      <c r="BG10" s="47">
        <f t="shared" si="4"/>
        <v>0</v>
      </c>
      <c r="BH10" s="47">
        <f t="shared" si="5"/>
        <v>0</v>
      </c>
      <c r="BI10" s="47">
        <f t="shared" si="6"/>
        <v>0</v>
      </c>
      <c r="BJ10" s="47">
        <f t="shared" si="7"/>
        <v>0</v>
      </c>
    </row>
    <row r="11" spans="2:62">
      <c r="B11" s="7"/>
      <c r="C11" s="7"/>
      <c r="D11" s="7"/>
      <c r="E11" s="7" t="s">
        <v>49</v>
      </c>
      <c r="F11" s="7" t="s">
        <v>49</v>
      </c>
      <c r="G11" s="7" t="s">
        <v>34</v>
      </c>
      <c r="H11" s="7" t="s">
        <v>166</v>
      </c>
      <c r="I11" s="7" t="s">
        <v>332</v>
      </c>
      <c r="J11" s="45"/>
      <c r="K11" s="45"/>
      <c r="L11" s="45"/>
      <c r="M11" s="45"/>
      <c r="N11" s="45"/>
      <c r="O11" s="45"/>
      <c r="P11" s="45"/>
      <c r="Q11" s="45"/>
      <c r="S11" s="47">
        <f>INDEX(Direct_Cost_Splits_Non_Ntwk,MATCH($H11,RIN_Asset_Cat_Non_Ntwk,0),MATCH($S$4,Direct_Cost_Type,0))*J11*HLOOKUP(S$5,Escalators!$I$25:$U$30,3,FALSE)</f>
        <v>0</v>
      </c>
      <c r="T11" s="47">
        <f>INDEX(Direct_Cost_Splits_Non_Ntwk,MATCH($H11,RIN_Asset_Cat_Non_Ntwk,0),MATCH($S$4,Direct_Cost_Type,0))*K11*HLOOKUP(T$5,Escalators!$I$25:$U$30,3,FALSE)</f>
        <v>0</v>
      </c>
      <c r="U11" s="47">
        <f>INDEX(Direct_Cost_Splits_Non_Ntwk,MATCH($H11,RIN_Asset_Cat_Non_Ntwk,0),MATCH($S$4,Direct_Cost_Type,0))*L11*HLOOKUP(U$5,Escalators!$I$25:$U$30,3,FALSE)</f>
        <v>0</v>
      </c>
      <c r="V11" s="47">
        <f>INDEX(Direct_Cost_Splits_Non_Ntwk,MATCH($H11,RIN_Asset_Cat_Non_Ntwk,0),MATCH($S$4,Direct_Cost_Type,0))*M11*HLOOKUP(V$5,Escalators!$I$25:$U$30,3,FALSE)</f>
        <v>0</v>
      </c>
      <c r="W11" s="47">
        <f>INDEX(Direct_Cost_Splits_Non_Ntwk,MATCH($H11,RIN_Asset_Cat_Non_Ntwk,0),MATCH($S$4,Direct_Cost_Type,0))*N11*HLOOKUP(W$5,Escalators!$I$25:$U$30,3,FALSE)</f>
        <v>0</v>
      </c>
      <c r="X11" s="47">
        <f>INDEX(Direct_Cost_Splits_Non_Ntwk,MATCH($H11,RIN_Asset_Cat_Non_Ntwk,0),MATCH($S$4,Direct_Cost_Type,0))*O11*HLOOKUP(X$5,Escalators!$I$25:$U$30,3,FALSE)</f>
        <v>0</v>
      </c>
      <c r="Y11" s="47">
        <f>INDEX(Direct_Cost_Splits_Non_Ntwk,MATCH($H11,RIN_Asset_Cat_Non_Ntwk,0),MATCH($S$4,Direct_Cost_Type,0))*P11*HLOOKUP(Y$5,Escalators!$I$25:$U$30,3,FALSE)</f>
        <v>0</v>
      </c>
      <c r="Z11" s="47">
        <f>INDEX(Direct_Cost_Splits_Non_Ntwk,MATCH($H11,RIN_Asset_Cat_Non_Ntwk,0),MATCH($S$4,Direct_Cost_Type,0))*Q11*HLOOKUP(Z$5,Escalators!$I$25:$U$30,3,FALSE)</f>
        <v>0</v>
      </c>
      <c r="AB11" s="47">
        <f t="shared" ref="AB11" si="39">INDEX(Direct_Cost_Splits_Non_Ntwk,MATCH($H11,RIN_Asset_Cat_Non_Ntwk,0),MATCH($AB$4,Direct_Cost_Type,0))*J11</f>
        <v>0</v>
      </c>
      <c r="AC11" s="47">
        <f t="shared" ref="AC11:AD11" si="40">INDEX(Direct_Cost_Splits_Non_Ntwk,MATCH($H11,RIN_Asset_Cat_Non_Ntwk,0),MATCH($AB$4,Direct_Cost_Type,0))*K11</f>
        <v>0</v>
      </c>
      <c r="AD11" s="47">
        <f t="shared" si="40"/>
        <v>0</v>
      </c>
      <c r="AE11" s="47">
        <f t="shared" ref="AE11" si="41">INDEX(Direct_Cost_Splits_Non_Ntwk,MATCH($H11,RIN_Asset_Cat_Non_Ntwk,0),MATCH($AB$4,Direct_Cost_Type,0))*M11</f>
        <v>0</v>
      </c>
      <c r="AF11" s="47">
        <f t="shared" ref="AF11" si="42">INDEX(Direct_Cost_Splits_Non_Ntwk,MATCH($H11,RIN_Asset_Cat_Non_Ntwk,0),MATCH($AB$4,Direct_Cost_Type,0))*N11</f>
        <v>0</v>
      </c>
      <c r="AG11" s="47">
        <f t="shared" ref="AG11" si="43">INDEX(Direct_Cost_Splits_Non_Ntwk,MATCH($H11,RIN_Asset_Cat_Non_Ntwk,0),MATCH($AB$4,Direct_Cost_Type,0))*O11</f>
        <v>0</v>
      </c>
      <c r="AH11" s="47">
        <f t="shared" ref="AH11" si="44">INDEX(Direct_Cost_Splits_Non_Ntwk,MATCH($H11,RIN_Asset_Cat_Non_Ntwk,0),MATCH($AB$4,Direct_Cost_Type,0))*P11</f>
        <v>0</v>
      </c>
      <c r="AI11" s="47">
        <f t="shared" ref="AI11" si="45">INDEX(Direct_Cost_Splits_Non_Ntwk,MATCH($H11,RIN_Asset_Cat_Non_Ntwk,0),MATCH($AB$4,Direct_Cost_Type,0))*Q11</f>
        <v>0</v>
      </c>
      <c r="AK11" s="47">
        <f>INDEX(Direct_Cost_Splits_Non_Ntwk,MATCH($H11,RIN_Asset_Cat_Non_Ntwk,0),MATCH($AK$4,Direct_Cost_Type,0))*J11*HLOOKUP(AK$5,Escalators!$I$25:$U$30,6,FALSE)</f>
        <v>0</v>
      </c>
      <c r="AL11" s="47">
        <f>INDEX(Direct_Cost_Splits_Non_Ntwk,MATCH($H11,RIN_Asset_Cat_Non_Ntwk,0),MATCH($AK$4,Direct_Cost_Type,0))*K11*HLOOKUP(AL$5,Escalators!$I$25:$U$30,6,FALSE)</f>
        <v>0</v>
      </c>
      <c r="AM11" s="47">
        <f>INDEX(Direct_Cost_Splits_Non_Ntwk,MATCH($H11,RIN_Asset_Cat_Non_Ntwk,0),MATCH($AK$4,Direct_Cost_Type,0))*L11*HLOOKUP(AM$5,Escalators!$I$25:$U$30,6,FALSE)</f>
        <v>0</v>
      </c>
      <c r="AN11" s="47">
        <f>INDEX(Direct_Cost_Splits_Non_Ntwk,MATCH($H11,RIN_Asset_Cat_Non_Ntwk,0),MATCH($AK$4,Direct_Cost_Type,0))*M11*HLOOKUP(AN$5,Escalators!$I$25:$U$30,6,FALSE)</f>
        <v>0</v>
      </c>
      <c r="AO11" s="47">
        <f>INDEX(Direct_Cost_Splits_Non_Ntwk,MATCH($H11,RIN_Asset_Cat_Non_Ntwk,0),MATCH($AK$4,Direct_Cost_Type,0))*N11*HLOOKUP(AO$5,Escalators!$I$25:$U$30,6,FALSE)</f>
        <v>0</v>
      </c>
      <c r="AP11" s="47">
        <f>INDEX(Direct_Cost_Splits_Non_Ntwk,MATCH($H11,RIN_Asset_Cat_Non_Ntwk,0),MATCH($AK$4,Direct_Cost_Type,0))*O11*HLOOKUP(AP$5,Escalators!$I$25:$U$30,6,FALSE)</f>
        <v>0</v>
      </c>
      <c r="AQ11" s="47">
        <f>INDEX(Direct_Cost_Splits_Non_Ntwk,MATCH($H11,RIN_Asset_Cat_Non_Ntwk,0),MATCH($AK$4,Direct_Cost_Type,0))*P11*HLOOKUP(AQ$5,Escalators!$I$25:$U$30,6,FALSE)</f>
        <v>0</v>
      </c>
      <c r="AR11" s="47">
        <f>INDEX(Direct_Cost_Splits_Non_Ntwk,MATCH($H11,RIN_Asset_Cat_Non_Ntwk,0),MATCH($AK$4,Direct_Cost_Type,0))*Q11*HLOOKUP(AR$5,Escalators!$I$25:$U$30,6,FALSE)</f>
        <v>0</v>
      </c>
      <c r="AT11" s="82">
        <f t="shared" ref="AT11" si="46">INDEX(Direct_Cost_Splits_Non_Ntwk,MATCH($H11,RIN_Asset_Cat_Non_Ntwk,0),MATCH($AT$4,Direct_Cost_Type,0))*J11</f>
        <v>0</v>
      </c>
      <c r="AU11" s="82">
        <f t="shared" ref="AU11:AV11" si="47">INDEX(Direct_Cost_Splits_Non_Ntwk,MATCH($H11,RIN_Asset_Cat_Non_Ntwk,0),MATCH($AT$4,Direct_Cost_Type,0))*K11</f>
        <v>0</v>
      </c>
      <c r="AV11" s="82">
        <f t="shared" si="47"/>
        <v>0</v>
      </c>
      <c r="AW11" s="82">
        <f t="shared" ref="AW11" si="48">INDEX(Direct_Cost_Splits_Non_Ntwk,MATCH($H11,RIN_Asset_Cat_Non_Ntwk,0),MATCH($AT$4,Direct_Cost_Type,0))*M11</f>
        <v>0</v>
      </c>
      <c r="AX11" s="82">
        <f t="shared" ref="AX11" si="49">INDEX(Direct_Cost_Splits_Non_Ntwk,MATCH($H11,RIN_Asset_Cat_Non_Ntwk,0),MATCH($AT$4,Direct_Cost_Type,0))*N11</f>
        <v>0</v>
      </c>
      <c r="AY11" s="82">
        <f t="shared" ref="AY11" si="50">INDEX(Direct_Cost_Splits_Non_Ntwk,MATCH($H11,RIN_Asset_Cat_Non_Ntwk,0),MATCH($AT$4,Direct_Cost_Type,0))*O11</f>
        <v>0</v>
      </c>
      <c r="AZ11" s="82">
        <f t="shared" ref="AZ11" si="51">INDEX(Direct_Cost_Splits_Non_Ntwk,MATCH($H11,RIN_Asset_Cat_Non_Ntwk,0),MATCH($AT$4,Direct_Cost_Type,0))*P11</f>
        <v>0</v>
      </c>
      <c r="BA11" s="82">
        <f t="shared" ref="BA11" si="52">INDEX(Direct_Cost_Splits_Non_Ntwk,MATCH($H11,RIN_Asset_Cat_Non_Ntwk,0),MATCH($AT$4,Direct_Cost_Type,0))*Q11</f>
        <v>0</v>
      </c>
      <c r="BC11" s="369">
        <f t="shared" si="8"/>
        <v>0</v>
      </c>
      <c r="BD11" s="369">
        <f t="shared" si="2"/>
        <v>0</v>
      </c>
      <c r="BE11" s="47">
        <f t="shared" si="2"/>
        <v>0</v>
      </c>
      <c r="BF11" s="47">
        <f t="shared" si="3"/>
        <v>0</v>
      </c>
      <c r="BG11" s="47">
        <f t="shared" si="4"/>
        <v>0</v>
      </c>
      <c r="BH11" s="47">
        <f t="shared" si="5"/>
        <v>0</v>
      </c>
      <c r="BI11" s="47">
        <f t="shared" si="6"/>
        <v>0</v>
      </c>
      <c r="BJ11" s="47">
        <f t="shared" si="7"/>
        <v>0</v>
      </c>
    </row>
    <row r="12" spans="2:62">
      <c r="B12" s="7"/>
      <c r="C12" s="7"/>
      <c r="D12" s="7"/>
      <c r="E12" s="7"/>
      <c r="F12" s="7"/>
      <c r="G12" s="7"/>
      <c r="H12" s="7"/>
      <c r="I12" s="7"/>
      <c r="J12" s="45"/>
      <c r="K12" s="45"/>
      <c r="L12" s="45"/>
      <c r="M12" s="45"/>
      <c r="N12" s="45"/>
      <c r="O12" s="45"/>
      <c r="P12" s="45"/>
      <c r="Q12" s="45"/>
      <c r="S12" s="47"/>
      <c r="T12" s="47"/>
      <c r="U12" s="47"/>
      <c r="V12" s="47"/>
      <c r="W12" s="47"/>
      <c r="X12" s="47"/>
      <c r="Y12" s="47"/>
      <c r="Z12" s="47"/>
      <c r="AB12" s="47"/>
      <c r="AC12" s="47"/>
      <c r="AD12" s="47"/>
      <c r="AE12" s="47"/>
      <c r="AF12" s="47"/>
      <c r="AG12" s="47"/>
      <c r="AH12" s="47"/>
      <c r="AI12" s="47"/>
      <c r="AK12" s="47"/>
      <c r="AL12" s="47"/>
      <c r="AM12" s="47"/>
      <c r="AN12" s="47"/>
      <c r="AO12" s="47"/>
      <c r="AP12" s="47"/>
      <c r="AQ12" s="47"/>
      <c r="AR12" s="47"/>
      <c r="AT12" s="82"/>
      <c r="AU12" s="82"/>
      <c r="AV12" s="82"/>
      <c r="AW12" s="82"/>
      <c r="AX12" s="82"/>
      <c r="AY12" s="82"/>
      <c r="AZ12" s="82"/>
      <c r="BA12" s="82"/>
      <c r="BC12" s="369">
        <f t="shared" si="8"/>
        <v>0</v>
      </c>
      <c r="BD12" s="369">
        <f t="shared" si="2"/>
        <v>0</v>
      </c>
      <c r="BE12" s="47">
        <f t="shared" si="2"/>
        <v>0</v>
      </c>
      <c r="BF12" s="47">
        <f t="shared" si="3"/>
        <v>0</v>
      </c>
      <c r="BG12" s="47">
        <f t="shared" si="4"/>
        <v>0</v>
      </c>
      <c r="BH12" s="47">
        <f t="shared" si="5"/>
        <v>0</v>
      </c>
      <c r="BI12" s="47">
        <f t="shared" si="6"/>
        <v>0</v>
      </c>
      <c r="BJ12" s="47">
        <f t="shared" si="7"/>
        <v>0</v>
      </c>
    </row>
    <row r="13" spans="2:62">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K13" s="47"/>
      <c r="AL13" s="47"/>
      <c r="AM13" s="47"/>
      <c r="AN13" s="47"/>
      <c r="AO13" s="47"/>
      <c r="AP13" s="47"/>
      <c r="AQ13" s="47"/>
      <c r="AR13" s="47"/>
      <c r="AT13" s="82"/>
      <c r="AU13" s="82"/>
      <c r="AV13" s="82"/>
      <c r="AW13" s="82"/>
      <c r="AX13" s="82"/>
      <c r="AY13" s="82"/>
      <c r="AZ13" s="82"/>
      <c r="BA13" s="82"/>
      <c r="BC13" s="369">
        <f t="shared" ref="BC13:BC19" si="53">S13+AB13+AK13+AT13</f>
        <v>0</v>
      </c>
      <c r="BD13" s="369">
        <f t="shared" ref="BD13:BE19" si="54">T13+AC13+AL13+AU13</f>
        <v>0</v>
      </c>
      <c r="BE13" s="47">
        <f t="shared" si="54"/>
        <v>0</v>
      </c>
      <c r="BF13" s="47">
        <f t="shared" ref="BF13:BF19" si="55">V13+AE13+AN13+AW13</f>
        <v>0</v>
      </c>
      <c r="BG13" s="47">
        <f t="shared" ref="BG13:BG19" si="56">W13+AF13+AO13+AX13</f>
        <v>0</v>
      </c>
      <c r="BH13" s="47">
        <f t="shared" ref="BH13:BH19" si="57">X13+AG13+AP13+AY13</f>
        <v>0</v>
      </c>
      <c r="BI13" s="47">
        <f t="shared" ref="BI13:BI19" si="58">Y13+AH13+AQ13+AZ13</f>
        <v>0</v>
      </c>
      <c r="BJ13" s="47">
        <f t="shared" ref="BJ13:BJ19" si="59">Z13+AI13+AR13+BA13</f>
        <v>0</v>
      </c>
    </row>
    <row r="14" spans="2:62">
      <c r="B14" s="7"/>
      <c r="C14" s="7"/>
      <c r="D14" s="7"/>
      <c r="E14" s="7"/>
      <c r="F14" s="7"/>
      <c r="G14" s="7"/>
      <c r="H14" s="7"/>
      <c r="I14" s="7"/>
      <c r="J14" s="45"/>
      <c r="K14" s="45"/>
      <c r="L14" s="45"/>
      <c r="M14" s="45"/>
      <c r="N14" s="45"/>
      <c r="O14" s="45"/>
      <c r="P14" s="45"/>
      <c r="Q14" s="45"/>
      <c r="S14" s="47"/>
      <c r="T14" s="47"/>
      <c r="U14" s="47"/>
      <c r="V14" s="47"/>
      <c r="W14" s="47"/>
      <c r="X14" s="47"/>
      <c r="Y14" s="47"/>
      <c r="Z14" s="47"/>
      <c r="AB14" s="47"/>
      <c r="AC14" s="47"/>
      <c r="AD14" s="47"/>
      <c r="AE14" s="47"/>
      <c r="AF14" s="47"/>
      <c r="AG14" s="47"/>
      <c r="AH14" s="47"/>
      <c r="AI14" s="47"/>
      <c r="AK14" s="47"/>
      <c r="AL14" s="47"/>
      <c r="AM14" s="47"/>
      <c r="AN14" s="47"/>
      <c r="AO14" s="47"/>
      <c r="AP14" s="47"/>
      <c r="AQ14" s="47"/>
      <c r="AR14" s="47"/>
      <c r="AT14" s="82"/>
      <c r="AU14" s="82"/>
      <c r="AV14" s="82"/>
      <c r="AW14" s="82"/>
      <c r="AX14" s="82"/>
      <c r="AY14" s="82"/>
      <c r="AZ14" s="82"/>
      <c r="BA14" s="82"/>
      <c r="BC14" s="369">
        <f t="shared" si="53"/>
        <v>0</v>
      </c>
      <c r="BD14" s="369">
        <f t="shared" si="54"/>
        <v>0</v>
      </c>
      <c r="BE14" s="47">
        <f t="shared" si="54"/>
        <v>0</v>
      </c>
      <c r="BF14" s="47">
        <f t="shared" si="55"/>
        <v>0</v>
      </c>
      <c r="BG14" s="47">
        <f t="shared" si="56"/>
        <v>0</v>
      </c>
      <c r="BH14" s="47">
        <f t="shared" si="57"/>
        <v>0</v>
      </c>
      <c r="BI14" s="47">
        <f t="shared" si="58"/>
        <v>0</v>
      </c>
      <c r="BJ14" s="47">
        <f t="shared" si="59"/>
        <v>0</v>
      </c>
    </row>
    <row r="15" spans="2:62">
      <c r="B15" s="7"/>
      <c r="C15" s="7"/>
      <c r="D15" s="7"/>
      <c r="E15" s="7"/>
      <c r="F15" s="7"/>
      <c r="G15" s="7"/>
      <c r="H15" s="7"/>
      <c r="I15" s="7"/>
      <c r="J15" s="45"/>
      <c r="K15" s="45"/>
      <c r="L15" s="45"/>
      <c r="M15" s="45"/>
      <c r="N15" s="45"/>
      <c r="O15" s="45"/>
      <c r="P15" s="45"/>
      <c r="Q15" s="45"/>
      <c r="S15" s="47"/>
      <c r="T15" s="47"/>
      <c r="U15" s="47"/>
      <c r="V15" s="47"/>
      <c r="W15" s="47"/>
      <c r="X15" s="47"/>
      <c r="Y15" s="47"/>
      <c r="Z15" s="47"/>
      <c r="AB15" s="47"/>
      <c r="AC15" s="47"/>
      <c r="AD15" s="47"/>
      <c r="AE15" s="47"/>
      <c r="AF15" s="47"/>
      <c r="AG15" s="47"/>
      <c r="AH15" s="47"/>
      <c r="AI15" s="47"/>
      <c r="AK15" s="47"/>
      <c r="AL15" s="47"/>
      <c r="AM15" s="47"/>
      <c r="AN15" s="47"/>
      <c r="AO15" s="47"/>
      <c r="AP15" s="47"/>
      <c r="AQ15" s="47"/>
      <c r="AR15" s="47"/>
      <c r="AT15" s="82"/>
      <c r="AU15" s="82"/>
      <c r="AV15" s="82"/>
      <c r="AW15" s="82"/>
      <c r="AX15" s="82"/>
      <c r="AY15" s="82"/>
      <c r="AZ15" s="82"/>
      <c r="BA15" s="82"/>
      <c r="BC15" s="369">
        <f t="shared" si="53"/>
        <v>0</v>
      </c>
      <c r="BD15" s="369">
        <f t="shared" si="54"/>
        <v>0</v>
      </c>
      <c r="BE15" s="47">
        <f t="shared" si="54"/>
        <v>0</v>
      </c>
      <c r="BF15" s="47">
        <f t="shared" si="55"/>
        <v>0</v>
      </c>
      <c r="BG15" s="47">
        <f t="shared" si="56"/>
        <v>0</v>
      </c>
      <c r="BH15" s="47">
        <f t="shared" si="57"/>
        <v>0</v>
      </c>
      <c r="BI15" s="47">
        <f t="shared" si="58"/>
        <v>0</v>
      </c>
      <c r="BJ15" s="47">
        <f t="shared" si="59"/>
        <v>0</v>
      </c>
    </row>
    <row r="16" spans="2:62">
      <c r="B16" s="7"/>
      <c r="C16" s="7"/>
      <c r="D16" s="7"/>
      <c r="E16" s="7"/>
      <c r="F16" s="7"/>
      <c r="G16" s="7"/>
      <c r="H16" s="7"/>
      <c r="I16" s="7"/>
      <c r="J16" s="45"/>
      <c r="K16" s="45"/>
      <c r="L16" s="45"/>
      <c r="M16" s="45"/>
      <c r="N16" s="45"/>
      <c r="O16" s="45"/>
      <c r="P16" s="45"/>
      <c r="Q16" s="45"/>
      <c r="S16" s="47"/>
      <c r="T16" s="47"/>
      <c r="U16" s="47"/>
      <c r="V16" s="47"/>
      <c r="W16" s="47"/>
      <c r="X16" s="47"/>
      <c r="Y16" s="47"/>
      <c r="Z16" s="47"/>
      <c r="AB16" s="47"/>
      <c r="AC16" s="47"/>
      <c r="AD16" s="47"/>
      <c r="AE16" s="47"/>
      <c r="AF16" s="47"/>
      <c r="AG16" s="47"/>
      <c r="AH16" s="47"/>
      <c r="AI16" s="47"/>
      <c r="AK16" s="47"/>
      <c r="AL16" s="47"/>
      <c r="AM16" s="47"/>
      <c r="AN16" s="47"/>
      <c r="AO16" s="47"/>
      <c r="AP16" s="47"/>
      <c r="AQ16" s="47"/>
      <c r="AR16" s="47"/>
      <c r="AT16" s="82"/>
      <c r="AU16" s="82"/>
      <c r="AV16" s="82"/>
      <c r="AW16" s="82"/>
      <c r="AX16" s="82"/>
      <c r="AY16" s="82"/>
      <c r="AZ16" s="82"/>
      <c r="BA16" s="82"/>
      <c r="BC16" s="369">
        <f t="shared" si="53"/>
        <v>0</v>
      </c>
      <c r="BD16" s="369">
        <f t="shared" si="54"/>
        <v>0</v>
      </c>
      <c r="BE16" s="47">
        <f t="shared" si="54"/>
        <v>0</v>
      </c>
      <c r="BF16" s="47">
        <f t="shared" si="55"/>
        <v>0</v>
      </c>
      <c r="BG16" s="47">
        <f t="shared" si="56"/>
        <v>0</v>
      </c>
      <c r="BH16" s="47">
        <f t="shared" si="57"/>
        <v>0</v>
      </c>
      <c r="BI16" s="47">
        <f t="shared" si="58"/>
        <v>0</v>
      </c>
      <c r="BJ16" s="47">
        <f t="shared" si="59"/>
        <v>0</v>
      </c>
    </row>
    <row r="17" spans="2:62">
      <c r="B17" s="7"/>
      <c r="C17" s="7"/>
      <c r="D17" s="7"/>
      <c r="E17" s="7"/>
      <c r="F17" s="7"/>
      <c r="G17" s="7"/>
      <c r="H17" s="7"/>
      <c r="I17" s="7"/>
      <c r="J17" s="45"/>
      <c r="K17" s="45"/>
      <c r="L17" s="45"/>
      <c r="M17" s="45"/>
      <c r="N17" s="45"/>
      <c r="O17" s="45"/>
      <c r="P17" s="45"/>
      <c r="Q17" s="45"/>
      <c r="S17" s="47"/>
      <c r="T17" s="47"/>
      <c r="U17" s="47"/>
      <c r="V17" s="47"/>
      <c r="W17" s="47"/>
      <c r="X17" s="47"/>
      <c r="Y17" s="47"/>
      <c r="Z17" s="47"/>
      <c r="AB17" s="47"/>
      <c r="AC17" s="47"/>
      <c r="AD17" s="47"/>
      <c r="AE17" s="47"/>
      <c r="AF17" s="47"/>
      <c r="AG17" s="47"/>
      <c r="AH17" s="47"/>
      <c r="AI17" s="47"/>
      <c r="AK17" s="47"/>
      <c r="AL17" s="47"/>
      <c r="AM17" s="47"/>
      <c r="AN17" s="47"/>
      <c r="AO17" s="47"/>
      <c r="AP17" s="47"/>
      <c r="AQ17" s="47"/>
      <c r="AR17" s="47"/>
      <c r="AT17" s="82"/>
      <c r="AU17" s="82"/>
      <c r="AV17" s="82"/>
      <c r="AW17" s="82"/>
      <c r="AX17" s="82"/>
      <c r="AY17" s="82"/>
      <c r="AZ17" s="82"/>
      <c r="BA17" s="82"/>
      <c r="BC17" s="369">
        <f t="shared" si="53"/>
        <v>0</v>
      </c>
      <c r="BD17" s="369">
        <f t="shared" si="54"/>
        <v>0</v>
      </c>
      <c r="BE17" s="47">
        <f t="shared" si="54"/>
        <v>0</v>
      </c>
      <c r="BF17" s="47">
        <f t="shared" si="55"/>
        <v>0</v>
      </c>
      <c r="BG17" s="47">
        <f t="shared" si="56"/>
        <v>0</v>
      </c>
      <c r="BH17" s="47">
        <f t="shared" si="57"/>
        <v>0</v>
      </c>
      <c r="BI17" s="47">
        <f t="shared" si="58"/>
        <v>0</v>
      </c>
      <c r="BJ17" s="47">
        <f t="shared" si="59"/>
        <v>0</v>
      </c>
    </row>
    <row r="18" spans="2:62">
      <c r="B18" s="7"/>
      <c r="C18" s="7"/>
      <c r="D18" s="7"/>
      <c r="E18" s="7"/>
      <c r="F18" s="7"/>
      <c r="G18" s="7"/>
      <c r="H18" s="7"/>
      <c r="I18" s="7"/>
      <c r="J18" s="45"/>
      <c r="K18" s="45"/>
      <c r="L18" s="45"/>
      <c r="M18" s="45"/>
      <c r="N18" s="45"/>
      <c r="O18" s="45"/>
      <c r="P18" s="45"/>
      <c r="Q18" s="45"/>
      <c r="S18" s="47"/>
      <c r="T18" s="47"/>
      <c r="U18" s="47"/>
      <c r="V18" s="47"/>
      <c r="W18" s="47"/>
      <c r="X18" s="47"/>
      <c r="Y18" s="47"/>
      <c r="Z18" s="47"/>
      <c r="AB18" s="47"/>
      <c r="AC18" s="47"/>
      <c r="AD18" s="47"/>
      <c r="AE18" s="47"/>
      <c r="AF18" s="47"/>
      <c r="AG18" s="47"/>
      <c r="AH18" s="47"/>
      <c r="AI18" s="47"/>
      <c r="AK18" s="47"/>
      <c r="AL18" s="47"/>
      <c r="AM18" s="47"/>
      <c r="AN18" s="47"/>
      <c r="AO18" s="47"/>
      <c r="AP18" s="47"/>
      <c r="AQ18" s="47"/>
      <c r="AR18" s="47"/>
      <c r="AT18" s="82"/>
      <c r="AU18" s="82"/>
      <c r="AV18" s="82"/>
      <c r="AW18" s="82"/>
      <c r="AX18" s="82"/>
      <c r="AY18" s="82"/>
      <c r="AZ18" s="82"/>
      <c r="BA18" s="82"/>
      <c r="BC18" s="369">
        <f t="shared" si="53"/>
        <v>0</v>
      </c>
      <c r="BD18" s="369">
        <f t="shared" si="54"/>
        <v>0</v>
      </c>
      <c r="BE18" s="47">
        <f t="shared" si="54"/>
        <v>0</v>
      </c>
      <c r="BF18" s="47">
        <f t="shared" si="55"/>
        <v>0</v>
      </c>
      <c r="BG18" s="47">
        <f t="shared" si="56"/>
        <v>0</v>
      </c>
      <c r="BH18" s="47">
        <f t="shared" si="57"/>
        <v>0</v>
      </c>
      <c r="BI18" s="47">
        <f t="shared" si="58"/>
        <v>0</v>
      </c>
      <c r="BJ18" s="47">
        <f t="shared" si="59"/>
        <v>0</v>
      </c>
    </row>
    <row r="19" spans="2:62">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K19" s="47"/>
      <c r="AL19" s="47"/>
      <c r="AM19" s="47"/>
      <c r="AN19" s="47"/>
      <c r="AO19" s="47"/>
      <c r="AP19" s="47"/>
      <c r="AQ19" s="47"/>
      <c r="AR19" s="47"/>
      <c r="AT19" s="82"/>
      <c r="AU19" s="82"/>
      <c r="AV19" s="82"/>
      <c r="AW19" s="82"/>
      <c r="AX19" s="82"/>
      <c r="AY19" s="82"/>
      <c r="AZ19" s="82"/>
      <c r="BA19" s="82"/>
      <c r="BC19" s="369">
        <f t="shared" si="53"/>
        <v>0</v>
      </c>
      <c r="BD19" s="369">
        <f t="shared" si="54"/>
        <v>0</v>
      </c>
      <c r="BE19" s="47">
        <f t="shared" si="54"/>
        <v>0</v>
      </c>
      <c r="BF19" s="47">
        <f t="shared" si="55"/>
        <v>0</v>
      </c>
      <c r="BG19" s="47">
        <f t="shared" si="56"/>
        <v>0</v>
      </c>
      <c r="BH19" s="47">
        <f t="shared" si="57"/>
        <v>0</v>
      </c>
      <c r="BI19" s="47">
        <f t="shared" si="58"/>
        <v>0</v>
      </c>
      <c r="BJ19" s="47">
        <f t="shared" si="59"/>
        <v>0</v>
      </c>
    </row>
    <row r="20" spans="2:62">
      <c r="B20" s="7"/>
      <c r="C20" s="7"/>
      <c r="D20" s="7"/>
      <c r="E20" s="7"/>
      <c r="F20" s="7"/>
      <c r="G20" s="7"/>
      <c r="H20" s="7"/>
      <c r="I20" s="7"/>
      <c r="J20" s="45"/>
      <c r="K20" s="45"/>
      <c r="L20" s="45"/>
      <c r="M20" s="45"/>
      <c r="N20" s="45"/>
      <c r="O20" s="45"/>
      <c r="P20" s="45"/>
      <c r="Q20" s="45"/>
      <c r="S20" s="47"/>
      <c r="T20" s="47"/>
      <c r="U20" s="47"/>
      <c r="V20" s="47"/>
      <c r="W20" s="47"/>
      <c r="X20" s="47"/>
      <c r="Y20" s="47"/>
      <c r="Z20" s="47"/>
      <c r="AB20" s="47"/>
      <c r="AC20" s="47"/>
      <c r="AD20" s="47"/>
      <c r="AE20" s="47"/>
      <c r="AF20" s="47"/>
      <c r="AG20" s="47"/>
      <c r="AH20" s="47"/>
      <c r="AI20" s="47"/>
      <c r="AK20" s="47"/>
      <c r="AL20" s="47"/>
      <c r="AM20" s="47"/>
      <c r="AN20" s="47"/>
      <c r="AO20" s="47"/>
      <c r="AP20" s="47"/>
      <c r="AQ20" s="47"/>
      <c r="AR20" s="47"/>
      <c r="AT20" s="82"/>
      <c r="AU20" s="82"/>
      <c r="AV20" s="82"/>
      <c r="AW20" s="82"/>
      <c r="AX20" s="82"/>
      <c r="AY20" s="82"/>
      <c r="AZ20" s="82"/>
      <c r="BA20" s="82"/>
      <c r="BC20" s="369">
        <f t="shared" si="8"/>
        <v>0</v>
      </c>
      <c r="BD20" s="369">
        <f t="shared" si="2"/>
        <v>0</v>
      </c>
      <c r="BE20" s="47">
        <f t="shared" si="2"/>
        <v>0</v>
      </c>
      <c r="BF20" s="47">
        <f t="shared" si="3"/>
        <v>0</v>
      </c>
      <c r="BG20" s="47">
        <f t="shared" si="4"/>
        <v>0</v>
      </c>
      <c r="BH20" s="47">
        <f t="shared" si="5"/>
        <v>0</v>
      </c>
      <c r="BI20" s="47">
        <f t="shared" si="6"/>
        <v>0</v>
      </c>
      <c r="BJ20" s="47">
        <f t="shared" si="7"/>
        <v>0</v>
      </c>
    </row>
    <row r="21" spans="2:62">
      <c r="B21" s="7"/>
      <c r="C21" s="7"/>
      <c r="D21" s="7"/>
      <c r="E21" s="7"/>
      <c r="F21" s="7"/>
      <c r="G21" s="7"/>
      <c r="H21" s="7"/>
      <c r="I21" s="7"/>
      <c r="J21" s="45"/>
      <c r="K21" s="45"/>
      <c r="L21" s="45"/>
      <c r="M21" s="45"/>
      <c r="N21" s="45"/>
      <c r="O21" s="45"/>
      <c r="P21" s="45"/>
      <c r="Q21" s="45"/>
      <c r="S21" s="47"/>
      <c r="T21" s="47"/>
      <c r="U21" s="47"/>
      <c r="V21" s="47"/>
      <c r="W21" s="47"/>
      <c r="X21" s="47"/>
      <c r="Y21" s="47"/>
      <c r="Z21" s="47"/>
      <c r="AB21" s="47"/>
      <c r="AC21" s="47"/>
      <c r="AD21" s="47"/>
      <c r="AE21" s="47"/>
      <c r="AF21" s="47"/>
      <c r="AG21" s="47"/>
      <c r="AH21" s="47"/>
      <c r="AI21" s="47"/>
      <c r="AK21" s="47"/>
      <c r="AL21" s="47"/>
      <c r="AM21" s="47"/>
      <c r="AN21" s="47"/>
      <c r="AO21" s="47"/>
      <c r="AP21" s="47"/>
      <c r="AQ21" s="47"/>
      <c r="AR21" s="47"/>
      <c r="AT21" s="82"/>
      <c r="AU21" s="82"/>
      <c r="AV21" s="82"/>
      <c r="AW21" s="82"/>
      <c r="AX21" s="82"/>
      <c r="AY21" s="82"/>
      <c r="AZ21" s="82"/>
      <c r="BA21" s="82"/>
      <c r="BC21" s="369">
        <f t="shared" si="8"/>
        <v>0</v>
      </c>
      <c r="BD21" s="369">
        <f t="shared" si="2"/>
        <v>0</v>
      </c>
      <c r="BE21" s="47">
        <f t="shared" si="2"/>
        <v>0</v>
      </c>
      <c r="BF21" s="47">
        <f t="shared" si="3"/>
        <v>0</v>
      </c>
      <c r="BG21" s="47">
        <f t="shared" si="4"/>
        <v>0</v>
      </c>
      <c r="BH21" s="47">
        <f t="shared" si="5"/>
        <v>0</v>
      </c>
      <c r="BI21" s="47">
        <f t="shared" si="6"/>
        <v>0</v>
      </c>
      <c r="BJ21" s="47">
        <f t="shared" si="7"/>
        <v>0</v>
      </c>
    </row>
    <row r="22" spans="2:62">
      <c r="B22" s="7"/>
      <c r="C22" s="7"/>
      <c r="D22" s="7"/>
      <c r="E22" s="7"/>
      <c r="F22" s="7"/>
      <c r="G22" s="7"/>
      <c r="H22" s="7"/>
      <c r="I22" s="7"/>
      <c r="J22" s="45"/>
      <c r="K22" s="45"/>
      <c r="L22" s="45"/>
      <c r="M22" s="45"/>
      <c r="N22" s="45"/>
      <c r="O22" s="45"/>
      <c r="P22" s="45"/>
      <c r="Q22" s="45"/>
      <c r="S22" s="47"/>
      <c r="T22" s="47"/>
      <c r="U22" s="47"/>
      <c r="V22" s="47"/>
      <c r="W22" s="47"/>
      <c r="X22" s="47"/>
      <c r="Y22" s="47"/>
      <c r="Z22" s="47"/>
      <c r="AB22" s="47"/>
      <c r="AC22" s="47"/>
      <c r="AD22" s="47"/>
      <c r="AE22" s="47"/>
      <c r="AF22" s="47"/>
      <c r="AG22" s="47"/>
      <c r="AH22" s="47"/>
      <c r="AI22" s="47"/>
      <c r="AK22" s="47"/>
      <c r="AL22" s="47"/>
      <c r="AM22" s="47"/>
      <c r="AN22" s="47"/>
      <c r="AO22" s="47"/>
      <c r="AP22" s="47"/>
      <c r="AQ22" s="47"/>
      <c r="AR22" s="47"/>
      <c r="AT22" s="82"/>
      <c r="AU22" s="82"/>
      <c r="AV22" s="82"/>
      <c r="AW22" s="82"/>
      <c r="AX22" s="82"/>
      <c r="AY22" s="82"/>
      <c r="AZ22" s="82"/>
      <c r="BA22" s="82"/>
      <c r="BC22" s="369">
        <f t="shared" si="8"/>
        <v>0</v>
      </c>
      <c r="BD22" s="369">
        <f t="shared" si="2"/>
        <v>0</v>
      </c>
      <c r="BE22" s="47">
        <f t="shared" si="2"/>
        <v>0</v>
      </c>
      <c r="BF22" s="47">
        <f t="shared" si="3"/>
        <v>0</v>
      </c>
      <c r="BG22" s="47">
        <f t="shared" si="4"/>
        <v>0</v>
      </c>
      <c r="BH22" s="47">
        <f t="shared" si="5"/>
        <v>0</v>
      </c>
      <c r="BI22" s="47">
        <f t="shared" si="6"/>
        <v>0</v>
      </c>
      <c r="BJ22" s="47">
        <f t="shared" si="7"/>
        <v>0</v>
      </c>
    </row>
    <row r="23" spans="2:62">
      <c r="B23" s="7"/>
      <c r="C23" s="7"/>
      <c r="D23" s="7"/>
      <c r="E23" s="7"/>
      <c r="F23" s="7"/>
      <c r="G23" s="7"/>
      <c r="H23" s="7"/>
      <c r="I23" s="7"/>
      <c r="J23" s="45"/>
      <c r="K23" s="45"/>
      <c r="L23" s="45"/>
      <c r="M23" s="45"/>
      <c r="N23" s="45"/>
      <c r="O23" s="45"/>
      <c r="P23" s="45"/>
      <c r="Q23" s="45"/>
      <c r="S23" s="47"/>
      <c r="T23" s="47"/>
      <c r="U23" s="47"/>
      <c r="V23" s="47"/>
      <c r="W23" s="47"/>
      <c r="X23" s="47"/>
      <c r="Y23" s="47"/>
      <c r="Z23" s="47"/>
      <c r="AB23" s="47"/>
      <c r="AC23" s="47"/>
      <c r="AD23" s="47"/>
      <c r="AE23" s="47"/>
      <c r="AF23" s="47"/>
      <c r="AG23" s="47"/>
      <c r="AH23" s="47"/>
      <c r="AI23" s="47"/>
      <c r="AK23" s="47"/>
      <c r="AL23" s="47"/>
      <c r="AM23" s="47"/>
      <c r="AN23" s="47"/>
      <c r="AO23" s="47"/>
      <c r="AP23" s="47"/>
      <c r="AQ23" s="47"/>
      <c r="AR23" s="47"/>
      <c r="AT23" s="82"/>
      <c r="AU23" s="82"/>
      <c r="AV23" s="82"/>
      <c r="AW23" s="82"/>
      <c r="AX23" s="82"/>
      <c r="AY23" s="82"/>
      <c r="AZ23" s="82"/>
      <c r="BA23" s="82"/>
      <c r="BC23" s="369">
        <f t="shared" si="8"/>
        <v>0</v>
      </c>
      <c r="BD23" s="369">
        <f t="shared" si="2"/>
        <v>0</v>
      </c>
      <c r="BE23" s="47">
        <f t="shared" si="2"/>
        <v>0</v>
      </c>
      <c r="BF23" s="47">
        <f t="shared" si="3"/>
        <v>0</v>
      </c>
      <c r="BG23" s="47">
        <f t="shared" si="4"/>
        <v>0</v>
      </c>
      <c r="BH23" s="47">
        <f t="shared" si="5"/>
        <v>0</v>
      </c>
      <c r="BI23" s="47">
        <f t="shared" si="6"/>
        <v>0</v>
      </c>
      <c r="BJ23" s="47">
        <f t="shared" si="7"/>
        <v>0</v>
      </c>
    </row>
    <row r="24" spans="2:62">
      <c r="B24" s="7"/>
      <c r="C24" s="7"/>
      <c r="D24" s="7"/>
      <c r="E24" s="7"/>
      <c r="F24" s="7"/>
      <c r="G24" s="7"/>
      <c r="H24" s="7"/>
      <c r="I24" s="7"/>
      <c r="J24" s="45"/>
      <c r="K24" s="45"/>
      <c r="L24" s="45"/>
      <c r="M24" s="45"/>
      <c r="N24" s="45"/>
      <c r="O24" s="45"/>
      <c r="P24" s="45"/>
      <c r="Q24" s="45"/>
      <c r="S24" s="47"/>
      <c r="T24" s="47"/>
      <c r="U24" s="47"/>
      <c r="V24" s="47"/>
      <c r="W24" s="47"/>
      <c r="X24" s="47"/>
      <c r="Y24" s="47"/>
      <c r="Z24" s="47"/>
      <c r="AB24" s="47"/>
      <c r="AC24" s="47"/>
      <c r="AD24" s="47"/>
      <c r="AE24" s="47"/>
      <c r="AF24" s="47"/>
      <c r="AG24" s="47"/>
      <c r="AH24" s="47"/>
      <c r="AI24" s="47"/>
      <c r="AK24" s="47"/>
      <c r="AL24" s="47"/>
      <c r="AM24" s="47"/>
      <c r="AN24" s="47"/>
      <c r="AO24" s="47"/>
      <c r="AP24" s="47"/>
      <c r="AQ24" s="47"/>
      <c r="AR24" s="47"/>
      <c r="AT24" s="47"/>
      <c r="AU24" s="47"/>
      <c r="AV24" s="47"/>
      <c r="AW24" s="47"/>
      <c r="AX24" s="47"/>
      <c r="AY24" s="47"/>
      <c r="AZ24" s="47"/>
      <c r="BA24" s="47"/>
      <c r="BC24" s="369"/>
      <c r="BD24" s="369"/>
      <c r="BE24" s="47"/>
      <c r="BF24" s="47"/>
      <c r="BG24" s="47"/>
      <c r="BH24" s="47"/>
      <c r="BI24" s="47"/>
      <c r="BJ24" s="47"/>
    </row>
    <row r="25" spans="2:62">
      <c r="B25" s="7"/>
      <c r="C25" s="7"/>
      <c r="D25" s="7"/>
      <c r="E25" s="7"/>
      <c r="F25" s="7"/>
      <c r="G25" s="7"/>
      <c r="H25" s="7"/>
      <c r="I25" s="7"/>
      <c r="J25" s="45"/>
      <c r="K25" s="45"/>
      <c r="L25" s="45"/>
      <c r="M25" s="45"/>
      <c r="N25" s="45"/>
      <c r="O25" s="45"/>
      <c r="P25" s="45"/>
      <c r="Q25" s="45"/>
      <c r="S25" s="47"/>
      <c r="T25" s="47"/>
      <c r="U25" s="47"/>
      <c r="V25" s="47"/>
      <c r="W25" s="47"/>
      <c r="X25" s="47"/>
      <c r="Y25" s="47"/>
      <c r="Z25" s="47"/>
      <c r="AB25" s="47"/>
      <c r="AC25" s="47"/>
      <c r="AD25" s="47"/>
      <c r="AE25" s="47"/>
      <c r="AF25" s="47"/>
      <c r="AG25" s="47"/>
      <c r="AH25" s="47"/>
      <c r="AI25" s="47"/>
      <c r="AK25" s="47"/>
      <c r="AL25" s="47"/>
      <c r="AM25" s="47"/>
      <c r="AN25" s="47"/>
      <c r="AO25" s="47"/>
      <c r="AP25" s="47"/>
      <c r="AQ25" s="47"/>
      <c r="AR25" s="47"/>
      <c r="AT25" s="47"/>
      <c r="AU25" s="47"/>
      <c r="AV25" s="47"/>
      <c r="AW25" s="47"/>
      <c r="AX25" s="47"/>
      <c r="AY25" s="47"/>
      <c r="AZ25" s="47"/>
      <c r="BA25" s="47"/>
      <c r="BC25" s="369"/>
      <c r="BD25" s="369"/>
      <c r="BE25" s="47"/>
      <c r="BF25" s="47"/>
      <c r="BG25" s="47"/>
      <c r="BH25" s="47"/>
      <c r="BI25" s="47"/>
      <c r="BJ25" s="47"/>
    </row>
    <row r="26" spans="2:62">
      <c r="B26" s="7"/>
      <c r="C26" s="7"/>
      <c r="D26" s="7"/>
      <c r="E26" s="7"/>
      <c r="F26" s="7"/>
      <c r="G26" s="7"/>
      <c r="H26" s="7"/>
      <c r="I26" s="7"/>
      <c r="J26" s="45"/>
      <c r="K26" s="45"/>
      <c r="L26" s="45"/>
      <c r="M26" s="45"/>
      <c r="N26" s="45"/>
      <c r="O26" s="45"/>
      <c r="P26" s="45"/>
      <c r="Q26" s="45"/>
      <c r="S26" s="47"/>
      <c r="T26" s="47"/>
      <c r="U26" s="47"/>
      <c r="V26" s="47"/>
      <c r="W26" s="47"/>
      <c r="X26" s="47"/>
      <c r="Y26" s="47"/>
      <c r="Z26" s="47"/>
      <c r="AB26" s="47"/>
      <c r="AC26" s="47"/>
      <c r="AD26" s="47"/>
      <c r="AE26" s="47"/>
      <c r="AF26" s="47"/>
      <c r="AG26" s="47"/>
      <c r="AH26" s="47"/>
      <c r="AI26" s="47"/>
      <c r="AK26" s="47"/>
      <c r="AL26" s="47"/>
      <c r="AM26" s="47"/>
      <c r="AN26" s="47"/>
      <c r="AO26" s="47"/>
      <c r="AP26" s="47"/>
      <c r="AQ26" s="47"/>
      <c r="AR26" s="47"/>
      <c r="AT26" s="47"/>
      <c r="AU26" s="47"/>
      <c r="AV26" s="47"/>
      <c r="AW26" s="47"/>
      <c r="AX26" s="47"/>
      <c r="AY26" s="47"/>
      <c r="AZ26" s="47"/>
      <c r="BA26" s="47"/>
      <c r="BC26" s="369"/>
      <c r="BD26" s="369"/>
      <c r="BE26" s="47"/>
      <c r="BF26" s="47"/>
      <c r="BG26" s="47"/>
      <c r="BH26" s="47"/>
      <c r="BI26" s="47"/>
      <c r="BJ26" s="47"/>
    </row>
    <row r="27" spans="2:62">
      <c r="B27" s="7"/>
      <c r="C27" s="7"/>
      <c r="D27" s="7"/>
      <c r="E27" s="7"/>
      <c r="F27" s="7"/>
      <c r="G27" s="7"/>
      <c r="H27" s="7"/>
      <c r="I27" s="7"/>
      <c r="J27" s="45"/>
      <c r="K27" s="45"/>
      <c r="L27" s="45"/>
      <c r="M27" s="45"/>
      <c r="N27" s="45"/>
      <c r="O27" s="45"/>
      <c r="P27" s="45"/>
      <c r="Q27" s="45"/>
      <c r="S27" s="47"/>
      <c r="T27" s="47"/>
      <c r="U27" s="47"/>
      <c r="V27" s="47"/>
      <c r="W27" s="47"/>
      <c r="X27" s="47"/>
      <c r="Y27" s="47"/>
      <c r="Z27" s="47"/>
      <c r="AB27" s="47"/>
      <c r="AC27" s="47"/>
      <c r="AD27" s="47"/>
      <c r="AE27" s="47"/>
      <c r="AF27" s="47"/>
      <c r="AG27" s="47"/>
      <c r="AH27" s="47"/>
      <c r="AI27" s="47"/>
      <c r="AK27" s="47"/>
      <c r="AL27" s="47"/>
      <c r="AM27" s="47"/>
      <c r="AN27" s="47"/>
      <c r="AO27" s="47"/>
      <c r="AP27" s="47"/>
      <c r="AQ27" s="47"/>
      <c r="AR27" s="47"/>
      <c r="AT27" s="47"/>
      <c r="AU27" s="47"/>
      <c r="AV27" s="47"/>
      <c r="AW27" s="47"/>
      <c r="AX27" s="47"/>
      <c r="AY27" s="47"/>
      <c r="AZ27" s="47"/>
      <c r="BA27" s="47"/>
      <c r="BC27" s="369"/>
      <c r="BD27" s="369"/>
      <c r="BE27" s="47"/>
      <c r="BF27" s="47"/>
      <c r="BG27" s="47"/>
      <c r="BH27" s="47"/>
      <c r="BI27" s="47"/>
      <c r="BJ27" s="47"/>
    </row>
    <row r="28" spans="2:62">
      <c r="B28" s="7"/>
      <c r="C28" s="7"/>
      <c r="D28" s="7"/>
      <c r="E28" s="7"/>
      <c r="F28" s="7"/>
      <c r="G28" s="7"/>
      <c r="H28" s="7"/>
      <c r="I28" s="7"/>
      <c r="J28" s="45"/>
      <c r="K28" s="45"/>
      <c r="L28" s="45"/>
      <c r="M28" s="45"/>
      <c r="N28" s="45"/>
      <c r="O28" s="45"/>
      <c r="P28" s="45"/>
      <c r="Q28" s="45"/>
      <c r="S28" s="47"/>
      <c r="T28" s="47"/>
      <c r="U28" s="47"/>
      <c r="V28" s="47"/>
      <c r="W28" s="47"/>
      <c r="X28" s="47"/>
      <c r="Y28" s="47"/>
      <c r="Z28" s="47"/>
      <c r="AB28" s="47"/>
      <c r="AC28" s="47"/>
      <c r="AD28" s="47"/>
      <c r="AE28" s="47"/>
      <c r="AF28" s="47"/>
      <c r="AG28" s="47"/>
      <c r="AH28" s="47"/>
      <c r="AI28" s="47"/>
      <c r="AK28" s="47"/>
      <c r="AL28" s="47"/>
      <c r="AM28" s="47"/>
      <c r="AN28" s="47"/>
      <c r="AO28" s="47"/>
      <c r="AP28" s="47"/>
      <c r="AQ28" s="47"/>
      <c r="AR28" s="47"/>
      <c r="AT28" s="47"/>
      <c r="AU28" s="47"/>
      <c r="AV28" s="47"/>
      <c r="AW28" s="47"/>
      <c r="AX28" s="47"/>
      <c r="AY28" s="47"/>
      <c r="AZ28" s="47"/>
      <c r="BA28" s="47"/>
      <c r="BC28" s="369"/>
      <c r="BD28" s="369"/>
      <c r="BE28" s="47"/>
      <c r="BF28" s="47"/>
      <c r="BG28" s="47"/>
      <c r="BH28" s="47"/>
      <c r="BI28" s="47"/>
      <c r="BJ28" s="47"/>
    </row>
    <row r="29" spans="2:62">
      <c r="B29" s="7"/>
      <c r="C29" s="7"/>
      <c r="D29" s="7"/>
      <c r="E29" s="7"/>
      <c r="F29" s="7"/>
      <c r="G29" s="7"/>
      <c r="H29" s="7"/>
      <c r="I29" s="7"/>
      <c r="J29" s="45"/>
      <c r="K29" s="45"/>
      <c r="L29" s="45"/>
      <c r="M29" s="45"/>
      <c r="N29" s="45"/>
      <c r="O29" s="45"/>
      <c r="P29" s="45"/>
      <c r="Q29" s="45"/>
      <c r="S29" s="47"/>
      <c r="T29" s="47"/>
      <c r="U29" s="47"/>
      <c r="V29" s="47"/>
      <c r="W29" s="47"/>
      <c r="X29" s="47"/>
      <c r="Y29" s="47"/>
      <c r="Z29" s="47"/>
      <c r="AB29" s="47"/>
      <c r="AC29" s="47"/>
      <c r="AD29" s="47"/>
      <c r="AE29" s="47"/>
      <c r="AF29" s="47"/>
      <c r="AG29" s="47"/>
      <c r="AH29" s="47"/>
      <c r="AI29" s="47"/>
      <c r="AK29" s="47"/>
      <c r="AL29" s="47"/>
      <c r="AM29" s="47"/>
      <c r="AN29" s="47"/>
      <c r="AO29" s="47"/>
      <c r="AP29" s="47"/>
      <c r="AQ29" s="47"/>
      <c r="AR29" s="47"/>
      <c r="AT29" s="47"/>
      <c r="AU29" s="47"/>
      <c r="AV29" s="47"/>
      <c r="AW29" s="47"/>
      <c r="AX29" s="47"/>
      <c r="AY29" s="47"/>
      <c r="AZ29" s="47"/>
      <c r="BA29" s="47"/>
      <c r="BC29" s="369"/>
      <c r="BD29" s="369"/>
      <c r="BE29" s="47"/>
      <c r="BF29" s="47"/>
      <c r="BG29" s="47"/>
      <c r="BH29" s="47"/>
      <c r="BI29" s="47"/>
      <c r="BJ29" s="47"/>
    </row>
    <row r="30" spans="2:62">
      <c r="B30" s="7"/>
      <c r="C30" s="7"/>
      <c r="D30" s="7"/>
      <c r="E30" s="7"/>
      <c r="F30" s="7"/>
      <c r="G30" s="7"/>
      <c r="H30" s="7"/>
      <c r="I30" s="7"/>
      <c r="J30" s="45"/>
      <c r="K30" s="45"/>
      <c r="L30" s="45"/>
      <c r="M30" s="45"/>
      <c r="N30" s="45"/>
      <c r="O30" s="45"/>
      <c r="P30" s="45"/>
      <c r="Q30" s="45"/>
      <c r="S30" s="47"/>
      <c r="T30" s="47"/>
      <c r="U30" s="47"/>
      <c r="V30" s="47"/>
      <c r="W30" s="47"/>
      <c r="X30" s="47"/>
      <c r="Y30" s="47"/>
      <c r="Z30" s="47"/>
      <c r="AB30" s="47"/>
      <c r="AC30" s="47"/>
      <c r="AD30" s="47"/>
      <c r="AE30" s="47"/>
      <c r="AF30" s="47"/>
      <c r="AG30" s="47"/>
      <c r="AH30" s="47"/>
      <c r="AI30" s="47"/>
      <c r="AK30" s="47"/>
      <c r="AL30" s="47"/>
      <c r="AM30" s="47"/>
      <c r="AN30" s="47"/>
      <c r="AO30" s="47"/>
      <c r="AP30" s="47"/>
      <c r="AQ30" s="47"/>
      <c r="AR30" s="47"/>
      <c r="AT30" s="47"/>
      <c r="AU30" s="47"/>
      <c r="AV30" s="47"/>
      <c r="AW30" s="47"/>
      <c r="AX30" s="47"/>
      <c r="AY30" s="47"/>
      <c r="AZ30" s="47"/>
      <c r="BA30" s="47"/>
      <c r="BC30" s="369"/>
      <c r="BD30" s="369"/>
      <c r="BE30" s="47"/>
      <c r="BF30" s="47"/>
      <c r="BG30" s="47"/>
      <c r="BH30" s="47"/>
      <c r="BI30" s="47"/>
      <c r="BJ30" s="47"/>
    </row>
    <row r="31" spans="2:62">
      <c r="B31" s="7"/>
      <c r="C31" s="7"/>
      <c r="D31" s="7"/>
      <c r="E31" s="7"/>
      <c r="F31" s="7"/>
      <c r="G31" s="7"/>
      <c r="H31" s="7"/>
      <c r="I31" s="7"/>
      <c r="J31" s="45"/>
      <c r="K31" s="45"/>
      <c r="L31" s="45"/>
      <c r="M31" s="45"/>
      <c r="N31" s="45"/>
      <c r="O31" s="45"/>
      <c r="P31" s="45"/>
      <c r="Q31" s="45"/>
      <c r="S31" s="47"/>
      <c r="T31" s="47"/>
      <c r="U31" s="47"/>
      <c r="V31" s="47"/>
      <c r="W31" s="47"/>
      <c r="X31" s="47"/>
      <c r="Y31" s="47"/>
      <c r="Z31" s="47"/>
      <c r="AB31" s="47"/>
      <c r="AC31" s="47"/>
      <c r="AD31" s="47"/>
      <c r="AE31" s="47"/>
      <c r="AF31" s="47"/>
      <c r="AG31" s="47"/>
      <c r="AH31" s="47"/>
      <c r="AI31" s="47"/>
      <c r="AK31" s="47"/>
      <c r="AL31" s="47"/>
      <c r="AM31" s="47"/>
      <c r="AN31" s="47"/>
      <c r="AO31" s="47"/>
      <c r="AP31" s="47"/>
      <c r="AQ31" s="47"/>
      <c r="AR31" s="47"/>
      <c r="AT31" s="47"/>
      <c r="AU31" s="47"/>
      <c r="AV31" s="47"/>
      <c r="AW31" s="47"/>
      <c r="AX31" s="47"/>
      <c r="AY31" s="47"/>
      <c r="AZ31" s="47"/>
      <c r="BA31" s="47"/>
      <c r="BC31" s="369"/>
      <c r="BD31" s="369"/>
      <c r="BE31" s="47"/>
      <c r="BF31" s="47"/>
      <c r="BG31" s="47"/>
      <c r="BH31" s="47"/>
      <c r="BI31" s="47"/>
      <c r="BJ31" s="47"/>
    </row>
    <row r="32" spans="2:62">
      <c r="B32" s="7"/>
      <c r="C32" s="7"/>
      <c r="D32" s="7"/>
      <c r="E32" s="7"/>
      <c r="F32" s="7"/>
      <c r="G32" s="7"/>
      <c r="H32" s="7"/>
      <c r="I32" s="7"/>
      <c r="J32" s="45"/>
      <c r="K32" s="45"/>
      <c r="L32" s="45"/>
      <c r="M32" s="45"/>
      <c r="N32" s="45"/>
      <c r="O32" s="45"/>
      <c r="P32" s="45"/>
      <c r="Q32" s="45"/>
      <c r="S32" s="47"/>
      <c r="T32" s="47"/>
      <c r="U32" s="47"/>
      <c r="V32" s="47"/>
      <c r="W32" s="47"/>
      <c r="X32" s="47"/>
      <c r="Y32" s="47"/>
      <c r="Z32" s="47"/>
      <c r="AB32" s="47"/>
      <c r="AC32" s="47"/>
      <c r="AD32" s="47"/>
      <c r="AE32" s="47"/>
      <c r="AF32" s="47"/>
      <c r="AG32" s="47"/>
      <c r="AH32" s="47"/>
      <c r="AI32" s="47"/>
      <c r="AK32" s="47"/>
      <c r="AL32" s="47"/>
      <c r="AM32" s="47"/>
      <c r="AN32" s="47"/>
      <c r="AO32" s="47"/>
      <c r="AP32" s="47"/>
      <c r="AQ32" s="47"/>
      <c r="AR32" s="47"/>
      <c r="AT32" s="47"/>
      <c r="AU32" s="47"/>
      <c r="AV32" s="47"/>
      <c r="AW32" s="47"/>
      <c r="AX32" s="47"/>
      <c r="AY32" s="47"/>
      <c r="AZ32" s="47"/>
      <c r="BA32" s="47"/>
      <c r="BC32" s="369"/>
      <c r="BD32" s="369"/>
      <c r="BE32" s="47"/>
      <c r="BF32" s="47"/>
      <c r="BG32" s="47"/>
      <c r="BH32" s="47"/>
      <c r="BI32" s="47"/>
      <c r="BJ32" s="47"/>
    </row>
    <row r="33" spans="2:62">
      <c r="B33" s="7"/>
      <c r="C33" s="7"/>
      <c r="D33" s="7"/>
      <c r="E33" s="7"/>
      <c r="F33" s="7"/>
      <c r="G33" s="7"/>
      <c r="H33" s="7"/>
      <c r="I33" s="7"/>
      <c r="J33" s="45"/>
      <c r="K33" s="45"/>
      <c r="L33" s="45"/>
      <c r="M33" s="45"/>
      <c r="N33" s="45"/>
      <c r="O33" s="45"/>
      <c r="P33" s="45"/>
      <c r="Q33" s="45"/>
      <c r="S33" s="47"/>
      <c r="T33" s="47"/>
      <c r="U33" s="47"/>
      <c r="V33" s="47"/>
      <c r="W33" s="47"/>
      <c r="X33" s="47"/>
      <c r="Y33" s="47"/>
      <c r="Z33" s="47"/>
      <c r="AB33" s="47"/>
      <c r="AC33" s="47"/>
      <c r="AD33" s="47"/>
      <c r="AE33" s="47"/>
      <c r="AF33" s="47"/>
      <c r="AG33" s="47"/>
      <c r="AH33" s="47"/>
      <c r="AI33" s="47"/>
      <c r="AK33" s="47"/>
      <c r="AL33" s="47"/>
      <c r="AM33" s="47"/>
      <c r="AN33" s="47"/>
      <c r="AO33" s="47"/>
      <c r="AP33" s="47"/>
      <c r="AQ33" s="47"/>
      <c r="AR33" s="47"/>
      <c r="AT33" s="47"/>
      <c r="AU33" s="47"/>
      <c r="AV33" s="47"/>
      <c r="AW33" s="47"/>
      <c r="AX33" s="47"/>
      <c r="AY33" s="47"/>
      <c r="AZ33" s="47"/>
      <c r="BA33" s="47"/>
      <c r="BC33" s="369"/>
      <c r="BD33" s="369"/>
      <c r="BE33" s="47"/>
      <c r="BF33" s="47"/>
      <c r="BG33" s="47"/>
      <c r="BH33" s="47"/>
      <c r="BI33" s="47"/>
      <c r="BJ33" s="47"/>
    </row>
    <row r="34" spans="2:62">
      <c r="B34" s="7"/>
      <c r="C34" s="7"/>
      <c r="D34" s="7"/>
      <c r="E34" s="7"/>
      <c r="F34" s="7"/>
      <c r="G34" s="7"/>
      <c r="H34" s="7"/>
      <c r="I34" s="7"/>
      <c r="J34" s="45"/>
      <c r="K34" s="45"/>
      <c r="L34" s="45"/>
      <c r="M34" s="45"/>
      <c r="N34" s="45"/>
      <c r="O34" s="45"/>
      <c r="P34" s="45"/>
      <c r="Q34" s="45"/>
      <c r="S34" s="47"/>
      <c r="T34" s="47"/>
      <c r="U34" s="47"/>
      <c r="V34" s="47"/>
      <c r="W34" s="47"/>
      <c r="X34" s="47"/>
      <c r="Y34" s="47"/>
      <c r="Z34" s="47"/>
      <c r="AB34" s="47"/>
      <c r="AC34" s="47"/>
      <c r="AD34" s="47"/>
      <c r="AE34" s="47"/>
      <c r="AF34" s="47"/>
      <c r="AG34" s="47"/>
      <c r="AH34" s="47"/>
      <c r="AI34" s="47"/>
      <c r="AK34" s="47"/>
      <c r="AL34" s="47"/>
      <c r="AM34" s="47"/>
      <c r="AN34" s="47"/>
      <c r="AO34" s="47"/>
      <c r="AP34" s="47"/>
      <c r="AQ34" s="47"/>
      <c r="AR34" s="47"/>
      <c r="AT34" s="47"/>
      <c r="AU34" s="47"/>
      <c r="AV34" s="47"/>
      <c r="AW34" s="47"/>
      <c r="AX34" s="47"/>
      <c r="AY34" s="47"/>
      <c r="AZ34" s="47"/>
      <c r="BA34" s="47"/>
      <c r="BC34" s="369"/>
      <c r="BD34" s="369"/>
      <c r="BE34" s="47"/>
      <c r="BF34" s="47"/>
      <c r="BG34" s="47"/>
      <c r="BH34" s="47"/>
      <c r="BI34" s="47"/>
      <c r="BJ34" s="47"/>
    </row>
    <row r="35" spans="2:62">
      <c r="B35" s="7"/>
      <c r="C35" s="7"/>
      <c r="D35" s="7"/>
      <c r="E35" s="7"/>
      <c r="F35" s="7"/>
      <c r="G35" s="7"/>
      <c r="H35" s="7"/>
      <c r="I35" s="7"/>
      <c r="J35" s="45"/>
      <c r="K35" s="45"/>
      <c r="L35" s="45"/>
      <c r="M35" s="45"/>
      <c r="N35" s="45"/>
      <c r="O35" s="45"/>
      <c r="P35" s="45"/>
      <c r="Q35" s="45"/>
      <c r="S35" s="47"/>
      <c r="T35" s="47"/>
      <c r="U35" s="47"/>
      <c r="V35" s="47"/>
      <c r="W35" s="47"/>
      <c r="X35" s="47"/>
      <c r="Y35" s="47"/>
      <c r="Z35" s="47"/>
      <c r="AB35" s="47"/>
      <c r="AC35" s="47"/>
      <c r="AD35" s="47"/>
      <c r="AE35" s="47"/>
      <c r="AF35" s="47"/>
      <c r="AG35" s="47"/>
      <c r="AH35" s="47"/>
      <c r="AI35" s="47"/>
      <c r="AK35" s="47"/>
      <c r="AL35" s="47"/>
      <c r="AM35" s="47"/>
      <c r="AN35" s="47"/>
      <c r="AO35" s="47"/>
      <c r="AP35" s="47"/>
      <c r="AQ35" s="47"/>
      <c r="AR35" s="47"/>
      <c r="AT35" s="47"/>
      <c r="AU35" s="47"/>
      <c r="AV35" s="47"/>
      <c r="AW35" s="47"/>
      <c r="AX35" s="47"/>
      <c r="AY35" s="47"/>
      <c r="AZ35" s="47"/>
      <c r="BA35" s="47"/>
      <c r="BC35" s="369"/>
      <c r="BD35" s="369"/>
      <c r="BE35" s="47"/>
      <c r="BF35" s="47"/>
      <c r="BG35" s="47"/>
      <c r="BH35" s="47"/>
      <c r="BI35" s="47"/>
      <c r="BJ35" s="47"/>
    </row>
    <row r="36" spans="2:62">
      <c r="B36" s="7"/>
      <c r="C36" s="7"/>
      <c r="D36" s="7"/>
      <c r="E36" s="7"/>
      <c r="F36" s="7"/>
      <c r="G36" s="7"/>
      <c r="H36" s="7"/>
      <c r="I36" s="7"/>
      <c r="J36" s="45"/>
      <c r="K36" s="45"/>
      <c r="L36" s="45"/>
      <c r="M36" s="45"/>
      <c r="N36" s="45"/>
      <c r="O36" s="45"/>
      <c r="P36" s="45"/>
      <c r="Q36" s="45"/>
      <c r="S36" s="47"/>
      <c r="T36" s="47"/>
      <c r="U36" s="47"/>
      <c r="V36" s="47"/>
      <c r="W36" s="47"/>
      <c r="X36" s="47"/>
      <c r="Y36" s="47"/>
      <c r="Z36" s="47"/>
      <c r="AB36" s="47"/>
      <c r="AC36" s="47"/>
      <c r="AD36" s="47"/>
      <c r="AE36" s="47"/>
      <c r="AF36" s="47"/>
      <c r="AG36" s="47"/>
      <c r="AH36" s="47"/>
      <c r="AI36" s="47"/>
      <c r="AK36" s="47"/>
      <c r="AL36" s="47"/>
      <c r="AM36" s="47"/>
      <c r="AN36" s="47"/>
      <c r="AO36" s="47"/>
      <c r="AP36" s="47"/>
      <c r="AQ36" s="47"/>
      <c r="AR36" s="47"/>
      <c r="AT36" s="47"/>
      <c r="AU36" s="47"/>
      <c r="AV36" s="47"/>
      <c r="AW36" s="47"/>
      <c r="AX36" s="47"/>
      <c r="AY36" s="47"/>
      <c r="AZ36" s="47"/>
      <c r="BA36" s="47"/>
      <c r="BC36" s="369"/>
      <c r="BD36" s="369"/>
      <c r="BE36" s="47"/>
      <c r="BF36" s="47"/>
      <c r="BG36" s="47"/>
      <c r="BH36" s="47"/>
      <c r="BI36" s="47"/>
      <c r="BJ36" s="47"/>
    </row>
    <row r="37" spans="2:62">
      <c r="J37" s="49">
        <f t="shared" ref="J37:Q37" si="60">SUM(J6:J36)</f>
        <v>0</v>
      </c>
      <c r="K37" s="49">
        <f t="shared" si="60"/>
        <v>0</v>
      </c>
      <c r="L37" s="49">
        <f t="shared" si="60"/>
        <v>0</v>
      </c>
      <c r="M37" s="676">
        <f t="shared" si="60"/>
        <v>33463.965854859867</v>
      </c>
      <c r="N37" s="676">
        <f t="shared" si="60"/>
        <v>25413.524691519084</v>
      </c>
      <c r="O37" s="676">
        <f t="shared" si="60"/>
        <v>32466.379013251648</v>
      </c>
      <c r="P37" s="676">
        <f t="shared" si="60"/>
        <v>24971.30019003214</v>
      </c>
      <c r="Q37" s="676">
        <f t="shared" si="60"/>
        <v>23689.059070058749</v>
      </c>
      <c r="R37" s="129"/>
      <c r="S37" s="676">
        <f t="shared" ref="S37:Z37" si="61">SUM(S6:S36)</f>
        <v>0</v>
      </c>
      <c r="T37" s="676">
        <f t="shared" si="61"/>
        <v>0</v>
      </c>
      <c r="U37" s="676">
        <f t="shared" si="61"/>
        <v>0</v>
      </c>
      <c r="V37" s="676">
        <f t="shared" si="61"/>
        <v>6241.074043165072</v>
      </c>
      <c r="W37" s="676">
        <f t="shared" si="61"/>
        <v>4763.1690109334049</v>
      </c>
      <c r="X37" s="676">
        <f t="shared" si="61"/>
        <v>6124.6905292150705</v>
      </c>
      <c r="Y37" s="676">
        <f t="shared" si="61"/>
        <v>4757.5648762383489</v>
      </c>
      <c r="Z37" s="676">
        <f t="shared" si="61"/>
        <v>4572.2835416177377</v>
      </c>
      <c r="AA37" s="129"/>
      <c r="AB37" s="676">
        <f t="shared" ref="AB37:AI37" si="62">SUM(AB6:AB36)</f>
        <v>0</v>
      </c>
      <c r="AC37" s="676">
        <f t="shared" si="62"/>
        <v>0</v>
      </c>
      <c r="AD37" s="676">
        <f t="shared" si="62"/>
        <v>0</v>
      </c>
      <c r="AE37" s="676">
        <f t="shared" si="62"/>
        <v>11526.158868016308</v>
      </c>
      <c r="AF37" s="676">
        <f t="shared" si="62"/>
        <v>8753.3056978709592</v>
      </c>
      <c r="AG37" s="676">
        <f t="shared" si="62"/>
        <v>11182.555110144642</v>
      </c>
      <c r="AH37" s="676">
        <f t="shared" si="62"/>
        <v>8600.9881309222237</v>
      </c>
      <c r="AI37" s="676">
        <f t="shared" si="62"/>
        <v>8159.3394954909836</v>
      </c>
      <c r="AJ37" s="129"/>
      <c r="AK37" s="676">
        <f t="shared" ref="AK37:AR37" si="63">SUM(AK6:AK36)</f>
        <v>0</v>
      </c>
      <c r="AL37" s="676">
        <f t="shared" si="63"/>
        <v>0</v>
      </c>
      <c r="AM37" s="676">
        <f t="shared" si="63"/>
        <v>0</v>
      </c>
      <c r="AN37" s="676">
        <f t="shared" si="63"/>
        <v>15894.3502386276</v>
      </c>
      <c r="AO37" s="676">
        <f t="shared" si="63"/>
        <v>12070.63932580343</v>
      </c>
      <c r="AP37" s="676">
        <f t="shared" si="63"/>
        <v>15420.527299567177</v>
      </c>
      <c r="AQ37" s="676">
        <f t="shared" si="63"/>
        <v>11860.596345804537</v>
      </c>
      <c r="AR37" s="676">
        <f t="shared" si="63"/>
        <v>11251.571416134781</v>
      </c>
      <c r="AS37" s="129"/>
      <c r="AT37" s="676">
        <f t="shared" ref="AT37:BA37" si="64">SUM(AT6:AT36)</f>
        <v>0</v>
      </c>
      <c r="AU37" s="676">
        <f t="shared" si="64"/>
        <v>0</v>
      </c>
      <c r="AV37" s="676">
        <f t="shared" si="64"/>
        <v>0</v>
      </c>
      <c r="AW37" s="676">
        <f t="shared" si="64"/>
        <v>0</v>
      </c>
      <c r="AX37" s="676">
        <f t="shared" si="64"/>
        <v>0</v>
      </c>
      <c r="AY37" s="676">
        <f t="shared" si="64"/>
        <v>0</v>
      </c>
      <c r="AZ37" s="676">
        <f t="shared" si="64"/>
        <v>0</v>
      </c>
      <c r="BA37" s="676">
        <f t="shared" si="64"/>
        <v>0</v>
      </c>
      <c r="BB37" s="129"/>
      <c r="BC37" s="676">
        <f t="shared" ref="BC37:BJ37" si="65">SUM(BC6:BC36)</f>
        <v>0</v>
      </c>
      <c r="BD37" s="676">
        <f t="shared" ref="BD37:BE37" si="66">SUM(BD6:BD36)</f>
        <v>0</v>
      </c>
      <c r="BE37" s="676">
        <f t="shared" si="66"/>
        <v>0</v>
      </c>
      <c r="BF37" s="676">
        <f t="shared" si="65"/>
        <v>33661.583149808976</v>
      </c>
      <c r="BG37" s="676">
        <f t="shared" si="65"/>
        <v>25587.114034607795</v>
      </c>
      <c r="BH37" s="676">
        <f t="shared" si="65"/>
        <v>32727.772938926886</v>
      </c>
      <c r="BI37" s="676">
        <f t="shared" si="65"/>
        <v>25219.149352965109</v>
      </c>
      <c r="BJ37" s="676">
        <f t="shared" si="65"/>
        <v>23983.194453243501</v>
      </c>
    </row>
    <row r="38" spans="2:62">
      <c r="BC38" s="84">
        <f t="shared" ref="BC38:BJ38" si="67">IF(ISERROR((BC37-J37)/J37),0,(BC37-J37)/J37)</f>
        <v>0</v>
      </c>
      <c r="BD38" s="84">
        <f t="shared" si="67"/>
        <v>0</v>
      </c>
      <c r="BE38" s="84">
        <f t="shared" si="67"/>
        <v>0</v>
      </c>
      <c r="BF38" s="84">
        <f t="shared" si="67"/>
        <v>5.9053758244380049E-3</v>
      </c>
      <c r="BG38" s="84">
        <f t="shared" si="67"/>
        <v>6.8305890346112208E-3</v>
      </c>
      <c r="BH38" s="84">
        <f t="shared" si="67"/>
        <v>8.0512189415563214E-3</v>
      </c>
      <c r="BI38" s="84">
        <f t="shared" si="67"/>
        <v>9.9253607560211791E-3</v>
      </c>
      <c r="BJ38" s="84">
        <f t="shared" si="67"/>
        <v>1.2416507650847036E-2</v>
      </c>
    </row>
    <row r="39" spans="2:62">
      <c r="K39" s="78"/>
      <c r="L39" s="78"/>
      <c r="M39" s="1">
        <f>M6*Lab_Mat!D25</f>
        <v>2331.3775570666853</v>
      </c>
      <c r="N39" s="1">
        <f>N6*Lab_Mat!D25</f>
        <v>1079.7489127703222</v>
      </c>
      <c r="AE39" s="39"/>
      <c r="BF39" s="39">
        <f>BF37-M37</f>
        <v>197.61729494910833</v>
      </c>
      <c r="BG39" s="39">
        <f>BG37-N37</f>
        <v>173.58934308871176</v>
      </c>
      <c r="BH39" s="39">
        <f>BH37-O37</f>
        <v>261.39392567523828</v>
      </c>
      <c r="BI39" s="39">
        <f>BI37-P37</f>
        <v>247.84916293296919</v>
      </c>
      <c r="BJ39" s="39">
        <f>BJ37-Q37</f>
        <v>294.13538318475184</v>
      </c>
    </row>
    <row r="40" spans="2:62">
      <c r="M40" s="1">
        <f>M39*Escalators!Q27</f>
        <v>2407.6121601303371</v>
      </c>
      <c r="N40" s="1">
        <f>N39*Escalators!R27</f>
        <v>1120.5877080486209</v>
      </c>
    </row>
    <row r="41" spans="2:62">
      <c r="M41" s="309">
        <f>M40-V6</f>
        <v>0</v>
      </c>
      <c r="N41" s="309">
        <f>N40-W6</f>
        <v>0</v>
      </c>
      <c r="O41" s="309"/>
      <c r="P41" s="309"/>
      <c r="Q41" s="309"/>
    </row>
    <row r="42" spans="2:62">
      <c r="M42" s="309"/>
      <c r="N42" s="309"/>
      <c r="O42" s="309"/>
      <c r="P42" s="309"/>
      <c r="Q42" s="309"/>
    </row>
    <row r="43" spans="2:62">
      <c r="M43" s="309"/>
      <c r="N43" s="309"/>
      <c r="O43" s="309"/>
      <c r="P43" s="309"/>
      <c r="Q43" s="309"/>
    </row>
    <row r="44" spans="2:62">
      <c r="M44" s="157"/>
      <c r="N44" s="157"/>
      <c r="O44" s="157"/>
      <c r="P44" s="157"/>
      <c r="Q44" s="157"/>
    </row>
    <row r="45" spans="2:62">
      <c r="K45" s="78"/>
      <c r="L45" s="78"/>
      <c r="M45" s="269"/>
      <c r="N45" s="269"/>
      <c r="O45" s="269"/>
      <c r="P45" s="269"/>
      <c r="Q45" s="269"/>
    </row>
    <row r="47" spans="2:62">
      <c r="J47" s="324"/>
      <c r="K47" s="324"/>
      <c r="L47" s="324"/>
    </row>
    <row r="48" spans="2:62">
      <c r="J48" s="216"/>
      <c r="K48" s="216"/>
      <c r="L48" s="216"/>
    </row>
    <row r="49" spans="10:19">
      <c r="J49" s="216"/>
      <c r="K49" s="216"/>
      <c r="L49" s="216"/>
    </row>
    <row r="50" spans="10:19">
      <c r="J50" s="216"/>
      <c r="K50" s="216"/>
      <c r="L50" s="216"/>
    </row>
    <row r="55" spans="10:19">
      <c r="J55" s="39"/>
      <c r="K55" s="39"/>
      <c r="L55" s="39"/>
      <c r="M55" s="39"/>
      <c r="N55" s="39"/>
      <c r="S55" s="39"/>
    </row>
  </sheetData>
  <mergeCells count="13">
    <mergeCell ref="M1:N1"/>
    <mergeCell ref="BC3:BJ3"/>
    <mergeCell ref="AT3:BA3"/>
    <mergeCell ref="J4:Q4"/>
    <mergeCell ref="J3:Q3"/>
    <mergeCell ref="S3:Z3"/>
    <mergeCell ref="AB3:AI3"/>
    <mergeCell ref="AK3:AR3"/>
    <mergeCell ref="BC4:BJ4"/>
    <mergeCell ref="AK4:AR4"/>
    <mergeCell ref="AT4:BA4"/>
    <mergeCell ref="AB4:AI4"/>
    <mergeCell ref="S4:Z4"/>
  </mergeCells>
  <dataValidations disablePrompts="1" xWindow="606" yWindow="646" count="1">
    <dataValidation type="list" allowBlank="1" showInputMessage="1" showErrorMessage="1" prompt="Select from drop down list" sqref="H20:H36" xr:uid="{00000000-0002-0000-1400-000000000000}">
      <formula1>$C$25:$C$29</formula1>
    </dataValidation>
  </dataValidations>
  <hyperlinks>
    <hyperlink ref="B2" location="Contents!A1" display="Table of Contents" xr:uid="{00000000-0004-0000-14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disablePrompts="1" xWindow="606" yWindow="646" count="5">
        <x14:dataValidation type="list" errorStyle="warning" showInputMessage="1" showErrorMessage="1" error="Invalid data entered" prompt="Select from drop down list" xr:uid="{00000000-0002-0000-1400-000001000000}">
          <x14:formula1>
            <xm:f>Lookups!$C$5:$C$13</xm:f>
          </x14:formula1>
          <xm:sqref>E6:E36</xm:sqref>
        </x14:dataValidation>
        <x14:dataValidation type="list" errorStyle="warning" showInputMessage="1" showErrorMessage="1" error="Invalid data entered" prompt="Select from drop down list" xr:uid="{00000000-0002-0000-1400-000002000000}">
          <x14:formula1>
            <xm:f>Lookups!$C$16:$C$27</xm:f>
          </x14:formula1>
          <xm:sqref>F6:F36</xm:sqref>
        </x14:dataValidation>
        <x14:dataValidation type="list" allowBlank="1" showInputMessage="1" showErrorMessage="1" prompt="Select from drop down list" xr:uid="{00000000-0002-0000-1400-000003000000}">
          <x14:formula1>
            <xm:f>Lookups!$I$15:$I$26</xm:f>
          </x14:formula1>
          <xm:sqref>I6:I36</xm:sqref>
        </x14:dataValidation>
        <x14:dataValidation type="list" errorStyle="warning" showInputMessage="1" showErrorMessage="1" error="Invalid data entered" prompt="Select from drop down list" xr:uid="{00000000-0002-0000-1400-000004000000}">
          <x14:formula1>
            <xm:f>Lookups!$I$5:$I$8</xm:f>
          </x14:formula1>
          <xm:sqref>G6:G36</xm:sqref>
        </x14:dataValidation>
        <x14:dataValidation type="list" allowBlank="1" showInputMessage="1" showErrorMessage="1" prompt="Select from drop down list" xr:uid="{00000000-0002-0000-1400-000005000000}">
          <x14:formula1>
            <xm:f>Lab_Mat!$C$25:$C$28</xm:f>
          </x14:formula1>
          <xm:sqref>H6:H19</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BJ56"/>
  <sheetViews>
    <sheetView zoomScale="85" zoomScaleNormal="85" zoomScalePageLayoutView="125" workbookViewId="0">
      <pane xSplit="8" topLeftCell="AT1" activePane="topRight" state="frozen"/>
      <selection activeCell="V33" sqref="V33"/>
      <selection pane="topRight" activeCell="N12" sqref="N12"/>
    </sheetView>
  </sheetViews>
  <sheetFormatPr defaultColWidth="8.85546875" defaultRowHeight="15" outlineLevelCol="1"/>
  <cols>
    <col min="1" max="1" width="4" style="1" customWidth="1"/>
    <col min="2" max="2" width="12.7109375" style="1" customWidth="1"/>
    <col min="3" max="3" width="26" style="1" customWidth="1"/>
    <col min="4" max="4" width="43.7109375" style="1" customWidth="1"/>
    <col min="5" max="5" width="33.28515625" style="1" hidden="1" customWidth="1" outlineLevel="1"/>
    <col min="6" max="6" width="31.140625" style="1" hidden="1" customWidth="1" outlineLevel="1"/>
    <col min="7" max="7" width="14" style="1" hidden="1" customWidth="1" outlineLevel="1"/>
    <col min="8" max="8" width="28.140625" style="1" hidden="1" customWidth="1" outlineLevel="1"/>
    <col min="9" max="9" width="27.28515625" style="1" hidden="1" customWidth="1" outlineLevel="1"/>
    <col min="10" max="10" width="9" style="1" customWidth="1" collapsed="1"/>
    <col min="11" max="12" width="9" style="1" customWidth="1"/>
    <col min="13" max="13" width="10.7109375" style="1" customWidth="1"/>
    <col min="14" max="14" width="10.28515625" style="1" customWidth="1"/>
    <col min="15" max="17" width="9" style="1" customWidth="1"/>
    <col min="18" max="18" width="3.140625" style="1" customWidth="1"/>
    <col min="19" max="26" width="8.85546875" style="1"/>
    <col min="27" max="27" width="2.85546875" style="1" customWidth="1"/>
    <col min="28" max="35" width="8.85546875" style="1"/>
    <col min="36" max="36" width="2.42578125" style="1" customWidth="1"/>
    <col min="37" max="44" width="8.85546875" style="1"/>
    <col min="45" max="45" width="2.85546875" style="1" customWidth="1"/>
    <col min="46" max="53" width="8.85546875" style="1"/>
    <col min="54" max="54" width="2.85546875" style="1" customWidth="1"/>
    <col min="55" max="16384" width="8.85546875" style="1"/>
  </cols>
  <sheetData>
    <row r="1" spans="2:62" ht="18.75">
      <c r="B1" s="10" t="s">
        <v>521</v>
      </c>
      <c r="M1" s="968"/>
      <c r="N1" s="968"/>
    </row>
    <row r="2" spans="2:62">
      <c r="B2" s="25" t="s">
        <v>6</v>
      </c>
      <c r="AB2" s="88"/>
      <c r="AC2" s="88"/>
      <c r="AD2" s="88"/>
    </row>
    <row r="3" spans="2:62">
      <c r="J3" s="964"/>
      <c r="K3" s="964"/>
      <c r="L3" s="964"/>
      <c r="M3" s="964"/>
      <c r="N3" s="964"/>
      <c r="O3" s="964"/>
      <c r="P3" s="964"/>
      <c r="Q3" s="964"/>
      <c r="S3" s="964"/>
      <c r="T3" s="964"/>
      <c r="U3" s="964"/>
      <c r="V3" s="964"/>
      <c r="W3" s="964"/>
      <c r="X3" s="964"/>
      <c r="Y3" s="964"/>
      <c r="Z3" s="964"/>
      <c r="AB3" s="964"/>
      <c r="AC3" s="964"/>
      <c r="AD3" s="964"/>
      <c r="AE3" s="964"/>
      <c r="AF3" s="964"/>
      <c r="AG3" s="964"/>
      <c r="AH3" s="964"/>
      <c r="AI3" s="964"/>
      <c r="AK3" s="964"/>
      <c r="AL3" s="964"/>
      <c r="AM3" s="964"/>
      <c r="AN3" s="964"/>
      <c r="AO3" s="964"/>
      <c r="AP3" s="964"/>
      <c r="AQ3" s="964"/>
      <c r="AR3" s="964"/>
      <c r="AT3" s="964"/>
      <c r="AU3" s="964"/>
      <c r="AV3" s="964"/>
      <c r="AW3" s="964"/>
      <c r="AX3" s="964"/>
      <c r="AY3" s="964"/>
      <c r="AZ3" s="964"/>
      <c r="BA3" s="964"/>
      <c r="BC3" s="964"/>
      <c r="BD3" s="964"/>
      <c r="BE3" s="964"/>
      <c r="BF3" s="964"/>
      <c r="BG3" s="964"/>
      <c r="BH3" s="964"/>
      <c r="BI3" s="964"/>
      <c r="BJ3" s="964"/>
    </row>
    <row r="4" spans="2:62" ht="35.450000000000003" customHeight="1">
      <c r="J4" s="961" t="s">
        <v>378</v>
      </c>
      <c r="K4" s="962"/>
      <c r="L4" s="962"/>
      <c r="M4" s="962"/>
      <c r="N4" s="962"/>
      <c r="O4" s="962"/>
      <c r="P4" s="962"/>
      <c r="Q4" s="963"/>
      <c r="S4" s="961" t="s">
        <v>174</v>
      </c>
      <c r="T4" s="962"/>
      <c r="U4" s="962"/>
      <c r="V4" s="962"/>
      <c r="W4" s="962"/>
      <c r="X4" s="962"/>
      <c r="Y4" s="962"/>
      <c r="Z4" s="963"/>
      <c r="AB4" s="961" t="s">
        <v>173</v>
      </c>
      <c r="AC4" s="962"/>
      <c r="AD4" s="962"/>
      <c r="AE4" s="962"/>
      <c r="AF4" s="962"/>
      <c r="AG4" s="962"/>
      <c r="AH4" s="962"/>
      <c r="AI4" s="963"/>
      <c r="AK4" s="961" t="s">
        <v>297</v>
      </c>
      <c r="AL4" s="962"/>
      <c r="AM4" s="962"/>
      <c r="AN4" s="962"/>
      <c r="AO4" s="962"/>
      <c r="AP4" s="962"/>
      <c r="AQ4" s="962"/>
      <c r="AR4" s="963"/>
      <c r="AT4" s="961" t="s">
        <v>175</v>
      </c>
      <c r="AU4" s="962"/>
      <c r="AV4" s="962"/>
      <c r="AW4" s="962"/>
      <c r="AX4" s="962"/>
      <c r="AY4" s="962"/>
      <c r="AZ4" s="962"/>
      <c r="BA4" s="963"/>
      <c r="BC4" s="961" t="s">
        <v>379</v>
      </c>
      <c r="BD4" s="962"/>
      <c r="BE4" s="962"/>
      <c r="BF4" s="962"/>
      <c r="BG4" s="962"/>
      <c r="BH4" s="962"/>
      <c r="BI4" s="962"/>
      <c r="BJ4" s="963"/>
    </row>
    <row r="5" spans="2:62">
      <c r="B5" s="8" t="s">
        <v>23</v>
      </c>
      <c r="C5" s="8" t="s">
        <v>24</v>
      </c>
      <c r="D5" s="17" t="s">
        <v>98</v>
      </c>
      <c r="E5" s="17" t="s">
        <v>76</v>
      </c>
      <c r="F5" s="17" t="s">
        <v>77</v>
      </c>
      <c r="G5" s="17" t="s">
        <v>322</v>
      </c>
      <c r="H5" s="17" t="s">
        <v>212</v>
      </c>
      <c r="I5" s="17" t="s">
        <v>523</v>
      </c>
      <c r="J5" s="331">
        <f>CP_Yr_4</f>
        <v>43800</v>
      </c>
      <c r="K5" s="331">
        <f>CP_Yr_5</f>
        <v>44166</v>
      </c>
      <c r="L5" s="331">
        <f>Stub</f>
        <v>44377</v>
      </c>
      <c r="M5" s="331">
        <f>Yr_1</f>
        <v>44742</v>
      </c>
      <c r="N5" s="331">
        <f>Yr_2</f>
        <v>45107</v>
      </c>
      <c r="O5" s="331">
        <f>Yr_3</f>
        <v>45473</v>
      </c>
      <c r="P5" s="331">
        <f>Yr_4</f>
        <v>45838</v>
      </c>
      <c r="Q5" s="331">
        <f>Yr_5</f>
        <v>46203</v>
      </c>
      <c r="R5" s="332"/>
      <c r="S5" s="331">
        <f>CP_Yr_4</f>
        <v>43800</v>
      </c>
      <c r="T5" s="331">
        <f>CP_Yr_5</f>
        <v>44166</v>
      </c>
      <c r="U5" s="331">
        <f>Stub</f>
        <v>44377</v>
      </c>
      <c r="V5" s="331">
        <f>Yr_1</f>
        <v>44742</v>
      </c>
      <c r="W5" s="331">
        <f>Yr_2</f>
        <v>45107</v>
      </c>
      <c r="X5" s="331">
        <f>Yr_3</f>
        <v>45473</v>
      </c>
      <c r="Y5" s="331">
        <f>Yr_4</f>
        <v>45838</v>
      </c>
      <c r="Z5" s="331">
        <f>Yr_5</f>
        <v>46203</v>
      </c>
      <c r="AA5" s="332"/>
      <c r="AB5" s="331">
        <f>CP_Yr_4</f>
        <v>43800</v>
      </c>
      <c r="AC5" s="331">
        <f>CP_Yr_5</f>
        <v>44166</v>
      </c>
      <c r="AD5" s="331">
        <f>Stub</f>
        <v>44377</v>
      </c>
      <c r="AE5" s="331">
        <f>Yr_1</f>
        <v>44742</v>
      </c>
      <c r="AF5" s="331">
        <f>Yr_2</f>
        <v>45107</v>
      </c>
      <c r="AG5" s="331">
        <f>Yr_3</f>
        <v>45473</v>
      </c>
      <c r="AH5" s="331">
        <f>Yr_4</f>
        <v>45838</v>
      </c>
      <c r="AI5" s="331">
        <f>Yr_5</f>
        <v>46203</v>
      </c>
      <c r="AJ5" s="332"/>
      <c r="AK5" s="331">
        <f>CP_Yr_4</f>
        <v>43800</v>
      </c>
      <c r="AL5" s="331">
        <f>CP_Yr_5</f>
        <v>44166</v>
      </c>
      <c r="AM5" s="331">
        <f>Stub</f>
        <v>44377</v>
      </c>
      <c r="AN5" s="331">
        <f>Yr_1</f>
        <v>44742</v>
      </c>
      <c r="AO5" s="331">
        <f>Yr_2</f>
        <v>45107</v>
      </c>
      <c r="AP5" s="331">
        <f>Yr_3</f>
        <v>45473</v>
      </c>
      <c r="AQ5" s="331">
        <f>Yr_4</f>
        <v>45838</v>
      </c>
      <c r="AR5" s="331">
        <f>Yr_5</f>
        <v>46203</v>
      </c>
      <c r="AS5" s="332"/>
      <c r="AT5" s="331">
        <f>CP_Yr_4</f>
        <v>43800</v>
      </c>
      <c r="AU5" s="331">
        <f>CP_Yr_5</f>
        <v>44166</v>
      </c>
      <c r="AV5" s="331">
        <f>Stub</f>
        <v>44377</v>
      </c>
      <c r="AW5" s="331">
        <f>Yr_1</f>
        <v>44742</v>
      </c>
      <c r="AX5" s="331">
        <f>Yr_2</f>
        <v>45107</v>
      </c>
      <c r="AY5" s="331">
        <f>Yr_3</f>
        <v>45473</v>
      </c>
      <c r="AZ5" s="331">
        <f>Yr_4</f>
        <v>45838</v>
      </c>
      <c r="BA5" s="331">
        <f>Yr_5</f>
        <v>46203</v>
      </c>
      <c r="BB5" s="332"/>
      <c r="BC5" s="331">
        <f>CP_Yr_4</f>
        <v>43800</v>
      </c>
      <c r="BD5" s="331">
        <f>CP_Yr_5</f>
        <v>44166</v>
      </c>
      <c r="BE5" s="331">
        <f>Stub</f>
        <v>44377</v>
      </c>
      <c r="BF5" s="331">
        <f>Yr_1</f>
        <v>44742</v>
      </c>
      <c r="BG5" s="331">
        <f>Yr_2</f>
        <v>45107</v>
      </c>
      <c r="BH5" s="331">
        <f>Yr_3</f>
        <v>45473</v>
      </c>
      <c r="BI5" s="331">
        <f>Yr_4</f>
        <v>45838</v>
      </c>
      <c r="BJ5" s="331">
        <f>Yr_5</f>
        <v>46203</v>
      </c>
    </row>
    <row r="6" spans="2:62">
      <c r="B6" s="7"/>
      <c r="C6" s="7"/>
      <c r="D6" s="7"/>
      <c r="E6" s="7"/>
      <c r="F6" s="7"/>
      <c r="G6" s="7"/>
      <c r="H6" s="7"/>
      <c r="I6" s="7"/>
      <c r="J6" s="45"/>
      <c r="K6" s="45"/>
      <c r="L6" s="45"/>
      <c r="M6" s="45"/>
      <c r="N6" s="45"/>
      <c r="O6" s="45"/>
      <c r="P6" s="45"/>
      <c r="Q6" s="45"/>
      <c r="S6" s="47"/>
      <c r="T6" s="47"/>
      <c r="U6" s="47"/>
      <c r="V6" s="47"/>
      <c r="W6" s="47"/>
      <c r="X6" s="47"/>
      <c r="Y6" s="47"/>
      <c r="Z6" s="47"/>
      <c r="AB6" s="47"/>
      <c r="AC6" s="47"/>
      <c r="AD6" s="47"/>
      <c r="AE6" s="47"/>
      <c r="AF6" s="47"/>
      <c r="AG6" s="47"/>
      <c r="AH6" s="47"/>
      <c r="AI6" s="47"/>
      <c r="AK6" s="47"/>
      <c r="AL6" s="47"/>
      <c r="AM6" s="47"/>
      <c r="AN6" s="47"/>
      <c r="AO6" s="47"/>
      <c r="AP6" s="47"/>
      <c r="AQ6" s="47"/>
      <c r="AR6" s="47"/>
      <c r="AT6" s="82"/>
      <c r="AU6" s="82"/>
      <c r="AV6" s="82"/>
      <c r="AW6" s="82"/>
      <c r="AX6" s="82"/>
      <c r="AY6" s="82"/>
      <c r="AZ6" s="82"/>
      <c r="BA6" s="82"/>
      <c r="BC6" s="369">
        <f t="shared" ref="BC6:BJ6" si="0">S6+AB6+AK6+AT6</f>
        <v>0</v>
      </c>
      <c r="BD6" s="369">
        <f t="shared" si="0"/>
        <v>0</v>
      </c>
      <c r="BE6" s="369">
        <f t="shared" si="0"/>
        <v>0</v>
      </c>
      <c r="BF6" s="47">
        <f t="shared" si="0"/>
        <v>0</v>
      </c>
      <c r="BG6" s="47">
        <f t="shared" si="0"/>
        <v>0</v>
      </c>
      <c r="BH6" s="47">
        <f t="shared" si="0"/>
        <v>0</v>
      </c>
      <c r="BI6" s="47">
        <f t="shared" si="0"/>
        <v>0</v>
      </c>
      <c r="BJ6" s="47">
        <f t="shared" si="0"/>
        <v>0</v>
      </c>
    </row>
    <row r="7" spans="2:62">
      <c r="B7" s="7"/>
      <c r="C7" s="7"/>
      <c r="D7" s="7"/>
      <c r="E7" s="7"/>
      <c r="F7" s="7"/>
      <c r="G7" s="7"/>
      <c r="H7" s="7"/>
      <c r="I7" s="7"/>
      <c r="J7" s="45"/>
      <c r="K7" s="45"/>
      <c r="L7" s="45"/>
      <c r="M7" s="45"/>
      <c r="N7" s="45"/>
      <c r="O7" s="45"/>
      <c r="P7" s="45"/>
      <c r="Q7" s="45"/>
      <c r="S7" s="47"/>
      <c r="T7" s="47"/>
      <c r="U7" s="47"/>
      <c r="V7" s="47"/>
      <c r="W7" s="47"/>
      <c r="X7" s="47"/>
      <c r="Y7" s="47"/>
      <c r="Z7" s="47"/>
      <c r="AB7" s="47"/>
      <c r="AC7" s="47"/>
      <c r="AD7" s="47"/>
      <c r="AE7" s="47"/>
      <c r="AF7" s="47"/>
      <c r="AG7" s="47"/>
      <c r="AH7" s="47"/>
      <c r="AI7" s="47"/>
      <c r="AK7" s="47"/>
      <c r="AL7" s="47"/>
      <c r="AM7" s="47"/>
      <c r="AN7" s="47"/>
      <c r="AO7" s="47"/>
      <c r="AP7" s="47"/>
      <c r="AQ7" s="47"/>
      <c r="AR7" s="47"/>
      <c r="AT7" s="82"/>
      <c r="AU7" s="82"/>
      <c r="AV7" s="82"/>
      <c r="AW7" s="82"/>
      <c r="AX7" s="82"/>
      <c r="AY7" s="82"/>
      <c r="AZ7" s="82"/>
      <c r="BA7" s="82"/>
      <c r="BC7" s="369">
        <f t="shared" ref="BC7:BC23" si="1">S7+AB7+AK7+AT7</f>
        <v>0</v>
      </c>
      <c r="BD7" s="369">
        <f t="shared" ref="BD7:BD21" si="2">T7+AC7+AL7+AU7</f>
        <v>0</v>
      </c>
      <c r="BE7" s="369">
        <f t="shared" ref="BE7:BE21" si="3">U7+AD7+AM7+AV7</f>
        <v>0</v>
      </c>
      <c r="BF7" s="47">
        <f t="shared" ref="BF7:BF21" si="4">V7+AE7+AN7+AW7</f>
        <v>0</v>
      </c>
      <c r="BG7" s="47">
        <f t="shared" ref="BG7:BG21" si="5">W7+AF7+AO7+AX7</f>
        <v>0</v>
      </c>
      <c r="BH7" s="47">
        <f t="shared" ref="BH7:BH21" si="6">X7+AG7+AP7+AY7</f>
        <v>0</v>
      </c>
      <c r="BI7" s="47">
        <f t="shared" ref="BI7:BI21" si="7">Y7+AH7+AQ7+AZ7</f>
        <v>0</v>
      </c>
      <c r="BJ7" s="47">
        <f t="shared" ref="BJ7:BJ21" si="8">Z7+AI7+AR7+BA7</f>
        <v>0</v>
      </c>
    </row>
    <row r="8" spans="2:62">
      <c r="B8" s="7"/>
      <c r="C8" s="7"/>
      <c r="D8" s="7"/>
      <c r="E8" s="7"/>
      <c r="F8" s="7"/>
      <c r="G8" s="7"/>
      <c r="H8" s="7"/>
      <c r="I8" s="7"/>
      <c r="J8" s="45"/>
      <c r="K8" s="45"/>
      <c r="L8" s="45"/>
      <c r="M8" s="45"/>
      <c r="N8" s="45"/>
      <c r="O8" s="45"/>
      <c r="P8" s="45"/>
      <c r="Q8" s="45"/>
      <c r="S8" s="47"/>
      <c r="T8" s="47"/>
      <c r="U8" s="47"/>
      <c r="V8" s="47"/>
      <c r="W8" s="47"/>
      <c r="X8" s="47"/>
      <c r="Y8" s="47"/>
      <c r="Z8" s="47"/>
      <c r="AB8" s="47"/>
      <c r="AC8" s="47"/>
      <c r="AD8" s="47"/>
      <c r="AE8" s="47"/>
      <c r="AF8" s="47"/>
      <c r="AG8" s="47"/>
      <c r="AH8" s="47"/>
      <c r="AI8" s="47"/>
      <c r="AK8" s="47"/>
      <c r="AL8" s="47"/>
      <c r="AM8" s="47"/>
      <c r="AN8" s="47"/>
      <c r="AO8" s="47"/>
      <c r="AP8" s="47"/>
      <c r="AQ8" s="47"/>
      <c r="AR8" s="47"/>
      <c r="AT8" s="82"/>
      <c r="AU8" s="82"/>
      <c r="AV8" s="82"/>
      <c r="AW8" s="82"/>
      <c r="AX8" s="82"/>
      <c r="AY8" s="82"/>
      <c r="AZ8" s="82"/>
      <c r="BA8" s="82"/>
      <c r="BC8" s="369">
        <f t="shared" si="1"/>
        <v>0</v>
      </c>
      <c r="BD8" s="369">
        <f t="shared" si="2"/>
        <v>0</v>
      </c>
      <c r="BE8" s="369">
        <f t="shared" si="3"/>
        <v>0</v>
      </c>
      <c r="BF8" s="47">
        <f t="shared" si="4"/>
        <v>0</v>
      </c>
      <c r="BG8" s="47">
        <f t="shared" si="5"/>
        <v>0</v>
      </c>
      <c r="BH8" s="47">
        <f t="shared" si="6"/>
        <v>0</v>
      </c>
      <c r="BI8" s="47">
        <f t="shared" si="7"/>
        <v>0</v>
      </c>
      <c r="BJ8" s="47">
        <f t="shared" si="8"/>
        <v>0</v>
      </c>
    </row>
    <row r="9" spans="2:62">
      <c r="B9" s="7"/>
      <c r="C9" s="7"/>
      <c r="D9" s="252"/>
      <c r="E9" s="7"/>
      <c r="F9" s="7"/>
      <c r="G9" s="7"/>
      <c r="H9" s="7"/>
      <c r="I9" s="7"/>
      <c r="J9" s="45"/>
      <c r="K9" s="45"/>
      <c r="L9" s="45"/>
      <c r="M9" s="45"/>
      <c r="N9" s="45"/>
      <c r="O9" s="45"/>
      <c r="P9" s="45"/>
      <c r="Q9" s="45"/>
      <c r="S9" s="47"/>
      <c r="T9" s="47"/>
      <c r="U9" s="47"/>
      <c r="V9" s="47"/>
      <c r="W9" s="47"/>
      <c r="X9" s="47"/>
      <c r="Y9" s="47"/>
      <c r="Z9" s="47"/>
      <c r="AB9" s="47"/>
      <c r="AC9" s="47"/>
      <c r="AD9" s="47"/>
      <c r="AE9" s="47"/>
      <c r="AF9" s="47"/>
      <c r="AG9" s="47"/>
      <c r="AH9" s="47"/>
      <c r="AI9" s="47"/>
      <c r="AK9" s="47"/>
      <c r="AL9" s="47"/>
      <c r="AM9" s="47"/>
      <c r="AN9" s="47"/>
      <c r="AO9" s="47"/>
      <c r="AP9" s="47"/>
      <c r="AQ9" s="47"/>
      <c r="AR9" s="47"/>
      <c r="AT9" s="82"/>
      <c r="AU9" s="82"/>
      <c r="AV9" s="82"/>
      <c r="AW9" s="82"/>
      <c r="AX9" s="82"/>
      <c r="AY9" s="82"/>
      <c r="AZ9" s="82"/>
      <c r="BA9" s="82"/>
      <c r="BC9" s="369">
        <f t="shared" si="1"/>
        <v>0</v>
      </c>
      <c r="BD9" s="369">
        <f t="shared" si="2"/>
        <v>0</v>
      </c>
      <c r="BE9" s="369">
        <f t="shared" si="3"/>
        <v>0</v>
      </c>
      <c r="BF9" s="47">
        <f t="shared" si="4"/>
        <v>0</v>
      </c>
      <c r="BG9" s="47">
        <f t="shared" si="5"/>
        <v>0</v>
      </c>
      <c r="BH9" s="47">
        <f t="shared" si="6"/>
        <v>0</v>
      </c>
      <c r="BI9" s="47">
        <f t="shared" si="7"/>
        <v>0</v>
      </c>
      <c r="BJ9" s="47">
        <f t="shared" si="8"/>
        <v>0</v>
      </c>
    </row>
    <row r="10" spans="2:62">
      <c r="B10" s="7"/>
      <c r="C10" s="7" t="s">
        <v>112</v>
      </c>
      <c r="D10" s="7" t="s">
        <v>522</v>
      </c>
      <c r="E10" s="7" t="s">
        <v>48</v>
      </c>
      <c r="F10" s="7" t="s">
        <v>48</v>
      </c>
      <c r="G10" s="7" t="s">
        <v>150</v>
      </c>
      <c r="H10" s="7" t="s">
        <v>543</v>
      </c>
      <c r="I10" s="7" t="s">
        <v>323</v>
      </c>
      <c r="J10" s="45"/>
      <c r="K10" s="45"/>
      <c r="L10" s="750">
        <f>'[6]AusNet revised allocations'!BJ$9/1000</f>
        <v>6250</v>
      </c>
      <c r="M10" s="750">
        <f>SUM('[6]AusNet revised allocations'!BK$9:BL$9)/Thousands</f>
        <v>1085.7660000000001</v>
      </c>
      <c r="N10" s="750">
        <f>SUM('[6]AusNet revised allocations'!$BM$9:$BN$9)/Thousands</f>
        <v>542.88300000000004</v>
      </c>
      <c r="O10" s="128">
        <v>0</v>
      </c>
      <c r="P10" s="128">
        <v>0</v>
      </c>
      <c r="Q10" s="128">
        <v>0</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1216.884887528661</v>
      </c>
      <c r="V10" s="128">
        <f>INDEX(Direct_Cost_Splits_Network,MATCH($H10,RIN_Asset_Cat_Network,0),MATCH($S$4,Direct_Cost_Type,0))*M10*HLOOKUP(V$5,Escalators!$I$25:$U$30,3,FALSE)</f>
        <v>213.04127646727949</v>
      </c>
      <c r="W10" s="128">
        <f>INDEX(Direct_Cost_Splits_Network,MATCH($H10,RIN_Asset_Cat_Network,0),MATCH($S$4,Direct_Cost_Type,0))*N10*HLOOKUP(W$5,Escalators!$I$25:$U$30,3,FALSE)</f>
        <v>107.04907576898214</v>
      </c>
      <c r="X10" s="128">
        <f>INDEX(Direct_Cost_Splits_Network,MATCH($H10,RIN_Asset_Cat_Network,0),MATCH($S$4,Direct_Cost_Type,0))*O10*HLOOKUP(X$5,Escalators!$I$25:$U$30,3,FALSE)</f>
        <v>0</v>
      </c>
      <c r="Y10" s="128">
        <f>INDEX(Direct_Cost_Splits_Network,MATCH($H10,RIN_Asset_Cat_Network,0),MATCH($S$4,Direct_Cost_Type,0))*P10*HLOOKUP(Y$5,Escalators!$I$25:$U$30,3,FALSE)</f>
        <v>0</v>
      </c>
      <c r="Z10" s="128">
        <f>INDEX(Direct_Cost_Splits_Network,MATCH($H10,RIN_Asset_Cat_Network,0),MATCH($S$4,Direct_Cost_Type,0))*Q10*HLOOKUP(Z$5,Escalators!$I$25:$U$30,3,FALSE)</f>
        <v>0</v>
      </c>
      <c r="AA10" s="129"/>
      <c r="AB10" s="128">
        <f t="shared" ref="AB10:AI12" si="9">INDEX(Direct_Cost_Splits_Network,MATCH($H10,RIN_Asset_Cat_Network,0),MATCH($AB$4,Direct_Cost_Type,0))*J10</f>
        <v>0</v>
      </c>
      <c r="AC10" s="128">
        <f t="shared" si="9"/>
        <v>0</v>
      </c>
      <c r="AD10" s="128">
        <f t="shared" si="9"/>
        <v>5062.5</v>
      </c>
      <c r="AE10" s="128">
        <f t="shared" si="9"/>
        <v>879.47046000000012</v>
      </c>
      <c r="AF10" s="128">
        <f t="shared" si="9"/>
        <v>439.73523000000006</v>
      </c>
      <c r="AG10" s="128">
        <f t="shared" si="9"/>
        <v>0</v>
      </c>
      <c r="AH10" s="128">
        <f t="shared" si="9"/>
        <v>0</v>
      </c>
      <c r="AI10" s="128">
        <f t="shared" si="9"/>
        <v>0</v>
      </c>
      <c r="AJ10" s="129"/>
      <c r="AK10" s="128">
        <f>INDEX(Direct_Cost_Splits_Network,MATCH($H10,RIN_Asset_Cat_Network,0),MATCH($AK$4,Direct_Cost_Type,0))*J10*HLOOKUP(AK$5,Escalators!$I$25:$U$30,6,FALSE)</f>
        <v>0</v>
      </c>
      <c r="AL10" s="128">
        <f>INDEX(Direct_Cost_Splits_Network,MATCH($H10,RIN_Asset_Cat_Network,0),MATCH($AK$4,Direct_Cost_Type,0))*K10*HLOOKUP(AL$5,Escalators!$I$25:$U$30,6,FALSE)</f>
        <v>0</v>
      </c>
      <c r="AM10" s="128">
        <f>INDEX(Direct_Cost_Splits_Network,MATCH($H10,RIN_Asset_Cat_Network,0),MATCH($AK$4,Direct_Cost_Type,0))*L10*HLOOKUP(AM$5,Escalators!$I$25:$U$30,6,FALSE)</f>
        <v>0</v>
      </c>
      <c r="AN10" s="128">
        <f>INDEX(Direct_Cost_Splits_Network,MATCH($H10,RIN_Asset_Cat_Network,0),MATCH($AK$4,Direct_Cost_Type,0))*M10*HLOOKUP(AN$5,Escalators!$I$25:$U$30,6,FALSE)</f>
        <v>0</v>
      </c>
      <c r="AO10" s="128">
        <f>INDEX(Direct_Cost_Splits_Network,MATCH($H10,RIN_Asset_Cat_Network,0),MATCH($AK$4,Direct_Cost_Type,0))*N10*HLOOKUP(AO$5,Escalators!$I$25:$U$30,6,FALSE)</f>
        <v>0</v>
      </c>
      <c r="AP10" s="128">
        <f>INDEX(Direct_Cost_Splits_Network,MATCH($H10,RIN_Asset_Cat_Network,0),MATCH($AK$4,Direct_Cost_Type,0))*O10*HLOOKUP(AP$5,Escalators!$I$25:$U$30,6,FALSE)</f>
        <v>0</v>
      </c>
      <c r="AQ10" s="128">
        <f>INDEX(Direct_Cost_Splits_Network,MATCH($H10,RIN_Asset_Cat_Network,0),MATCH($AK$4,Direct_Cost_Type,0))*P10*HLOOKUP(AQ$5,Escalators!$I$25:$U$30,6,FALSE)</f>
        <v>0</v>
      </c>
      <c r="AR10" s="128">
        <f>INDEX(Direct_Cost_Splits_Network,MATCH($H10,RIN_Asset_Cat_Network,0),MATCH($AK$4,Direct_Cost_Type,0))*Q10*HLOOKUP(AR$5,Escalators!$I$25:$U$30,6,FALSE)</f>
        <v>0</v>
      </c>
      <c r="AS10" s="129"/>
      <c r="AT10" s="675">
        <f t="shared" ref="AT10:BA12" si="10">INDEX(Direct_Cost_Splits_Network,MATCH($H10,RIN_Asset_Cat_Network,0),MATCH($AT$4,Direct_Cost_Type,0))*J10</f>
        <v>0</v>
      </c>
      <c r="AU10" s="675">
        <f t="shared" si="10"/>
        <v>0</v>
      </c>
      <c r="AV10" s="675">
        <f t="shared" si="10"/>
        <v>0</v>
      </c>
      <c r="AW10" s="675">
        <f t="shared" si="10"/>
        <v>0</v>
      </c>
      <c r="AX10" s="675">
        <f t="shared" si="10"/>
        <v>0</v>
      </c>
      <c r="AY10" s="675">
        <f t="shared" si="10"/>
        <v>0</v>
      </c>
      <c r="AZ10" s="675">
        <f t="shared" si="10"/>
        <v>0</v>
      </c>
      <c r="BA10" s="675">
        <f t="shared" si="10"/>
        <v>0</v>
      </c>
      <c r="BB10" s="129"/>
      <c r="BC10" s="128">
        <f t="shared" si="1"/>
        <v>0</v>
      </c>
      <c r="BD10" s="128">
        <f t="shared" si="2"/>
        <v>0</v>
      </c>
      <c r="BE10" s="128">
        <f t="shared" si="3"/>
        <v>6279.3848875286612</v>
      </c>
      <c r="BF10" s="128">
        <f t="shared" si="4"/>
        <v>1092.5117364672797</v>
      </c>
      <c r="BG10" s="128">
        <f t="shared" si="5"/>
        <v>546.78430576898222</v>
      </c>
      <c r="BH10" s="128">
        <f t="shared" si="6"/>
        <v>0</v>
      </c>
      <c r="BI10" s="128">
        <f t="shared" si="7"/>
        <v>0</v>
      </c>
      <c r="BJ10" s="128">
        <f t="shared" si="8"/>
        <v>0</v>
      </c>
    </row>
    <row r="11" spans="2:62">
      <c r="B11" s="7"/>
      <c r="C11" s="7" t="s">
        <v>112</v>
      </c>
      <c r="D11" s="7" t="s">
        <v>559</v>
      </c>
      <c r="E11" s="7" t="s">
        <v>48</v>
      </c>
      <c r="F11" s="7" t="s">
        <v>48</v>
      </c>
      <c r="G11" s="7" t="s">
        <v>150</v>
      </c>
      <c r="H11" s="7" t="s">
        <v>544</v>
      </c>
      <c r="I11" s="7" t="s">
        <v>323</v>
      </c>
      <c r="J11" s="45"/>
      <c r="K11" s="45"/>
      <c r="L11" s="750">
        <f>'[6]AusNet revised allocations'!BJ10/1000</f>
        <v>37.5</v>
      </c>
      <c r="M11" s="750">
        <f>SUM('[6]AusNet revised allocations'!BK10:BL10)/Thousands</f>
        <v>1225</v>
      </c>
      <c r="N11" s="750">
        <f>SUM('[6]AusNet revised allocations'!BM10:BN10)/Thousands</f>
        <v>75</v>
      </c>
      <c r="O11" s="750">
        <f>SUM('[6]AusNet revised allocations'!BO10:BP10)/Thousands</f>
        <v>75</v>
      </c>
      <c r="P11" s="750">
        <f>SUM('[6]AusNet revised allocations'!BQ10:BR10)/Thousands</f>
        <v>75</v>
      </c>
      <c r="Q11" s="750">
        <f>SUM('[6]AusNet revised allocations'!BS10:BT10)/Thousands</f>
        <v>75</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7.6855887633389122</v>
      </c>
      <c r="V11" s="128">
        <f>INDEX(Direct_Cost_Splits_Network,MATCH($H11,RIN_Asset_Cat_Network,0),MATCH($S$4,Direct_Cost_Type,0))*M11*HLOOKUP(V$5,Escalators!$I$25:$U$30,3,FALSE)</f>
        <v>253.01134835238548</v>
      </c>
      <c r="W11" s="128">
        <f>INDEX(Direct_Cost_Splits_Network,MATCH($H11,RIN_Asset_Cat_Network,0),MATCH($S$4,Direct_Cost_Type,0))*N11*HLOOKUP(W$5,Escalators!$I$25:$U$30,3,FALSE)</f>
        <v>15.567337389210953</v>
      </c>
      <c r="X11" s="128">
        <f>INDEX(Direct_Cost_Splits_Network,MATCH($H11,RIN_Asset_Cat_Network,0),MATCH($S$4,Direct_Cost_Type,0))*O11*HLOOKUP(X$5,Escalators!$I$25:$U$30,3,FALSE)</f>
        <v>15.668720883531885</v>
      </c>
      <c r="Y11" s="128">
        <f>INDEX(Direct_Cost_Splits_Network,MATCH($H11,RIN_Asset_Cat_Network,0),MATCH($S$4,Direct_Cost_Type,0))*P11*HLOOKUP(Y$5,Escalators!$I$25:$U$30,3,FALSE)</f>
        <v>15.824383992327014</v>
      </c>
      <c r="Z11" s="128">
        <f>INDEX(Direct_Cost_Splits_Network,MATCH($H11,RIN_Asset_Cat_Network,0),MATCH($S$4,Direct_Cost_Type,0))*Q11*HLOOKUP(Z$5,Escalators!$I$25:$U$30,3,FALSE)</f>
        <v>16.031294519119072</v>
      </c>
      <c r="AA11" s="129"/>
      <c r="AB11" s="128">
        <f t="shared" si="9"/>
        <v>0</v>
      </c>
      <c r="AC11" s="128">
        <f t="shared" si="9"/>
        <v>0</v>
      </c>
      <c r="AD11" s="128">
        <f t="shared" si="9"/>
        <v>30</v>
      </c>
      <c r="AE11" s="128">
        <f t="shared" si="9"/>
        <v>980</v>
      </c>
      <c r="AF11" s="128">
        <f t="shared" si="9"/>
        <v>60</v>
      </c>
      <c r="AG11" s="128">
        <f t="shared" si="9"/>
        <v>60</v>
      </c>
      <c r="AH11" s="128">
        <f t="shared" si="9"/>
        <v>60</v>
      </c>
      <c r="AI11" s="128">
        <f t="shared" si="9"/>
        <v>60</v>
      </c>
      <c r="AJ11" s="129"/>
      <c r="AK11" s="128">
        <f>INDEX(Direct_Cost_Splits_Network,MATCH($H11,RIN_Asset_Cat_Network,0),MATCH($AK$4,Direct_Cost_Type,0))*J11*HLOOKUP(AK$5,Escalators!$I$25:$U$30,6,FALSE)</f>
        <v>0</v>
      </c>
      <c r="AL11" s="128">
        <f>INDEX(Direct_Cost_Splits_Network,MATCH($H11,RIN_Asset_Cat_Network,0),MATCH($AK$4,Direct_Cost_Type,0))*K11*HLOOKUP(AL$5,Escalators!$I$25:$U$30,6,FALSE)</f>
        <v>0</v>
      </c>
      <c r="AM11" s="128">
        <f>INDEX(Direct_Cost_Splits_Network,MATCH($H11,RIN_Asset_Cat_Network,0),MATCH($AK$4,Direct_Cost_Type,0))*L11*HLOOKUP(AM$5,Escalators!$I$25:$U$30,6,FALSE)</f>
        <v>0</v>
      </c>
      <c r="AN11" s="128">
        <f>INDEX(Direct_Cost_Splits_Network,MATCH($H11,RIN_Asset_Cat_Network,0),MATCH($AK$4,Direct_Cost_Type,0))*M11*HLOOKUP(AN$5,Escalators!$I$25:$U$30,6,FALSE)</f>
        <v>0</v>
      </c>
      <c r="AO11" s="128">
        <f>INDEX(Direct_Cost_Splits_Network,MATCH($H11,RIN_Asset_Cat_Network,0),MATCH($AK$4,Direct_Cost_Type,0))*N11*HLOOKUP(AO$5,Escalators!$I$25:$U$30,6,FALSE)</f>
        <v>0</v>
      </c>
      <c r="AP11" s="128">
        <f>INDEX(Direct_Cost_Splits_Network,MATCH($H11,RIN_Asset_Cat_Network,0),MATCH($AK$4,Direct_Cost_Type,0))*O11*HLOOKUP(AP$5,Escalators!$I$25:$U$30,6,FALSE)</f>
        <v>0</v>
      </c>
      <c r="AQ11" s="128">
        <f>INDEX(Direct_Cost_Splits_Network,MATCH($H11,RIN_Asset_Cat_Network,0),MATCH($AK$4,Direct_Cost_Type,0))*P11*HLOOKUP(AQ$5,Escalators!$I$25:$U$30,6,FALSE)</f>
        <v>0</v>
      </c>
      <c r="AR11" s="128">
        <f>INDEX(Direct_Cost_Splits_Network,MATCH($H11,RIN_Asset_Cat_Network,0),MATCH($AK$4,Direct_Cost_Type,0))*Q11*HLOOKUP(AR$5,Escalators!$I$25:$U$30,6,FALSE)</f>
        <v>0</v>
      </c>
      <c r="AS11" s="129"/>
      <c r="AT11" s="675">
        <f t="shared" si="10"/>
        <v>0</v>
      </c>
      <c r="AU11" s="675">
        <f t="shared" si="10"/>
        <v>0</v>
      </c>
      <c r="AV11" s="675">
        <f t="shared" si="10"/>
        <v>0</v>
      </c>
      <c r="AW11" s="675">
        <f t="shared" si="10"/>
        <v>0</v>
      </c>
      <c r="AX11" s="675">
        <f t="shared" si="10"/>
        <v>0</v>
      </c>
      <c r="AY11" s="675">
        <f t="shared" si="10"/>
        <v>0</v>
      </c>
      <c r="AZ11" s="675">
        <f t="shared" si="10"/>
        <v>0</v>
      </c>
      <c r="BA11" s="675">
        <f t="shared" si="10"/>
        <v>0</v>
      </c>
      <c r="BB11" s="129"/>
      <c r="BC11" s="128">
        <f>S11+AB11+AK11+AT11</f>
        <v>0</v>
      </c>
      <c r="BD11" s="128">
        <f t="shared" si="2"/>
        <v>0</v>
      </c>
      <c r="BE11" s="128">
        <f t="shared" si="3"/>
        <v>37.685588763338913</v>
      </c>
      <c r="BF11" s="128">
        <f t="shared" si="4"/>
        <v>1233.0113483523855</v>
      </c>
      <c r="BG11" s="128">
        <f t="shared" si="5"/>
        <v>75.567337389210948</v>
      </c>
      <c r="BH11" s="128">
        <f t="shared" si="6"/>
        <v>75.66872088353189</v>
      </c>
      <c r="BI11" s="128">
        <f t="shared" si="7"/>
        <v>75.824383992327014</v>
      </c>
      <c r="BJ11" s="128">
        <f t="shared" si="8"/>
        <v>76.031294519119072</v>
      </c>
    </row>
    <row r="12" spans="2:62">
      <c r="B12" s="7"/>
      <c r="C12" s="7" t="s">
        <v>112</v>
      </c>
      <c r="D12" s="7" t="s">
        <v>560</v>
      </c>
      <c r="E12" s="7" t="s">
        <v>48</v>
      </c>
      <c r="F12" s="7" t="s">
        <v>48</v>
      </c>
      <c r="G12" s="7" t="s">
        <v>150</v>
      </c>
      <c r="H12" s="7" t="s">
        <v>543</v>
      </c>
      <c r="I12" s="7" t="s">
        <v>323</v>
      </c>
      <c r="J12" s="45"/>
      <c r="K12" s="45"/>
      <c r="L12" s="750">
        <f>'[6]AusNet revised allocations'!BJ11/1000</f>
        <v>535.52948056209152</v>
      </c>
      <c r="M12" s="750">
        <f>SUM('[6]AusNet revised allocations'!BK11:BL11)/Thousands</f>
        <v>1082.6685115032681</v>
      </c>
      <c r="N12" s="750">
        <f>SUM('[6]AusNet revised allocations'!BM11:BN11)/Thousands</f>
        <v>1103.409085372549</v>
      </c>
      <c r="O12" s="750">
        <f>SUM('[6]AusNet revised allocations'!BO11:BP11)/Thousands</f>
        <v>1121.7709909803921</v>
      </c>
      <c r="P12" s="750">
        <f>SUM('[6]AusNet revised allocations'!BQ11:BR11)/Thousands</f>
        <v>1182.8713692156862</v>
      </c>
      <c r="Q12" s="750">
        <f>SUM('[6]AusNet revised allocations'!BS11:BT11)/Thousands</f>
        <v>1159.6284551241827</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104.26843707553328</v>
      </c>
      <c r="V12" s="128">
        <f>INDEX(Direct_Cost_Splits_Network,MATCH($H12,RIN_Asset_Cat_Network,0),MATCH($S$4,Direct_Cost_Type,0))*M12*HLOOKUP(V$5,Escalators!$I$25:$U$30,3,FALSE)</f>
        <v>212.43350932114811</v>
      </c>
      <c r="W12" s="128">
        <f>INDEX(Direct_Cost_Splits_Network,MATCH($H12,RIN_Asset_Cat_Network,0),MATCH($S$4,Direct_Cost_Type,0))*N12*HLOOKUP(W$5,Escalators!$I$25:$U$30,3,FALSE)</f>
        <v>217.57712579732515</v>
      </c>
      <c r="X12" s="128">
        <f>INDEX(Direct_Cost_Splits_Network,MATCH($H12,RIN_Asset_Cat_Network,0),MATCH($S$4,Direct_Cost_Type,0))*O12*HLOOKUP(X$5,Escalators!$I$25:$U$30,3,FALSE)</f>
        <v>222.63840967025322</v>
      </c>
      <c r="Y12" s="128">
        <f>INDEX(Direct_Cost_Splits_Network,MATCH($H12,RIN_Asset_Cat_Network,0),MATCH($S$4,Direct_Cost_Type,0))*P12*HLOOKUP(Y$5,Escalators!$I$25:$U$30,3,FALSE)</f>
        <v>237.09733629331612</v>
      </c>
      <c r="Z12" s="128">
        <f>INDEX(Direct_Cost_Splits_Network,MATCH($H12,RIN_Asset_Cat_Network,0),MATCH($S$4,Direct_Cost_Type,0))*Q12*HLOOKUP(Z$5,Escalators!$I$25:$U$30,3,FALSE)</f>
        <v>235.47770709339315</v>
      </c>
      <c r="AA12" s="129"/>
      <c r="AB12" s="128">
        <f t="shared" si="9"/>
        <v>0</v>
      </c>
      <c r="AC12" s="128">
        <f t="shared" si="9"/>
        <v>0</v>
      </c>
      <c r="AD12" s="128">
        <f t="shared" si="9"/>
        <v>433.77887925529416</v>
      </c>
      <c r="AE12" s="128">
        <f t="shared" si="9"/>
        <v>876.96149431764718</v>
      </c>
      <c r="AF12" s="128">
        <f t="shared" si="9"/>
        <v>893.76135915176474</v>
      </c>
      <c r="AG12" s="128">
        <f t="shared" si="9"/>
        <v>908.6345026941176</v>
      </c>
      <c r="AH12" s="128">
        <f t="shared" si="9"/>
        <v>958.12580906470589</v>
      </c>
      <c r="AI12" s="128">
        <f t="shared" si="9"/>
        <v>939.29904865058802</v>
      </c>
      <c r="AJ12" s="129"/>
      <c r="AK12" s="128">
        <f>INDEX(Direct_Cost_Splits_Network,MATCH($H12,RIN_Asset_Cat_Network,0),MATCH($AK$4,Direct_Cost_Type,0))*J12*HLOOKUP(AK$5,Escalators!$I$25:$U$30,6,FALSE)</f>
        <v>0</v>
      </c>
      <c r="AL12" s="128">
        <f>INDEX(Direct_Cost_Splits_Network,MATCH($H12,RIN_Asset_Cat_Network,0),MATCH($AK$4,Direct_Cost_Type,0))*K12*HLOOKUP(AL$5,Escalators!$I$25:$U$30,6,FALSE)</f>
        <v>0</v>
      </c>
      <c r="AM12" s="128">
        <f>INDEX(Direct_Cost_Splits_Network,MATCH($H12,RIN_Asset_Cat_Network,0),MATCH($AK$4,Direct_Cost_Type,0))*L12*HLOOKUP(AM$5,Escalators!$I$25:$U$30,6,FALSE)</f>
        <v>0</v>
      </c>
      <c r="AN12" s="128">
        <f>INDEX(Direct_Cost_Splits_Network,MATCH($H12,RIN_Asset_Cat_Network,0),MATCH($AK$4,Direct_Cost_Type,0))*M12*HLOOKUP(AN$5,Escalators!$I$25:$U$30,6,FALSE)</f>
        <v>0</v>
      </c>
      <c r="AO12" s="128">
        <f>INDEX(Direct_Cost_Splits_Network,MATCH($H12,RIN_Asset_Cat_Network,0),MATCH($AK$4,Direct_Cost_Type,0))*N12*HLOOKUP(AO$5,Escalators!$I$25:$U$30,6,FALSE)</f>
        <v>0</v>
      </c>
      <c r="AP12" s="128">
        <f>INDEX(Direct_Cost_Splits_Network,MATCH($H12,RIN_Asset_Cat_Network,0),MATCH($AK$4,Direct_Cost_Type,0))*O12*HLOOKUP(AP$5,Escalators!$I$25:$U$30,6,FALSE)</f>
        <v>0</v>
      </c>
      <c r="AQ12" s="128">
        <f>INDEX(Direct_Cost_Splits_Network,MATCH($H12,RIN_Asset_Cat_Network,0),MATCH($AK$4,Direct_Cost_Type,0))*P12*HLOOKUP(AQ$5,Escalators!$I$25:$U$30,6,FALSE)</f>
        <v>0</v>
      </c>
      <c r="AR12" s="128">
        <f>INDEX(Direct_Cost_Splits_Network,MATCH($H12,RIN_Asset_Cat_Network,0),MATCH($AK$4,Direct_Cost_Type,0))*Q12*HLOOKUP(AR$5,Escalators!$I$25:$U$30,6,FALSE)</f>
        <v>0</v>
      </c>
      <c r="AS12" s="129"/>
      <c r="AT12" s="675">
        <f t="shared" si="10"/>
        <v>0</v>
      </c>
      <c r="AU12" s="675">
        <f t="shared" si="10"/>
        <v>0</v>
      </c>
      <c r="AV12" s="675">
        <f t="shared" si="10"/>
        <v>0</v>
      </c>
      <c r="AW12" s="675">
        <f t="shared" si="10"/>
        <v>0</v>
      </c>
      <c r="AX12" s="675">
        <f t="shared" si="10"/>
        <v>0</v>
      </c>
      <c r="AY12" s="675">
        <f t="shared" si="10"/>
        <v>0</v>
      </c>
      <c r="AZ12" s="675">
        <f t="shared" si="10"/>
        <v>0</v>
      </c>
      <c r="BA12" s="675">
        <f t="shared" si="10"/>
        <v>0</v>
      </c>
      <c r="BB12" s="129"/>
      <c r="BC12" s="128">
        <f>S12+AB12+AK12+AT12</f>
        <v>0</v>
      </c>
      <c r="BD12" s="128">
        <f t="shared" si="2"/>
        <v>0</v>
      </c>
      <c r="BE12" s="128">
        <f t="shared" si="3"/>
        <v>538.04731633082747</v>
      </c>
      <c r="BF12" s="128">
        <f t="shared" si="4"/>
        <v>1089.3950036387953</v>
      </c>
      <c r="BG12" s="128">
        <f t="shared" si="5"/>
        <v>1111.3384849490899</v>
      </c>
      <c r="BH12" s="128">
        <f t="shared" si="6"/>
        <v>1131.2729123643708</v>
      </c>
      <c r="BI12" s="128">
        <f t="shared" si="7"/>
        <v>1195.2231453580221</v>
      </c>
      <c r="BJ12" s="128">
        <f t="shared" si="8"/>
        <v>1174.7767557439811</v>
      </c>
    </row>
    <row r="13" spans="2:62">
      <c r="B13" s="7" t="s">
        <v>679</v>
      </c>
      <c r="C13" s="7" t="s">
        <v>112</v>
      </c>
      <c r="D13" s="7" t="s">
        <v>516</v>
      </c>
      <c r="E13" s="7" t="s">
        <v>48</v>
      </c>
      <c r="F13" s="7" t="s">
        <v>48</v>
      </c>
      <c r="G13" s="7" t="s">
        <v>150</v>
      </c>
      <c r="H13" s="7" t="s">
        <v>543</v>
      </c>
      <c r="I13" s="7" t="s">
        <v>323</v>
      </c>
      <c r="J13" s="45"/>
      <c r="K13" s="45"/>
      <c r="L13" s="45"/>
      <c r="M13" s="128">
        <v>3411</v>
      </c>
      <c r="N13" s="128">
        <v>5.5</v>
      </c>
      <c r="O13" s="128">
        <v>55.5</v>
      </c>
      <c r="P13" s="128">
        <v>5.5</v>
      </c>
      <c r="Q13" s="128">
        <v>75</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669.28214185182662</v>
      </c>
      <c r="W13" s="128">
        <f>INDEX(Direct_Cost_Splits_Network,MATCH($H13,RIN_Asset_Cat_Network,0),MATCH($S$4,Direct_Cost_Type,0))*N13*HLOOKUP(W$5,Escalators!$I$25:$U$30,3,FALSE)</f>
        <v>1.0845245047816963</v>
      </c>
      <c r="X13" s="128">
        <f>INDEX(Direct_Cost_Splits_Network,MATCH($H13,RIN_Asset_Cat_Network,0),MATCH($S$4,Direct_Cost_Type,0))*O13*HLOOKUP(X$5,Escalators!$I$25:$U$30,3,FALSE)</f>
        <v>11.015110781122916</v>
      </c>
      <c r="Y13" s="128">
        <f>INDEX(Direct_Cost_Splits_Network,MATCH($H13,RIN_Asset_Cat_Network,0),MATCH($S$4,Direct_Cost_Type,0))*P13*HLOOKUP(Y$5,Escalators!$I$25:$U$30,3,FALSE)</f>
        <v>1.1024320847987819</v>
      </c>
      <c r="Z13" s="128">
        <f>INDEX(Direct_Cost_Splits_Network,MATCH($H13,RIN_Asset_Cat_Network,0),MATCH($S$4,Direct_Cost_Type,0))*Q13*HLOOKUP(Z$5,Escalators!$I$25:$U$30,3,FALSE)</f>
        <v>15.229729793163118</v>
      </c>
      <c r="AA13" s="129"/>
      <c r="AB13" s="128">
        <f t="shared" ref="AB13" si="11">INDEX(Direct_Cost_Splits_Network,MATCH($H13,RIN_Asset_Cat_Network,0),MATCH($AB$4,Direct_Cost_Type,0))*J13</f>
        <v>0</v>
      </c>
      <c r="AC13" s="128">
        <f t="shared" ref="AC13:AD13" si="12">INDEX(Direct_Cost_Splits_Network,MATCH($H13,RIN_Asset_Cat_Network,0),MATCH($AB$4,Direct_Cost_Type,0))*K13</f>
        <v>0</v>
      </c>
      <c r="AD13" s="128">
        <f t="shared" si="12"/>
        <v>0</v>
      </c>
      <c r="AE13" s="128">
        <f t="shared" ref="AE13" si="13">INDEX(Direct_Cost_Splits_Network,MATCH($H13,RIN_Asset_Cat_Network,0),MATCH($AB$4,Direct_Cost_Type,0))*M13</f>
        <v>2762.9100000000003</v>
      </c>
      <c r="AF13" s="128">
        <f t="shared" ref="AF13" si="14">INDEX(Direct_Cost_Splits_Network,MATCH($H13,RIN_Asset_Cat_Network,0),MATCH($AB$4,Direct_Cost_Type,0))*N13</f>
        <v>4.4550000000000001</v>
      </c>
      <c r="AG13" s="128">
        <f t="shared" ref="AG13" si="15">INDEX(Direct_Cost_Splits_Network,MATCH($H13,RIN_Asset_Cat_Network,0),MATCH($AB$4,Direct_Cost_Type,0))*O13</f>
        <v>44.955000000000005</v>
      </c>
      <c r="AH13" s="128">
        <f t="shared" ref="AH13" si="16">INDEX(Direct_Cost_Splits_Network,MATCH($H13,RIN_Asset_Cat_Network,0),MATCH($AB$4,Direct_Cost_Type,0))*P13</f>
        <v>4.4550000000000001</v>
      </c>
      <c r="AI13" s="128">
        <f t="shared" ref="AI13" si="17">INDEX(Direct_Cost_Splits_Network,MATCH($H13,RIN_Asset_Cat_Network,0),MATCH($AB$4,Direct_Cost_Type,0))*Q13</f>
        <v>60.750000000000007</v>
      </c>
      <c r="AJ13" s="129"/>
      <c r="AK13" s="128">
        <f>INDEX(Direct_Cost_Splits_Network,MATCH($H13,RIN_Asset_Cat_Network,0),MATCH($AK$4,Direct_Cost_Type,0))*J13*HLOOKUP(AK$5,Escalators!$I$25:$U$30,6,FALSE)</f>
        <v>0</v>
      </c>
      <c r="AL13" s="128">
        <f>INDEX(Direct_Cost_Splits_Network,MATCH($H13,RIN_Asset_Cat_Network,0),MATCH($AK$4,Direct_Cost_Type,0))*K13*HLOOKUP(AL$5,Escalators!$I$25:$U$30,6,FALSE)</f>
        <v>0</v>
      </c>
      <c r="AM13" s="128">
        <f>INDEX(Direct_Cost_Splits_Network,MATCH($H13,RIN_Asset_Cat_Network,0),MATCH($AK$4,Direct_Cost_Type,0))*L13*HLOOKUP(AM$5,Escalators!$I$25:$U$30,6,FALSE)</f>
        <v>0</v>
      </c>
      <c r="AN13" s="128">
        <f>INDEX(Direct_Cost_Splits_Network,MATCH($H13,RIN_Asset_Cat_Network,0),MATCH($AK$4,Direct_Cost_Type,0))*M13*HLOOKUP(AN$5,Escalators!$I$25:$U$30,6,FALSE)</f>
        <v>0</v>
      </c>
      <c r="AO13" s="128">
        <f>INDEX(Direct_Cost_Splits_Network,MATCH($H13,RIN_Asset_Cat_Network,0),MATCH($AK$4,Direct_Cost_Type,0))*N13*HLOOKUP(AO$5,Escalators!$I$25:$U$30,6,FALSE)</f>
        <v>0</v>
      </c>
      <c r="AP13" s="128">
        <f>INDEX(Direct_Cost_Splits_Network,MATCH($H13,RIN_Asset_Cat_Network,0),MATCH($AK$4,Direct_Cost_Type,0))*O13*HLOOKUP(AP$5,Escalators!$I$25:$U$30,6,FALSE)</f>
        <v>0</v>
      </c>
      <c r="AQ13" s="128">
        <f>INDEX(Direct_Cost_Splits_Network,MATCH($H13,RIN_Asset_Cat_Network,0),MATCH($AK$4,Direct_Cost_Type,0))*P13*HLOOKUP(AQ$5,Escalators!$I$25:$U$30,6,FALSE)</f>
        <v>0</v>
      </c>
      <c r="AR13" s="128">
        <f>INDEX(Direct_Cost_Splits_Network,MATCH($H13,RIN_Asset_Cat_Network,0),MATCH($AK$4,Direct_Cost_Type,0))*Q13*HLOOKUP(AR$5,Escalators!$I$25:$U$30,6,FALSE)</f>
        <v>0</v>
      </c>
      <c r="AS13" s="129"/>
      <c r="AT13" s="675">
        <f t="shared" ref="AT13" si="18">INDEX(Direct_Cost_Splits_Network,MATCH($H13,RIN_Asset_Cat_Network,0),MATCH($AT$4,Direct_Cost_Type,0))*J13</f>
        <v>0</v>
      </c>
      <c r="AU13" s="675">
        <f t="shared" ref="AU13:AV13" si="19">INDEX(Direct_Cost_Splits_Network,MATCH($H13,RIN_Asset_Cat_Network,0),MATCH($AT$4,Direct_Cost_Type,0))*K13</f>
        <v>0</v>
      </c>
      <c r="AV13" s="675">
        <f t="shared" si="19"/>
        <v>0</v>
      </c>
      <c r="AW13" s="675">
        <f t="shared" ref="AW13" si="20">INDEX(Direct_Cost_Splits_Network,MATCH($H13,RIN_Asset_Cat_Network,0),MATCH($AT$4,Direct_Cost_Type,0))*M13</f>
        <v>0</v>
      </c>
      <c r="AX13" s="675">
        <f t="shared" ref="AX13" si="21">INDEX(Direct_Cost_Splits_Network,MATCH($H13,RIN_Asset_Cat_Network,0),MATCH($AT$4,Direct_Cost_Type,0))*N13</f>
        <v>0</v>
      </c>
      <c r="AY13" s="675">
        <f t="shared" ref="AY13" si="22">INDEX(Direct_Cost_Splits_Network,MATCH($H13,RIN_Asset_Cat_Network,0),MATCH($AT$4,Direct_Cost_Type,0))*O13</f>
        <v>0</v>
      </c>
      <c r="AZ13" s="675">
        <f t="shared" ref="AZ13" si="23">INDEX(Direct_Cost_Splits_Network,MATCH($H13,RIN_Asset_Cat_Network,0),MATCH($AT$4,Direct_Cost_Type,0))*P13</f>
        <v>0</v>
      </c>
      <c r="BA13" s="675">
        <f t="shared" ref="BA13" si="24">INDEX(Direct_Cost_Splits_Network,MATCH($H13,RIN_Asset_Cat_Network,0),MATCH($AT$4,Direct_Cost_Type,0))*Q13</f>
        <v>0</v>
      </c>
      <c r="BB13" s="129"/>
      <c r="BC13" s="128">
        <f t="shared" si="1"/>
        <v>0</v>
      </c>
      <c r="BD13" s="128">
        <f t="shared" si="2"/>
        <v>0</v>
      </c>
      <c r="BE13" s="128">
        <f t="shared" si="3"/>
        <v>0</v>
      </c>
      <c r="BF13" s="128">
        <f t="shared" si="4"/>
        <v>3432.1921418518268</v>
      </c>
      <c r="BG13" s="128">
        <f t="shared" si="5"/>
        <v>5.5395245047816966</v>
      </c>
      <c r="BH13" s="128">
        <f t="shared" si="6"/>
        <v>55.970110781122919</v>
      </c>
      <c r="BI13" s="128">
        <f t="shared" si="7"/>
        <v>5.5574320847987817</v>
      </c>
      <c r="BJ13" s="128">
        <f t="shared" si="8"/>
        <v>75.979729793163131</v>
      </c>
    </row>
    <row r="14" spans="2:62">
      <c r="B14" s="7"/>
      <c r="C14" s="7" t="s">
        <v>519</v>
      </c>
      <c r="D14" s="7" t="s">
        <v>572</v>
      </c>
      <c r="E14" s="7" t="s">
        <v>49</v>
      </c>
      <c r="F14" s="7" t="s">
        <v>49</v>
      </c>
      <c r="G14" s="7" t="s">
        <v>34</v>
      </c>
      <c r="H14" s="7" t="s">
        <v>166</v>
      </c>
      <c r="I14" s="7" t="s">
        <v>333</v>
      </c>
      <c r="J14" s="45"/>
      <c r="K14" s="45"/>
      <c r="L14" s="750">
        <v>18448.594872004684</v>
      </c>
      <c r="M14" s="128">
        <v>6500</v>
      </c>
      <c r="N14" s="128">
        <v>0</v>
      </c>
      <c r="O14" s="128">
        <v>0</v>
      </c>
      <c r="P14" s="128">
        <v>0</v>
      </c>
      <c r="Q14" s="128">
        <v>0</v>
      </c>
      <c r="R14" s="129"/>
      <c r="S14" s="128">
        <f>INDEX(Direct_Cost_Splits_Non_Ntwk,MATCH($H14,RIN_Asset_Cat_Non_Ntwk,0),MATCH($S$4,Direct_Cost_Type,0))*J14*HLOOKUP(S$5,Escalators!$I$25:$U$30,3,FALSE)</f>
        <v>0</v>
      </c>
      <c r="T14" s="128">
        <f>INDEX(Direct_Cost_Splits_Non_Ntwk,MATCH($H14,RIN_Asset_Cat_Non_Ntwk,0),MATCH($S$4,Direct_Cost_Type,0))*K14*HLOOKUP(T$5,Escalators!$I$25:$U$30,3,FALSE)</f>
        <v>0</v>
      </c>
      <c r="U14" s="128">
        <f>INDEX(Direct_Cost_Splits_Non_Ntwk,MATCH($H14,RIN_Asset_Cat_Non_Ntwk,0),MATCH($S$4,Direct_Cost_Type,0))*L14*HLOOKUP(U$5,Escalators!$I$25:$U$30,3,FALSE)</f>
        <v>3414.1860469258299</v>
      </c>
      <c r="V14" s="128">
        <f>INDEX(Direct_Cost_Splits_Non_Ntwk,MATCH($H14,RIN_Asset_Cat_Non_Ntwk,0),MATCH($S$4,Direct_Cost_Type,0))*M14*HLOOKUP(V$5,Escalators!$I$25:$U$30,3,FALSE)</f>
        <v>1212.2586263839842</v>
      </c>
      <c r="W14" s="128">
        <f>INDEX(Direct_Cost_Splits_Non_Ntwk,MATCH($H14,RIN_Asset_Cat_Non_Ntwk,0),MATCH($S$4,Direct_Cost_Type,0))*N14*HLOOKUP(W$5,Escalators!$I$25:$U$30,3,FALSE)</f>
        <v>0</v>
      </c>
      <c r="X14" s="128">
        <f>INDEX(Direct_Cost_Splits_Non_Ntwk,MATCH($H14,RIN_Asset_Cat_Non_Ntwk,0),MATCH($S$4,Direct_Cost_Type,0))*O14*HLOOKUP(X$5,Escalators!$I$25:$U$30,3,FALSE)</f>
        <v>0</v>
      </c>
      <c r="Y14" s="128">
        <f>INDEX(Direct_Cost_Splits_Non_Ntwk,MATCH($H14,RIN_Asset_Cat_Non_Ntwk,0),MATCH($S$4,Direct_Cost_Type,0))*P14*HLOOKUP(Y$5,Escalators!$I$25:$U$30,3,FALSE)</f>
        <v>0</v>
      </c>
      <c r="Z14" s="128">
        <f>INDEX(Direct_Cost_Splits_Non_Ntwk,MATCH($H14,RIN_Asset_Cat_Non_Ntwk,0),MATCH($S$4,Direct_Cost_Type,0))*Q14*HLOOKUP(Z$5,Escalators!$I$25:$U$30,3,FALSE)</f>
        <v>0</v>
      </c>
      <c r="AA14" s="129"/>
      <c r="AB14" s="128">
        <f t="shared" ref="AB14:AI18" si="25">INDEX(Direct_Cost_Splits_Non_Ntwk,MATCH($H14,RIN_Asset_Cat_Non_Ntwk,0),MATCH($AB$4,Direct_Cost_Type,0))*J14</f>
        <v>0</v>
      </c>
      <c r="AC14" s="128">
        <f t="shared" si="25"/>
        <v>0</v>
      </c>
      <c r="AD14" s="128">
        <f t="shared" si="25"/>
        <v>6354.3405557089918</v>
      </c>
      <c r="AE14" s="128">
        <f t="shared" si="25"/>
        <v>2238.8270704987467</v>
      </c>
      <c r="AF14" s="128">
        <f t="shared" si="25"/>
        <v>0</v>
      </c>
      <c r="AG14" s="128">
        <f t="shared" si="25"/>
        <v>0</v>
      </c>
      <c r="AH14" s="128">
        <f t="shared" si="25"/>
        <v>0</v>
      </c>
      <c r="AI14" s="128">
        <f t="shared" si="25"/>
        <v>0</v>
      </c>
      <c r="AJ14" s="129"/>
      <c r="AK14" s="128">
        <f>INDEX(Direct_Cost_Splits_Non_Ntwk,MATCH($H14,RIN_Asset_Cat_Non_Ntwk,0),MATCH($AK$4,Direct_Cost_Type,0))*J14*HLOOKUP(AK$5,Escalators!$I$25:$U$30,6,FALSE)</f>
        <v>0</v>
      </c>
      <c r="AL14" s="128">
        <f>INDEX(Direct_Cost_Splits_Non_Ntwk,MATCH($H14,RIN_Asset_Cat_Non_Ntwk,0),MATCH($AK$4,Direct_Cost_Type,0))*K14*HLOOKUP(AL$5,Escalators!$I$25:$U$30,6,FALSE)</f>
        <v>0</v>
      </c>
      <c r="AM14" s="128">
        <f>INDEX(Direct_Cost_Splits_Non_Ntwk,MATCH($H14,RIN_Asset_Cat_Non_Ntwk,0),MATCH($AK$4,Direct_Cost_Type,0))*L14*HLOOKUP(AM$5,Escalators!$I$25:$U$30,6,FALSE)</f>
        <v>8762.5127750244501</v>
      </c>
      <c r="AN14" s="128">
        <f>INDEX(Direct_Cost_Splits_Non_Ntwk,MATCH($H14,RIN_Asset_Cat_Non_Ntwk,0),MATCH($AK$4,Direct_Cost_Type,0))*M14*HLOOKUP(AN$5,Escalators!$I$25:$U$30,6,FALSE)</f>
        <v>3087.2992459761172</v>
      </c>
      <c r="AO14" s="128">
        <f>INDEX(Direct_Cost_Splits_Non_Ntwk,MATCH($H14,RIN_Asset_Cat_Non_Ntwk,0),MATCH($AK$4,Direct_Cost_Type,0))*N14*HLOOKUP(AO$5,Escalators!$I$25:$U$30,6,FALSE)</f>
        <v>0</v>
      </c>
      <c r="AP14" s="128">
        <f>INDEX(Direct_Cost_Splits_Non_Ntwk,MATCH($H14,RIN_Asset_Cat_Non_Ntwk,0),MATCH($AK$4,Direct_Cost_Type,0))*O14*HLOOKUP(AP$5,Escalators!$I$25:$U$30,6,FALSE)</f>
        <v>0</v>
      </c>
      <c r="AQ14" s="128">
        <f>INDEX(Direct_Cost_Splits_Non_Ntwk,MATCH($H14,RIN_Asset_Cat_Non_Ntwk,0),MATCH($AK$4,Direct_Cost_Type,0))*P14*HLOOKUP(AQ$5,Escalators!$I$25:$U$30,6,FALSE)</f>
        <v>0</v>
      </c>
      <c r="AR14" s="128">
        <f>INDEX(Direct_Cost_Splits_Non_Ntwk,MATCH($H14,RIN_Asset_Cat_Non_Ntwk,0),MATCH($AK$4,Direct_Cost_Type,0))*Q14*HLOOKUP(AR$5,Escalators!$I$25:$U$30,6,FALSE)</f>
        <v>0</v>
      </c>
      <c r="AS14" s="129"/>
      <c r="AT14" s="675">
        <f t="shared" ref="AT14:BA18" si="26">INDEX(Direct_Cost_Splits_Non_Ntwk,MATCH($H14,RIN_Asset_Cat_Non_Ntwk,0),MATCH($AT$4,Direct_Cost_Type,0))*J14</f>
        <v>0</v>
      </c>
      <c r="AU14" s="675">
        <f t="shared" si="26"/>
        <v>0</v>
      </c>
      <c r="AV14" s="675">
        <f t="shared" si="26"/>
        <v>0</v>
      </c>
      <c r="AW14" s="675">
        <f t="shared" si="26"/>
        <v>0</v>
      </c>
      <c r="AX14" s="675">
        <f t="shared" si="26"/>
        <v>0</v>
      </c>
      <c r="AY14" s="675">
        <f t="shared" si="26"/>
        <v>0</v>
      </c>
      <c r="AZ14" s="675">
        <f t="shared" si="26"/>
        <v>0</v>
      </c>
      <c r="BA14" s="675">
        <f t="shared" si="26"/>
        <v>0</v>
      </c>
      <c r="BB14" s="129"/>
      <c r="BC14" s="128">
        <f>S14+AB14+AK14+AT14</f>
        <v>0</v>
      </c>
      <c r="BD14" s="128">
        <f t="shared" si="2"/>
        <v>0</v>
      </c>
      <c r="BE14" s="128">
        <f t="shared" si="3"/>
        <v>18531.039377659272</v>
      </c>
      <c r="BF14" s="128">
        <f t="shared" si="4"/>
        <v>6538.3849428588483</v>
      </c>
      <c r="BG14" s="128">
        <f t="shared" si="5"/>
        <v>0</v>
      </c>
      <c r="BH14" s="128">
        <f t="shared" si="6"/>
        <v>0</v>
      </c>
      <c r="BI14" s="128">
        <f t="shared" si="7"/>
        <v>0</v>
      </c>
      <c r="BJ14" s="128">
        <f t="shared" si="8"/>
        <v>0</v>
      </c>
    </row>
    <row r="15" spans="2:62">
      <c r="B15" s="7"/>
      <c r="C15" s="7"/>
      <c r="D15" s="7"/>
      <c r="E15" s="7"/>
      <c r="F15" s="7"/>
      <c r="G15" s="7"/>
      <c r="H15" s="7"/>
      <c r="I15" s="7"/>
      <c r="J15" s="45"/>
      <c r="K15" s="45"/>
      <c r="L15" s="45"/>
      <c r="M15" s="128"/>
      <c r="N15" s="128"/>
      <c r="O15" s="128"/>
      <c r="P15" s="128"/>
      <c r="Q15" s="128"/>
      <c r="R15" s="129"/>
      <c r="S15" s="128"/>
      <c r="T15" s="128"/>
      <c r="U15" s="128"/>
      <c r="V15" s="128"/>
      <c r="W15" s="128"/>
      <c r="X15" s="128"/>
      <c r="Y15" s="128"/>
      <c r="Z15" s="128"/>
      <c r="AA15" s="129"/>
      <c r="AB15" s="128"/>
      <c r="AC15" s="128"/>
      <c r="AD15" s="128"/>
      <c r="AE15" s="128"/>
      <c r="AF15" s="128"/>
      <c r="AG15" s="128"/>
      <c r="AH15" s="128"/>
      <c r="AI15" s="128"/>
      <c r="AJ15" s="129"/>
      <c r="AK15" s="128"/>
      <c r="AL15" s="128"/>
      <c r="AM15" s="128"/>
      <c r="AN15" s="128"/>
      <c r="AO15" s="128"/>
      <c r="AP15" s="128"/>
      <c r="AQ15" s="128"/>
      <c r="AR15" s="128"/>
      <c r="AS15" s="129"/>
      <c r="AT15" s="675"/>
      <c r="AU15" s="675"/>
      <c r="AV15" s="675"/>
      <c r="AW15" s="675"/>
      <c r="AX15" s="675"/>
      <c r="AY15" s="675"/>
      <c r="AZ15" s="675"/>
      <c r="BA15" s="675"/>
      <c r="BB15" s="129"/>
      <c r="BC15" s="128">
        <f t="shared" si="1"/>
        <v>0</v>
      </c>
      <c r="BD15" s="128">
        <f t="shared" si="2"/>
        <v>0</v>
      </c>
      <c r="BE15" s="128">
        <f t="shared" si="3"/>
        <v>0</v>
      </c>
      <c r="BF15" s="128">
        <f t="shared" si="4"/>
        <v>0</v>
      </c>
      <c r="BG15" s="128">
        <f t="shared" si="5"/>
        <v>0</v>
      </c>
      <c r="BH15" s="128">
        <f t="shared" si="6"/>
        <v>0</v>
      </c>
      <c r="BI15" s="128">
        <f t="shared" si="7"/>
        <v>0</v>
      </c>
      <c r="BJ15" s="128">
        <f t="shared" si="8"/>
        <v>0</v>
      </c>
    </row>
    <row r="16" spans="2:62">
      <c r="B16" s="7"/>
      <c r="C16" s="7"/>
      <c r="D16" s="7"/>
      <c r="E16" s="7"/>
      <c r="F16" s="7"/>
      <c r="G16" s="7"/>
      <c r="H16" s="7"/>
      <c r="I16" s="7"/>
      <c r="J16" s="45"/>
      <c r="K16" s="45"/>
      <c r="L16" s="45"/>
      <c r="M16" s="128"/>
      <c r="N16" s="128"/>
      <c r="O16" s="128"/>
      <c r="P16" s="128"/>
      <c r="Q16" s="128"/>
      <c r="R16" s="129"/>
      <c r="S16" s="128"/>
      <c r="T16" s="128"/>
      <c r="U16" s="128"/>
      <c r="V16" s="128"/>
      <c r="W16" s="128"/>
      <c r="X16" s="128"/>
      <c r="Y16" s="128"/>
      <c r="Z16" s="128"/>
      <c r="AA16" s="129"/>
      <c r="AB16" s="128"/>
      <c r="AC16" s="128"/>
      <c r="AD16" s="128"/>
      <c r="AE16" s="128"/>
      <c r="AF16" s="128"/>
      <c r="AG16" s="128"/>
      <c r="AH16" s="128"/>
      <c r="AI16" s="128"/>
      <c r="AJ16" s="129"/>
      <c r="AK16" s="128"/>
      <c r="AL16" s="128"/>
      <c r="AM16" s="128"/>
      <c r="AN16" s="128"/>
      <c r="AO16" s="128"/>
      <c r="AP16" s="128"/>
      <c r="AQ16" s="128"/>
      <c r="AR16" s="128"/>
      <c r="AS16" s="129"/>
      <c r="AT16" s="675"/>
      <c r="AU16" s="675"/>
      <c r="AV16" s="675"/>
      <c r="AW16" s="675"/>
      <c r="AX16" s="675"/>
      <c r="AY16" s="675"/>
      <c r="AZ16" s="675"/>
      <c r="BA16" s="675"/>
      <c r="BB16" s="129"/>
      <c r="BC16" s="128">
        <f t="shared" si="1"/>
        <v>0</v>
      </c>
      <c r="BD16" s="128">
        <f t="shared" si="2"/>
        <v>0</v>
      </c>
      <c r="BE16" s="128">
        <f t="shared" si="3"/>
        <v>0</v>
      </c>
      <c r="BF16" s="128">
        <f t="shared" si="4"/>
        <v>0</v>
      </c>
      <c r="BG16" s="128">
        <f t="shared" si="5"/>
        <v>0</v>
      </c>
      <c r="BH16" s="128">
        <f t="shared" si="6"/>
        <v>0</v>
      </c>
      <c r="BI16" s="128">
        <f t="shared" si="7"/>
        <v>0</v>
      </c>
      <c r="BJ16" s="128">
        <f t="shared" si="8"/>
        <v>0</v>
      </c>
    </row>
    <row r="17" spans="2:62">
      <c r="B17" s="7" t="s">
        <v>679</v>
      </c>
      <c r="C17" s="7" t="s">
        <v>519</v>
      </c>
      <c r="D17" s="7" t="s">
        <v>514</v>
      </c>
      <c r="E17" s="7" t="s">
        <v>49</v>
      </c>
      <c r="F17" s="7" t="s">
        <v>49</v>
      </c>
      <c r="G17" s="7" t="s">
        <v>34</v>
      </c>
      <c r="H17" s="7" t="s">
        <v>166</v>
      </c>
      <c r="I17" s="7" t="s">
        <v>332</v>
      </c>
      <c r="J17" s="45"/>
      <c r="K17" s="45"/>
      <c r="L17" s="750">
        <v>0</v>
      </c>
      <c r="M17" s="750">
        <v>1300.8765695332861</v>
      </c>
      <c r="N17" s="750">
        <v>877.87254205164663</v>
      </c>
      <c r="O17" s="750">
        <v>157.66406064913528</v>
      </c>
      <c r="P17" s="750">
        <v>1.3030087656953329</v>
      </c>
      <c r="Q17" s="750">
        <v>162.28381900023692</v>
      </c>
      <c r="R17" s="129"/>
      <c r="S17" s="128">
        <f>INDEX(Direct_Cost_Splits_Non_Ntwk,MATCH($H17,RIN_Asset_Cat_Non_Ntwk,0),MATCH($S$4,Direct_Cost_Type,0))*J17*HLOOKUP(S$5,Escalators!$I$25:$U$30,3,FALSE)</f>
        <v>0</v>
      </c>
      <c r="T17" s="128">
        <f>INDEX(Direct_Cost_Splits_Non_Ntwk,MATCH($H17,RIN_Asset_Cat_Non_Ntwk,0),MATCH($S$4,Direct_Cost_Type,0))*K17*HLOOKUP(T$5,Escalators!$I$25:$U$30,3,FALSE)</f>
        <v>0</v>
      </c>
      <c r="U17" s="128">
        <f>INDEX(Direct_Cost_Splits_Non_Ntwk,MATCH($H17,RIN_Asset_Cat_Non_Ntwk,0),MATCH($S$4,Direct_Cost_Type,0))*L17*HLOOKUP(U$5,Escalators!$I$25:$U$30,3,FALSE)</f>
        <v>0</v>
      </c>
      <c r="V17" s="128">
        <f>INDEX(Direct_Cost_Splits_Non_Ntwk,MATCH($H17,RIN_Asset_Cat_Non_Ntwk,0),MATCH($S$4,Direct_Cost_Type,0))*M17*HLOOKUP(V$5,Escalators!$I$25:$U$30,3,FALSE)</f>
        <v>242.61520665808166</v>
      </c>
      <c r="W17" s="128">
        <f>INDEX(Direct_Cost_Splits_Non_Ntwk,MATCH($H17,RIN_Asset_Cat_Non_Ntwk,0),MATCH($S$4,Direct_Cost_Type,0))*N17*HLOOKUP(W$5,Escalators!$I$25:$U$30,3,FALSE)</f>
        <v>164.53661342163832</v>
      </c>
      <c r="X17" s="128">
        <f>INDEX(Direct_Cost_Splits_Non_Ntwk,MATCH($H17,RIN_Asset_Cat_Non_Ntwk,0),MATCH($S$4,Direct_Cost_Type,0))*O17*HLOOKUP(X$5,Escalators!$I$25:$U$30,3,FALSE)</f>
        <v>29.742878892075009</v>
      </c>
      <c r="Y17" s="128">
        <f>INDEX(Direct_Cost_Splits_Non_Ntwk,MATCH($H17,RIN_Asset_Cat_Non_Ntwk,0),MATCH($S$4,Direct_Cost_Type,0))*P17*HLOOKUP(Y$5,Escalators!$I$25:$U$30,3,FALSE)</f>
        <v>0.24825093967583356</v>
      </c>
      <c r="Z17" s="128">
        <f>INDEX(Direct_Cost_Splits_Non_Ntwk,MATCH($H17,RIN_Asset_Cat_Non_Ntwk,0),MATCH($S$4,Direct_Cost_Type,0))*Q17*HLOOKUP(Z$5,Escalators!$I$25:$U$30,3,FALSE)</f>
        <v>31.322798955045826</v>
      </c>
      <c r="AA17" s="129"/>
      <c r="AB17" s="128">
        <f t="shared" si="25"/>
        <v>0</v>
      </c>
      <c r="AC17" s="128">
        <f t="shared" si="25"/>
        <v>0</v>
      </c>
      <c r="AD17" s="128">
        <f t="shared" si="25"/>
        <v>0</v>
      </c>
      <c r="AE17" s="128">
        <f t="shared" si="25"/>
        <v>448.06733526902553</v>
      </c>
      <c r="AF17" s="128">
        <f t="shared" si="25"/>
        <v>302.36997101427318</v>
      </c>
      <c r="AG17" s="128">
        <f t="shared" si="25"/>
        <v>54.305010311698503</v>
      </c>
      <c r="AH17" s="128">
        <f t="shared" si="25"/>
        <v>0.44880173811321072</v>
      </c>
      <c r="AI17" s="128">
        <f t="shared" si="25"/>
        <v>55.896216474099887</v>
      </c>
      <c r="AJ17" s="129"/>
      <c r="AK17" s="128">
        <f>INDEX(Direct_Cost_Splits_Non_Ntwk,MATCH($H17,RIN_Asset_Cat_Non_Ntwk,0),MATCH($AK$4,Direct_Cost_Type,0))*J17*HLOOKUP(AK$5,Escalators!$I$25:$U$30,6,FALSE)</f>
        <v>0</v>
      </c>
      <c r="AL17" s="128">
        <f>INDEX(Direct_Cost_Splits_Non_Ntwk,MATCH($H17,RIN_Asset_Cat_Non_Ntwk,0),MATCH($AK$4,Direct_Cost_Type,0))*K17*HLOOKUP(AL$5,Escalators!$I$25:$U$30,6,FALSE)</f>
        <v>0</v>
      </c>
      <c r="AM17" s="128">
        <f>INDEX(Direct_Cost_Splits_Non_Ntwk,MATCH($H17,RIN_Asset_Cat_Non_Ntwk,0),MATCH($AK$4,Direct_Cost_Type,0))*L17*HLOOKUP(AM$5,Escalators!$I$25:$U$30,6,FALSE)</f>
        <v>0</v>
      </c>
      <c r="AN17" s="128">
        <f>INDEX(Direct_Cost_Splits_Non_Ntwk,MATCH($H17,RIN_Asset_Cat_Non_Ntwk,0),MATCH($AK$4,Direct_Cost_Type,0))*M17*HLOOKUP(AN$5,Escalators!$I$25:$U$30,6,FALSE)</f>
        <v>617.87619265047874</v>
      </c>
      <c r="AO17" s="128">
        <f>INDEX(Direct_Cost_Splits_Non_Ntwk,MATCH($H17,RIN_Asset_Cat_Non_Ntwk,0),MATCH($AK$4,Direct_Cost_Type,0))*N17*HLOOKUP(AO$5,Escalators!$I$25:$U$30,6,FALSE)</f>
        <v>416.96234417525937</v>
      </c>
      <c r="AP17" s="128">
        <f>INDEX(Direct_Cost_Splits_Non_Ntwk,MATCH($H17,RIN_Asset_Cat_Non_Ntwk,0),MATCH($AK$4,Direct_Cost_Type,0))*O17*HLOOKUP(AP$5,Escalators!$I$25:$U$30,6,FALSE)</f>
        <v>74.885559316862796</v>
      </c>
      <c r="AQ17" s="128">
        <f>INDEX(Direct_Cost_Splits_Non_Ntwk,MATCH($H17,RIN_Asset_Cat_Non_Ntwk,0),MATCH($AK$4,Direct_Cost_Type,0))*P17*HLOOKUP(AQ$5,Escalators!$I$25:$U$30,6,FALSE)</f>
        <v>0.61888891997407269</v>
      </c>
      <c r="AR17" s="128">
        <f>INDEX(Direct_Cost_Splits_Non_Ntwk,MATCH($H17,RIN_Asset_Cat_Non_Ntwk,0),MATCH($AK$4,Direct_Cost_Type,0))*Q17*HLOOKUP(AR$5,Escalators!$I$25:$U$30,6,FALSE)</f>
        <v>77.079801851316319</v>
      </c>
      <c r="AS17" s="129"/>
      <c r="AT17" s="675">
        <f t="shared" si="26"/>
        <v>0</v>
      </c>
      <c r="AU17" s="675">
        <f t="shared" si="26"/>
        <v>0</v>
      </c>
      <c r="AV17" s="675">
        <f t="shared" si="26"/>
        <v>0</v>
      </c>
      <c r="AW17" s="675">
        <f t="shared" si="26"/>
        <v>0</v>
      </c>
      <c r="AX17" s="675">
        <f t="shared" si="26"/>
        <v>0</v>
      </c>
      <c r="AY17" s="675">
        <f t="shared" si="26"/>
        <v>0</v>
      </c>
      <c r="AZ17" s="675">
        <f t="shared" si="26"/>
        <v>0</v>
      </c>
      <c r="BA17" s="675">
        <f t="shared" si="26"/>
        <v>0</v>
      </c>
      <c r="BB17" s="129"/>
      <c r="BC17" s="128">
        <f t="shared" si="1"/>
        <v>0</v>
      </c>
      <c r="BD17" s="128">
        <f t="shared" si="2"/>
        <v>0</v>
      </c>
      <c r="BE17" s="128">
        <f t="shared" si="3"/>
        <v>0</v>
      </c>
      <c r="BF17" s="128">
        <f t="shared" si="4"/>
        <v>1308.5587345775859</v>
      </c>
      <c r="BG17" s="128">
        <f t="shared" si="5"/>
        <v>883.86892861117087</v>
      </c>
      <c r="BH17" s="128">
        <f t="shared" si="6"/>
        <v>158.93344852063632</v>
      </c>
      <c r="BI17" s="128">
        <f t="shared" si="7"/>
        <v>1.3159415977631168</v>
      </c>
      <c r="BJ17" s="128">
        <f t="shared" si="8"/>
        <v>164.29881728046203</v>
      </c>
    </row>
    <row r="18" spans="2:62">
      <c r="B18" s="7" t="s">
        <v>679</v>
      </c>
      <c r="C18" s="7" t="s">
        <v>519</v>
      </c>
      <c r="D18" s="7" t="s">
        <v>515</v>
      </c>
      <c r="E18" s="7" t="s">
        <v>49</v>
      </c>
      <c r="F18" s="7" t="s">
        <v>49</v>
      </c>
      <c r="G18" s="7" t="s">
        <v>34</v>
      </c>
      <c r="H18" s="7" t="s">
        <v>166</v>
      </c>
      <c r="I18" s="7" t="s">
        <v>332</v>
      </c>
      <c r="J18" s="45"/>
      <c r="K18" s="45"/>
      <c r="L18" s="45"/>
      <c r="M18" s="128">
        <v>1080</v>
      </c>
      <c r="N18" s="128">
        <v>2200</v>
      </c>
      <c r="O18" s="128">
        <v>610</v>
      </c>
      <c r="P18" s="128">
        <v>0</v>
      </c>
      <c r="Q18" s="128">
        <v>610</v>
      </c>
      <c r="R18" s="129"/>
      <c r="S18" s="128">
        <f>INDEX(Direct_Cost_Splits_Non_Ntwk,MATCH($H18,RIN_Asset_Cat_Non_Ntwk,0),MATCH($S$4,Direct_Cost_Type,0))*J18*HLOOKUP(S$5,Escalators!$I$25:$U$30,3,FALSE)</f>
        <v>0</v>
      </c>
      <c r="T18" s="128">
        <f>INDEX(Direct_Cost_Splits_Non_Ntwk,MATCH($H18,RIN_Asset_Cat_Non_Ntwk,0),MATCH($S$4,Direct_Cost_Type,0))*K18*HLOOKUP(T$5,Escalators!$I$25:$U$30,3,FALSE)</f>
        <v>0</v>
      </c>
      <c r="U18" s="128">
        <f>INDEX(Direct_Cost_Splits_Non_Ntwk,MATCH($H18,RIN_Asset_Cat_Non_Ntwk,0),MATCH($S$4,Direct_Cost_Type,0))*L18*HLOOKUP(U$5,Escalators!$I$25:$U$30,3,FALSE)</f>
        <v>0</v>
      </c>
      <c r="V18" s="128">
        <f>INDEX(Direct_Cost_Splits_Non_Ntwk,MATCH($H18,RIN_Asset_Cat_Non_Ntwk,0),MATCH($S$4,Direct_Cost_Type,0))*M18*HLOOKUP(V$5,Escalators!$I$25:$U$30,3,FALSE)</f>
        <v>201.42143330687736</v>
      </c>
      <c r="W18" s="128">
        <f>INDEX(Direct_Cost_Splits_Non_Ntwk,MATCH($H18,RIN_Asset_Cat_Non_Ntwk,0),MATCH($S$4,Direct_Cost_Type,0))*N18*HLOOKUP(W$5,Escalators!$I$25:$U$30,3,FALSE)</f>
        <v>412.33838876157535</v>
      </c>
      <c r="X18" s="128">
        <f>INDEX(Direct_Cost_Splits_Non_Ntwk,MATCH($H18,RIN_Asset_Cat_Non_Ntwk,0),MATCH($S$4,Direct_Cost_Type,0))*O18*HLOOKUP(X$5,Escalators!$I$25:$U$30,3,FALSE)</f>
        <v>115.07477385440069</v>
      </c>
      <c r="Y18" s="128">
        <f>INDEX(Direct_Cost_Splits_Non_Ntwk,MATCH($H18,RIN_Asset_Cat_Non_Ntwk,0),MATCH($S$4,Direct_Cost_Type,0))*P18*HLOOKUP(Y$5,Escalators!$I$25:$U$30,3,FALSE)</f>
        <v>0</v>
      </c>
      <c r="Z18" s="128">
        <f>INDEX(Direct_Cost_Splits_Non_Ntwk,MATCH($H18,RIN_Asset_Cat_Non_Ntwk,0),MATCH($S$4,Direct_Cost_Type,0))*Q18*HLOOKUP(Z$5,Escalators!$I$25:$U$30,3,FALSE)</f>
        <v>117.73759996706795</v>
      </c>
      <c r="AA18" s="129"/>
      <c r="AB18" s="128">
        <f t="shared" si="25"/>
        <v>0</v>
      </c>
      <c r="AC18" s="128">
        <f t="shared" si="25"/>
        <v>0</v>
      </c>
      <c r="AD18" s="128">
        <f t="shared" si="25"/>
        <v>0</v>
      </c>
      <c r="AE18" s="128">
        <f t="shared" si="25"/>
        <v>371.9897286367148</v>
      </c>
      <c r="AF18" s="128">
        <f t="shared" si="25"/>
        <v>757.75685463034506</v>
      </c>
      <c r="AG18" s="128">
        <f t="shared" si="25"/>
        <v>210.10530969295931</v>
      </c>
      <c r="AH18" s="128">
        <f t="shared" si="25"/>
        <v>0</v>
      </c>
      <c r="AI18" s="128">
        <f t="shared" si="25"/>
        <v>210.10530969295931</v>
      </c>
      <c r="AJ18" s="129"/>
      <c r="AK18" s="128">
        <f>INDEX(Direct_Cost_Splits_Non_Ntwk,MATCH($H18,RIN_Asset_Cat_Non_Ntwk,0),MATCH($AK$4,Direct_Cost_Type,0))*J18*HLOOKUP(AK$5,Escalators!$I$25:$U$30,6,FALSE)</f>
        <v>0</v>
      </c>
      <c r="AL18" s="128">
        <f>INDEX(Direct_Cost_Splits_Non_Ntwk,MATCH($H18,RIN_Asset_Cat_Non_Ntwk,0),MATCH($AK$4,Direct_Cost_Type,0))*K18*HLOOKUP(AL$5,Escalators!$I$25:$U$30,6,FALSE)</f>
        <v>0</v>
      </c>
      <c r="AM18" s="128">
        <f>INDEX(Direct_Cost_Splits_Non_Ntwk,MATCH($H18,RIN_Asset_Cat_Non_Ntwk,0),MATCH($AK$4,Direct_Cost_Type,0))*L18*HLOOKUP(AM$5,Escalators!$I$25:$U$30,6,FALSE)</f>
        <v>0</v>
      </c>
      <c r="AN18" s="128">
        <f>INDEX(Direct_Cost_Splits_Non_Ntwk,MATCH($H18,RIN_Asset_Cat_Non_Ntwk,0),MATCH($AK$4,Direct_Cost_Type,0))*M18*HLOOKUP(AN$5,Escalators!$I$25:$U$30,6,FALSE)</f>
        <v>512.96664394680101</v>
      </c>
      <c r="AO18" s="128">
        <f>INDEX(Direct_Cost_Splits_Non_Ntwk,MATCH($H18,RIN_Asset_Cat_Non_Ntwk,0),MATCH($AK$4,Direct_Cost_Type,0))*N18*HLOOKUP(AO$5,Escalators!$I$25:$U$30,6,FALSE)</f>
        <v>1044.9320524842242</v>
      </c>
      <c r="AP18" s="128">
        <f>INDEX(Direct_Cost_Splits_Non_Ntwk,MATCH($H18,RIN_Asset_Cat_Non_Ntwk,0),MATCH($AK$4,Direct_Cost_Type,0))*O18*HLOOKUP(AP$5,Escalators!$I$25:$U$30,6,FALSE)</f>
        <v>289.73116000698946</v>
      </c>
      <c r="AQ18" s="128">
        <f>INDEX(Direct_Cost_Splits_Non_Ntwk,MATCH($H18,RIN_Asset_Cat_Non_Ntwk,0),MATCH($AK$4,Direct_Cost_Type,0))*P18*HLOOKUP(AQ$5,Escalators!$I$25:$U$30,6,FALSE)</f>
        <v>0</v>
      </c>
      <c r="AR18" s="128">
        <f>INDEX(Direct_Cost_Splits_Non_Ntwk,MATCH($H18,RIN_Asset_Cat_Non_Ntwk,0),MATCH($AK$4,Direct_Cost_Type,0))*Q18*HLOOKUP(AR$5,Escalators!$I$25:$U$30,6,FALSE)</f>
        <v>289.73116000698946</v>
      </c>
      <c r="AS18" s="129"/>
      <c r="AT18" s="675">
        <f t="shared" si="26"/>
        <v>0</v>
      </c>
      <c r="AU18" s="675">
        <f t="shared" si="26"/>
        <v>0</v>
      </c>
      <c r="AV18" s="675">
        <f t="shared" si="26"/>
        <v>0</v>
      </c>
      <c r="AW18" s="675">
        <f t="shared" si="26"/>
        <v>0</v>
      </c>
      <c r="AX18" s="675">
        <f t="shared" si="26"/>
        <v>0</v>
      </c>
      <c r="AY18" s="675">
        <f t="shared" si="26"/>
        <v>0</v>
      </c>
      <c r="AZ18" s="675">
        <f t="shared" si="26"/>
        <v>0</v>
      </c>
      <c r="BA18" s="675">
        <f t="shared" si="26"/>
        <v>0</v>
      </c>
      <c r="BB18" s="129"/>
      <c r="BC18" s="128">
        <f t="shared" si="1"/>
        <v>0</v>
      </c>
      <c r="BD18" s="128">
        <f t="shared" si="2"/>
        <v>0</v>
      </c>
      <c r="BE18" s="128">
        <f t="shared" si="3"/>
        <v>0</v>
      </c>
      <c r="BF18" s="128">
        <f t="shared" si="4"/>
        <v>1086.3778058903931</v>
      </c>
      <c r="BG18" s="128">
        <f t="shared" si="5"/>
        <v>2215.0272958761443</v>
      </c>
      <c r="BH18" s="128">
        <f t="shared" si="6"/>
        <v>614.91124355434954</v>
      </c>
      <c r="BI18" s="128">
        <f t="shared" si="7"/>
        <v>0</v>
      </c>
      <c r="BJ18" s="128">
        <f t="shared" si="8"/>
        <v>617.57406966701672</v>
      </c>
    </row>
    <row r="19" spans="2:62">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K19" s="47"/>
      <c r="AL19" s="47"/>
      <c r="AM19" s="47"/>
      <c r="AN19" s="47"/>
      <c r="AO19" s="47"/>
      <c r="AP19" s="47"/>
      <c r="AQ19" s="47"/>
      <c r="AR19" s="47"/>
      <c r="AT19" s="82"/>
      <c r="AU19" s="82"/>
      <c r="AV19" s="82"/>
      <c r="AW19" s="82"/>
      <c r="AX19" s="82"/>
      <c r="AY19" s="82"/>
      <c r="AZ19" s="82"/>
      <c r="BA19" s="82"/>
      <c r="BC19" s="369">
        <f t="shared" si="1"/>
        <v>0</v>
      </c>
      <c r="BD19" s="369">
        <f t="shared" si="2"/>
        <v>0</v>
      </c>
      <c r="BE19" s="369">
        <f t="shared" si="3"/>
        <v>0</v>
      </c>
      <c r="BF19" s="47">
        <f t="shared" si="4"/>
        <v>0</v>
      </c>
      <c r="BG19" s="47">
        <f t="shared" si="5"/>
        <v>0</v>
      </c>
      <c r="BH19" s="47">
        <f t="shared" si="6"/>
        <v>0</v>
      </c>
      <c r="BI19" s="47">
        <f t="shared" si="7"/>
        <v>0</v>
      </c>
      <c r="BJ19" s="47">
        <f t="shared" si="8"/>
        <v>0</v>
      </c>
    </row>
    <row r="20" spans="2:62">
      <c r="B20" s="7"/>
      <c r="C20" s="7"/>
      <c r="D20" s="7"/>
      <c r="E20" s="7"/>
      <c r="F20" s="7"/>
      <c r="G20" s="7"/>
      <c r="H20" s="7"/>
      <c r="I20" s="7"/>
      <c r="J20" s="45"/>
      <c r="K20" s="45"/>
      <c r="L20" s="45"/>
      <c r="M20" s="45"/>
      <c r="N20" s="45"/>
      <c r="O20" s="45"/>
      <c r="P20" s="45"/>
      <c r="Q20" s="45"/>
      <c r="S20" s="47"/>
      <c r="T20" s="47"/>
      <c r="U20" s="47"/>
      <c r="V20" s="47"/>
      <c r="W20" s="47"/>
      <c r="X20" s="47"/>
      <c r="Y20" s="47"/>
      <c r="Z20" s="47"/>
      <c r="AB20" s="47"/>
      <c r="AC20" s="47"/>
      <c r="AD20" s="47"/>
      <c r="AE20" s="47"/>
      <c r="AF20" s="47"/>
      <c r="AG20" s="47"/>
      <c r="AH20" s="47"/>
      <c r="AI20" s="47"/>
      <c r="AK20" s="47"/>
      <c r="AL20" s="47"/>
      <c r="AM20" s="47"/>
      <c r="AN20" s="47"/>
      <c r="AO20" s="47"/>
      <c r="AP20" s="47"/>
      <c r="AQ20" s="47"/>
      <c r="AR20" s="47"/>
      <c r="AT20" s="82"/>
      <c r="AU20" s="82"/>
      <c r="AV20" s="82"/>
      <c r="AW20" s="82"/>
      <c r="AX20" s="82"/>
      <c r="AY20" s="82"/>
      <c r="AZ20" s="82"/>
      <c r="BA20" s="82"/>
      <c r="BC20" s="369">
        <f t="shared" si="1"/>
        <v>0</v>
      </c>
      <c r="BD20" s="369">
        <f t="shared" si="2"/>
        <v>0</v>
      </c>
      <c r="BE20" s="369">
        <f t="shared" si="3"/>
        <v>0</v>
      </c>
      <c r="BF20" s="47">
        <f t="shared" si="4"/>
        <v>0</v>
      </c>
      <c r="BG20" s="47">
        <f t="shared" si="5"/>
        <v>0</v>
      </c>
      <c r="BH20" s="47">
        <f t="shared" si="6"/>
        <v>0</v>
      </c>
      <c r="BI20" s="47">
        <f t="shared" si="7"/>
        <v>0</v>
      </c>
      <c r="BJ20" s="47">
        <f t="shared" si="8"/>
        <v>0</v>
      </c>
    </row>
    <row r="21" spans="2:62">
      <c r="B21" s="7"/>
      <c r="C21" s="7"/>
      <c r="D21" s="7"/>
      <c r="E21" s="7"/>
      <c r="F21" s="7"/>
      <c r="G21" s="7"/>
      <c r="H21" s="7"/>
      <c r="I21" s="7"/>
      <c r="J21" s="45"/>
      <c r="K21" s="45"/>
      <c r="L21" s="45"/>
      <c r="M21" s="45"/>
      <c r="N21" s="45"/>
      <c r="O21" s="45"/>
      <c r="P21" s="45"/>
      <c r="Q21" s="45"/>
      <c r="S21" s="47"/>
      <c r="T21" s="47"/>
      <c r="U21" s="47"/>
      <c r="V21" s="47"/>
      <c r="W21" s="47"/>
      <c r="X21" s="47"/>
      <c r="Y21" s="47"/>
      <c r="Z21" s="47"/>
      <c r="AB21" s="47"/>
      <c r="AC21" s="47"/>
      <c r="AD21" s="47"/>
      <c r="AE21" s="47"/>
      <c r="AF21" s="47"/>
      <c r="AG21" s="47"/>
      <c r="AH21" s="47"/>
      <c r="AI21" s="47"/>
      <c r="AK21" s="47"/>
      <c r="AL21" s="47"/>
      <c r="AM21" s="47"/>
      <c r="AN21" s="47"/>
      <c r="AO21" s="47"/>
      <c r="AP21" s="47"/>
      <c r="AQ21" s="47"/>
      <c r="AR21" s="47"/>
      <c r="AT21" s="82"/>
      <c r="AU21" s="82"/>
      <c r="AV21" s="82"/>
      <c r="AW21" s="82"/>
      <c r="AX21" s="82"/>
      <c r="AY21" s="82"/>
      <c r="AZ21" s="82"/>
      <c r="BA21" s="82"/>
      <c r="BC21" s="369">
        <f t="shared" si="1"/>
        <v>0</v>
      </c>
      <c r="BD21" s="369">
        <f t="shared" si="2"/>
        <v>0</v>
      </c>
      <c r="BE21" s="369">
        <f t="shared" si="3"/>
        <v>0</v>
      </c>
      <c r="BF21" s="47">
        <f t="shared" si="4"/>
        <v>0</v>
      </c>
      <c r="BG21" s="47">
        <f t="shared" si="5"/>
        <v>0</v>
      </c>
      <c r="BH21" s="47">
        <f t="shared" si="6"/>
        <v>0</v>
      </c>
      <c r="BI21" s="47">
        <f t="shared" si="7"/>
        <v>0</v>
      </c>
      <c r="BJ21" s="47">
        <f t="shared" si="8"/>
        <v>0</v>
      </c>
    </row>
    <row r="22" spans="2:62">
      <c r="B22" s="7"/>
      <c r="C22" s="7"/>
      <c r="D22" s="7"/>
      <c r="E22" s="7"/>
      <c r="F22" s="7"/>
      <c r="G22" s="7"/>
      <c r="H22" s="7"/>
      <c r="I22" s="7"/>
      <c r="J22" s="45"/>
      <c r="K22" s="45"/>
      <c r="L22" s="45"/>
      <c r="M22" s="45"/>
      <c r="N22" s="45"/>
      <c r="O22" s="45"/>
      <c r="P22" s="45"/>
      <c r="Q22" s="45"/>
      <c r="S22" s="47"/>
      <c r="T22" s="47"/>
      <c r="U22" s="47"/>
      <c r="V22" s="47"/>
      <c r="W22" s="47"/>
      <c r="X22" s="47"/>
      <c r="Y22" s="47"/>
      <c r="Z22" s="47"/>
      <c r="AB22" s="47"/>
      <c r="AC22" s="47"/>
      <c r="AD22" s="47"/>
      <c r="AE22" s="47"/>
      <c r="AF22" s="47"/>
      <c r="AG22" s="47"/>
      <c r="AH22" s="47"/>
      <c r="AI22" s="47"/>
      <c r="AK22" s="47"/>
      <c r="AL22" s="47"/>
      <c r="AM22" s="47"/>
      <c r="AN22" s="47"/>
      <c r="AO22" s="47"/>
      <c r="AP22" s="47"/>
      <c r="AQ22" s="47"/>
      <c r="AR22" s="47"/>
      <c r="AT22" s="82"/>
      <c r="AU22" s="82"/>
      <c r="AV22" s="82"/>
      <c r="AW22" s="82"/>
      <c r="AX22" s="82"/>
      <c r="AY22" s="82"/>
      <c r="AZ22" s="82"/>
      <c r="BA22" s="82"/>
      <c r="BC22" s="369"/>
      <c r="BD22" s="369"/>
      <c r="BE22" s="369"/>
      <c r="BF22" s="47"/>
      <c r="BG22" s="47"/>
      <c r="BH22" s="47"/>
      <c r="BI22" s="47"/>
      <c r="BJ22" s="47"/>
    </row>
    <row r="23" spans="2:62">
      <c r="B23" s="7"/>
      <c r="C23" s="7"/>
      <c r="D23" s="7"/>
      <c r="E23" s="7"/>
      <c r="F23" s="7"/>
      <c r="G23" s="7"/>
      <c r="H23" s="7"/>
      <c r="I23" s="7"/>
      <c r="J23" s="45"/>
      <c r="K23" s="45"/>
      <c r="L23" s="45"/>
      <c r="M23" s="45"/>
      <c r="N23" s="45"/>
      <c r="O23" s="45"/>
      <c r="P23" s="45"/>
      <c r="Q23" s="45"/>
      <c r="S23" s="47"/>
      <c r="T23" s="47"/>
      <c r="U23" s="47"/>
      <c r="V23" s="47"/>
      <c r="W23" s="47"/>
      <c r="X23" s="47"/>
      <c r="Y23" s="47"/>
      <c r="Z23" s="47"/>
      <c r="AB23" s="47"/>
      <c r="AC23" s="47"/>
      <c r="AD23" s="47"/>
      <c r="AE23" s="47"/>
      <c r="AF23" s="47"/>
      <c r="AG23" s="47"/>
      <c r="AH23" s="47"/>
      <c r="AI23" s="47"/>
      <c r="AK23" s="47"/>
      <c r="AL23" s="47"/>
      <c r="AM23" s="47"/>
      <c r="AN23" s="47"/>
      <c r="AO23" s="47"/>
      <c r="AP23" s="47"/>
      <c r="AQ23" s="47"/>
      <c r="AR23" s="47"/>
      <c r="AT23" s="82"/>
      <c r="AU23" s="82"/>
      <c r="AV23" s="82"/>
      <c r="AW23" s="82"/>
      <c r="AX23" s="82"/>
      <c r="AY23" s="82"/>
      <c r="AZ23" s="82"/>
      <c r="BA23" s="82"/>
      <c r="BC23" s="369">
        <f t="shared" si="1"/>
        <v>0</v>
      </c>
      <c r="BD23" s="369">
        <f t="shared" ref="BD23:BJ23" si="27">T23+AC23+AL23+AU23</f>
        <v>0</v>
      </c>
      <c r="BE23" s="369">
        <f t="shared" si="27"/>
        <v>0</v>
      </c>
      <c r="BF23" s="47">
        <f t="shared" si="27"/>
        <v>0</v>
      </c>
      <c r="BG23" s="47">
        <f t="shared" si="27"/>
        <v>0</v>
      </c>
      <c r="BH23" s="47">
        <f t="shared" si="27"/>
        <v>0</v>
      </c>
      <c r="BI23" s="47">
        <f t="shared" si="27"/>
        <v>0</v>
      </c>
      <c r="BJ23" s="47">
        <f t="shared" si="27"/>
        <v>0</v>
      </c>
    </row>
    <row r="24" spans="2:62">
      <c r="B24" s="7"/>
      <c r="C24" s="7"/>
      <c r="D24" s="7"/>
      <c r="E24" s="7"/>
      <c r="F24" s="7"/>
      <c r="G24" s="7"/>
      <c r="H24" s="7"/>
      <c r="I24" s="7"/>
      <c r="J24" s="45"/>
      <c r="K24" s="45"/>
      <c r="L24" s="45"/>
      <c r="M24" s="45"/>
      <c r="N24" s="45"/>
      <c r="O24" s="45"/>
      <c r="P24" s="45"/>
      <c r="Q24" s="45"/>
      <c r="S24" s="47"/>
      <c r="T24" s="47"/>
      <c r="U24" s="47"/>
      <c r="V24" s="47"/>
      <c r="W24" s="47"/>
      <c r="X24" s="47"/>
      <c r="Y24" s="47"/>
      <c r="Z24" s="47"/>
      <c r="AB24" s="47"/>
      <c r="AC24" s="47"/>
      <c r="AD24" s="47"/>
      <c r="AE24" s="47"/>
      <c r="AF24" s="47"/>
      <c r="AG24" s="47"/>
      <c r="AH24" s="47"/>
      <c r="AI24" s="47"/>
      <c r="AK24" s="47"/>
      <c r="AL24" s="47"/>
      <c r="AM24" s="47"/>
      <c r="AN24" s="47"/>
      <c r="AO24" s="47"/>
      <c r="AP24" s="47"/>
      <c r="AQ24" s="47"/>
      <c r="AR24" s="47"/>
      <c r="AT24" s="47"/>
      <c r="AU24" s="47"/>
      <c r="AV24" s="47"/>
      <c r="AW24" s="47"/>
      <c r="AX24" s="47"/>
      <c r="AY24" s="47"/>
      <c r="AZ24" s="47"/>
      <c r="BA24" s="47"/>
      <c r="BC24" s="369">
        <f t="shared" ref="BC24:BC36" si="28">S24+AB24+AK24+AT24</f>
        <v>0</v>
      </c>
      <c r="BD24" s="369">
        <f t="shared" ref="BD24:BD36" si="29">T24+AC24+AL24+AU24</f>
        <v>0</v>
      </c>
      <c r="BE24" s="369">
        <f t="shared" ref="BE24:BE36" si="30">U24+AD24+AM24+AV24</f>
        <v>0</v>
      </c>
      <c r="BF24" s="47">
        <f t="shared" ref="BF24:BF36" si="31">V24+AE24+AN24+AW24</f>
        <v>0</v>
      </c>
      <c r="BG24" s="47">
        <f t="shared" ref="BG24:BG36" si="32">W24+AF24+AO24+AX24</f>
        <v>0</v>
      </c>
      <c r="BH24" s="47">
        <f t="shared" ref="BH24:BH36" si="33">X24+AG24+AP24+AY24</f>
        <v>0</v>
      </c>
      <c r="BI24" s="47">
        <f t="shared" ref="BI24:BI36" si="34">Y24+AH24+AQ24+AZ24</f>
        <v>0</v>
      </c>
      <c r="BJ24" s="47">
        <f t="shared" ref="BJ24:BJ36" si="35">Z24+AI24+AR24+BA24</f>
        <v>0</v>
      </c>
    </row>
    <row r="25" spans="2:62">
      <c r="B25" s="7"/>
      <c r="C25" s="7"/>
      <c r="D25" s="7"/>
      <c r="E25" s="7"/>
      <c r="F25" s="7"/>
      <c r="G25" s="7"/>
      <c r="H25" s="7"/>
      <c r="I25" s="7"/>
      <c r="J25" s="45"/>
      <c r="K25" s="45"/>
      <c r="L25" s="45"/>
      <c r="M25" s="45"/>
      <c r="N25" s="45"/>
      <c r="O25" s="45"/>
      <c r="P25" s="45"/>
      <c r="Q25" s="45"/>
      <c r="S25" s="47"/>
      <c r="T25" s="47"/>
      <c r="U25" s="47"/>
      <c r="V25" s="47"/>
      <c r="W25" s="47"/>
      <c r="X25" s="47"/>
      <c r="Y25" s="47"/>
      <c r="Z25" s="47"/>
      <c r="AB25" s="47"/>
      <c r="AC25" s="47"/>
      <c r="AD25" s="47"/>
      <c r="AE25" s="47"/>
      <c r="AF25" s="47"/>
      <c r="AG25" s="47"/>
      <c r="AH25" s="47"/>
      <c r="AI25" s="47"/>
      <c r="AK25" s="47"/>
      <c r="AL25" s="47"/>
      <c r="AM25" s="47"/>
      <c r="AN25" s="47"/>
      <c r="AO25" s="47"/>
      <c r="AP25" s="47"/>
      <c r="AQ25" s="47"/>
      <c r="AR25" s="47"/>
      <c r="AT25" s="47"/>
      <c r="AU25" s="47"/>
      <c r="AV25" s="47"/>
      <c r="AW25" s="47"/>
      <c r="AX25" s="47"/>
      <c r="AY25" s="47"/>
      <c r="AZ25" s="47"/>
      <c r="BA25" s="47"/>
      <c r="BC25" s="369">
        <f t="shared" si="28"/>
        <v>0</v>
      </c>
      <c r="BD25" s="369">
        <f t="shared" si="29"/>
        <v>0</v>
      </c>
      <c r="BE25" s="369">
        <f t="shared" si="30"/>
        <v>0</v>
      </c>
      <c r="BF25" s="47">
        <f t="shared" si="31"/>
        <v>0</v>
      </c>
      <c r="BG25" s="47">
        <f t="shared" si="32"/>
        <v>0</v>
      </c>
      <c r="BH25" s="47">
        <f t="shared" si="33"/>
        <v>0</v>
      </c>
      <c r="BI25" s="47">
        <f t="shared" si="34"/>
        <v>0</v>
      </c>
      <c r="BJ25" s="47">
        <f t="shared" si="35"/>
        <v>0</v>
      </c>
    </row>
    <row r="26" spans="2:62">
      <c r="B26" s="7"/>
      <c r="C26" s="7"/>
      <c r="D26" s="7"/>
      <c r="E26" s="7"/>
      <c r="F26" s="7"/>
      <c r="G26" s="7"/>
      <c r="H26" s="7"/>
      <c r="I26" s="7"/>
      <c r="J26" s="45"/>
      <c r="K26" s="45"/>
      <c r="L26" s="45"/>
      <c r="M26" s="45"/>
      <c r="N26" s="45"/>
      <c r="O26" s="45"/>
      <c r="P26" s="45"/>
      <c r="Q26" s="45"/>
      <c r="S26" s="47"/>
      <c r="T26" s="47"/>
      <c r="U26" s="47"/>
      <c r="V26" s="47"/>
      <c r="W26" s="47"/>
      <c r="X26" s="47"/>
      <c r="Y26" s="47"/>
      <c r="Z26" s="47"/>
      <c r="AB26" s="47"/>
      <c r="AC26" s="47"/>
      <c r="AD26" s="47"/>
      <c r="AE26" s="47"/>
      <c r="AF26" s="47"/>
      <c r="AG26" s="47"/>
      <c r="AH26" s="47"/>
      <c r="AI26" s="47"/>
      <c r="AK26" s="47"/>
      <c r="AL26" s="47"/>
      <c r="AM26" s="47"/>
      <c r="AN26" s="47"/>
      <c r="AO26" s="47"/>
      <c r="AP26" s="47"/>
      <c r="AQ26" s="47"/>
      <c r="AR26" s="47"/>
      <c r="AT26" s="47"/>
      <c r="AU26" s="47"/>
      <c r="AV26" s="47"/>
      <c r="AW26" s="47"/>
      <c r="AX26" s="47"/>
      <c r="AY26" s="47"/>
      <c r="AZ26" s="47"/>
      <c r="BA26" s="47"/>
      <c r="BC26" s="369">
        <f t="shared" si="28"/>
        <v>0</v>
      </c>
      <c r="BD26" s="369">
        <f t="shared" si="29"/>
        <v>0</v>
      </c>
      <c r="BE26" s="369">
        <f t="shared" si="30"/>
        <v>0</v>
      </c>
      <c r="BF26" s="47">
        <f t="shared" si="31"/>
        <v>0</v>
      </c>
      <c r="BG26" s="47">
        <f t="shared" si="32"/>
        <v>0</v>
      </c>
      <c r="BH26" s="47">
        <f t="shared" si="33"/>
        <v>0</v>
      </c>
      <c r="BI26" s="47">
        <f t="shared" si="34"/>
        <v>0</v>
      </c>
      <c r="BJ26" s="47">
        <f t="shared" si="35"/>
        <v>0</v>
      </c>
    </row>
    <row r="27" spans="2:62">
      <c r="B27" s="7"/>
      <c r="C27" s="7"/>
      <c r="D27" s="7"/>
      <c r="E27" s="7"/>
      <c r="F27" s="7"/>
      <c r="G27" s="7"/>
      <c r="H27" s="7"/>
      <c r="I27" s="7"/>
      <c r="J27" s="45"/>
      <c r="K27" s="45"/>
      <c r="L27" s="45"/>
      <c r="M27" s="45"/>
      <c r="N27" s="45"/>
      <c r="O27" s="45"/>
      <c r="P27" s="45"/>
      <c r="Q27" s="45"/>
      <c r="S27" s="47"/>
      <c r="T27" s="47"/>
      <c r="U27" s="47"/>
      <c r="V27" s="47"/>
      <c r="W27" s="47"/>
      <c r="X27" s="47"/>
      <c r="Y27" s="47"/>
      <c r="Z27" s="47"/>
      <c r="AB27" s="47"/>
      <c r="AC27" s="47"/>
      <c r="AD27" s="47"/>
      <c r="AE27" s="47"/>
      <c r="AF27" s="47"/>
      <c r="AG27" s="47"/>
      <c r="AH27" s="47"/>
      <c r="AI27" s="47"/>
      <c r="AK27" s="47"/>
      <c r="AL27" s="47"/>
      <c r="AM27" s="47"/>
      <c r="AN27" s="47"/>
      <c r="AO27" s="47"/>
      <c r="AP27" s="47"/>
      <c r="AQ27" s="47"/>
      <c r="AR27" s="47"/>
      <c r="AT27" s="47"/>
      <c r="AU27" s="47"/>
      <c r="AV27" s="47"/>
      <c r="AW27" s="47"/>
      <c r="AX27" s="47"/>
      <c r="AY27" s="47"/>
      <c r="AZ27" s="47"/>
      <c r="BA27" s="47"/>
      <c r="BC27" s="369">
        <f t="shared" si="28"/>
        <v>0</v>
      </c>
      <c r="BD27" s="369">
        <f t="shared" si="29"/>
        <v>0</v>
      </c>
      <c r="BE27" s="369">
        <f t="shared" si="30"/>
        <v>0</v>
      </c>
      <c r="BF27" s="47">
        <f t="shared" si="31"/>
        <v>0</v>
      </c>
      <c r="BG27" s="47">
        <f t="shared" si="32"/>
        <v>0</v>
      </c>
      <c r="BH27" s="47">
        <f t="shared" si="33"/>
        <v>0</v>
      </c>
      <c r="BI27" s="47">
        <f t="shared" si="34"/>
        <v>0</v>
      </c>
      <c r="BJ27" s="47">
        <f t="shared" si="35"/>
        <v>0</v>
      </c>
    </row>
    <row r="28" spans="2:62">
      <c r="B28" s="7"/>
      <c r="C28" s="7"/>
      <c r="D28" s="7"/>
      <c r="E28" s="7"/>
      <c r="F28" s="7"/>
      <c r="G28" s="7"/>
      <c r="H28" s="7"/>
      <c r="I28" s="7"/>
      <c r="J28" s="45"/>
      <c r="K28" s="45"/>
      <c r="L28" s="45"/>
      <c r="M28" s="45"/>
      <c r="N28" s="45"/>
      <c r="O28" s="45"/>
      <c r="P28" s="45"/>
      <c r="Q28" s="45"/>
      <c r="S28" s="47"/>
      <c r="T28" s="47"/>
      <c r="U28" s="47"/>
      <c r="V28" s="47"/>
      <c r="W28" s="47"/>
      <c r="X28" s="47"/>
      <c r="Y28" s="47"/>
      <c r="Z28" s="47"/>
      <c r="AB28" s="47"/>
      <c r="AC28" s="47"/>
      <c r="AD28" s="47"/>
      <c r="AE28" s="47"/>
      <c r="AF28" s="47"/>
      <c r="AG28" s="47"/>
      <c r="AH28" s="47"/>
      <c r="AI28" s="47"/>
      <c r="AK28" s="47"/>
      <c r="AL28" s="47"/>
      <c r="AM28" s="47"/>
      <c r="AN28" s="47"/>
      <c r="AO28" s="47"/>
      <c r="AP28" s="47"/>
      <c r="AQ28" s="47"/>
      <c r="AR28" s="47"/>
      <c r="AT28" s="47"/>
      <c r="AU28" s="47"/>
      <c r="AV28" s="47"/>
      <c r="AW28" s="47"/>
      <c r="AX28" s="47"/>
      <c r="AY28" s="47"/>
      <c r="AZ28" s="47"/>
      <c r="BA28" s="47"/>
      <c r="BC28" s="369">
        <f t="shared" si="28"/>
        <v>0</v>
      </c>
      <c r="BD28" s="369">
        <f t="shared" si="29"/>
        <v>0</v>
      </c>
      <c r="BE28" s="369">
        <f t="shared" si="30"/>
        <v>0</v>
      </c>
      <c r="BF28" s="47">
        <f t="shared" si="31"/>
        <v>0</v>
      </c>
      <c r="BG28" s="47">
        <f t="shared" si="32"/>
        <v>0</v>
      </c>
      <c r="BH28" s="47">
        <f t="shared" si="33"/>
        <v>0</v>
      </c>
      <c r="BI28" s="47">
        <f t="shared" si="34"/>
        <v>0</v>
      </c>
      <c r="BJ28" s="47">
        <f t="shared" si="35"/>
        <v>0</v>
      </c>
    </row>
    <row r="29" spans="2:62">
      <c r="B29" s="7"/>
      <c r="C29" s="7"/>
      <c r="D29" s="7"/>
      <c r="E29" s="7"/>
      <c r="F29" s="7"/>
      <c r="G29" s="7"/>
      <c r="H29" s="7"/>
      <c r="I29" s="7"/>
      <c r="J29" s="45"/>
      <c r="K29" s="45"/>
      <c r="L29" s="45"/>
      <c r="M29" s="45"/>
      <c r="N29" s="45"/>
      <c r="O29" s="45"/>
      <c r="P29" s="45"/>
      <c r="Q29" s="45"/>
      <c r="S29" s="47"/>
      <c r="T29" s="47"/>
      <c r="U29" s="47"/>
      <c r="V29" s="47"/>
      <c r="W29" s="47"/>
      <c r="X29" s="47"/>
      <c r="Y29" s="47"/>
      <c r="Z29" s="47"/>
      <c r="AB29" s="47"/>
      <c r="AC29" s="47"/>
      <c r="AD29" s="47"/>
      <c r="AE29" s="47"/>
      <c r="AF29" s="47"/>
      <c r="AG29" s="47"/>
      <c r="AH29" s="47"/>
      <c r="AI29" s="47"/>
      <c r="AK29" s="47"/>
      <c r="AL29" s="47"/>
      <c r="AM29" s="47"/>
      <c r="AN29" s="47"/>
      <c r="AO29" s="47"/>
      <c r="AP29" s="47"/>
      <c r="AQ29" s="47"/>
      <c r="AR29" s="47"/>
      <c r="AT29" s="47"/>
      <c r="AU29" s="47"/>
      <c r="AV29" s="47"/>
      <c r="AW29" s="47"/>
      <c r="AX29" s="47"/>
      <c r="AY29" s="47"/>
      <c r="AZ29" s="47"/>
      <c r="BA29" s="47"/>
      <c r="BC29" s="369">
        <f t="shared" si="28"/>
        <v>0</v>
      </c>
      <c r="BD29" s="369">
        <f t="shared" si="29"/>
        <v>0</v>
      </c>
      <c r="BE29" s="369">
        <f t="shared" si="30"/>
        <v>0</v>
      </c>
      <c r="BF29" s="47">
        <f t="shared" si="31"/>
        <v>0</v>
      </c>
      <c r="BG29" s="47">
        <f t="shared" si="32"/>
        <v>0</v>
      </c>
      <c r="BH29" s="47">
        <f t="shared" si="33"/>
        <v>0</v>
      </c>
      <c r="BI29" s="47">
        <f t="shared" si="34"/>
        <v>0</v>
      </c>
      <c r="BJ29" s="47">
        <f t="shared" si="35"/>
        <v>0</v>
      </c>
    </row>
    <row r="30" spans="2:62">
      <c r="B30" s="7"/>
      <c r="C30" s="7"/>
      <c r="D30" s="7"/>
      <c r="E30" s="7"/>
      <c r="F30" s="7"/>
      <c r="G30" s="7"/>
      <c r="H30" s="7"/>
      <c r="I30" s="7"/>
      <c r="J30" s="45"/>
      <c r="K30" s="45"/>
      <c r="L30" s="45"/>
      <c r="M30" s="45"/>
      <c r="N30" s="45"/>
      <c r="O30" s="45"/>
      <c r="P30" s="45"/>
      <c r="Q30" s="45"/>
      <c r="S30" s="47"/>
      <c r="T30" s="47"/>
      <c r="U30" s="47"/>
      <c r="V30" s="47"/>
      <c r="W30" s="47"/>
      <c r="X30" s="47"/>
      <c r="Y30" s="47"/>
      <c r="Z30" s="47"/>
      <c r="AB30" s="47"/>
      <c r="AC30" s="47"/>
      <c r="AD30" s="47"/>
      <c r="AE30" s="47"/>
      <c r="AF30" s="47"/>
      <c r="AG30" s="47"/>
      <c r="AH30" s="47"/>
      <c r="AI30" s="47"/>
      <c r="AK30" s="47"/>
      <c r="AL30" s="47"/>
      <c r="AM30" s="47"/>
      <c r="AN30" s="47"/>
      <c r="AO30" s="47"/>
      <c r="AP30" s="47"/>
      <c r="AQ30" s="47"/>
      <c r="AR30" s="47"/>
      <c r="AT30" s="47"/>
      <c r="AU30" s="47"/>
      <c r="AV30" s="47"/>
      <c r="AW30" s="47"/>
      <c r="AX30" s="47"/>
      <c r="AY30" s="47"/>
      <c r="AZ30" s="47"/>
      <c r="BA30" s="47"/>
      <c r="BC30" s="369">
        <f t="shared" si="28"/>
        <v>0</v>
      </c>
      <c r="BD30" s="369">
        <f t="shared" si="29"/>
        <v>0</v>
      </c>
      <c r="BE30" s="369">
        <f t="shared" si="30"/>
        <v>0</v>
      </c>
      <c r="BF30" s="47">
        <f t="shared" si="31"/>
        <v>0</v>
      </c>
      <c r="BG30" s="47">
        <f t="shared" si="32"/>
        <v>0</v>
      </c>
      <c r="BH30" s="47">
        <f t="shared" si="33"/>
        <v>0</v>
      </c>
      <c r="BI30" s="47">
        <f t="shared" si="34"/>
        <v>0</v>
      </c>
      <c r="BJ30" s="47">
        <f t="shared" si="35"/>
        <v>0</v>
      </c>
    </row>
    <row r="31" spans="2:62">
      <c r="B31" s="7"/>
      <c r="C31" s="7"/>
      <c r="D31" s="7"/>
      <c r="E31" s="7"/>
      <c r="F31" s="7"/>
      <c r="G31" s="7"/>
      <c r="H31" s="7"/>
      <c r="I31" s="7"/>
      <c r="J31" s="45"/>
      <c r="K31" s="45"/>
      <c r="L31" s="45"/>
      <c r="M31" s="45"/>
      <c r="N31" s="45"/>
      <c r="O31" s="45"/>
      <c r="P31" s="45"/>
      <c r="Q31" s="45"/>
      <c r="S31" s="47"/>
      <c r="T31" s="47"/>
      <c r="U31" s="47"/>
      <c r="V31" s="47"/>
      <c r="W31" s="47"/>
      <c r="X31" s="47"/>
      <c r="Y31" s="47"/>
      <c r="Z31" s="47"/>
      <c r="AB31" s="47"/>
      <c r="AC31" s="47"/>
      <c r="AD31" s="47"/>
      <c r="AE31" s="47"/>
      <c r="AF31" s="47"/>
      <c r="AG31" s="47"/>
      <c r="AH31" s="47"/>
      <c r="AI31" s="47"/>
      <c r="AK31" s="47"/>
      <c r="AL31" s="47"/>
      <c r="AM31" s="47"/>
      <c r="AN31" s="47"/>
      <c r="AO31" s="47"/>
      <c r="AP31" s="47"/>
      <c r="AQ31" s="47"/>
      <c r="AR31" s="47"/>
      <c r="AT31" s="47"/>
      <c r="AU31" s="47"/>
      <c r="AV31" s="47"/>
      <c r="AW31" s="47"/>
      <c r="AX31" s="47"/>
      <c r="AY31" s="47"/>
      <c r="AZ31" s="47"/>
      <c r="BA31" s="47"/>
      <c r="BC31" s="369">
        <f t="shared" si="28"/>
        <v>0</v>
      </c>
      <c r="BD31" s="369">
        <f t="shared" si="29"/>
        <v>0</v>
      </c>
      <c r="BE31" s="369">
        <f t="shared" si="30"/>
        <v>0</v>
      </c>
      <c r="BF31" s="47">
        <f t="shared" si="31"/>
        <v>0</v>
      </c>
      <c r="BG31" s="47">
        <f t="shared" si="32"/>
        <v>0</v>
      </c>
      <c r="BH31" s="47">
        <f t="shared" si="33"/>
        <v>0</v>
      </c>
      <c r="BI31" s="47">
        <f t="shared" si="34"/>
        <v>0</v>
      </c>
      <c r="BJ31" s="47">
        <f t="shared" si="35"/>
        <v>0</v>
      </c>
    </row>
    <row r="32" spans="2:62">
      <c r="B32" s="7"/>
      <c r="C32" s="7"/>
      <c r="D32" s="7"/>
      <c r="E32" s="7"/>
      <c r="F32" s="7"/>
      <c r="G32" s="7"/>
      <c r="H32" s="7"/>
      <c r="I32" s="7"/>
      <c r="J32" s="45"/>
      <c r="K32" s="45"/>
      <c r="L32" s="45"/>
      <c r="M32" s="45"/>
      <c r="N32" s="45"/>
      <c r="O32" s="45"/>
      <c r="P32" s="45"/>
      <c r="Q32" s="45"/>
      <c r="S32" s="47"/>
      <c r="T32" s="47"/>
      <c r="U32" s="47"/>
      <c r="V32" s="47"/>
      <c r="W32" s="47"/>
      <c r="X32" s="47"/>
      <c r="Y32" s="47"/>
      <c r="Z32" s="47"/>
      <c r="AB32" s="47"/>
      <c r="AC32" s="47"/>
      <c r="AD32" s="47"/>
      <c r="AE32" s="47"/>
      <c r="AF32" s="47"/>
      <c r="AG32" s="47"/>
      <c r="AH32" s="47"/>
      <c r="AI32" s="47"/>
      <c r="AK32" s="47"/>
      <c r="AL32" s="47"/>
      <c r="AM32" s="47"/>
      <c r="AN32" s="47"/>
      <c r="AO32" s="47"/>
      <c r="AP32" s="47"/>
      <c r="AQ32" s="47"/>
      <c r="AR32" s="47"/>
      <c r="AT32" s="47"/>
      <c r="AU32" s="47"/>
      <c r="AV32" s="47"/>
      <c r="AW32" s="47"/>
      <c r="AX32" s="47"/>
      <c r="AY32" s="47"/>
      <c r="AZ32" s="47"/>
      <c r="BA32" s="47"/>
      <c r="BC32" s="369">
        <f t="shared" si="28"/>
        <v>0</v>
      </c>
      <c r="BD32" s="369">
        <f t="shared" si="29"/>
        <v>0</v>
      </c>
      <c r="BE32" s="369">
        <f t="shared" si="30"/>
        <v>0</v>
      </c>
      <c r="BF32" s="47">
        <f t="shared" si="31"/>
        <v>0</v>
      </c>
      <c r="BG32" s="47">
        <f t="shared" si="32"/>
        <v>0</v>
      </c>
      <c r="BH32" s="47">
        <f t="shared" si="33"/>
        <v>0</v>
      </c>
      <c r="BI32" s="47">
        <f t="shared" si="34"/>
        <v>0</v>
      </c>
      <c r="BJ32" s="47">
        <f t="shared" si="35"/>
        <v>0</v>
      </c>
    </row>
    <row r="33" spans="2:62">
      <c r="B33" s="7"/>
      <c r="C33" s="7"/>
      <c r="D33" s="7"/>
      <c r="E33" s="7"/>
      <c r="F33" s="7"/>
      <c r="G33" s="7"/>
      <c r="H33" s="7"/>
      <c r="I33" s="7"/>
      <c r="J33" s="45"/>
      <c r="K33" s="45"/>
      <c r="L33" s="45"/>
      <c r="M33" s="45"/>
      <c r="N33" s="45"/>
      <c r="O33" s="45"/>
      <c r="P33" s="45"/>
      <c r="Q33" s="45"/>
      <c r="S33" s="47"/>
      <c r="T33" s="47"/>
      <c r="U33" s="47"/>
      <c r="V33" s="47"/>
      <c r="W33" s="47"/>
      <c r="X33" s="47"/>
      <c r="Y33" s="47"/>
      <c r="Z33" s="47"/>
      <c r="AB33" s="47"/>
      <c r="AC33" s="47"/>
      <c r="AD33" s="47"/>
      <c r="AE33" s="47"/>
      <c r="AF33" s="47"/>
      <c r="AG33" s="47"/>
      <c r="AH33" s="47"/>
      <c r="AI33" s="47"/>
      <c r="AK33" s="47"/>
      <c r="AL33" s="47"/>
      <c r="AM33" s="47"/>
      <c r="AN33" s="47"/>
      <c r="AO33" s="47"/>
      <c r="AP33" s="47"/>
      <c r="AQ33" s="47"/>
      <c r="AR33" s="47"/>
      <c r="AT33" s="47"/>
      <c r="AU33" s="47"/>
      <c r="AV33" s="47"/>
      <c r="AW33" s="47"/>
      <c r="AX33" s="47"/>
      <c r="AY33" s="47"/>
      <c r="AZ33" s="47"/>
      <c r="BA33" s="47"/>
      <c r="BC33" s="369">
        <f t="shared" si="28"/>
        <v>0</v>
      </c>
      <c r="BD33" s="369">
        <f t="shared" si="29"/>
        <v>0</v>
      </c>
      <c r="BE33" s="369">
        <f t="shared" si="30"/>
        <v>0</v>
      </c>
      <c r="BF33" s="47">
        <f t="shared" si="31"/>
        <v>0</v>
      </c>
      <c r="BG33" s="47">
        <f t="shared" si="32"/>
        <v>0</v>
      </c>
      <c r="BH33" s="47">
        <f t="shared" si="33"/>
        <v>0</v>
      </c>
      <c r="BI33" s="47">
        <f t="shared" si="34"/>
        <v>0</v>
      </c>
      <c r="BJ33" s="47">
        <f t="shared" si="35"/>
        <v>0</v>
      </c>
    </row>
    <row r="34" spans="2:62">
      <c r="B34" s="7"/>
      <c r="C34" s="7"/>
      <c r="D34" s="7"/>
      <c r="E34" s="7"/>
      <c r="F34" s="7"/>
      <c r="G34" s="7"/>
      <c r="H34" s="7"/>
      <c r="I34" s="7"/>
      <c r="J34" s="45"/>
      <c r="K34" s="45"/>
      <c r="L34" s="45"/>
      <c r="M34" s="45"/>
      <c r="N34" s="45"/>
      <c r="O34" s="45"/>
      <c r="P34" s="45"/>
      <c r="Q34" s="45"/>
      <c r="S34" s="47"/>
      <c r="T34" s="47"/>
      <c r="U34" s="47"/>
      <c r="V34" s="47"/>
      <c r="W34" s="47"/>
      <c r="X34" s="47"/>
      <c r="Y34" s="47"/>
      <c r="Z34" s="47"/>
      <c r="AB34" s="47"/>
      <c r="AC34" s="47"/>
      <c r="AD34" s="47"/>
      <c r="AE34" s="47"/>
      <c r="AF34" s="47"/>
      <c r="AG34" s="47"/>
      <c r="AH34" s="47"/>
      <c r="AI34" s="47"/>
      <c r="AK34" s="47"/>
      <c r="AL34" s="47"/>
      <c r="AM34" s="47"/>
      <c r="AN34" s="47"/>
      <c r="AO34" s="47"/>
      <c r="AP34" s="47"/>
      <c r="AQ34" s="47"/>
      <c r="AR34" s="47"/>
      <c r="AT34" s="47"/>
      <c r="AU34" s="47"/>
      <c r="AV34" s="47"/>
      <c r="AW34" s="47"/>
      <c r="AX34" s="47"/>
      <c r="AY34" s="47"/>
      <c r="AZ34" s="47"/>
      <c r="BA34" s="47"/>
      <c r="BC34" s="369">
        <f t="shared" si="28"/>
        <v>0</v>
      </c>
      <c r="BD34" s="369">
        <f t="shared" si="29"/>
        <v>0</v>
      </c>
      <c r="BE34" s="369">
        <f t="shared" si="30"/>
        <v>0</v>
      </c>
      <c r="BF34" s="47">
        <f t="shared" si="31"/>
        <v>0</v>
      </c>
      <c r="BG34" s="47">
        <f t="shared" si="32"/>
        <v>0</v>
      </c>
      <c r="BH34" s="47">
        <f t="shared" si="33"/>
        <v>0</v>
      </c>
      <c r="BI34" s="47">
        <f t="shared" si="34"/>
        <v>0</v>
      </c>
      <c r="BJ34" s="47">
        <f t="shared" si="35"/>
        <v>0</v>
      </c>
    </row>
    <row r="35" spans="2:62">
      <c r="B35" s="7"/>
      <c r="C35" s="7"/>
      <c r="D35" s="7"/>
      <c r="E35" s="7"/>
      <c r="F35" s="7"/>
      <c r="G35" s="7"/>
      <c r="H35" s="7"/>
      <c r="I35" s="7"/>
      <c r="J35" s="45"/>
      <c r="K35" s="45"/>
      <c r="L35" s="45"/>
      <c r="M35" s="45"/>
      <c r="N35" s="45"/>
      <c r="O35" s="45"/>
      <c r="P35" s="45"/>
      <c r="Q35" s="45"/>
      <c r="S35" s="47"/>
      <c r="T35" s="47"/>
      <c r="U35" s="47"/>
      <c r="V35" s="47"/>
      <c r="W35" s="47"/>
      <c r="X35" s="47"/>
      <c r="Y35" s="47"/>
      <c r="Z35" s="47"/>
      <c r="AB35" s="47"/>
      <c r="AC35" s="47"/>
      <c r="AD35" s="47"/>
      <c r="AE35" s="47"/>
      <c r="AF35" s="47"/>
      <c r="AG35" s="47"/>
      <c r="AH35" s="47"/>
      <c r="AI35" s="47"/>
      <c r="AK35" s="47"/>
      <c r="AL35" s="47"/>
      <c r="AM35" s="47"/>
      <c r="AN35" s="47"/>
      <c r="AO35" s="47"/>
      <c r="AP35" s="47"/>
      <c r="AQ35" s="47"/>
      <c r="AR35" s="47"/>
      <c r="AT35" s="47"/>
      <c r="AU35" s="47"/>
      <c r="AV35" s="47"/>
      <c r="AW35" s="47"/>
      <c r="AX35" s="47"/>
      <c r="AY35" s="47"/>
      <c r="AZ35" s="47"/>
      <c r="BA35" s="47"/>
      <c r="BC35" s="369">
        <f t="shared" si="28"/>
        <v>0</v>
      </c>
      <c r="BD35" s="369">
        <f t="shared" si="29"/>
        <v>0</v>
      </c>
      <c r="BE35" s="369">
        <f t="shared" si="30"/>
        <v>0</v>
      </c>
      <c r="BF35" s="47">
        <f t="shared" si="31"/>
        <v>0</v>
      </c>
      <c r="BG35" s="47">
        <f t="shared" si="32"/>
        <v>0</v>
      </c>
      <c r="BH35" s="47">
        <f t="shared" si="33"/>
        <v>0</v>
      </c>
      <c r="BI35" s="47">
        <f t="shared" si="34"/>
        <v>0</v>
      </c>
      <c r="BJ35" s="47">
        <f t="shared" si="35"/>
        <v>0</v>
      </c>
    </row>
    <row r="36" spans="2:62">
      <c r="B36" s="7"/>
      <c r="C36" s="7"/>
      <c r="D36" s="7"/>
      <c r="E36" s="7"/>
      <c r="F36" s="7"/>
      <c r="G36" s="7"/>
      <c r="H36" s="7"/>
      <c r="I36" s="7"/>
      <c r="J36" s="45"/>
      <c r="K36" s="45"/>
      <c r="L36" s="45"/>
      <c r="M36" s="45"/>
      <c r="N36" s="45"/>
      <c r="O36" s="45"/>
      <c r="P36" s="45"/>
      <c r="Q36" s="45"/>
      <c r="S36" s="47"/>
      <c r="T36" s="47"/>
      <c r="U36" s="47"/>
      <c r="V36" s="47"/>
      <c r="W36" s="47"/>
      <c r="X36" s="47"/>
      <c r="Y36" s="47"/>
      <c r="Z36" s="47"/>
      <c r="AB36" s="47"/>
      <c r="AC36" s="47"/>
      <c r="AD36" s="47"/>
      <c r="AE36" s="47"/>
      <c r="AF36" s="47"/>
      <c r="AG36" s="47"/>
      <c r="AH36" s="47"/>
      <c r="AI36" s="47"/>
      <c r="AK36" s="47"/>
      <c r="AL36" s="47"/>
      <c r="AM36" s="47"/>
      <c r="AN36" s="47"/>
      <c r="AO36" s="47"/>
      <c r="AP36" s="47"/>
      <c r="AQ36" s="47"/>
      <c r="AR36" s="47"/>
      <c r="AT36" s="47"/>
      <c r="AU36" s="47"/>
      <c r="AV36" s="47"/>
      <c r="AW36" s="47"/>
      <c r="AX36" s="47"/>
      <c r="AY36" s="47"/>
      <c r="AZ36" s="47"/>
      <c r="BA36" s="47"/>
      <c r="BC36" s="369">
        <f t="shared" si="28"/>
        <v>0</v>
      </c>
      <c r="BD36" s="369">
        <f t="shared" si="29"/>
        <v>0</v>
      </c>
      <c r="BE36" s="369">
        <f t="shared" si="30"/>
        <v>0</v>
      </c>
      <c r="BF36" s="47">
        <f t="shared" si="31"/>
        <v>0</v>
      </c>
      <c r="BG36" s="47">
        <f t="shared" si="32"/>
        <v>0</v>
      </c>
      <c r="BH36" s="47">
        <f t="shared" si="33"/>
        <v>0</v>
      </c>
      <c r="BI36" s="47">
        <f t="shared" si="34"/>
        <v>0</v>
      </c>
      <c r="BJ36" s="47">
        <f t="shared" si="35"/>
        <v>0</v>
      </c>
    </row>
    <row r="37" spans="2:62">
      <c r="J37" s="676">
        <f t="shared" ref="J37:Q37" si="36">SUM(J6:J36)</f>
        <v>0</v>
      </c>
      <c r="K37" s="676">
        <f t="shared" si="36"/>
        <v>0</v>
      </c>
      <c r="L37" s="676">
        <f t="shared" si="36"/>
        <v>25271.624352566774</v>
      </c>
      <c r="M37" s="676">
        <f t="shared" si="36"/>
        <v>15685.311081036554</v>
      </c>
      <c r="N37" s="676">
        <f t="shared" si="36"/>
        <v>4804.6646274241957</v>
      </c>
      <c r="O37" s="676">
        <f t="shared" si="36"/>
        <v>2019.9350516295274</v>
      </c>
      <c r="P37" s="676">
        <f t="shared" si="36"/>
        <v>1264.6743779813814</v>
      </c>
      <c r="Q37" s="676">
        <f t="shared" si="36"/>
        <v>2081.9122741244196</v>
      </c>
      <c r="R37" s="129"/>
      <c r="S37" s="676">
        <f t="shared" ref="S37:Z37" si="37">SUM(S6:S36)</f>
        <v>0</v>
      </c>
      <c r="T37" s="676">
        <f t="shared" si="37"/>
        <v>0</v>
      </c>
      <c r="U37" s="676">
        <f t="shared" si="37"/>
        <v>4743.0249602933636</v>
      </c>
      <c r="V37" s="676">
        <f t="shared" si="37"/>
        <v>3004.0635423415833</v>
      </c>
      <c r="W37" s="676">
        <f t="shared" si="37"/>
        <v>918.15306564351363</v>
      </c>
      <c r="X37" s="676">
        <f t="shared" si="37"/>
        <v>394.13989408138372</v>
      </c>
      <c r="Y37" s="676">
        <f t="shared" si="37"/>
        <v>254.27240331011774</v>
      </c>
      <c r="Z37" s="676">
        <f t="shared" si="37"/>
        <v>415.79913032778916</v>
      </c>
      <c r="AA37" s="129"/>
      <c r="AB37" s="676">
        <f t="shared" ref="AB37:AI37" si="38">SUM(AB6:AB36)</f>
        <v>0</v>
      </c>
      <c r="AC37" s="676">
        <f t="shared" si="38"/>
        <v>0</v>
      </c>
      <c r="AD37" s="676">
        <f t="shared" si="38"/>
        <v>11880.619434964286</v>
      </c>
      <c r="AE37" s="676">
        <f t="shared" si="38"/>
        <v>8558.2260887221346</v>
      </c>
      <c r="AF37" s="676">
        <f t="shared" si="38"/>
        <v>2458.0784147963832</v>
      </c>
      <c r="AG37" s="676">
        <f t="shared" si="38"/>
        <v>1277.9998226987755</v>
      </c>
      <c r="AH37" s="676">
        <f t="shared" si="38"/>
        <v>1023.0296108028191</v>
      </c>
      <c r="AI37" s="676">
        <f t="shared" si="38"/>
        <v>1326.0505748176472</v>
      </c>
      <c r="AJ37" s="129"/>
      <c r="AK37" s="676">
        <f t="shared" ref="AK37:AR37" si="39">SUM(AK6:AK36)</f>
        <v>0</v>
      </c>
      <c r="AL37" s="676">
        <f t="shared" si="39"/>
        <v>0</v>
      </c>
      <c r="AM37" s="676">
        <f t="shared" si="39"/>
        <v>8762.5127750244501</v>
      </c>
      <c r="AN37" s="676">
        <f t="shared" si="39"/>
        <v>4218.1420825733967</v>
      </c>
      <c r="AO37" s="676">
        <f t="shared" si="39"/>
        <v>1461.8943966594836</v>
      </c>
      <c r="AP37" s="676">
        <f t="shared" si="39"/>
        <v>364.61671932385224</v>
      </c>
      <c r="AQ37" s="676">
        <f t="shared" si="39"/>
        <v>0.61888891997407269</v>
      </c>
      <c r="AR37" s="676">
        <f t="shared" si="39"/>
        <v>366.81096185830575</v>
      </c>
      <c r="AS37" s="129"/>
      <c r="AT37" s="676">
        <f t="shared" ref="AT37:BA37" si="40">SUM(AT6:AT36)</f>
        <v>0</v>
      </c>
      <c r="AU37" s="676">
        <f t="shared" si="40"/>
        <v>0</v>
      </c>
      <c r="AV37" s="676">
        <f t="shared" si="40"/>
        <v>0</v>
      </c>
      <c r="AW37" s="676">
        <f t="shared" si="40"/>
        <v>0</v>
      </c>
      <c r="AX37" s="676">
        <f t="shared" si="40"/>
        <v>0</v>
      </c>
      <c r="AY37" s="676">
        <f t="shared" si="40"/>
        <v>0</v>
      </c>
      <c r="AZ37" s="676">
        <f t="shared" si="40"/>
        <v>0</v>
      </c>
      <c r="BA37" s="676">
        <f t="shared" si="40"/>
        <v>0</v>
      </c>
      <c r="BB37" s="129"/>
      <c r="BC37" s="676">
        <f t="shared" ref="BC37:BJ37" si="41">SUM(BC6:BC36)</f>
        <v>0</v>
      </c>
      <c r="BD37" s="676">
        <f t="shared" si="41"/>
        <v>0</v>
      </c>
      <c r="BE37" s="676">
        <f t="shared" si="41"/>
        <v>25386.157170282102</v>
      </c>
      <c r="BF37" s="676">
        <f t="shared" si="41"/>
        <v>15780.431713637116</v>
      </c>
      <c r="BG37" s="676">
        <f t="shared" si="41"/>
        <v>4838.12587709938</v>
      </c>
      <c r="BH37" s="676">
        <f t="shared" si="41"/>
        <v>2036.7564361040115</v>
      </c>
      <c r="BI37" s="676">
        <f t="shared" si="41"/>
        <v>1277.9209030329112</v>
      </c>
      <c r="BJ37" s="676">
        <f t="shared" si="41"/>
        <v>2108.6606670037422</v>
      </c>
    </row>
    <row r="38" spans="2:62">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677">
        <f t="shared" ref="BC38:BJ38" si="42">IF(ISERROR((BC37-J37)/J37),0,(BC37-J37)/J37)</f>
        <v>0</v>
      </c>
      <c r="BD38" s="677">
        <f t="shared" si="42"/>
        <v>0</v>
      </c>
      <c r="BE38" s="677">
        <f t="shared" si="42"/>
        <v>4.532071865166634E-3</v>
      </c>
      <c r="BF38" s="677">
        <f t="shared" si="42"/>
        <v>6.0643127897897775E-3</v>
      </c>
      <c r="BG38" s="677">
        <f t="shared" si="42"/>
        <v>6.9643257687941901E-3</v>
      </c>
      <c r="BH38" s="677">
        <f t="shared" si="42"/>
        <v>8.3276858139146384E-3</v>
      </c>
      <c r="BI38" s="677">
        <f t="shared" si="42"/>
        <v>1.0474257470664699E-2</v>
      </c>
      <c r="BJ38" s="677">
        <f t="shared" si="42"/>
        <v>1.2847992305810334E-2</v>
      </c>
    </row>
    <row r="39" spans="2:62">
      <c r="J39" s="129"/>
      <c r="K39" s="129"/>
      <c r="L39" s="678">
        <v>44377</v>
      </c>
      <c r="M39" s="678">
        <v>44742</v>
      </c>
      <c r="N39" s="678">
        <v>45107</v>
      </c>
      <c r="O39" s="678">
        <v>45473</v>
      </c>
      <c r="P39" s="678">
        <v>45838</v>
      </c>
      <c r="Q39" s="678">
        <v>46203</v>
      </c>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677"/>
      <c r="BD39" s="677"/>
      <c r="BE39" s="677"/>
      <c r="BF39" s="677"/>
      <c r="BG39" s="677"/>
      <c r="BH39" s="677"/>
      <c r="BI39" s="677"/>
      <c r="BJ39" s="677"/>
    </row>
    <row r="40" spans="2:62">
      <c r="D40" s="1" t="s">
        <v>680</v>
      </c>
      <c r="J40" s="129"/>
      <c r="K40" s="679"/>
      <c r="L40" s="218">
        <f>L13+L17+L18</f>
        <v>0</v>
      </c>
      <c r="M40" s="218">
        <f>M13+M17+M18</f>
        <v>5791.8765695332859</v>
      </c>
      <c r="N40" s="218">
        <f t="shared" ref="N40:Q40" si="43">N13+N17+N18</f>
        <v>3083.3725420516466</v>
      </c>
      <c r="O40" s="218">
        <f t="shared" si="43"/>
        <v>823.16406064913531</v>
      </c>
      <c r="P40" s="218">
        <f t="shared" si="43"/>
        <v>6.8030087656953331</v>
      </c>
      <c r="Q40" s="218">
        <f t="shared" si="43"/>
        <v>847.28381900023692</v>
      </c>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218">
        <f>BF13+BF17+BF18</f>
        <v>5827.1286823198061</v>
      </c>
      <c r="BG40" s="218">
        <f t="shared" ref="BG40:BJ40" si="44">BG13+BG17+BG18</f>
        <v>3104.4357489920967</v>
      </c>
      <c r="BH40" s="218">
        <f t="shared" si="44"/>
        <v>829.81480285610883</v>
      </c>
      <c r="BI40" s="218">
        <f t="shared" si="44"/>
        <v>6.8733736825618985</v>
      </c>
      <c r="BJ40" s="218">
        <f t="shared" si="44"/>
        <v>857.85261674064191</v>
      </c>
    </row>
    <row r="41" spans="2:62">
      <c r="J41" s="129"/>
      <c r="K41" s="129"/>
      <c r="L41" s="129"/>
      <c r="M41" s="129"/>
      <c r="N41" s="129"/>
      <c r="O41" s="129"/>
      <c r="P41" s="129"/>
      <c r="Q41" s="218">
        <f>SUM(M40:Q40)</f>
        <v>10552.5</v>
      </c>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row>
    <row r="42" spans="2:62">
      <c r="M42" s="309"/>
      <c r="N42" s="309"/>
      <c r="O42" s="309"/>
      <c r="P42" s="309"/>
      <c r="Q42" s="309"/>
    </row>
    <row r="43" spans="2:62">
      <c r="M43" s="326"/>
      <c r="N43" s="309"/>
      <c r="O43" s="309"/>
      <c r="P43" s="309"/>
      <c r="Q43" s="309"/>
    </row>
    <row r="44" spans="2:62">
      <c r="M44" s="326"/>
      <c r="N44" s="309"/>
      <c r="O44" s="309"/>
      <c r="P44" s="309"/>
      <c r="Q44" s="309"/>
    </row>
    <row r="45" spans="2:62">
      <c r="M45" s="326"/>
      <c r="N45" s="157"/>
      <c r="O45" s="157"/>
      <c r="P45" s="157"/>
      <c r="Q45" s="157"/>
    </row>
    <row r="46" spans="2:62">
      <c r="K46" s="78"/>
      <c r="L46" s="78"/>
      <c r="M46" s="327"/>
      <c r="N46" s="269"/>
      <c r="O46" s="269"/>
      <c r="P46" s="269"/>
      <c r="Q46" s="269"/>
    </row>
    <row r="47" spans="2:62">
      <c r="M47" s="78"/>
      <c r="N47" s="157"/>
    </row>
    <row r="48" spans="2:62">
      <c r="J48" s="310"/>
      <c r="K48" s="310"/>
      <c r="L48" s="324"/>
      <c r="M48" s="78"/>
      <c r="N48" s="157"/>
    </row>
    <row r="49" spans="10:19">
      <c r="J49" s="216"/>
      <c r="K49" s="216"/>
      <c r="L49" s="216"/>
      <c r="M49" s="78"/>
      <c r="N49" s="157"/>
    </row>
    <row r="50" spans="10:19">
      <c r="J50" s="216"/>
      <c r="K50" s="216"/>
      <c r="L50" s="216"/>
      <c r="M50" s="78"/>
      <c r="N50" s="157"/>
    </row>
    <row r="51" spans="10:19">
      <c r="J51" s="216"/>
      <c r="K51" s="216"/>
      <c r="L51" s="216"/>
      <c r="M51" s="78"/>
      <c r="N51" s="157"/>
    </row>
    <row r="56" spans="10:19">
      <c r="J56" s="39"/>
      <c r="K56" s="39"/>
      <c r="L56" s="39"/>
      <c r="M56" s="39"/>
      <c r="N56" s="39"/>
      <c r="S56" s="39"/>
    </row>
  </sheetData>
  <mergeCells count="13">
    <mergeCell ref="M1:N1"/>
    <mergeCell ref="BC4:BJ4"/>
    <mergeCell ref="J3:Q3"/>
    <mergeCell ref="S3:Z3"/>
    <mergeCell ref="AB3:AI3"/>
    <mergeCell ref="AK3:AR3"/>
    <mergeCell ref="AT3:BA3"/>
    <mergeCell ref="BC3:BJ3"/>
    <mergeCell ref="J4:Q4"/>
    <mergeCell ref="S4:Z4"/>
    <mergeCell ref="AB4:AI4"/>
    <mergeCell ref="AK4:AR4"/>
    <mergeCell ref="AT4:BA4"/>
  </mergeCells>
  <hyperlinks>
    <hyperlink ref="B2" location="Contents!A1" display="Table of Contents" xr:uid="{00000000-0004-0000-15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disablePrompts="1" count="5">
        <x14:dataValidation type="list" errorStyle="warning" showInputMessage="1" showErrorMessage="1" error="Invalid data entered" prompt="Select from drop down list" xr:uid="{00000000-0002-0000-1500-000000000000}">
          <x14:formula1>
            <xm:f>Lookups!$I$5:$I$8</xm:f>
          </x14:formula1>
          <xm:sqref>G6:G36</xm:sqref>
        </x14:dataValidation>
        <x14:dataValidation type="list" allowBlank="1" showInputMessage="1" showErrorMessage="1" prompt="Select from drop down list" xr:uid="{00000000-0002-0000-1500-000001000000}">
          <x14:formula1>
            <xm:f>Lookups!$I$15:$I$26</xm:f>
          </x14:formula1>
          <xm:sqref>I6:I36</xm:sqref>
        </x14:dataValidation>
        <x14:dataValidation type="list" errorStyle="warning" showInputMessage="1" showErrorMessage="1" error="Invalid data entered" prompt="Select from drop down list" xr:uid="{00000000-0002-0000-1500-000002000000}">
          <x14:formula1>
            <xm:f>Lookups!$C$16:$C$27</xm:f>
          </x14:formula1>
          <xm:sqref>F6:F36</xm:sqref>
        </x14:dataValidation>
        <x14:dataValidation type="list" errorStyle="warning" showInputMessage="1" showErrorMessage="1" error="Invalid data entered" prompt="Select from drop down list" xr:uid="{00000000-0002-0000-1500-000003000000}">
          <x14:formula1>
            <xm:f>Lookups!$C$5:$C$13</xm:f>
          </x14:formula1>
          <xm:sqref>E6:E36</xm:sqref>
        </x14:dataValidation>
        <x14:dataValidation type="list" allowBlank="1" showInputMessage="1" showErrorMessage="1" prompt="Select from drop down list" xr:uid="{00000000-0002-0000-1500-000004000000}">
          <x14:formula1>
            <xm:f>Lab_Mat!$C$23:$C$28</xm:f>
          </x14:formula1>
          <xm:sqref>H6:H36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B1:BK41"/>
  <sheetViews>
    <sheetView zoomScale="85" zoomScaleNormal="85" zoomScalePageLayoutView="125" workbookViewId="0">
      <pane xSplit="7" topLeftCell="H1" activePane="topRight" state="frozen"/>
      <selection activeCell="V33" sqref="V33"/>
      <selection pane="topRight" activeCell="L1" sqref="L1:M1"/>
    </sheetView>
  </sheetViews>
  <sheetFormatPr defaultColWidth="8.85546875" defaultRowHeight="15" outlineLevelCol="1"/>
  <cols>
    <col min="1" max="1" width="4" style="1" customWidth="1"/>
    <col min="2" max="2" width="16" style="1" customWidth="1"/>
    <col min="3" max="3" width="41" style="1" customWidth="1"/>
    <col min="4" max="4" width="10.28515625" style="1" customWidth="1"/>
    <col min="5" max="5" width="33.28515625" style="1" hidden="1" customWidth="1" outlineLevel="1"/>
    <col min="6" max="6" width="33.42578125" style="1" hidden="1" customWidth="1" outlineLevel="1"/>
    <col min="7" max="7" width="21.140625" style="1" hidden="1" customWidth="1" outlineLevel="1"/>
    <col min="8" max="8" width="27.140625" style="1" hidden="1" customWidth="1" outlineLevel="1"/>
    <col min="9" max="9" width="9.42578125" style="1" customWidth="1" collapsed="1"/>
    <col min="10" max="16" width="9.42578125" style="1" customWidth="1"/>
    <col min="17" max="17" width="2.85546875" style="1" customWidth="1"/>
    <col min="18" max="25" width="8.85546875" style="1"/>
    <col min="26" max="26" width="2.85546875" style="1" customWidth="1"/>
    <col min="27" max="34" width="8.85546875" style="1"/>
    <col min="35" max="35" width="2.42578125" style="1" customWidth="1"/>
    <col min="36" max="43" width="8.85546875" style="1"/>
    <col min="44" max="44" width="2.85546875" style="1" customWidth="1"/>
    <col min="45" max="52" width="8.85546875" style="1"/>
    <col min="53" max="53" width="2.85546875" style="1" customWidth="1"/>
    <col min="54" max="16384" width="8.85546875" style="1"/>
  </cols>
  <sheetData>
    <row r="1" spans="2:63" ht="18.75">
      <c r="B1" s="10" t="s">
        <v>14</v>
      </c>
      <c r="L1" s="968"/>
      <c r="M1" s="968"/>
    </row>
    <row r="2" spans="2:63">
      <c r="B2" s="25" t="s">
        <v>6</v>
      </c>
      <c r="AA2" s="88"/>
      <c r="AB2" s="88"/>
      <c r="AC2" s="88"/>
    </row>
    <row r="3" spans="2:63">
      <c r="I3" s="964"/>
      <c r="J3" s="964"/>
      <c r="K3" s="964"/>
      <c r="L3" s="964"/>
      <c r="M3" s="964"/>
      <c r="N3" s="964"/>
      <c r="O3" s="964"/>
      <c r="P3" s="964"/>
      <c r="R3" s="964"/>
      <c r="S3" s="964"/>
      <c r="T3" s="964"/>
      <c r="U3" s="964"/>
      <c r="V3" s="964"/>
      <c r="W3" s="964"/>
      <c r="X3" s="964"/>
      <c r="Y3" s="964"/>
      <c r="AA3" s="964"/>
      <c r="AB3" s="964"/>
      <c r="AC3" s="964"/>
      <c r="AD3" s="964"/>
      <c r="AE3" s="964"/>
      <c r="AF3" s="964"/>
      <c r="AG3" s="964"/>
      <c r="AH3" s="964"/>
      <c r="AJ3" s="964"/>
      <c r="AK3" s="964"/>
      <c r="AL3" s="964"/>
      <c r="AM3" s="964"/>
      <c r="AN3" s="964"/>
      <c r="AO3" s="964"/>
      <c r="AP3" s="964"/>
      <c r="AQ3" s="964"/>
      <c r="AS3" s="964"/>
      <c r="AT3" s="964"/>
      <c r="AU3" s="964"/>
      <c r="AV3" s="964"/>
      <c r="AW3" s="964"/>
      <c r="AX3" s="964"/>
      <c r="AY3" s="964"/>
      <c r="AZ3" s="964"/>
      <c r="BB3" s="964"/>
      <c r="BC3" s="964"/>
      <c r="BD3" s="964"/>
      <c r="BE3" s="964"/>
      <c r="BF3" s="964"/>
      <c r="BG3" s="964"/>
      <c r="BH3" s="964"/>
      <c r="BI3" s="964"/>
    </row>
    <row r="4" spans="2:63" ht="30.6" customHeight="1">
      <c r="I4" s="961" t="s">
        <v>378</v>
      </c>
      <c r="J4" s="962"/>
      <c r="K4" s="962"/>
      <c r="L4" s="962"/>
      <c r="M4" s="962"/>
      <c r="N4" s="962"/>
      <c r="O4" s="962"/>
      <c r="P4" s="963"/>
      <c r="R4" s="961" t="s">
        <v>174</v>
      </c>
      <c r="S4" s="962"/>
      <c r="T4" s="962"/>
      <c r="U4" s="962"/>
      <c r="V4" s="962"/>
      <c r="W4" s="962"/>
      <c r="X4" s="962"/>
      <c r="Y4" s="963"/>
      <c r="AA4" s="961" t="s">
        <v>173</v>
      </c>
      <c r="AB4" s="962"/>
      <c r="AC4" s="962"/>
      <c r="AD4" s="962"/>
      <c r="AE4" s="962"/>
      <c r="AF4" s="962"/>
      <c r="AG4" s="962"/>
      <c r="AH4" s="963"/>
      <c r="AJ4" s="961" t="s">
        <v>297</v>
      </c>
      <c r="AK4" s="962"/>
      <c r="AL4" s="962"/>
      <c r="AM4" s="962"/>
      <c r="AN4" s="962"/>
      <c r="AO4" s="962"/>
      <c r="AP4" s="962"/>
      <c r="AQ4" s="963"/>
      <c r="AS4" s="961" t="s">
        <v>175</v>
      </c>
      <c r="AT4" s="962"/>
      <c r="AU4" s="962"/>
      <c r="AV4" s="962"/>
      <c r="AW4" s="962"/>
      <c r="AX4" s="962"/>
      <c r="AY4" s="962"/>
      <c r="AZ4" s="963"/>
      <c r="BB4" s="961" t="s">
        <v>379</v>
      </c>
      <c r="BC4" s="962"/>
      <c r="BD4" s="962"/>
      <c r="BE4" s="962"/>
      <c r="BF4" s="962"/>
      <c r="BG4" s="962"/>
      <c r="BH4" s="962"/>
      <c r="BI4" s="963"/>
    </row>
    <row r="5" spans="2:63" ht="16.149999999999999" customHeight="1">
      <c r="B5" s="8" t="s">
        <v>23</v>
      </c>
      <c r="C5" s="8" t="s">
        <v>24</v>
      </c>
      <c r="D5" s="17" t="s">
        <v>98</v>
      </c>
      <c r="E5" s="17" t="s">
        <v>76</v>
      </c>
      <c r="F5" s="17" t="s">
        <v>77</v>
      </c>
      <c r="G5" s="17" t="s">
        <v>212</v>
      </c>
      <c r="H5" s="17" t="s">
        <v>359</v>
      </c>
      <c r="I5" s="331">
        <f>CP_Yr_4</f>
        <v>43800</v>
      </c>
      <c r="J5" s="331">
        <f>CP_Yr_5</f>
        <v>44166</v>
      </c>
      <c r="K5" s="331">
        <f>Stub</f>
        <v>44377</v>
      </c>
      <c r="L5" s="331">
        <f>Yr_1</f>
        <v>44742</v>
      </c>
      <c r="M5" s="331">
        <f>Yr_2</f>
        <v>45107</v>
      </c>
      <c r="N5" s="331">
        <f>Yr_3</f>
        <v>45473</v>
      </c>
      <c r="O5" s="331">
        <f>Yr_4</f>
        <v>45838</v>
      </c>
      <c r="P5" s="331">
        <f>Yr_5</f>
        <v>46203</v>
      </c>
      <c r="Q5" s="332"/>
      <c r="R5" s="331">
        <f>CP_Yr_4</f>
        <v>43800</v>
      </c>
      <c r="S5" s="331">
        <f>CP_Yr_5</f>
        <v>44166</v>
      </c>
      <c r="T5" s="331">
        <f>Stub</f>
        <v>44377</v>
      </c>
      <c r="U5" s="331">
        <f>Yr_1</f>
        <v>44742</v>
      </c>
      <c r="V5" s="331">
        <f>Yr_2</f>
        <v>45107</v>
      </c>
      <c r="W5" s="331">
        <f>Yr_3</f>
        <v>45473</v>
      </c>
      <c r="X5" s="331">
        <f>Yr_4</f>
        <v>45838</v>
      </c>
      <c r="Y5" s="331">
        <f>Yr_5</f>
        <v>46203</v>
      </c>
      <c r="Z5" s="332"/>
      <c r="AA5" s="331">
        <f>CP_Yr_4</f>
        <v>43800</v>
      </c>
      <c r="AB5" s="331">
        <f>CP_Yr_5</f>
        <v>44166</v>
      </c>
      <c r="AC5" s="331">
        <f>Stub</f>
        <v>44377</v>
      </c>
      <c r="AD5" s="331">
        <f>Yr_1</f>
        <v>44742</v>
      </c>
      <c r="AE5" s="331">
        <f>Yr_2</f>
        <v>45107</v>
      </c>
      <c r="AF5" s="331">
        <f>Yr_3</f>
        <v>45473</v>
      </c>
      <c r="AG5" s="331">
        <f>Yr_4</f>
        <v>45838</v>
      </c>
      <c r="AH5" s="331">
        <f>Yr_5</f>
        <v>46203</v>
      </c>
      <c r="AI5" s="332"/>
      <c r="AJ5" s="331">
        <f>CP_Yr_4</f>
        <v>43800</v>
      </c>
      <c r="AK5" s="331">
        <f>CP_Yr_5</f>
        <v>44166</v>
      </c>
      <c r="AL5" s="331">
        <f>Stub</f>
        <v>44377</v>
      </c>
      <c r="AM5" s="331">
        <f>Yr_1</f>
        <v>44742</v>
      </c>
      <c r="AN5" s="331">
        <f>Yr_2</f>
        <v>45107</v>
      </c>
      <c r="AO5" s="331">
        <f>Yr_3</f>
        <v>45473</v>
      </c>
      <c r="AP5" s="331">
        <f>Yr_4</f>
        <v>45838</v>
      </c>
      <c r="AQ5" s="331">
        <f>Yr_5</f>
        <v>46203</v>
      </c>
      <c r="AR5" s="332"/>
      <c r="AS5" s="331">
        <f>CP_Yr_4</f>
        <v>43800</v>
      </c>
      <c r="AT5" s="331">
        <f>CP_Yr_5</f>
        <v>44166</v>
      </c>
      <c r="AU5" s="331">
        <f>Stub</f>
        <v>44377</v>
      </c>
      <c r="AV5" s="331">
        <f>Yr_1</f>
        <v>44742</v>
      </c>
      <c r="AW5" s="331">
        <f>Yr_2</f>
        <v>45107</v>
      </c>
      <c r="AX5" s="331">
        <f>Yr_3</f>
        <v>45473</v>
      </c>
      <c r="AY5" s="331">
        <f>Yr_4</f>
        <v>45838</v>
      </c>
      <c r="AZ5" s="331">
        <f>Yr_5</f>
        <v>46203</v>
      </c>
      <c r="BA5" s="332"/>
      <c r="BB5" s="331">
        <f>CP_Yr_4</f>
        <v>43800</v>
      </c>
      <c r="BC5" s="331">
        <f>CP_Yr_5</f>
        <v>44166</v>
      </c>
      <c r="BD5" s="331">
        <f>Stub</f>
        <v>44377</v>
      </c>
      <c r="BE5" s="331">
        <f>Yr_1</f>
        <v>44742</v>
      </c>
      <c r="BF5" s="331">
        <f>Yr_2</f>
        <v>45107</v>
      </c>
      <c r="BG5" s="331">
        <f>Yr_3</f>
        <v>45473</v>
      </c>
      <c r="BH5" s="331">
        <f>Yr_4</f>
        <v>45838</v>
      </c>
      <c r="BI5" s="331">
        <f>Yr_5</f>
        <v>46203</v>
      </c>
    </row>
    <row r="6" spans="2:63">
      <c r="B6" s="7"/>
      <c r="C6" s="7" t="s">
        <v>280</v>
      </c>
      <c r="D6" s="7"/>
      <c r="E6" s="7" t="s">
        <v>50</v>
      </c>
      <c r="F6" s="7" t="s">
        <v>50</v>
      </c>
      <c r="G6" s="7" t="s">
        <v>162</v>
      </c>
      <c r="H6" s="7" t="s">
        <v>334</v>
      </c>
      <c r="I6" s="45"/>
      <c r="J6" s="45"/>
      <c r="K6" s="128">
        <v>1362.7707</v>
      </c>
      <c r="L6" s="128">
        <v>1914.5985315126049</v>
      </c>
      <c r="M6" s="128">
        <v>1762.1738659663861</v>
      </c>
      <c r="N6" s="128">
        <v>2158.2905483193272</v>
      </c>
      <c r="O6" s="128">
        <v>4202.5892294117639</v>
      </c>
      <c r="P6" s="128">
        <v>3020.865084453781</v>
      </c>
      <c r="Q6" s="129"/>
      <c r="R6" s="128">
        <f>INDEX(Direct_Cost_Splits_Non_Ntwk,MATCH($G6,RIN_Asset_Cat_Non_Ntwk,0),MATCH($R$4,Direct_Cost_Type,0))*I6*HLOOKUP(R$5,Escalators!$I$25:$U$30,3,FALSE)</f>
        <v>0</v>
      </c>
      <c r="S6" s="128">
        <f>INDEX(Direct_Cost_Splits_Non_Ntwk,MATCH($G6,RIN_Asset_Cat_Non_Ntwk,0),MATCH($R$4,Direct_Cost_Type,0))*J6*HLOOKUP(S$5,Escalators!$I$25:$U$30,3,FALSE)</f>
        <v>0</v>
      </c>
      <c r="T6" s="128">
        <f>INDEX(Direct_Cost_Splits_Non_Ntwk,MATCH($G6,RIN_Asset_Cat_Non_Ntwk,0),MATCH($R$4,Direct_Cost_Type,0))*K6*HLOOKUP(T$5,Escalators!$I$25:$U$30,3,FALSE)</f>
        <v>0.10557798798068257</v>
      </c>
      <c r="U6" s="128">
        <f>INDEX(Direct_Cost_Splits_Non_Ntwk,MATCH($G6,RIN_Asset_Cat_Non_Ntwk,0),MATCH($R$4,Direct_Cost_Type,0))*L6*HLOOKUP(U$5,Escalators!$I$25:$U$30,3,FALSE)</f>
        <v>0.14948112325444005</v>
      </c>
      <c r="V6" s="128">
        <f>INDEX(Direct_Cost_Splits_Non_Ntwk,MATCH($G6,RIN_Asset_Cat_Non_Ntwk,0),MATCH($R$4,Direct_Cost_Type,0))*M6*HLOOKUP(V$5,Escalators!$I$25:$U$30,3,FALSE)</f>
        <v>0.13826318260183404</v>
      </c>
      <c r="W6" s="128">
        <f>INDEX(Direct_Cost_Splits_Non_Ntwk,MATCH($G6,RIN_Asset_Cat_Non_Ntwk,0),MATCH($R$4,Direct_Cost_Type,0))*N6*HLOOKUP(W$5,Escalators!$I$25:$U$30,3,FALSE)</f>
        <v>0.17044603719881482</v>
      </c>
      <c r="X6" s="128">
        <f>INDEX(Direct_Cost_Splits_Non_Ntwk,MATCH($G6,RIN_Asset_Cat_Non_Ntwk,0),MATCH($R$4,Direct_Cost_Type,0))*O6*HLOOKUP(X$5,Escalators!$I$25:$U$30,3,FALSE)</f>
        <v>0.3351870347160838</v>
      </c>
      <c r="Y6" s="128">
        <f>INDEX(Direct_Cost_Splits_Non_Ntwk,MATCH($G6,RIN_Asset_Cat_Non_Ntwk,0),MATCH($R$4,Direct_Cost_Type,0))*P6*HLOOKUP(Y$5,Escalators!$I$25:$U$30,3,FALSE)</f>
        <v>0.24408628518795622</v>
      </c>
      <c r="Z6" s="129"/>
      <c r="AA6" s="128">
        <f t="shared" ref="AA6:AH7" si="0">INDEX(Direct_Cost_Splits_Non_Ntwk,MATCH($G6,RIN_Asset_Cat_Non_Ntwk,0),MATCH($AA$4,Direct_Cost_Type,0))*I6</f>
        <v>0</v>
      </c>
      <c r="AB6" s="128">
        <f t="shared" si="0"/>
        <v>0</v>
      </c>
      <c r="AC6" s="128">
        <f t="shared" si="0"/>
        <v>425.65931265721525</v>
      </c>
      <c r="AD6" s="128">
        <f t="shared" si="0"/>
        <v>598.02187920401354</v>
      </c>
      <c r="AE6" s="128">
        <f t="shared" si="0"/>
        <v>550.41227153604018</v>
      </c>
      <c r="AF6" s="128">
        <f t="shared" si="0"/>
        <v>674.13870235995603</v>
      </c>
      <c r="AG6" s="128">
        <f t="shared" si="0"/>
        <v>1312.6722219460892</v>
      </c>
      <c r="AH6" s="128">
        <f t="shared" si="0"/>
        <v>943.56251970986523</v>
      </c>
      <c r="AI6" s="129"/>
      <c r="AJ6" s="128">
        <f>INDEX(Direct_Cost_Splits_Non_Ntwk,MATCH($G6,RIN_Asset_Cat_Non_Ntwk,0),MATCH($AJ$4,Direct_Cost_Type,0))*I6*HLOOKUP(AJ$5,Escalators!$I$25:$U$30,6,FALSE)</f>
        <v>0</v>
      </c>
      <c r="AK6" s="128">
        <f>INDEX(Direct_Cost_Splits_Non_Ntwk,MATCH($G6,RIN_Asset_Cat_Non_Ntwk,0),MATCH($AJ$4,Direct_Cost_Type,0))*J6*HLOOKUP(AK$5,Escalators!$I$25:$U$30,6,FALSE)</f>
        <v>0</v>
      </c>
      <c r="AL6" s="128">
        <f>INDEX(Direct_Cost_Splits_Non_Ntwk,MATCH($G6,RIN_Asset_Cat_Non_Ntwk,0),MATCH($AJ$4,Direct_Cost_Type,0))*K6*HLOOKUP(AL$5,Escalators!$I$25:$U$30,6,FALSE)</f>
        <v>-2.1614947242143523E-2</v>
      </c>
      <c r="AM6" s="128">
        <f>INDEX(Direct_Cost_Splits_Non_Ntwk,MATCH($G6,RIN_Asset_Cat_Non_Ntwk,0),MATCH($AJ$4,Direct_Cost_Type,0))*L6*HLOOKUP(AM$5,Escalators!$I$25:$U$30,6,FALSE)</f>
        <v>-3.0367505148540704E-2</v>
      </c>
      <c r="AN6" s="128">
        <f>INDEX(Direct_Cost_Splits_Non_Ntwk,MATCH($G6,RIN_Asset_Cat_Non_Ntwk,0),MATCH($AJ$4,Direct_Cost_Type,0))*M6*HLOOKUP(AN$5,Escalators!$I$25:$U$30,6,FALSE)</f>
        <v>-2.7949892923547246E-2</v>
      </c>
      <c r="AO6" s="128">
        <f>INDEX(Direct_Cost_Splits_Non_Ntwk,MATCH($G6,RIN_Asset_Cat_Non_Ntwk,0),MATCH($AJ$4,Direct_Cost_Type,0))*N6*HLOOKUP(AO$5,Escalators!$I$25:$U$30,6,FALSE)</f>
        <v>-3.4232711589073109E-2</v>
      </c>
      <c r="AP6" s="128">
        <f>INDEX(Direct_Cost_Splits_Non_Ntwk,MATCH($G6,RIN_Asset_Cat_Non_Ntwk,0),MATCH($AJ$4,Direct_Cost_Type,0))*O6*HLOOKUP(AP$5,Escalators!$I$25:$U$30,6,FALSE)</f>
        <v>-6.6657394728354427E-2</v>
      </c>
      <c r="AQ6" s="128">
        <f>INDEX(Direct_Cost_Splits_Non_Ntwk,MATCH($G6,RIN_Asset_Cat_Non_Ntwk,0),MATCH($AJ$4,Direct_Cost_Type,0))*P6*HLOOKUP(AQ$5,Escalators!$I$25:$U$30,6,FALSE)</f>
        <v>-4.7914032365167461E-2</v>
      </c>
      <c r="AR6" s="129"/>
      <c r="AS6" s="675">
        <f t="shared" ref="AS6:AZ7" si="1">INDEX(Direct_Cost_Splits_Non_Ntwk,MATCH($G6,RIN_Asset_Cat_Non_Ntwk,0),MATCH($AS$4,Direct_Cost_Type,0))*I6</f>
        <v>0</v>
      </c>
      <c r="AT6" s="675">
        <f t="shared" si="1"/>
        <v>0</v>
      </c>
      <c r="AU6" s="675">
        <f t="shared" si="1"/>
        <v>937.0299737603674</v>
      </c>
      <c r="AV6" s="675">
        <f t="shared" si="1"/>
        <v>1316.4622718590106</v>
      </c>
      <c r="AW6" s="675">
        <f t="shared" si="1"/>
        <v>1211.6563200160438</v>
      </c>
      <c r="AX6" s="675">
        <f t="shared" si="1"/>
        <v>1484.0229070517205</v>
      </c>
      <c r="AY6" s="675">
        <f t="shared" si="1"/>
        <v>2889.6659396634427</v>
      </c>
      <c r="AZ6" s="675">
        <f t="shared" si="1"/>
        <v>2077.1220945822629</v>
      </c>
      <c r="BA6" s="129"/>
      <c r="BB6" s="128">
        <f t="shared" ref="BB6:BI7" si="2">R6+AA6+AJ6+AS6</f>
        <v>0</v>
      </c>
      <c r="BC6" s="128">
        <f t="shared" si="2"/>
        <v>0</v>
      </c>
      <c r="BD6" s="128">
        <f t="shared" si="2"/>
        <v>1362.7732494583211</v>
      </c>
      <c r="BE6" s="128">
        <f t="shared" si="2"/>
        <v>1914.60326468113</v>
      </c>
      <c r="BF6" s="128">
        <f t="shared" si="2"/>
        <v>1762.1789048417622</v>
      </c>
      <c r="BG6" s="128">
        <f t="shared" si="2"/>
        <v>2158.297822737286</v>
      </c>
      <c r="BH6" s="128">
        <f t="shared" si="2"/>
        <v>4202.6066912495198</v>
      </c>
      <c r="BI6" s="128">
        <f t="shared" si="2"/>
        <v>3020.8807865449508</v>
      </c>
    </row>
    <row r="7" spans="2:63">
      <c r="B7" s="7"/>
      <c r="C7" s="7" t="s">
        <v>281</v>
      </c>
      <c r="D7" s="7"/>
      <c r="E7" s="7" t="s">
        <v>50</v>
      </c>
      <c r="F7" s="7" t="s">
        <v>50</v>
      </c>
      <c r="G7" s="7" t="s">
        <v>5</v>
      </c>
      <c r="H7" s="7" t="s">
        <v>361</v>
      </c>
      <c r="I7" s="45"/>
      <c r="J7" s="45"/>
      <c r="K7" s="128">
        <v>614</v>
      </c>
      <c r="L7" s="128">
        <v>1228</v>
      </c>
      <c r="M7" s="128">
        <v>1228</v>
      </c>
      <c r="N7" s="128">
        <v>1228</v>
      </c>
      <c r="O7" s="128">
        <v>1228</v>
      </c>
      <c r="P7" s="128">
        <v>1228</v>
      </c>
      <c r="Q7" s="129"/>
      <c r="R7" s="128">
        <f>INDEX(Direct_Cost_Splits_Non_Ntwk,MATCH($G7,RIN_Asset_Cat_Non_Ntwk,0),MATCH($R$4,Direct_Cost_Type,0))*I7*HLOOKUP(R$5,Escalators!$I$25:$U$30,3,FALSE)</f>
        <v>0</v>
      </c>
      <c r="S7" s="128">
        <f>INDEX(Direct_Cost_Splits_Non_Ntwk,MATCH($G7,RIN_Asset_Cat_Non_Ntwk,0),MATCH($R$4,Direct_Cost_Type,0))*J7*HLOOKUP(S$5,Escalators!$I$25:$U$30,3,FALSE)</f>
        <v>0</v>
      </c>
      <c r="T7" s="128">
        <f>INDEX(Direct_Cost_Splits_Non_Ntwk,MATCH($G7,RIN_Asset_Cat_Non_Ntwk,0),MATCH($R$4,Direct_Cost_Type,0))*K7*HLOOKUP(T$5,Escalators!$I$25:$U$30,3,FALSE)</f>
        <v>26.122124213475775</v>
      </c>
      <c r="U7" s="128">
        <f>INDEX(Direct_Cost_Splits_Non_Ntwk,MATCH($G7,RIN_Asset_Cat_Non_Ntwk,0),MATCH($R$4,Direct_Cost_Type,0))*L7*HLOOKUP(U$5,Escalators!$I$25:$U$30,3,FALSE)</f>
        <v>52.649775450767407</v>
      </c>
      <c r="V7" s="128">
        <f>INDEX(Direct_Cost_Splits_Non_Ntwk,MATCH($G7,RIN_Asset_Cat_Non_Ntwk,0),MATCH($R$4,Direct_Cost_Type,0))*M7*HLOOKUP(V$5,Escalators!$I$25:$U$30,3,FALSE)</f>
        <v>52.910965376371394</v>
      </c>
      <c r="W7" s="128">
        <f>INDEX(Direct_Cost_Splits_Non_Ntwk,MATCH($G7,RIN_Asset_Cat_Non_Ntwk,0),MATCH($R$4,Direct_Cost_Type,0))*N7*HLOOKUP(W$5,Escalators!$I$25:$U$30,3,FALSE)</f>
        <v>53.255552149538403</v>
      </c>
      <c r="X7" s="128">
        <f>INDEX(Direct_Cost_Splits_Non_Ntwk,MATCH($G7,RIN_Asset_Cat_Non_Ntwk,0),MATCH($R$4,Direct_Cost_Type,0))*O7*HLOOKUP(X$5,Escalators!$I$25:$U$30,3,FALSE)</f>
        <v>53.784626913829548</v>
      </c>
      <c r="Y7" s="128">
        <f>INDEX(Direct_Cost_Splits_Non_Ntwk,MATCH($G7,RIN_Asset_Cat_Non_Ntwk,0),MATCH($R$4,Direct_Cost_Type,0))*P7*HLOOKUP(Y$5,Escalators!$I$25:$U$30,3,FALSE)</f>
        <v>54.487883703695793</v>
      </c>
      <c r="Z7" s="129"/>
      <c r="AA7" s="128">
        <f t="shared" si="0"/>
        <v>0</v>
      </c>
      <c r="AB7" s="128">
        <f t="shared" si="0"/>
        <v>0</v>
      </c>
      <c r="AC7" s="128">
        <f t="shared" si="0"/>
        <v>335.5119971501029</v>
      </c>
      <c r="AD7" s="128">
        <f t="shared" si="0"/>
        <v>671.0239943002058</v>
      </c>
      <c r="AE7" s="128">
        <f t="shared" si="0"/>
        <v>671.0239943002058</v>
      </c>
      <c r="AF7" s="128">
        <f t="shared" si="0"/>
        <v>671.0239943002058</v>
      </c>
      <c r="AG7" s="128">
        <f t="shared" si="0"/>
        <v>671.0239943002058</v>
      </c>
      <c r="AH7" s="128">
        <f t="shared" si="0"/>
        <v>671.0239943002058</v>
      </c>
      <c r="AI7" s="129"/>
      <c r="AJ7" s="128">
        <f>INDEX(Direct_Cost_Splits_Non_Ntwk,MATCH($G7,RIN_Asset_Cat_Non_Ntwk,0),MATCH($AJ$4,Direct_Cost_Type,0))*I7*HLOOKUP(AJ$5,Escalators!$I$25:$U$30,6,FALSE)</f>
        <v>0</v>
      </c>
      <c r="AK7" s="128">
        <f>INDEX(Direct_Cost_Splits_Non_Ntwk,MATCH($G7,RIN_Asset_Cat_Non_Ntwk,0),MATCH($AJ$4,Direct_Cost_Type,0))*J7*HLOOKUP(AK$5,Escalators!$I$25:$U$30,6,FALSE)</f>
        <v>0</v>
      </c>
      <c r="AL7" s="128">
        <f>INDEX(Direct_Cost_Splits_Non_Ntwk,MATCH($G7,RIN_Asset_Cat_Non_Ntwk,0),MATCH($AJ$4,Direct_Cost_Type,0))*K7*HLOOKUP(AL$5,Escalators!$I$25:$U$30,6,FALSE)</f>
        <v>115.53357280591808</v>
      </c>
      <c r="AM7" s="128">
        <f>INDEX(Direct_Cost_Splits_Non_Ntwk,MATCH($G7,RIN_Asset_Cat_Non_Ntwk,0),MATCH($AJ$4,Direct_Cost_Type,0))*L7*HLOOKUP(AM$5,Escalators!$I$25:$U$30,6,FALSE)</f>
        <v>231.06714561183617</v>
      </c>
      <c r="AN7" s="128">
        <f>INDEX(Direct_Cost_Splits_Non_Ntwk,MATCH($G7,RIN_Asset_Cat_Non_Ntwk,0),MATCH($AJ$4,Direct_Cost_Type,0))*M7*HLOOKUP(AN$5,Escalators!$I$25:$U$30,6,FALSE)</f>
        <v>231.06714561183617</v>
      </c>
      <c r="AO7" s="128">
        <f>INDEX(Direct_Cost_Splits_Non_Ntwk,MATCH($G7,RIN_Asset_Cat_Non_Ntwk,0),MATCH($AJ$4,Direct_Cost_Type,0))*N7*HLOOKUP(AO$5,Escalators!$I$25:$U$30,6,FALSE)</f>
        <v>231.06714561183617</v>
      </c>
      <c r="AP7" s="128">
        <f>INDEX(Direct_Cost_Splits_Non_Ntwk,MATCH($G7,RIN_Asset_Cat_Non_Ntwk,0),MATCH($AJ$4,Direct_Cost_Type,0))*O7*HLOOKUP(AP$5,Escalators!$I$25:$U$30,6,FALSE)</f>
        <v>231.06714561183617</v>
      </c>
      <c r="AQ7" s="128">
        <f>INDEX(Direct_Cost_Splits_Non_Ntwk,MATCH($G7,RIN_Asset_Cat_Non_Ntwk,0),MATCH($AJ$4,Direct_Cost_Type,0))*P7*HLOOKUP(AQ$5,Escalators!$I$25:$U$30,6,FALSE)</f>
        <v>231.06714561183617</v>
      </c>
      <c r="AR7" s="129"/>
      <c r="AS7" s="675">
        <f t="shared" si="1"/>
        <v>0</v>
      </c>
      <c r="AT7" s="675">
        <f t="shared" si="1"/>
        <v>0</v>
      </c>
      <c r="AU7" s="675">
        <f t="shared" si="1"/>
        <v>137.46309325328204</v>
      </c>
      <c r="AV7" s="675">
        <f t="shared" si="1"/>
        <v>274.92618650656408</v>
      </c>
      <c r="AW7" s="675">
        <f t="shared" si="1"/>
        <v>274.92618650656408</v>
      </c>
      <c r="AX7" s="675">
        <f t="shared" si="1"/>
        <v>274.92618650656408</v>
      </c>
      <c r="AY7" s="675">
        <f t="shared" si="1"/>
        <v>274.92618650656408</v>
      </c>
      <c r="AZ7" s="675">
        <f t="shared" si="1"/>
        <v>274.92618650656408</v>
      </c>
      <c r="BA7" s="129"/>
      <c r="BB7" s="128">
        <f t="shared" si="2"/>
        <v>0</v>
      </c>
      <c r="BC7" s="128">
        <f t="shared" si="2"/>
        <v>0</v>
      </c>
      <c r="BD7" s="128">
        <f t="shared" si="2"/>
        <v>614.63078742277878</v>
      </c>
      <c r="BE7" s="128">
        <f t="shared" si="2"/>
        <v>1229.6671018693735</v>
      </c>
      <c r="BF7" s="128">
        <f t="shared" si="2"/>
        <v>1229.9282917949774</v>
      </c>
      <c r="BG7" s="128">
        <f t="shared" si="2"/>
        <v>1230.2728785681445</v>
      </c>
      <c r="BH7" s="128">
        <f t="shared" si="2"/>
        <v>1230.8019533324357</v>
      </c>
      <c r="BI7" s="128">
        <f t="shared" si="2"/>
        <v>1231.5052101223018</v>
      </c>
    </row>
    <row r="8" spans="2:63">
      <c r="B8" s="7"/>
      <c r="C8" s="7" t="s">
        <v>437</v>
      </c>
      <c r="D8" s="7"/>
      <c r="E8" s="7" t="s">
        <v>395</v>
      </c>
      <c r="F8" s="7" t="s">
        <v>50</v>
      </c>
      <c r="G8" s="7" t="s">
        <v>163</v>
      </c>
      <c r="H8" s="7" t="s">
        <v>339</v>
      </c>
      <c r="I8" s="45"/>
      <c r="J8" s="45"/>
      <c r="K8" s="128"/>
      <c r="L8" s="128"/>
      <c r="M8" s="128"/>
      <c r="N8" s="128"/>
      <c r="O8" s="128"/>
      <c r="P8" s="128"/>
      <c r="Q8" s="129"/>
      <c r="R8" s="128">
        <f>INDEX(Direct_Cost_Splits_Non_Ntwk,MATCH($G8,RIN_Asset_Cat_Non_Ntwk,0),MATCH($R$4,Direct_Cost_Type,0))*I8*HLOOKUP(R$5,Escalators!$I$25:$U$30,3,FALSE)</f>
        <v>0</v>
      </c>
      <c r="S8" s="128">
        <f>INDEX(Direct_Cost_Splits_Non_Ntwk,MATCH($G8,RIN_Asset_Cat_Non_Ntwk,0),MATCH($R$4,Direct_Cost_Type,0))*J8*HLOOKUP(S$5,Escalators!$I$25:$U$30,3,FALSE)</f>
        <v>0</v>
      </c>
      <c r="T8" s="128">
        <f>INDEX(Direct_Cost_Splits_Non_Ntwk,MATCH($G8,RIN_Asset_Cat_Non_Ntwk,0),MATCH($R$4,Direct_Cost_Type,0))*K8*HLOOKUP(T$5,Escalators!$I$25:$U$30,3,FALSE)</f>
        <v>0</v>
      </c>
      <c r="U8" s="128">
        <f>INDEX(Direct_Cost_Splits_Non_Ntwk,MATCH($G8,RIN_Asset_Cat_Non_Ntwk,0),MATCH($R$4,Direct_Cost_Type,0))*L8*HLOOKUP(U$5,Escalators!$I$25:$U$30,3,FALSE)</f>
        <v>0</v>
      </c>
      <c r="V8" s="128">
        <f>INDEX(Direct_Cost_Splits_Non_Ntwk,MATCH($G8,RIN_Asset_Cat_Non_Ntwk,0),MATCH($R$4,Direct_Cost_Type,0))*M8*HLOOKUP(V$5,Escalators!$I$25:$U$30,3,FALSE)</f>
        <v>0</v>
      </c>
      <c r="W8" s="128">
        <f>INDEX(Direct_Cost_Splits_Non_Ntwk,MATCH($G8,RIN_Asset_Cat_Non_Ntwk,0),MATCH($R$4,Direct_Cost_Type,0))*N8*HLOOKUP(W$5,Escalators!$I$25:$U$30,3,FALSE)</f>
        <v>0</v>
      </c>
      <c r="X8" s="128">
        <f>INDEX(Direct_Cost_Splits_Non_Ntwk,MATCH($G8,RIN_Asset_Cat_Non_Ntwk,0),MATCH($R$4,Direct_Cost_Type,0))*O8*HLOOKUP(X$5,Escalators!$I$25:$U$30,3,FALSE)</f>
        <v>0</v>
      </c>
      <c r="Y8" s="128">
        <f>INDEX(Direct_Cost_Splits_Non_Ntwk,MATCH($G8,RIN_Asset_Cat_Non_Ntwk,0),MATCH($R$4,Direct_Cost_Type,0))*P8*HLOOKUP(Y$5,Escalators!$I$25:$U$30,3,FALSE)</f>
        <v>0</v>
      </c>
      <c r="Z8" s="129"/>
      <c r="AA8" s="128">
        <f t="shared" ref="AA8" si="3">INDEX(Direct_Cost_Splits_Non_Ntwk,MATCH($G8,RIN_Asset_Cat_Non_Ntwk,0),MATCH($AA$4,Direct_Cost_Type,0))*I8</f>
        <v>0</v>
      </c>
      <c r="AB8" s="128">
        <f t="shared" ref="AB8:AC8" si="4">INDEX(Direct_Cost_Splits_Non_Ntwk,MATCH($G8,RIN_Asset_Cat_Non_Ntwk,0),MATCH($AA$4,Direct_Cost_Type,0))*J8</f>
        <v>0</v>
      </c>
      <c r="AC8" s="128">
        <f t="shared" si="4"/>
        <v>0</v>
      </c>
      <c r="AD8" s="128">
        <f t="shared" ref="AD8" si="5">INDEX(Direct_Cost_Splits_Non_Ntwk,MATCH($G8,RIN_Asset_Cat_Non_Ntwk,0),MATCH($AA$4,Direct_Cost_Type,0))*L8</f>
        <v>0</v>
      </c>
      <c r="AE8" s="128">
        <f t="shared" ref="AE8" si="6">INDEX(Direct_Cost_Splits_Non_Ntwk,MATCH($G8,RIN_Asset_Cat_Non_Ntwk,0),MATCH($AA$4,Direct_Cost_Type,0))*M8</f>
        <v>0</v>
      </c>
      <c r="AF8" s="128">
        <f t="shared" ref="AF8" si="7">INDEX(Direct_Cost_Splits_Non_Ntwk,MATCH($G8,RIN_Asset_Cat_Non_Ntwk,0),MATCH($AA$4,Direct_Cost_Type,0))*N8</f>
        <v>0</v>
      </c>
      <c r="AG8" s="128">
        <f t="shared" ref="AG8" si="8">INDEX(Direct_Cost_Splits_Non_Ntwk,MATCH($G8,RIN_Asset_Cat_Non_Ntwk,0),MATCH($AA$4,Direct_Cost_Type,0))*O8</f>
        <v>0</v>
      </c>
      <c r="AH8" s="128">
        <f t="shared" ref="AH8" si="9">INDEX(Direct_Cost_Splits_Non_Ntwk,MATCH($G8,RIN_Asset_Cat_Non_Ntwk,0),MATCH($AA$4,Direct_Cost_Type,0))*P8</f>
        <v>0</v>
      </c>
      <c r="AI8" s="129"/>
      <c r="AJ8" s="128">
        <f>INDEX(Direct_Cost_Splits_Non_Ntwk,MATCH($G8,RIN_Asset_Cat_Non_Ntwk,0),MATCH($AJ$4,Direct_Cost_Type,0))*I8*HLOOKUP(AJ$5,Escalators!$I$25:$U$30,6,FALSE)</f>
        <v>0</v>
      </c>
      <c r="AK8" s="128">
        <f>INDEX(Direct_Cost_Splits_Non_Ntwk,MATCH($G8,RIN_Asset_Cat_Non_Ntwk,0),MATCH($AJ$4,Direct_Cost_Type,0))*J8*HLOOKUP(AK$5,Escalators!$I$25:$U$30,6,FALSE)</f>
        <v>0</v>
      </c>
      <c r="AL8" s="128">
        <f>INDEX(Direct_Cost_Splits_Non_Ntwk,MATCH($G8,RIN_Asset_Cat_Non_Ntwk,0),MATCH($AJ$4,Direct_Cost_Type,0))*K8*HLOOKUP(AL$5,Escalators!$I$25:$U$30,6,FALSE)</f>
        <v>0</v>
      </c>
      <c r="AM8" s="128">
        <f>INDEX(Direct_Cost_Splits_Non_Ntwk,MATCH($G8,RIN_Asset_Cat_Non_Ntwk,0),MATCH($AJ$4,Direct_Cost_Type,0))*L8*HLOOKUP(AM$5,Escalators!$I$25:$U$30,6,FALSE)</f>
        <v>0</v>
      </c>
      <c r="AN8" s="128">
        <f>INDEX(Direct_Cost_Splits_Non_Ntwk,MATCH($G8,RIN_Asset_Cat_Non_Ntwk,0),MATCH($AJ$4,Direct_Cost_Type,0))*M8*HLOOKUP(AN$5,Escalators!$I$25:$U$30,6,FALSE)</f>
        <v>0</v>
      </c>
      <c r="AO8" s="128">
        <f>INDEX(Direct_Cost_Splits_Non_Ntwk,MATCH($G8,RIN_Asset_Cat_Non_Ntwk,0),MATCH($AJ$4,Direct_Cost_Type,0))*N8*HLOOKUP(AO$5,Escalators!$I$25:$U$30,6,FALSE)</f>
        <v>0</v>
      </c>
      <c r="AP8" s="128">
        <f>INDEX(Direct_Cost_Splits_Non_Ntwk,MATCH($G8,RIN_Asset_Cat_Non_Ntwk,0),MATCH($AJ$4,Direct_Cost_Type,0))*O8*HLOOKUP(AP$5,Escalators!$I$25:$U$30,6,FALSE)</f>
        <v>0</v>
      </c>
      <c r="AQ8" s="128">
        <f>INDEX(Direct_Cost_Splits_Non_Ntwk,MATCH($G8,RIN_Asset_Cat_Non_Ntwk,0),MATCH($AJ$4,Direct_Cost_Type,0))*P8*HLOOKUP(AQ$5,Escalators!$I$25:$U$30,6,FALSE)</f>
        <v>0</v>
      </c>
      <c r="AR8" s="129"/>
      <c r="AS8" s="675">
        <f t="shared" ref="AS8" si="10">INDEX(Direct_Cost_Splits_Non_Ntwk,MATCH($G8,RIN_Asset_Cat_Non_Ntwk,0),MATCH($AS$4,Direct_Cost_Type,0))*I8</f>
        <v>0</v>
      </c>
      <c r="AT8" s="675">
        <f t="shared" ref="AT8:AU8" si="11">INDEX(Direct_Cost_Splits_Non_Ntwk,MATCH($G8,RIN_Asset_Cat_Non_Ntwk,0),MATCH($AS$4,Direct_Cost_Type,0))*J8</f>
        <v>0</v>
      </c>
      <c r="AU8" s="675">
        <f t="shared" si="11"/>
        <v>0</v>
      </c>
      <c r="AV8" s="675">
        <f t="shared" ref="AV8" si="12">INDEX(Direct_Cost_Splits_Non_Ntwk,MATCH($G8,RIN_Asset_Cat_Non_Ntwk,0),MATCH($AS$4,Direct_Cost_Type,0))*L8</f>
        <v>0</v>
      </c>
      <c r="AW8" s="675">
        <f t="shared" ref="AW8" si="13">INDEX(Direct_Cost_Splits_Non_Ntwk,MATCH($G8,RIN_Asset_Cat_Non_Ntwk,0),MATCH($AS$4,Direct_Cost_Type,0))*M8</f>
        <v>0</v>
      </c>
      <c r="AX8" s="675">
        <f t="shared" ref="AX8" si="14">INDEX(Direct_Cost_Splits_Non_Ntwk,MATCH($G8,RIN_Asset_Cat_Non_Ntwk,0),MATCH($AS$4,Direct_Cost_Type,0))*N8</f>
        <v>0</v>
      </c>
      <c r="AY8" s="675">
        <f t="shared" ref="AY8" si="15">INDEX(Direct_Cost_Splits_Non_Ntwk,MATCH($G8,RIN_Asset_Cat_Non_Ntwk,0),MATCH($AS$4,Direct_Cost_Type,0))*O8</f>
        <v>0</v>
      </c>
      <c r="AZ8" s="675">
        <f t="shared" ref="AZ8" si="16">INDEX(Direct_Cost_Splits_Non_Ntwk,MATCH($G8,RIN_Asset_Cat_Non_Ntwk,0),MATCH($AS$4,Direct_Cost_Type,0))*P8</f>
        <v>0</v>
      </c>
      <c r="BA8" s="129"/>
      <c r="BB8" s="128">
        <f t="shared" ref="BB8" si="17">R8+AA8+AJ8+AS8</f>
        <v>0</v>
      </c>
      <c r="BC8" s="128">
        <f t="shared" ref="BC8:BD8" si="18">S8+AB8+AK8+AT8</f>
        <v>0</v>
      </c>
      <c r="BD8" s="128">
        <f t="shared" si="18"/>
        <v>0</v>
      </c>
      <c r="BE8" s="128">
        <f t="shared" ref="BE8" si="19">U8+AD8+AM8+AV8</f>
        <v>0</v>
      </c>
      <c r="BF8" s="128">
        <f t="shared" ref="BF8" si="20">V8+AE8+AN8+AW8</f>
        <v>0</v>
      </c>
      <c r="BG8" s="128">
        <f t="shared" ref="BG8" si="21">W8+AF8+AO8+AX8</f>
        <v>0</v>
      </c>
      <c r="BH8" s="128">
        <f t="shared" ref="BH8" si="22">X8+AG8+AP8+AY8</f>
        <v>0</v>
      </c>
      <c r="BI8" s="128">
        <f t="shared" ref="BI8" si="23">Y8+AH8+AQ8+AZ8</f>
        <v>0</v>
      </c>
    </row>
    <row r="9" spans="2:63">
      <c r="B9" s="7"/>
      <c r="C9" s="7" t="s">
        <v>540</v>
      </c>
      <c r="D9" s="7"/>
      <c r="E9" s="7" t="s">
        <v>50</v>
      </c>
      <c r="F9" s="7" t="s">
        <v>50</v>
      </c>
      <c r="G9" s="7" t="s">
        <v>163</v>
      </c>
      <c r="H9" s="7" t="s">
        <v>339</v>
      </c>
      <c r="I9" s="45"/>
      <c r="J9" s="45"/>
      <c r="K9" s="128">
        <v>1693.3</v>
      </c>
      <c r="L9" s="128">
        <v>3190.46</v>
      </c>
      <c r="M9" s="128">
        <v>2006.14</v>
      </c>
      <c r="N9" s="128">
        <v>811.48</v>
      </c>
      <c r="O9" s="128">
        <v>2372.13</v>
      </c>
      <c r="P9" s="128">
        <v>4139.26</v>
      </c>
      <c r="Q9" s="129"/>
      <c r="R9" s="128">
        <f>INDEX(Direct_Cost_Splits_Non_Ntwk,MATCH($G9,RIN_Asset_Cat_Non_Ntwk,0),MATCH($R$4,Direct_Cost_Type,0))*I9*HLOOKUP(R$5,Escalators!$I$25:$U$30,3,FALSE)</f>
        <v>0</v>
      </c>
      <c r="S9" s="128">
        <f>INDEX(Direct_Cost_Splits_Non_Ntwk,MATCH($G9,RIN_Asset_Cat_Non_Ntwk,0),MATCH($R$4,Direct_Cost_Type,0))*J9*HLOOKUP(S$5,Escalators!$I$25:$U$30,3,FALSE)</f>
        <v>0</v>
      </c>
      <c r="T9" s="128">
        <f>INDEX(Direct_Cost_Splits_Non_Ntwk,MATCH($G9,RIN_Asset_Cat_Non_Ntwk,0),MATCH($R$4,Direct_Cost_Type,0))*K9*HLOOKUP(T$5,Escalators!$I$25:$U$30,3,FALSE)</f>
        <v>0</v>
      </c>
      <c r="U9" s="128">
        <f>INDEX(Direct_Cost_Splits_Non_Ntwk,MATCH($G9,RIN_Asset_Cat_Non_Ntwk,0),MATCH($R$4,Direct_Cost_Type,0))*L9*HLOOKUP(U$5,Escalators!$I$25:$U$30,3,FALSE)</f>
        <v>0</v>
      </c>
      <c r="V9" s="128">
        <f>INDEX(Direct_Cost_Splits_Non_Ntwk,MATCH($G9,RIN_Asset_Cat_Non_Ntwk,0),MATCH($R$4,Direct_Cost_Type,0))*M9*HLOOKUP(V$5,Escalators!$I$25:$U$30,3,FALSE)</f>
        <v>0</v>
      </c>
      <c r="W9" s="128">
        <f>INDEX(Direct_Cost_Splits_Non_Ntwk,MATCH($G9,RIN_Asset_Cat_Non_Ntwk,0),MATCH($R$4,Direct_Cost_Type,0))*N9*HLOOKUP(W$5,Escalators!$I$25:$U$30,3,FALSE)</f>
        <v>0</v>
      </c>
      <c r="X9" s="128">
        <f>INDEX(Direct_Cost_Splits_Non_Ntwk,MATCH($G9,RIN_Asset_Cat_Non_Ntwk,0),MATCH($R$4,Direct_Cost_Type,0))*O9*HLOOKUP(X$5,Escalators!$I$25:$U$30,3,FALSE)</f>
        <v>0</v>
      </c>
      <c r="Y9" s="128">
        <f>INDEX(Direct_Cost_Splits_Non_Ntwk,MATCH($G9,RIN_Asset_Cat_Non_Ntwk,0),MATCH($R$4,Direct_Cost_Type,0))*P9*HLOOKUP(Y$5,Escalators!$I$25:$U$30,3,FALSE)</f>
        <v>0</v>
      </c>
      <c r="Z9" s="129"/>
      <c r="AA9" s="128">
        <f t="shared" ref="AA9:AH9" si="24">INDEX(Direct_Cost_Splits_Non_Ntwk,MATCH($G9,RIN_Asset_Cat_Non_Ntwk,0),MATCH($AA$4,Direct_Cost_Type,0))*I9</f>
        <v>0</v>
      </c>
      <c r="AB9" s="128">
        <f t="shared" si="24"/>
        <v>0</v>
      </c>
      <c r="AC9" s="128">
        <f t="shared" si="24"/>
        <v>209.05476768083906</v>
      </c>
      <c r="AD9" s="128">
        <f t="shared" si="24"/>
        <v>393.89409679029694</v>
      </c>
      <c r="AE9" s="128">
        <f t="shared" si="24"/>
        <v>247.67798478429015</v>
      </c>
      <c r="AF9" s="128">
        <f t="shared" si="24"/>
        <v>100.18529668555323</v>
      </c>
      <c r="AG9" s="128">
        <f t="shared" si="24"/>
        <v>292.86309930830259</v>
      </c>
      <c r="AH9" s="128">
        <f t="shared" si="24"/>
        <v>511.03291659516327</v>
      </c>
      <c r="AI9" s="129"/>
      <c r="AJ9" s="128">
        <f>INDEX(Direct_Cost_Splits_Non_Ntwk,MATCH($G9,RIN_Asset_Cat_Non_Ntwk,0),MATCH($AJ$4,Direct_Cost_Type,0))*I9*HLOOKUP(AJ$5,Escalators!$I$25:$U$30,6,FALSE)</f>
        <v>0</v>
      </c>
      <c r="AK9" s="128">
        <f>INDEX(Direct_Cost_Splits_Non_Ntwk,MATCH($G9,RIN_Asset_Cat_Non_Ntwk,0),MATCH($AJ$4,Direct_Cost_Type,0))*J9*HLOOKUP(AK$5,Escalators!$I$25:$U$30,6,FALSE)</f>
        <v>0</v>
      </c>
      <c r="AL9" s="128">
        <f>INDEX(Direct_Cost_Splits_Non_Ntwk,MATCH($G9,RIN_Asset_Cat_Non_Ntwk,0),MATCH($AJ$4,Direct_Cost_Type,0))*K9*HLOOKUP(AL$5,Escalators!$I$25:$U$30,6,FALSE)</f>
        <v>1215.8818510802678</v>
      </c>
      <c r="AM9" s="128">
        <f>INDEX(Direct_Cost_Splits_Non_Ntwk,MATCH($G9,RIN_Asset_Cat_Non_Ntwk,0),MATCH($AJ$4,Direct_Cost_Type,0))*L9*HLOOKUP(AM$5,Escalators!$I$25:$U$30,6,FALSE)</f>
        <v>2290.9244732755869</v>
      </c>
      <c r="AN9" s="128">
        <f>INDEX(Direct_Cost_Splits_Non_Ntwk,MATCH($G9,RIN_Asset_Cat_Non_Ntwk,0),MATCH($AJ$4,Direct_Cost_Type,0))*M9*HLOOKUP(AN$5,Escalators!$I$25:$U$30,6,FALSE)</f>
        <v>1440.5180515715874</v>
      </c>
      <c r="AO9" s="128">
        <f>INDEX(Direct_Cost_Splits_Non_Ntwk,MATCH($G9,RIN_Asset_Cat_Non_Ntwk,0),MATCH($AJ$4,Direct_Cost_Type,0))*N9*HLOOKUP(AO$5,Escalators!$I$25:$U$30,6,FALSE)</f>
        <v>582.68694532251573</v>
      </c>
      <c r="AP9" s="128">
        <f>INDEX(Direct_Cost_Splits_Non_Ntwk,MATCH($G9,RIN_Asset_Cat_Non_Ntwk,0),MATCH($AJ$4,Direct_Cost_Type,0))*O9*HLOOKUP(AP$5,Escalators!$I$25:$U$30,6,FALSE)</f>
        <v>1703.3188539556111</v>
      </c>
      <c r="AQ9" s="128">
        <f>INDEX(Direct_Cost_Splits_Non_Ntwk,MATCH($G9,RIN_Asset_Cat_Non_Ntwk,0),MATCH($AJ$4,Direct_Cost_Type,0))*P9*HLOOKUP(AQ$5,Escalators!$I$25:$U$30,6,FALSE)</f>
        <v>2972.214676018727</v>
      </c>
      <c r="AR9" s="129"/>
      <c r="AS9" s="675">
        <f t="shared" ref="AS9:AZ9" si="25">INDEX(Direct_Cost_Splits_Non_Ntwk,MATCH($G9,RIN_Asset_Cat_Non_Ntwk,0),MATCH($AS$4,Direct_Cost_Type,0))*I9</f>
        <v>0</v>
      </c>
      <c r="AT9" s="675">
        <f t="shared" si="25"/>
        <v>0</v>
      </c>
      <c r="AU9" s="675">
        <f t="shared" si="25"/>
        <v>268.36338123889294</v>
      </c>
      <c r="AV9" s="675">
        <f t="shared" si="25"/>
        <v>505.64142993411588</v>
      </c>
      <c r="AW9" s="675">
        <f t="shared" si="25"/>
        <v>317.94396364412256</v>
      </c>
      <c r="AX9" s="675">
        <f t="shared" si="25"/>
        <v>128.60775799193107</v>
      </c>
      <c r="AY9" s="675">
        <f t="shared" si="25"/>
        <v>375.94804673608644</v>
      </c>
      <c r="AZ9" s="675">
        <f t="shared" si="25"/>
        <v>656.01240738611</v>
      </c>
      <c r="BA9" s="129"/>
      <c r="BB9" s="128">
        <f t="shared" ref="BB9:BI9" si="26">R9+AA9+AJ9+AS9</f>
        <v>0</v>
      </c>
      <c r="BC9" s="128">
        <f t="shared" si="26"/>
        <v>0</v>
      </c>
      <c r="BD9" s="128">
        <f t="shared" si="26"/>
        <v>1693.2999999999997</v>
      </c>
      <c r="BE9" s="128">
        <f t="shared" si="26"/>
        <v>3190.4599999999996</v>
      </c>
      <c r="BF9" s="128">
        <f t="shared" si="26"/>
        <v>2006.14</v>
      </c>
      <c r="BG9" s="128">
        <f t="shared" si="26"/>
        <v>811.48</v>
      </c>
      <c r="BH9" s="128">
        <f t="shared" si="26"/>
        <v>2372.13</v>
      </c>
      <c r="BI9" s="128">
        <f t="shared" si="26"/>
        <v>4139.26</v>
      </c>
    </row>
    <row r="10" spans="2:63">
      <c r="B10" s="7"/>
      <c r="C10" s="7" t="s">
        <v>282</v>
      </c>
      <c r="D10" s="7"/>
      <c r="E10" s="7" t="s">
        <v>50</v>
      </c>
      <c r="F10" s="7" t="s">
        <v>50</v>
      </c>
      <c r="G10" s="7" t="s">
        <v>5</v>
      </c>
      <c r="H10" s="7" t="s">
        <v>361</v>
      </c>
      <c r="I10" s="45"/>
      <c r="J10" s="45"/>
      <c r="K10" s="128">
        <v>130</v>
      </c>
      <c r="L10" s="128">
        <v>260</v>
      </c>
      <c r="M10" s="128">
        <v>260</v>
      </c>
      <c r="N10" s="128">
        <v>260</v>
      </c>
      <c r="O10" s="128">
        <v>260</v>
      </c>
      <c r="P10" s="128">
        <v>260</v>
      </c>
      <c r="Q10" s="129"/>
      <c r="R10" s="128">
        <f>INDEX(Direct_Cost_Splits_Non_Ntwk,MATCH($G10,RIN_Asset_Cat_Non_Ntwk,0),MATCH($R$4,Direct_Cost_Type,0))*I10*HLOOKUP(R$5,Escalators!$I$25:$U$30,3,FALSE)</f>
        <v>0</v>
      </c>
      <c r="S10" s="128">
        <f>INDEX(Direct_Cost_Splits_Non_Ntwk,MATCH($G10,RIN_Asset_Cat_Non_Ntwk,0),MATCH($R$4,Direct_Cost_Type,0))*J10*HLOOKUP(S$5,Escalators!$I$25:$U$30,3,FALSE)</f>
        <v>0</v>
      </c>
      <c r="T10" s="128">
        <f>INDEX(Direct_Cost_Splits_Non_Ntwk,MATCH($G10,RIN_Asset_Cat_Non_Ntwk,0),MATCH($R$4,Direct_Cost_Type,0))*K10*HLOOKUP(T$5,Escalators!$I$25:$U$30,3,FALSE)</f>
        <v>5.5307429116479661</v>
      </c>
      <c r="U10" s="128">
        <f>INDEX(Direct_Cost_Splits_Non_Ntwk,MATCH($G10,RIN_Asset_Cat_Non_Ntwk,0),MATCH($R$4,Direct_Cost_Type,0))*L10*HLOOKUP(U$5,Escalators!$I$25:$U$30,3,FALSE)</f>
        <v>11.14734659381069</v>
      </c>
      <c r="V10" s="128">
        <f>INDEX(Direct_Cost_Splits_Non_Ntwk,MATCH($G10,RIN_Asset_Cat_Non_Ntwk,0),MATCH($R$4,Direct_Cost_Type,0))*M10*HLOOKUP(V$5,Escalators!$I$25:$U$30,3,FALSE)</f>
        <v>11.202647392391338</v>
      </c>
      <c r="W10" s="128">
        <f>INDEX(Direct_Cost_Splits_Non_Ntwk,MATCH($G10,RIN_Asset_Cat_Non_Ntwk,0),MATCH($R$4,Direct_Cost_Type,0))*N10*HLOOKUP(W$5,Escalators!$I$25:$U$30,3,FALSE)</f>
        <v>11.27560550397393</v>
      </c>
      <c r="X10" s="128">
        <f>INDEX(Direct_Cost_Splits_Non_Ntwk,MATCH($G10,RIN_Asset_Cat_Non_Ntwk,0),MATCH($R$4,Direct_Cost_Type,0))*O10*HLOOKUP(X$5,Escalators!$I$25:$U$30,3,FALSE)</f>
        <v>11.387624590875964</v>
      </c>
      <c r="Y10" s="128">
        <f>INDEX(Direct_Cost_Splits_Non_Ntwk,MATCH($G10,RIN_Asset_Cat_Non_Ntwk,0),MATCH($R$4,Direct_Cost_Type,0))*P10*HLOOKUP(Y$5,Escalators!$I$25:$U$30,3,FALSE)</f>
        <v>11.536522608274355</v>
      </c>
      <c r="Z10" s="129"/>
      <c r="AA10" s="128">
        <f t="shared" ref="AA10" si="27">INDEX(Direct_Cost_Splits_Non_Ntwk,MATCH($G10,RIN_Asset_Cat_Non_Ntwk,0),MATCH($AA$4,Direct_Cost_Type,0))*I10</f>
        <v>0</v>
      </c>
      <c r="AB10" s="128">
        <f t="shared" ref="AB10:AC10" si="28">INDEX(Direct_Cost_Splits_Non_Ntwk,MATCH($G10,RIN_Asset_Cat_Non_Ntwk,0),MATCH($AA$4,Direct_Cost_Type,0))*J10</f>
        <v>0</v>
      </c>
      <c r="AC10" s="128">
        <f t="shared" si="28"/>
        <v>71.036742067611371</v>
      </c>
      <c r="AD10" s="128">
        <f t="shared" ref="AD10" si="29">INDEX(Direct_Cost_Splits_Non_Ntwk,MATCH($G10,RIN_Asset_Cat_Non_Ntwk,0),MATCH($AA$4,Direct_Cost_Type,0))*L10</f>
        <v>142.07348413522274</v>
      </c>
      <c r="AE10" s="128">
        <f t="shared" ref="AE10" si="30">INDEX(Direct_Cost_Splits_Non_Ntwk,MATCH($G10,RIN_Asset_Cat_Non_Ntwk,0),MATCH($AA$4,Direct_Cost_Type,0))*M10</f>
        <v>142.07348413522274</v>
      </c>
      <c r="AF10" s="128">
        <f t="shared" ref="AF10" si="31">INDEX(Direct_Cost_Splits_Non_Ntwk,MATCH($G10,RIN_Asset_Cat_Non_Ntwk,0),MATCH($AA$4,Direct_Cost_Type,0))*N10</f>
        <v>142.07348413522274</v>
      </c>
      <c r="AG10" s="128">
        <f t="shared" ref="AG10" si="32">INDEX(Direct_Cost_Splits_Non_Ntwk,MATCH($G10,RIN_Asset_Cat_Non_Ntwk,0),MATCH($AA$4,Direct_Cost_Type,0))*O10</f>
        <v>142.07348413522274</v>
      </c>
      <c r="AH10" s="128">
        <f t="shared" ref="AH10" si="33">INDEX(Direct_Cost_Splits_Non_Ntwk,MATCH($G10,RIN_Asset_Cat_Non_Ntwk,0),MATCH($AA$4,Direct_Cost_Type,0))*P10</f>
        <v>142.07348413522274</v>
      </c>
      <c r="AI10" s="129"/>
      <c r="AJ10" s="128">
        <f>INDEX(Direct_Cost_Splits_Non_Ntwk,MATCH($G10,RIN_Asset_Cat_Non_Ntwk,0),MATCH($AJ$4,Direct_Cost_Type,0))*I10*HLOOKUP(AJ$5,Escalators!$I$25:$U$30,6,FALSE)</f>
        <v>0</v>
      </c>
      <c r="AK10" s="128">
        <f>INDEX(Direct_Cost_Splits_Non_Ntwk,MATCH($G10,RIN_Asset_Cat_Non_Ntwk,0),MATCH($AJ$4,Direct_Cost_Type,0))*J10*HLOOKUP(AK$5,Escalators!$I$25:$U$30,6,FALSE)</f>
        <v>0</v>
      </c>
      <c r="AL10" s="128">
        <f>INDEX(Direct_Cost_Splits_Non_Ntwk,MATCH($G10,RIN_Asset_Cat_Non_Ntwk,0),MATCH($AJ$4,Direct_Cost_Type,0))*K10*HLOOKUP(AL$5,Escalators!$I$25:$U$30,6,FALSE)</f>
        <v>24.461505642946825</v>
      </c>
      <c r="AM10" s="128">
        <f>INDEX(Direct_Cost_Splits_Non_Ntwk,MATCH($G10,RIN_Asset_Cat_Non_Ntwk,0),MATCH($AJ$4,Direct_Cost_Type,0))*L10*HLOOKUP(AM$5,Escalators!$I$25:$U$30,6,FALSE)</f>
        <v>48.923011285893651</v>
      </c>
      <c r="AN10" s="128">
        <f>INDEX(Direct_Cost_Splits_Non_Ntwk,MATCH($G10,RIN_Asset_Cat_Non_Ntwk,0),MATCH($AJ$4,Direct_Cost_Type,0))*M10*HLOOKUP(AN$5,Escalators!$I$25:$U$30,6,FALSE)</f>
        <v>48.923011285893651</v>
      </c>
      <c r="AO10" s="128">
        <f>INDEX(Direct_Cost_Splits_Non_Ntwk,MATCH($G10,RIN_Asset_Cat_Non_Ntwk,0),MATCH($AJ$4,Direct_Cost_Type,0))*N10*HLOOKUP(AO$5,Escalators!$I$25:$U$30,6,FALSE)</f>
        <v>48.923011285893651</v>
      </c>
      <c r="AP10" s="128">
        <f>INDEX(Direct_Cost_Splits_Non_Ntwk,MATCH($G10,RIN_Asset_Cat_Non_Ntwk,0),MATCH($AJ$4,Direct_Cost_Type,0))*O10*HLOOKUP(AP$5,Escalators!$I$25:$U$30,6,FALSE)</f>
        <v>48.923011285893651</v>
      </c>
      <c r="AQ10" s="128">
        <f>INDEX(Direct_Cost_Splits_Non_Ntwk,MATCH($G10,RIN_Asset_Cat_Non_Ntwk,0),MATCH($AJ$4,Direct_Cost_Type,0))*P10*HLOOKUP(AQ$5,Escalators!$I$25:$U$30,6,FALSE)</f>
        <v>48.923011285893651</v>
      </c>
      <c r="AR10" s="129"/>
      <c r="AS10" s="675">
        <f t="shared" ref="AS10" si="34">INDEX(Direct_Cost_Splits_Non_Ntwk,MATCH($G10,RIN_Asset_Cat_Non_Ntwk,0),MATCH($AS$4,Direct_Cost_Type,0))*I10</f>
        <v>0</v>
      </c>
      <c r="AT10" s="675">
        <f t="shared" ref="AT10:AU10" si="35">INDEX(Direct_Cost_Splits_Non_Ntwk,MATCH($G10,RIN_Asset_Cat_Non_Ntwk,0),MATCH($AS$4,Direct_Cost_Type,0))*J10</f>
        <v>0</v>
      </c>
      <c r="AU10" s="675">
        <f t="shared" si="35"/>
        <v>29.104563718121604</v>
      </c>
      <c r="AV10" s="675">
        <f t="shared" ref="AV10" si="36">INDEX(Direct_Cost_Splits_Non_Ntwk,MATCH($G10,RIN_Asset_Cat_Non_Ntwk,0),MATCH($AS$4,Direct_Cost_Type,0))*L10</f>
        <v>58.209127436243207</v>
      </c>
      <c r="AW10" s="675">
        <f t="shared" ref="AW10" si="37">INDEX(Direct_Cost_Splits_Non_Ntwk,MATCH($G10,RIN_Asset_Cat_Non_Ntwk,0),MATCH($AS$4,Direct_Cost_Type,0))*M10</f>
        <v>58.209127436243207</v>
      </c>
      <c r="AX10" s="675">
        <f t="shared" ref="AX10" si="38">INDEX(Direct_Cost_Splits_Non_Ntwk,MATCH($G10,RIN_Asset_Cat_Non_Ntwk,0),MATCH($AS$4,Direct_Cost_Type,0))*N10</f>
        <v>58.209127436243207</v>
      </c>
      <c r="AY10" s="675">
        <f t="shared" ref="AY10" si="39">INDEX(Direct_Cost_Splits_Non_Ntwk,MATCH($G10,RIN_Asset_Cat_Non_Ntwk,0),MATCH($AS$4,Direct_Cost_Type,0))*O10</f>
        <v>58.209127436243207</v>
      </c>
      <c r="AZ10" s="675">
        <f t="shared" ref="AZ10" si="40">INDEX(Direct_Cost_Splits_Non_Ntwk,MATCH($G10,RIN_Asset_Cat_Non_Ntwk,0),MATCH($AS$4,Direct_Cost_Type,0))*P10</f>
        <v>58.209127436243207</v>
      </c>
      <c r="BA10" s="129"/>
      <c r="BB10" s="128">
        <f t="shared" ref="BB10" si="41">R10+AA10+AJ10+AS10</f>
        <v>0</v>
      </c>
      <c r="BC10" s="128">
        <f t="shared" ref="BC10:BD10" si="42">S10+AB10+AK10+AT10</f>
        <v>0</v>
      </c>
      <c r="BD10" s="128">
        <f t="shared" si="42"/>
        <v>130.13355434032775</v>
      </c>
      <c r="BE10" s="128">
        <f t="shared" ref="BE10" si="43">U10+AD10+AM10+AV10</f>
        <v>260.35296945117028</v>
      </c>
      <c r="BF10" s="128">
        <f t="shared" ref="BF10" si="44">V10+AE10+AN10+AW10</f>
        <v>260.4082702497509</v>
      </c>
      <c r="BG10" s="128">
        <f t="shared" ref="BG10" si="45">W10+AF10+AO10+AX10</f>
        <v>260.48122836133354</v>
      </c>
      <c r="BH10" s="128">
        <f t="shared" ref="BH10" si="46">X10+AG10+AP10+AY10</f>
        <v>260.59324744823556</v>
      </c>
      <c r="BI10" s="128">
        <f t="shared" ref="BI10" si="47">Y10+AH10+AQ10+AZ10</f>
        <v>260.74214546563394</v>
      </c>
    </row>
    <row r="11" spans="2:63">
      <c r="B11" s="7"/>
      <c r="C11" s="7" t="s">
        <v>642</v>
      </c>
      <c r="D11" s="7"/>
      <c r="E11" s="7" t="s">
        <v>50</v>
      </c>
      <c r="F11" s="7" t="s">
        <v>50</v>
      </c>
      <c r="G11" s="7" t="s">
        <v>5</v>
      </c>
      <c r="H11" s="7" t="s">
        <v>339</v>
      </c>
      <c r="I11" s="45"/>
      <c r="J11" s="45"/>
      <c r="K11" s="128"/>
      <c r="L11" s="128"/>
      <c r="M11" s="128"/>
      <c r="N11" s="128"/>
      <c r="O11" s="128"/>
      <c r="P11" s="128"/>
      <c r="Q11" s="129"/>
      <c r="R11" s="128">
        <f>INDEX(Direct_Cost_Splits_Non_Ntwk,MATCH($G11,RIN_Asset_Cat_Non_Ntwk,0),MATCH($R$4,Direct_Cost_Type,0))*I11*HLOOKUP(R$5,Escalators!$I$25:$U$30,3,FALSE)</f>
        <v>0</v>
      </c>
      <c r="S11" s="128">
        <f>INDEX(Direct_Cost_Splits_Non_Ntwk,MATCH($G11,RIN_Asset_Cat_Non_Ntwk,0),MATCH($R$4,Direct_Cost_Type,0))*J11*HLOOKUP(S$5,Escalators!$I$25:$U$30,3,FALSE)</f>
        <v>0</v>
      </c>
      <c r="T11" s="128">
        <f>INDEX(Direct_Cost_Splits_Non_Ntwk,MATCH($G11,RIN_Asset_Cat_Non_Ntwk,0),MATCH($R$4,Direct_Cost_Type,0))*K11*HLOOKUP(T$5,Escalators!$I$25:$U$30,3,FALSE)</f>
        <v>0</v>
      </c>
      <c r="U11" s="128">
        <f>INDEX(Direct_Cost_Splits_Non_Ntwk,MATCH($G11,RIN_Asset_Cat_Non_Ntwk,0),MATCH($R$4,Direct_Cost_Type,0))*L11*HLOOKUP(U$5,Escalators!$I$25:$U$30,3,FALSE)</f>
        <v>0</v>
      </c>
      <c r="V11" s="128">
        <f>INDEX(Direct_Cost_Splits_Non_Ntwk,MATCH($G11,RIN_Asset_Cat_Non_Ntwk,0),MATCH($R$4,Direct_Cost_Type,0))*M11*HLOOKUP(V$5,Escalators!$I$25:$U$30,3,FALSE)</f>
        <v>0</v>
      </c>
      <c r="W11" s="128">
        <f>INDEX(Direct_Cost_Splits_Non_Ntwk,MATCH($G11,RIN_Asset_Cat_Non_Ntwk,0),MATCH($R$4,Direct_Cost_Type,0))*N11*HLOOKUP(W$5,Escalators!$I$25:$U$30,3,FALSE)</f>
        <v>0</v>
      </c>
      <c r="X11" s="128">
        <f>INDEX(Direct_Cost_Splits_Non_Ntwk,MATCH($G11,RIN_Asset_Cat_Non_Ntwk,0),MATCH($R$4,Direct_Cost_Type,0))*O11*HLOOKUP(X$5,Escalators!$I$25:$U$30,3,FALSE)</f>
        <v>0</v>
      </c>
      <c r="Y11" s="128">
        <f>INDEX(Direct_Cost_Splits_Non_Ntwk,MATCH($G11,RIN_Asset_Cat_Non_Ntwk,0),MATCH($R$4,Direct_Cost_Type,0))*P11*HLOOKUP(Y$5,Escalators!$I$25:$U$30,3,FALSE)</f>
        <v>0</v>
      </c>
      <c r="Z11" s="129"/>
      <c r="AA11" s="128">
        <f t="shared" ref="AA11" si="48">INDEX(Direct_Cost_Splits_Non_Ntwk,MATCH($G11,RIN_Asset_Cat_Non_Ntwk,0),MATCH($AA$4,Direct_Cost_Type,0))*I11</f>
        <v>0</v>
      </c>
      <c r="AB11" s="128">
        <f t="shared" ref="AB11" si="49">INDEX(Direct_Cost_Splits_Non_Ntwk,MATCH($G11,RIN_Asset_Cat_Non_Ntwk,0),MATCH($AA$4,Direct_Cost_Type,0))*J11</f>
        <v>0</v>
      </c>
      <c r="AC11" s="128">
        <f t="shared" ref="AC11" si="50">INDEX(Direct_Cost_Splits_Non_Ntwk,MATCH($G11,RIN_Asset_Cat_Non_Ntwk,0),MATCH($AA$4,Direct_Cost_Type,0))*K11</f>
        <v>0</v>
      </c>
      <c r="AD11" s="128">
        <f t="shared" ref="AD11" si="51">INDEX(Direct_Cost_Splits_Non_Ntwk,MATCH($G11,RIN_Asset_Cat_Non_Ntwk,0),MATCH($AA$4,Direct_Cost_Type,0))*L11</f>
        <v>0</v>
      </c>
      <c r="AE11" s="128">
        <f t="shared" ref="AE11" si="52">INDEX(Direct_Cost_Splits_Non_Ntwk,MATCH($G11,RIN_Asset_Cat_Non_Ntwk,0),MATCH($AA$4,Direct_Cost_Type,0))*M11</f>
        <v>0</v>
      </c>
      <c r="AF11" s="128">
        <f t="shared" ref="AF11" si="53">INDEX(Direct_Cost_Splits_Non_Ntwk,MATCH($G11,RIN_Asset_Cat_Non_Ntwk,0),MATCH($AA$4,Direct_Cost_Type,0))*N11</f>
        <v>0</v>
      </c>
      <c r="AG11" s="128">
        <f t="shared" ref="AG11" si="54">INDEX(Direct_Cost_Splits_Non_Ntwk,MATCH($G11,RIN_Asset_Cat_Non_Ntwk,0),MATCH($AA$4,Direct_Cost_Type,0))*O11</f>
        <v>0</v>
      </c>
      <c r="AH11" s="128">
        <f t="shared" ref="AH11" si="55">INDEX(Direct_Cost_Splits_Non_Ntwk,MATCH($G11,RIN_Asset_Cat_Non_Ntwk,0),MATCH($AA$4,Direct_Cost_Type,0))*P11</f>
        <v>0</v>
      </c>
      <c r="AI11" s="129"/>
      <c r="AJ11" s="128">
        <f>INDEX(Direct_Cost_Splits_Non_Ntwk,MATCH($G11,RIN_Asset_Cat_Non_Ntwk,0),MATCH($AJ$4,Direct_Cost_Type,0))*I11*HLOOKUP(AJ$5,Escalators!$I$25:$U$30,6,FALSE)</f>
        <v>0</v>
      </c>
      <c r="AK11" s="128">
        <f>INDEX(Direct_Cost_Splits_Non_Ntwk,MATCH($G11,RIN_Asset_Cat_Non_Ntwk,0),MATCH($AJ$4,Direct_Cost_Type,0))*J11*HLOOKUP(AK$5,Escalators!$I$25:$U$30,6,FALSE)</f>
        <v>0</v>
      </c>
      <c r="AL11" s="128">
        <f>INDEX(Direct_Cost_Splits_Non_Ntwk,MATCH($G11,RIN_Asset_Cat_Non_Ntwk,0),MATCH($AJ$4,Direct_Cost_Type,0))*K11*HLOOKUP(AL$5,Escalators!$I$25:$U$30,6,FALSE)</f>
        <v>0</v>
      </c>
      <c r="AM11" s="128">
        <f>INDEX(Direct_Cost_Splits_Non_Ntwk,MATCH($G11,RIN_Asset_Cat_Non_Ntwk,0),MATCH($AJ$4,Direct_Cost_Type,0))*L11*HLOOKUP(AM$5,Escalators!$I$25:$U$30,6,FALSE)</f>
        <v>0</v>
      </c>
      <c r="AN11" s="128">
        <f>INDEX(Direct_Cost_Splits_Non_Ntwk,MATCH($G11,RIN_Asset_Cat_Non_Ntwk,0),MATCH($AJ$4,Direct_Cost_Type,0))*M11*HLOOKUP(AN$5,Escalators!$I$25:$U$30,6,FALSE)</f>
        <v>0</v>
      </c>
      <c r="AO11" s="128">
        <f>INDEX(Direct_Cost_Splits_Non_Ntwk,MATCH($G11,RIN_Asset_Cat_Non_Ntwk,0),MATCH($AJ$4,Direct_Cost_Type,0))*N11*HLOOKUP(AO$5,Escalators!$I$25:$U$30,6,FALSE)</f>
        <v>0</v>
      </c>
      <c r="AP11" s="128">
        <f>INDEX(Direct_Cost_Splits_Non_Ntwk,MATCH($G11,RIN_Asset_Cat_Non_Ntwk,0),MATCH($AJ$4,Direct_Cost_Type,0))*O11*HLOOKUP(AP$5,Escalators!$I$25:$U$30,6,FALSE)</f>
        <v>0</v>
      </c>
      <c r="AQ11" s="128">
        <f>INDEX(Direct_Cost_Splits_Non_Ntwk,MATCH($G11,RIN_Asset_Cat_Non_Ntwk,0),MATCH($AJ$4,Direct_Cost_Type,0))*P11*HLOOKUP(AQ$5,Escalators!$I$25:$U$30,6,FALSE)</f>
        <v>0</v>
      </c>
      <c r="AR11" s="129"/>
      <c r="AS11" s="675">
        <f t="shared" ref="AS11" si="56">INDEX(Direct_Cost_Splits_Non_Ntwk,MATCH($G11,RIN_Asset_Cat_Non_Ntwk,0),MATCH($AS$4,Direct_Cost_Type,0))*I11</f>
        <v>0</v>
      </c>
      <c r="AT11" s="675">
        <f t="shared" ref="AT11" si="57">INDEX(Direct_Cost_Splits_Non_Ntwk,MATCH($G11,RIN_Asset_Cat_Non_Ntwk,0),MATCH($AS$4,Direct_Cost_Type,0))*J11</f>
        <v>0</v>
      </c>
      <c r="AU11" s="675">
        <f t="shared" ref="AU11" si="58">INDEX(Direct_Cost_Splits_Non_Ntwk,MATCH($G11,RIN_Asset_Cat_Non_Ntwk,0),MATCH($AS$4,Direct_Cost_Type,0))*K11</f>
        <v>0</v>
      </c>
      <c r="AV11" s="675">
        <f t="shared" ref="AV11" si="59">INDEX(Direct_Cost_Splits_Non_Ntwk,MATCH($G11,RIN_Asset_Cat_Non_Ntwk,0),MATCH($AS$4,Direct_Cost_Type,0))*L11</f>
        <v>0</v>
      </c>
      <c r="AW11" s="675">
        <f t="shared" ref="AW11" si="60">INDEX(Direct_Cost_Splits_Non_Ntwk,MATCH($G11,RIN_Asset_Cat_Non_Ntwk,0),MATCH($AS$4,Direct_Cost_Type,0))*M11</f>
        <v>0</v>
      </c>
      <c r="AX11" s="675">
        <f t="shared" ref="AX11" si="61">INDEX(Direct_Cost_Splits_Non_Ntwk,MATCH($G11,RIN_Asset_Cat_Non_Ntwk,0),MATCH($AS$4,Direct_Cost_Type,0))*N11</f>
        <v>0</v>
      </c>
      <c r="AY11" s="675">
        <f t="shared" ref="AY11" si="62">INDEX(Direct_Cost_Splits_Non_Ntwk,MATCH($G11,RIN_Asset_Cat_Non_Ntwk,0),MATCH($AS$4,Direct_Cost_Type,0))*O11</f>
        <v>0</v>
      </c>
      <c r="AZ11" s="675">
        <f t="shared" ref="AZ11" si="63">INDEX(Direct_Cost_Splits_Non_Ntwk,MATCH($G11,RIN_Asset_Cat_Non_Ntwk,0),MATCH($AS$4,Direct_Cost_Type,0))*P11</f>
        <v>0</v>
      </c>
      <c r="BA11" s="129"/>
      <c r="BB11" s="128">
        <f t="shared" ref="BB11" si="64">R11+AA11+AJ11+AS11</f>
        <v>0</v>
      </c>
      <c r="BC11" s="128">
        <f t="shared" ref="BC11" si="65">S11+AB11+AK11+AT11</f>
        <v>0</v>
      </c>
      <c r="BD11" s="128">
        <f t="shared" ref="BD11" si="66">T11+AC11+AL11+AU11</f>
        <v>0</v>
      </c>
      <c r="BE11" s="128">
        <f t="shared" ref="BE11" si="67">U11+AD11+AM11+AV11</f>
        <v>0</v>
      </c>
      <c r="BF11" s="128">
        <f t="shared" ref="BF11" si="68">V11+AE11+AN11+AW11</f>
        <v>0</v>
      </c>
      <c r="BG11" s="128">
        <f t="shared" ref="BG11" si="69">W11+AF11+AO11+AX11</f>
        <v>0</v>
      </c>
      <c r="BH11" s="128">
        <f t="shared" ref="BH11" si="70">X11+AG11+AP11+AY11</f>
        <v>0</v>
      </c>
      <c r="BI11" s="128">
        <f t="shared" ref="BI11" si="71">Y11+AH11+AQ11+AZ11</f>
        <v>0</v>
      </c>
    </row>
    <row r="12" spans="2:63">
      <c r="B12" s="7"/>
      <c r="C12" s="7" t="s">
        <v>453</v>
      </c>
      <c r="D12" s="7"/>
      <c r="E12" s="7" t="s">
        <v>50</v>
      </c>
      <c r="F12" s="7" t="s">
        <v>50</v>
      </c>
      <c r="G12" s="7" t="s">
        <v>5</v>
      </c>
      <c r="H12" s="7" t="s">
        <v>340</v>
      </c>
      <c r="I12" s="45"/>
      <c r="J12" s="45"/>
      <c r="K12" s="128">
        <v>0</v>
      </c>
      <c r="L12" s="128">
        <v>1198.9570261455015</v>
      </c>
      <c r="M12" s="128">
        <v>1198.9570261455015</v>
      </c>
      <c r="N12" s="128">
        <v>1198.9570261455015</v>
      </c>
      <c r="O12" s="128">
        <v>1198.9570261455015</v>
      </c>
      <c r="P12" s="128">
        <v>1198.9570261455015</v>
      </c>
      <c r="Q12" s="129"/>
      <c r="R12" s="128">
        <f>INDEX(Direct_Cost_Splits_Non_Ntwk,MATCH($G12,RIN_Asset_Cat_Non_Ntwk,0),MATCH($R$4,Direct_Cost_Type,0))*I12*HLOOKUP(R$5,Escalators!$I$25:$U$30,3,FALSE)</f>
        <v>0</v>
      </c>
      <c r="S12" s="128">
        <f>INDEX(Direct_Cost_Splits_Non_Ntwk,MATCH($G12,RIN_Asset_Cat_Non_Ntwk,0),MATCH($R$4,Direct_Cost_Type,0))*J12*HLOOKUP(S$5,Escalators!$I$25:$U$30,3,FALSE)</f>
        <v>0</v>
      </c>
      <c r="T12" s="128">
        <f>INDEX(Direct_Cost_Splits_Non_Ntwk,MATCH($G12,RIN_Asset_Cat_Non_Ntwk,0),MATCH($R$4,Direct_Cost_Type,0))*K12*HLOOKUP(T$5,Escalators!$I$25:$U$30,3,FALSE)</f>
        <v>0</v>
      </c>
      <c r="U12" s="128">
        <f>INDEX(Direct_Cost_Splits_Non_Ntwk,MATCH($G12,RIN_Asset_Cat_Non_Ntwk,0),MATCH($R$4,Direct_Cost_Type,0))*L12*HLOOKUP(U$5,Escalators!$I$25:$U$30,3,FALSE)</f>
        <v>51.404575082801728</v>
      </c>
      <c r="V12" s="128">
        <f>INDEX(Direct_Cost_Splits_Non_Ntwk,MATCH($G12,RIN_Asset_Cat_Non_Ntwk,0),MATCH($R$4,Direct_Cost_Type,0))*M12*HLOOKUP(V$5,Escalators!$I$25:$U$30,3,FALSE)</f>
        <v>51.659587702069906</v>
      </c>
      <c r="W12" s="128">
        <f>INDEX(Direct_Cost_Splits_Non_Ntwk,MATCH($G12,RIN_Asset_Cat_Non_Ntwk,0),MATCH($R$4,Direct_Cost_Type,0))*N12*HLOOKUP(W$5,Escalators!$I$25:$U$30,3,FALSE)</f>
        <v>51.996024780901656</v>
      </c>
      <c r="X12" s="128">
        <f>INDEX(Direct_Cost_Splits_Non_Ntwk,MATCH($G12,RIN_Asset_Cat_Non_Ntwk,0),MATCH($R$4,Direct_Cost_Type,0))*O12*HLOOKUP(X$5,Escalators!$I$25:$U$30,3,FALSE)</f>
        <v>52.5125865936078</v>
      </c>
      <c r="Y12" s="128">
        <f>INDEX(Direct_Cost_Splits_Non_Ntwk,MATCH($G12,RIN_Asset_Cat_Non_Ntwk,0),MATCH($R$4,Direct_Cost_Type,0))*P12*HLOOKUP(Y$5,Escalators!$I$25:$U$30,3,FALSE)</f>
        <v>53.199210917219091</v>
      </c>
      <c r="Z12" s="129"/>
      <c r="AA12" s="128">
        <f t="shared" ref="AA12" si="72">INDEX(Direct_Cost_Splits_Non_Ntwk,MATCH($G12,RIN_Asset_Cat_Non_Ntwk,0),MATCH($AA$4,Direct_Cost_Type,0))*I12</f>
        <v>0</v>
      </c>
      <c r="AB12" s="128">
        <f t="shared" ref="AB12:AC12" si="73">INDEX(Direct_Cost_Splits_Non_Ntwk,MATCH($G12,RIN_Asset_Cat_Non_Ntwk,0),MATCH($AA$4,Direct_Cost_Type,0))*J12</f>
        <v>0</v>
      </c>
      <c r="AC12" s="128">
        <f t="shared" si="73"/>
        <v>0</v>
      </c>
      <c r="AD12" s="128">
        <f t="shared" ref="AD12" si="74">INDEX(Direct_Cost_Splits_Non_Ntwk,MATCH($G12,RIN_Asset_Cat_Non_Ntwk,0),MATCH($AA$4,Direct_Cost_Type,0))*L12</f>
        <v>655.15385397267971</v>
      </c>
      <c r="AE12" s="128">
        <f t="shared" ref="AE12" si="75">INDEX(Direct_Cost_Splits_Non_Ntwk,MATCH($G12,RIN_Asset_Cat_Non_Ntwk,0),MATCH($AA$4,Direct_Cost_Type,0))*M12</f>
        <v>655.15385397267971</v>
      </c>
      <c r="AF12" s="128">
        <f t="shared" ref="AF12" si="76">INDEX(Direct_Cost_Splits_Non_Ntwk,MATCH($G12,RIN_Asset_Cat_Non_Ntwk,0),MATCH($AA$4,Direct_Cost_Type,0))*N12</f>
        <v>655.15385397267971</v>
      </c>
      <c r="AG12" s="128">
        <f t="shared" ref="AG12" si="77">INDEX(Direct_Cost_Splits_Non_Ntwk,MATCH($G12,RIN_Asset_Cat_Non_Ntwk,0),MATCH($AA$4,Direct_Cost_Type,0))*O12</f>
        <v>655.15385397267971</v>
      </c>
      <c r="AH12" s="128">
        <f t="shared" ref="AH12" si="78">INDEX(Direct_Cost_Splits_Non_Ntwk,MATCH($G12,RIN_Asset_Cat_Non_Ntwk,0),MATCH($AA$4,Direct_Cost_Type,0))*P12</f>
        <v>655.15385397267971</v>
      </c>
      <c r="AI12" s="129"/>
      <c r="AJ12" s="128">
        <f>INDEX(Direct_Cost_Splits_Non_Ntwk,MATCH($G12,RIN_Asset_Cat_Non_Ntwk,0),MATCH($AJ$4,Direct_Cost_Type,0))*I12*HLOOKUP(AJ$5,Escalators!$I$25:$U$30,6,FALSE)</f>
        <v>0</v>
      </c>
      <c r="AK12" s="128">
        <f>INDEX(Direct_Cost_Splits_Non_Ntwk,MATCH($G12,RIN_Asset_Cat_Non_Ntwk,0),MATCH($AJ$4,Direct_Cost_Type,0))*J12*HLOOKUP(AK$5,Escalators!$I$25:$U$30,6,FALSE)</f>
        <v>0</v>
      </c>
      <c r="AL12" s="128">
        <f>INDEX(Direct_Cost_Splits_Non_Ntwk,MATCH($G12,RIN_Asset_Cat_Non_Ntwk,0),MATCH($AJ$4,Direct_Cost_Type,0))*K12*HLOOKUP(AL$5,Escalators!$I$25:$U$30,6,FALSE)</f>
        <v>0</v>
      </c>
      <c r="AM12" s="128">
        <f>INDEX(Direct_Cost_Splits_Non_Ntwk,MATCH($G12,RIN_Asset_Cat_Non_Ntwk,0),MATCH($AJ$4,Direct_Cost_Type,0))*L12*HLOOKUP(AM$5,Escalators!$I$25:$U$30,6,FALSE)</f>
        <v>225.6022620054533</v>
      </c>
      <c r="AN12" s="128">
        <f>INDEX(Direct_Cost_Splits_Non_Ntwk,MATCH($G12,RIN_Asset_Cat_Non_Ntwk,0),MATCH($AJ$4,Direct_Cost_Type,0))*M12*HLOOKUP(AN$5,Escalators!$I$25:$U$30,6,FALSE)</f>
        <v>225.6022620054533</v>
      </c>
      <c r="AO12" s="128">
        <f>INDEX(Direct_Cost_Splits_Non_Ntwk,MATCH($G12,RIN_Asset_Cat_Non_Ntwk,0),MATCH($AJ$4,Direct_Cost_Type,0))*N12*HLOOKUP(AO$5,Escalators!$I$25:$U$30,6,FALSE)</f>
        <v>225.6022620054533</v>
      </c>
      <c r="AP12" s="128">
        <f>INDEX(Direct_Cost_Splits_Non_Ntwk,MATCH($G12,RIN_Asset_Cat_Non_Ntwk,0),MATCH($AJ$4,Direct_Cost_Type,0))*O12*HLOOKUP(AP$5,Escalators!$I$25:$U$30,6,FALSE)</f>
        <v>225.6022620054533</v>
      </c>
      <c r="AQ12" s="128">
        <f>INDEX(Direct_Cost_Splits_Non_Ntwk,MATCH($G12,RIN_Asset_Cat_Non_Ntwk,0),MATCH($AJ$4,Direct_Cost_Type,0))*P12*HLOOKUP(AQ$5,Escalators!$I$25:$U$30,6,FALSE)</f>
        <v>225.6022620054533</v>
      </c>
      <c r="AR12" s="129"/>
      <c r="AS12" s="675">
        <f t="shared" ref="AS12" si="79">INDEX(Direct_Cost_Splits_Non_Ntwk,MATCH($G12,RIN_Asset_Cat_Non_Ntwk,0),MATCH($AS$4,Direct_Cost_Type,0))*I12</f>
        <v>0</v>
      </c>
      <c r="AT12" s="675">
        <f t="shared" ref="AT12:AU12" si="80">INDEX(Direct_Cost_Splits_Non_Ntwk,MATCH($G12,RIN_Asset_Cat_Non_Ntwk,0),MATCH($AS$4,Direct_Cost_Type,0))*J12</f>
        <v>0</v>
      </c>
      <c r="AU12" s="675">
        <f t="shared" si="80"/>
        <v>0</v>
      </c>
      <c r="AV12" s="675">
        <f t="shared" ref="AV12" si="81">INDEX(Direct_Cost_Splits_Non_Ntwk,MATCH($G12,RIN_Asset_Cat_Non_Ntwk,0),MATCH($AS$4,Direct_Cost_Type,0))*L12</f>
        <v>268.42400894416414</v>
      </c>
      <c r="AW12" s="675">
        <f t="shared" ref="AW12" si="82">INDEX(Direct_Cost_Splits_Non_Ntwk,MATCH($G12,RIN_Asset_Cat_Non_Ntwk,0),MATCH($AS$4,Direct_Cost_Type,0))*M12</f>
        <v>268.42400894416414</v>
      </c>
      <c r="AX12" s="675">
        <f t="shared" ref="AX12" si="83">INDEX(Direct_Cost_Splits_Non_Ntwk,MATCH($G12,RIN_Asset_Cat_Non_Ntwk,0),MATCH($AS$4,Direct_Cost_Type,0))*N12</f>
        <v>268.42400894416414</v>
      </c>
      <c r="AY12" s="675">
        <f t="shared" ref="AY12" si="84">INDEX(Direct_Cost_Splits_Non_Ntwk,MATCH($G12,RIN_Asset_Cat_Non_Ntwk,0),MATCH($AS$4,Direct_Cost_Type,0))*O12</f>
        <v>268.42400894416414</v>
      </c>
      <c r="AZ12" s="675">
        <f t="shared" ref="AZ12" si="85">INDEX(Direct_Cost_Splits_Non_Ntwk,MATCH($G12,RIN_Asset_Cat_Non_Ntwk,0),MATCH($AS$4,Direct_Cost_Type,0))*P12</f>
        <v>268.42400894416414</v>
      </c>
      <c r="BA12" s="129"/>
      <c r="BB12" s="128">
        <f t="shared" ref="BB12" si="86">R12+AA12+AJ12+AS12</f>
        <v>0</v>
      </c>
      <c r="BC12" s="128">
        <f t="shared" ref="BC12:BD12" si="87">S12+AB12+AK12+AT12</f>
        <v>0</v>
      </c>
      <c r="BD12" s="128">
        <f t="shared" si="87"/>
        <v>0</v>
      </c>
      <c r="BE12" s="128">
        <f t="shared" ref="BE12" si="88">U12+AD12+AM12+AV12</f>
        <v>1200.584700005099</v>
      </c>
      <c r="BF12" s="128">
        <f t="shared" ref="BF12" si="89">V12+AE12+AN12+AW12</f>
        <v>1200.8397126243672</v>
      </c>
      <c r="BG12" s="128">
        <f t="shared" ref="BG12" si="90">W12+AF12+AO12+AX12</f>
        <v>1201.1761497031989</v>
      </c>
      <c r="BH12" s="128">
        <f t="shared" ref="BH12" si="91">X12+AG12+AP12+AY12</f>
        <v>1201.6927115159051</v>
      </c>
      <c r="BI12" s="128">
        <f t="shared" ref="BI12" si="92">Y12+AH12+AQ12+AZ12</f>
        <v>1202.3793358395164</v>
      </c>
      <c r="BK12" s="39"/>
    </row>
    <row r="13" spans="2:63">
      <c r="B13" s="7"/>
      <c r="C13" s="7"/>
      <c r="D13" s="7"/>
      <c r="E13" s="7"/>
      <c r="F13" s="7"/>
      <c r="G13" s="7"/>
      <c r="H13" s="7"/>
      <c r="I13" s="45"/>
      <c r="J13" s="45"/>
      <c r="K13" s="128"/>
      <c r="L13" s="128"/>
      <c r="M13" s="128"/>
      <c r="N13" s="128"/>
      <c r="O13" s="128"/>
      <c r="P13" s="128"/>
      <c r="Q13" s="129"/>
      <c r="R13" s="128"/>
      <c r="S13" s="128"/>
      <c r="T13" s="128"/>
      <c r="U13" s="128"/>
      <c r="V13" s="128"/>
      <c r="W13" s="128"/>
      <c r="X13" s="128"/>
      <c r="Y13" s="128"/>
      <c r="Z13" s="129"/>
      <c r="AA13" s="128"/>
      <c r="AB13" s="128"/>
      <c r="AC13" s="128"/>
      <c r="AD13" s="128"/>
      <c r="AE13" s="128"/>
      <c r="AF13" s="128"/>
      <c r="AG13" s="128"/>
      <c r="AH13" s="128"/>
      <c r="AI13" s="129"/>
      <c r="AJ13" s="128"/>
      <c r="AK13" s="128"/>
      <c r="AL13" s="128"/>
      <c r="AM13" s="128"/>
      <c r="AN13" s="128"/>
      <c r="AO13" s="128"/>
      <c r="AP13" s="128"/>
      <c r="AQ13" s="128"/>
      <c r="AR13" s="129"/>
      <c r="AS13" s="675"/>
      <c r="AT13" s="675"/>
      <c r="AU13" s="675"/>
      <c r="AV13" s="675"/>
      <c r="AW13" s="675"/>
      <c r="AX13" s="675"/>
      <c r="AY13" s="675"/>
      <c r="AZ13" s="675"/>
      <c r="BA13" s="129"/>
      <c r="BB13" s="128"/>
      <c r="BC13" s="128"/>
      <c r="BD13" s="128"/>
      <c r="BE13" s="128"/>
      <c r="BF13" s="128"/>
      <c r="BG13" s="128"/>
      <c r="BH13" s="128"/>
      <c r="BI13" s="128"/>
      <c r="BK13" s="39"/>
    </row>
    <row r="14" spans="2:63">
      <c r="B14" s="7"/>
      <c r="C14" s="7" t="s">
        <v>586</v>
      </c>
      <c r="D14" s="7"/>
      <c r="E14" s="7" t="s">
        <v>585</v>
      </c>
      <c r="F14" s="7" t="s">
        <v>50</v>
      </c>
      <c r="G14" s="7" t="s">
        <v>163</v>
      </c>
      <c r="H14" s="7" t="s">
        <v>339</v>
      </c>
      <c r="I14" s="45"/>
      <c r="J14" s="45"/>
      <c r="K14" s="128">
        <v>152.21789856580605</v>
      </c>
      <c r="L14" s="128">
        <v>1240.1278634824585</v>
      </c>
      <c r="M14" s="128">
        <v>0</v>
      </c>
      <c r="N14" s="128">
        <v>0</v>
      </c>
      <c r="O14" s="128">
        <v>0</v>
      </c>
      <c r="P14" s="128">
        <f>4601.64935049886</f>
        <v>4601.6493504988603</v>
      </c>
      <c r="Q14" s="129"/>
      <c r="R14" s="128">
        <v>0</v>
      </c>
      <c r="S14" s="128">
        <v>0</v>
      </c>
      <c r="T14" s="128">
        <v>0</v>
      </c>
      <c r="U14" s="128">
        <v>0</v>
      </c>
      <c r="V14" s="128">
        <v>0</v>
      </c>
      <c r="W14" s="128">
        <v>0</v>
      </c>
      <c r="X14" s="128">
        <v>0</v>
      </c>
      <c r="Y14" s="128">
        <v>0</v>
      </c>
      <c r="Z14" s="129"/>
      <c r="AA14" s="128">
        <v>0</v>
      </c>
      <c r="AB14" s="128">
        <v>0</v>
      </c>
      <c r="AC14" s="128">
        <v>0</v>
      </c>
      <c r="AD14" s="128">
        <v>0</v>
      </c>
      <c r="AE14" s="128">
        <v>0</v>
      </c>
      <c r="AF14" s="128">
        <v>0</v>
      </c>
      <c r="AG14" s="128">
        <v>0</v>
      </c>
      <c r="AH14" s="128">
        <v>0</v>
      </c>
      <c r="AI14" s="129"/>
      <c r="AJ14" s="128">
        <v>0</v>
      </c>
      <c r="AK14" s="128">
        <v>0</v>
      </c>
      <c r="AL14" s="128">
        <v>0</v>
      </c>
      <c r="AM14" s="128">
        <v>0</v>
      </c>
      <c r="AN14" s="128">
        <v>0</v>
      </c>
      <c r="AO14" s="128">
        <v>0</v>
      </c>
      <c r="AP14" s="128">
        <v>0</v>
      </c>
      <c r="AQ14" s="128">
        <v>0</v>
      </c>
      <c r="AR14" s="129"/>
      <c r="AS14" s="675">
        <f>I14</f>
        <v>0</v>
      </c>
      <c r="AT14" s="675">
        <f t="shared" ref="AT14:AY14" si="93">J14</f>
        <v>0</v>
      </c>
      <c r="AU14" s="675">
        <f t="shared" si="93"/>
        <v>152.21789856580605</v>
      </c>
      <c r="AV14" s="675">
        <f t="shared" si="93"/>
        <v>1240.1278634824585</v>
      </c>
      <c r="AW14" s="675">
        <f t="shared" si="93"/>
        <v>0</v>
      </c>
      <c r="AX14" s="675">
        <f t="shared" si="93"/>
        <v>0</v>
      </c>
      <c r="AY14" s="675">
        <f t="shared" si="93"/>
        <v>0</v>
      </c>
      <c r="AZ14" s="675">
        <f>P14</f>
        <v>4601.6493504988603</v>
      </c>
      <c r="BA14" s="129"/>
      <c r="BB14" s="128">
        <f t="shared" ref="BB14" si="94">R14+AA14+AJ14+AS14</f>
        <v>0</v>
      </c>
      <c r="BC14" s="128">
        <f t="shared" ref="BC14" si="95">S14+AB14+AK14+AT14</f>
        <v>0</v>
      </c>
      <c r="BD14" s="128">
        <f t="shared" ref="BD14" si="96">T14+AC14+AL14+AU14</f>
        <v>152.21789856580605</v>
      </c>
      <c r="BE14" s="128">
        <f t="shared" ref="BE14" si="97">U14+AD14+AM14+AV14</f>
        <v>1240.1278634824585</v>
      </c>
      <c r="BF14" s="128">
        <f t="shared" ref="BF14" si="98">V14+AE14+AN14+AW14</f>
        <v>0</v>
      </c>
      <c r="BG14" s="128">
        <f t="shared" ref="BG14" si="99">W14+AF14+AO14+AX14</f>
        <v>0</v>
      </c>
      <c r="BH14" s="128">
        <f t="shared" ref="BH14" si="100">X14+AG14+AP14+AY14</f>
        <v>0</v>
      </c>
      <c r="BI14" s="128">
        <f>Y14+AH14+AQ14+AZ14</f>
        <v>4601.6493504988603</v>
      </c>
    </row>
    <row r="15" spans="2:63">
      <c r="B15" s="7"/>
      <c r="C15" s="7"/>
      <c r="D15" s="7"/>
      <c r="E15" s="7"/>
      <c r="F15" s="7"/>
      <c r="G15" s="7"/>
      <c r="H15" s="7"/>
      <c r="I15" s="45"/>
      <c r="J15" s="45"/>
      <c r="K15" s="45"/>
      <c r="L15" s="45"/>
      <c r="M15" s="45"/>
      <c r="N15" s="45"/>
      <c r="O15" s="45"/>
      <c r="P15" s="45"/>
      <c r="R15" s="47"/>
      <c r="S15" s="47"/>
      <c r="T15" s="47"/>
      <c r="U15" s="47"/>
      <c r="V15" s="47"/>
      <c r="W15" s="47"/>
      <c r="X15" s="47"/>
      <c r="Y15" s="47"/>
      <c r="AA15" s="47"/>
      <c r="AB15" s="47"/>
      <c r="AC15" s="47"/>
      <c r="AD15" s="47"/>
      <c r="AE15" s="47"/>
      <c r="AF15" s="47"/>
      <c r="AG15" s="47"/>
      <c r="AH15" s="47"/>
      <c r="AJ15" s="47"/>
      <c r="AK15" s="47"/>
      <c r="AL15" s="47"/>
      <c r="AM15" s="47"/>
      <c r="AN15" s="47"/>
      <c r="AO15" s="47"/>
      <c r="AP15" s="47"/>
      <c r="AQ15" s="47"/>
      <c r="AS15" s="47"/>
      <c r="AT15" s="47"/>
      <c r="AU15" s="47"/>
      <c r="AV15" s="47"/>
      <c r="AW15" s="47"/>
      <c r="AX15" s="47"/>
      <c r="AY15" s="47"/>
      <c r="AZ15" s="47"/>
      <c r="BB15" s="369"/>
      <c r="BC15" s="47"/>
      <c r="BD15" s="47"/>
      <c r="BE15" s="47"/>
      <c r="BF15" s="47"/>
      <c r="BG15" s="47"/>
      <c r="BH15" s="47"/>
      <c r="BI15" s="47"/>
    </row>
    <row r="16" spans="2:63">
      <c r="B16" s="7"/>
      <c r="C16" s="7"/>
      <c r="D16" s="7"/>
      <c r="E16" s="7"/>
      <c r="F16" s="7"/>
      <c r="G16" s="7"/>
      <c r="H16" s="7"/>
      <c r="I16" s="45"/>
      <c r="J16" s="45"/>
      <c r="K16" s="45"/>
      <c r="L16" s="45"/>
      <c r="M16" s="45"/>
      <c r="N16" s="45"/>
      <c r="O16" s="45"/>
      <c r="P16" s="45"/>
      <c r="R16" s="47"/>
      <c r="S16" s="47"/>
      <c r="T16" s="47"/>
      <c r="U16" s="47"/>
      <c r="V16" s="47"/>
      <c r="W16" s="47"/>
      <c r="X16" s="47"/>
      <c r="Y16" s="47"/>
      <c r="AA16" s="47"/>
      <c r="AB16" s="47"/>
      <c r="AC16" s="47"/>
      <c r="AD16" s="47"/>
      <c r="AE16" s="47"/>
      <c r="AF16" s="47"/>
      <c r="AG16" s="47"/>
      <c r="AH16" s="47"/>
      <c r="AJ16" s="47"/>
      <c r="AK16" s="47"/>
      <c r="AL16" s="47"/>
      <c r="AM16" s="47"/>
      <c r="AN16" s="47"/>
      <c r="AO16" s="47"/>
      <c r="AP16" s="47"/>
      <c r="AQ16" s="47"/>
      <c r="AS16" s="47"/>
      <c r="AT16" s="47"/>
      <c r="AU16" s="47"/>
      <c r="AV16" s="47"/>
      <c r="AW16" s="47"/>
      <c r="AX16" s="47"/>
      <c r="AY16" s="47"/>
      <c r="AZ16" s="47"/>
      <c r="BB16" s="369"/>
      <c r="BC16" s="47"/>
      <c r="BD16" s="47"/>
      <c r="BE16" s="47"/>
      <c r="BF16" s="47"/>
      <c r="BG16" s="47"/>
      <c r="BH16" s="47"/>
      <c r="BI16" s="47"/>
    </row>
    <row r="17" spans="2:61">
      <c r="B17" s="7"/>
      <c r="C17" s="7"/>
      <c r="D17" s="7"/>
      <c r="E17" s="7"/>
      <c r="F17" s="7"/>
      <c r="G17" s="7"/>
      <c r="H17" s="7"/>
      <c r="I17" s="45"/>
      <c r="J17" s="45"/>
      <c r="K17" s="45"/>
      <c r="L17" s="45"/>
      <c r="M17" s="45"/>
      <c r="N17" s="45"/>
      <c r="O17" s="45"/>
      <c r="P17" s="45"/>
      <c r="R17" s="47"/>
      <c r="S17" s="47"/>
      <c r="T17" s="47"/>
      <c r="U17" s="47"/>
      <c r="V17" s="47"/>
      <c r="W17" s="47"/>
      <c r="X17" s="47"/>
      <c r="Y17" s="47"/>
      <c r="AA17" s="47"/>
      <c r="AB17" s="47"/>
      <c r="AC17" s="47"/>
      <c r="AD17" s="47"/>
      <c r="AE17" s="47"/>
      <c r="AF17" s="47"/>
      <c r="AG17" s="47"/>
      <c r="AH17" s="47"/>
      <c r="AJ17" s="47"/>
      <c r="AK17" s="47"/>
      <c r="AL17" s="47"/>
      <c r="AM17" s="47"/>
      <c r="AN17" s="47"/>
      <c r="AO17" s="47"/>
      <c r="AP17" s="47"/>
      <c r="AQ17" s="47"/>
      <c r="AS17" s="47"/>
      <c r="AT17" s="47"/>
      <c r="AU17" s="47"/>
      <c r="AV17" s="47"/>
      <c r="AW17" s="47"/>
      <c r="AX17" s="47"/>
      <c r="AY17" s="47"/>
      <c r="AZ17" s="47"/>
      <c r="BB17" s="369"/>
      <c r="BC17" s="47"/>
      <c r="BD17" s="47"/>
      <c r="BE17" s="47"/>
      <c r="BF17" s="47"/>
      <c r="BG17" s="47"/>
      <c r="BH17" s="47"/>
      <c r="BI17" s="47"/>
    </row>
    <row r="18" spans="2:61">
      <c r="B18" s="7"/>
      <c r="C18" s="7"/>
      <c r="D18" s="7"/>
      <c r="E18" s="7"/>
      <c r="F18" s="7"/>
      <c r="G18" s="7"/>
      <c r="H18" s="7"/>
      <c r="I18" s="45"/>
      <c r="J18" s="45"/>
      <c r="K18" s="45"/>
      <c r="L18" s="45"/>
      <c r="M18" s="45"/>
      <c r="N18" s="45"/>
      <c r="O18" s="45"/>
      <c r="P18" s="45"/>
      <c r="R18" s="47"/>
      <c r="S18" s="47"/>
      <c r="T18" s="47"/>
      <c r="U18" s="47"/>
      <c r="V18" s="47"/>
      <c r="W18" s="47"/>
      <c r="X18" s="47"/>
      <c r="Y18" s="47"/>
      <c r="AA18" s="47"/>
      <c r="AB18" s="47"/>
      <c r="AC18" s="47"/>
      <c r="AD18" s="47"/>
      <c r="AE18" s="47"/>
      <c r="AF18" s="47"/>
      <c r="AG18" s="47"/>
      <c r="AH18" s="47"/>
      <c r="AJ18" s="47"/>
      <c r="AK18" s="47"/>
      <c r="AL18" s="47"/>
      <c r="AM18" s="47"/>
      <c r="AN18" s="47"/>
      <c r="AO18" s="47"/>
      <c r="AP18" s="47"/>
      <c r="AQ18" s="47"/>
      <c r="AS18" s="47"/>
      <c r="AT18" s="47"/>
      <c r="AU18" s="47"/>
      <c r="AV18" s="47"/>
      <c r="AW18" s="47"/>
      <c r="AX18" s="47"/>
      <c r="AY18" s="47"/>
      <c r="AZ18" s="47"/>
      <c r="BB18" s="369"/>
      <c r="BC18" s="47"/>
      <c r="BD18" s="47"/>
      <c r="BE18" s="47"/>
      <c r="BF18" s="47"/>
      <c r="BG18" s="47"/>
      <c r="BH18" s="47"/>
      <c r="BI18" s="47"/>
    </row>
    <row r="19" spans="2:61">
      <c r="B19" s="7"/>
      <c r="C19" s="7"/>
      <c r="D19" s="7"/>
      <c r="E19" s="7"/>
      <c r="F19" s="7"/>
      <c r="G19" s="7"/>
      <c r="H19" s="7"/>
      <c r="I19" s="45"/>
      <c r="J19" s="45"/>
      <c r="K19" s="45"/>
      <c r="L19" s="45"/>
      <c r="M19" s="45"/>
      <c r="N19" s="45"/>
      <c r="O19" s="45"/>
      <c r="P19" s="45"/>
      <c r="R19" s="47"/>
      <c r="S19" s="47"/>
      <c r="T19" s="47"/>
      <c r="U19" s="47"/>
      <c r="V19" s="47"/>
      <c r="W19" s="47"/>
      <c r="X19" s="47"/>
      <c r="Y19" s="47"/>
      <c r="AA19" s="47"/>
      <c r="AB19" s="47"/>
      <c r="AC19" s="47"/>
      <c r="AD19" s="47"/>
      <c r="AE19" s="47"/>
      <c r="AF19" s="47"/>
      <c r="AG19" s="47"/>
      <c r="AH19" s="47"/>
      <c r="AJ19" s="47"/>
      <c r="AK19" s="47"/>
      <c r="AL19" s="47"/>
      <c r="AM19" s="47"/>
      <c r="AN19" s="47"/>
      <c r="AO19" s="47"/>
      <c r="AP19" s="47"/>
      <c r="AQ19" s="47"/>
      <c r="AS19" s="47"/>
      <c r="AT19" s="47"/>
      <c r="AU19" s="47"/>
      <c r="AV19" s="47"/>
      <c r="AW19" s="47"/>
      <c r="AX19" s="47"/>
      <c r="AY19" s="47"/>
      <c r="AZ19" s="47"/>
      <c r="BB19" s="369"/>
      <c r="BC19" s="47"/>
      <c r="BD19" s="47"/>
      <c r="BE19" s="47"/>
      <c r="BF19" s="47"/>
      <c r="BG19" s="47"/>
      <c r="BH19" s="47"/>
      <c r="BI19" s="47"/>
    </row>
    <row r="20" spans="2:61">
      <c r="B20" s="7"/>
      <c r="C20" s="7"/>
      <c r="D20" s="7"/>
      <c r="E20" s="7"/>
      <c r="F20" s="7"/>
      <c r="G20" s="7"/>
      <c r="H20" s="7"/>
      <c r="I20" s="45"/>
      <c r="J20" s="45"/>
      <c r="K20" s="45"/>
      <c r="L20" s="45"/>
      <c r="M20" s="45"/>
      <c r="N20" s="45"/>
      <c r="O20" s="45"/>
      <c r="P20" s="45"/>
      <c r="R20" s="47"/>
      <c r="S20" s="47"/>
      <c r="T20" s="47"/>
      <c r="U20" s="47"/>
      <c r="V20" s="47"/>
      <c r="W20" s="47"/>
      <c r="X20" s="47"/>
      <c r="Y20" s="47"/>
      <c r="AA20" s="47"/>
      <c r="AB20" s="47"/>
      <c r="AC20" s="47"/>
      <c r="AD20" s="47"/>
      <c r="AE20" s="47"/>
      <c r="AF20" s="47"/>
      <c r="AG20" s="47"/>
      <c r="AH20" s="47"/>
      <c r="AJ20" s="47"/>
      <c r="AK20" s="47"/>
      <c r="AL20" s="47"/>
      <c r="AM20" s="47"/>
      <c r="AN20" s="47"/>
      <c r="AO20" s="47"/>
      <c r="AP20" s="47"/>
      <c r="AQ20" s="47"/>
      <c r="AS20" s="47"/>
      <c r="AT20" s="47"/>
      <c r="AU20" s="47"/>
      <c r="AV20" s="47"/>
      <c r="AW20" s="47"/>
      <c r="AX20" s="47"/>
      <c r="AY20" s="47"/>
      <c r="AZ20" s="47"/>
      <c r="BB20" s="369"/>
      <c r="BC20" s="47"/>
      <c r="BD20" s="47"/>
      <c r="BE20" s="47"/>
      <c r="BF20" s="47"/>
      <c r="BG20" s="47"/>
      <c r="BH20" s="47"/>
      <c r="BI20" s="47"/>
    </row>
    <row r="21" spans="2:61">
      <c r="B21" s="7"/>
      <c r="C21" s="7"/>
      <c r="D21" s="7"/>
      <c r="E21" s="7"/>
      <c r="F21" s="7"/>
      <c r="G21" s="7"/>
      <c r="H21" s="7"/>
      <c r="I21" s="45"/>
      <c r="J21" s="45"/>
      <c r="K21" s="45"/>
      <c r="L21" s="45"/>
      <c r="M21" s="45"/>
      <c r="N21" s="45"/>
      <c r="O21" s="45"/>
      <c r="P21" s="45"/>
      <c r="R21" s="47"/>
      <c r="S21" s="47"/>
      <c r="T21" s="47"/>
      <c r="U21" s="47"/>
      <c r="V21" s="47"/>
      <c r="W21" s="47"/>
      <c r="X21" s="47"/>
      <c r="Y21" s="47"/>
      <c r="AA21" s="47"/>
      <c r="AB21" s="47"/>
      <c r="AC21" s="47"/>
      <c r="AD21" s="47"/>
      <c r="AE21" s="47"/>
      <c r="AF21" s="47"/>
      <c r="AG21" s="47"/>
      <c r="AH21" s="47"/>
      <c r="AJ21" s="47"/>
      <c r="AK21" s="47"/>
      <c r="AL21" s="47"/>
      <c r="AM21" s="47"/>
      <c r="AN21" s="47"/>
      <c r="AO21" s="47"/>
      <c r="AP21" s="47"/>
      <c r="AQ21" s="47"/>
      <c r="AS21" s="47"/>
      <c r="AT21" s="47"/>
      <c r="AU21" s="47"/>
      <c r="AV21" s="47"/>
      <c r="AW21" s="47"/>
      <c r="AX21" s="47"/>
      <c r="AY21" s="47"/>
      <c r="AZ21" s="47"/>
      <c r="BB21" s="369"/>
      <c r="BC21" s="47"/>
      <c r="BD21" s="47"/>
      <c r="BE21" s="47"/>
      <c r="BF21" s="47"/>
      <c r="BG21" s="47"/>
      <c r="BH21" s="47"/>
      <c r="BI21" s="47"/>
    </row>
    <row r="22" spans="2:61">
      <c r="B22" s="7"/>
      <c r="C22" s="7"/>
      <c r="D22" s="7"/>
      <c r="E22" s="7"/>
      <c r="F22" s="7"/>
      <c r="G22" s="7"/>
      <c r="H22" s="7"/>
      <c r="I22" s="45"/>
      <c r="J22" s="45"/>
      <c r="K22" s="45"/>
      <c r="L22" s="45"/>
      <c r="M22" s="45"/>
      <c r="N22" s="45"/>
      <c r="O22" s="45"/>
      <c r="P22" s="45"/>
      <c r="R22" s="47"/>
      <c r="S22" s="47"/>
      <c r="T22" s="47"/>
      <c r="U22" s="47"/>
      <c r="V22" s="47"/>
      <c r="W22" s="47"/>
      <c r="X22" s="47"/>
      <c r="Y22" s="47"/>
      <c r="AA22" s="47"/>
      <c r="AB22" s="47"/>
      <c r="AC22" s="47"/>
      <c r="AD22" s="47"/>
      <c r="AE22" s="47"/>
      <c r="AF22" s="47"/>
      <c r="AG22" s="47"/>
      <c r="AH22" s="47"/>
      <c r="AJ22" s="47"/>
      <c r="AK22" s="47"/>
      <c r="AL22" s="47"/>
      <c r="AM22" s="47"/>
      <c r="AN22" s="47"/>
      <c r="AO22" s="47"/>
      <c r="AP22" s="47"/>
      <c r="AQ22" s="47"/>
      <c r="AS22" s="47"/>
      <c r="AT22" s="47"/>
      <c r="AU22" s="47"/>
      <c r="AV22" s="47"/>
      <c r="AW22" s="47"/>
      <c r="AX22" s="47"/>
      <c r="AY22" s="47"/>
      <c r="AZ22" s="47"/>
      <c r="BB22" s="369"/>
      <c r="BC22" s="47"/>
      <c r="BD22" s="47"/>
      <c r="BE22" s="47"/>
      <c r="BF22" s="47"/>
      <c r="BG22" s="47"/>
      <c r="BH22" s="47"/>
      <c r="BI22" s="47"/>
    </row>
    <row r="23" spans="2:61">
      <c r="B23" s="7"/>
      <c r="C23" s="7"/>
      <c r="D23" s="7"/>
      <c r="E23" s="7"/>
      <c r="F23" s="7"/>
      <c r="G23" s="7"/>
      <c r="H23" s="7"/>
      <c r="I23" s="45"/>
      <c r="J23" s="45"/>
      <c r="K23" s="45"/>
      <c r="L23" s="45"/>
      <c r="M23" s="45"/>
      <c r="N23" s="45"/>
      <c r="O23" s="45"/>
      <c r="P23" s="45"/>
      <c r="R23" s="47"/>
      <c r="S23" s="47"/>
      <c r="T23" s="47"/>
      <c r="U23" s="47"/>
      <c r="V23" s="47"/>
      <c r="W23" s="47"/>
      <c r="X23" s="47"/>
      <c r="Y23" s="47"/>
      <c r="AA23" s="47"/>
      <c r="AB23" s="47"/>
      <c r="AC23" s="47"/>
      <c r="AD23" s="47"/>
      <c r="AE23" s="47"/>
      <c r="AF23" s="47"/>
      <c r="AG23" s="47"/>
      <c r="AH23" s="47"/>
      <c r="AJ23" s="47"/>
      <c r="AK23" s="47"/>
      <c r="AL23" s="47"/>
      <c r="AM23" s="47"/>
      <c r="AN23" s="47"/>
      <c r="AO23" s="47"/>
      <c r="AP23" s="47"/>
      <c r="AQ23" s="47"/>
      <c r="AS23" s="47"/>
      <c r="AT23" s="47"/>
      <c r="AU23" s="47"/>
      <c r="AV23" s="47"/>
      <c r="AW23" s="47"/>
      <c r="AX23" s="47"/>
      <c r="AY23" s="47"/>
      <c r="AZ23" s="47"/>
      <c r="BB23" s="369"/>
      <c r="BC23" s="47"/>
      <c r="BD23" s="47"/>
      <c r="BE23" s="47"/>
      <c r="BF23" s="47"/>
      <c r="BG23" s="47"/>
      <c r="BH23" s="47"/>
      <c r="BI23" s="47"/>
    </row>
    <row r="24" spans="2:61">
      <c r="B24" s="7"/>
      <c r="C24" s="7"/>
      <c r="D24" s="7"/>
      <c r="E24" s="7"/>
      <c r="F24" s="7"/>
      <c r="G24" s="7"/>
      <c r="H24" s="7"/>
      <c r="I24" s="45"/>
      <c r="J24" s="45"/>
      <c r="K24" s="45"/>
      <c r="L24" s="45"/>
      <c r="M24" s="45"/>
      <c r="N24" s="45"/>
      <c r="O24" s="45"/>
      <c r="P24" s="45"/>
      <c r="R24" s="47"/>
      <c r="S24" s="47"/>
      <c r="T24" s="47"/>
      <c r="U24" s="47"/>
      <c r="V24" s="47"/>
      <c r="W24" s="47"/>
      <c r="X24" s="47"/>
      <c r="Y24" s="47"/>
      <c r="AA24" s="47"/>
      <c r="AB24" s="47"/>
      <c r="AC24" s="47"/>
      <c r="AD24" s="47"/>
      <c r="AE24" s="47"/>
      <c r="AF24" s="47"/>
      <c r="AG24" s="47"/>
      <c r="AH24" s="47"/>
      <c r="AJ24" s="47"/>
      <c r="AK24" s="47"/>
      <c r="AL24" s="47"/>
      <c r="AM24" s="47"/>
      <c r="AN24" s="47"/>
      <c r="AO24" s="47"/>
      <c r="AP24" s="47"/>
      <c r="AQ24" s="47"/>
      <c r="AS24" s="47"/>
      <c r="AT24" s="47"/>
      <c r="AU24" s="47"/>
      <c r="AV24" s="47"/>
      <c r="AW24" s="47"/>
      <c r="AX24" s="47"/>
      <c r="AY24" s="47"/>
      <c r="AZ24" s="47"/>
      <c r="BB24" s="369"/>
      <c r="BC24" s="47"/>
      <c r="BD24" s="47"/>
      <c r="BE24" s="47"/>
      <c r="BF24" s="47"/>
      <c r="BG24" s="47"/>
      <c r="BH24" s="47"/>
      <c r="BI24" s="47"/>
    </row>
    <row r="25" spans="2:61">
      <c r="B25" s="7"/>
      <c r="C25" s="7"/>
      <c r="D25" s="7"/>
      <c r="E25" s="7"/>
      <c r="F25" s="7"/>
      <c r="G25" s="7"/>
      <c r="H25" s="7"/>
      <c r="I25" s="45"/>
      <c r="J25" s="45"/>
      <c r="K25" s="45"/>
      <c r="L25" s="45"/>
      <c r="M25" s="45"/>
      <c r="N25" s="45"/>
      <c r="O25" s="45"/>
      <c r="P25" s="45"/>
      <c r="R25" s="47"/>
      <c r="S25" s="47"/>
      <c r="T25" s="47"/>
      <c r="U25" s="47"/>
      <c r="V25" s="47"/>
      <c r="W25" s="47"/>
      <c r="X25" s="47"/>
      <c r="Y25" s="47"/>
      <c r="AA25" s="47"/>
      <c r="AB25" s="47"/>
      <c r="AC25" s="47"/>
      <c r="AD25" s="47"/>
      <c r="AE25" s="47"/>
      <c r="AF25" s="47"/>
      <c r="AG25" s="47"/>
      <c r="AH25" s="47"/>
      <c r="AJ25" s="47"/>
      <c r="AK25" s="47"/>
      <c r="AL25" s="47"/>
      <c r="AM25" s="47"/>
      <c r="AN25" s="47"/>
      <c r="AO25" s="47"/>
      <c r="AP25" s="47"/>
      <c r="AQ25" s="47"/>
      <c r="AS25" s="47"/>
      <c r="AT25" s="47"/>
      <c r="AU25" s="47"/>
      <c r="AV25" s="47"/>
      <c r="AW25" s="47"/>
      <c r="AX25" s="47"/>
      <c r="AY25" s="47"/>
      <c r="AZ25" s="47"/>
      <c r="BB25" s="369"/>
      <c r="BC25" s="47"/>
      <c r="BD25" s="47"/>
      <c r="BE25" s="47"/>
      <c r="BF25" s="47"/>
      <c r="BG25" s="47"/>
      <c r="BH25" s="47"/>
      <c r="BI25" s="47"/>
    </row>
    <row r="26" spans="2:61">
      <c r="B26" s="7"/>
      <c r="C26" s="7"/>
      <c r="D26" s="7"/>
      <c r="E26" s="7"/>
      <c r="F26" s="7"/>
      <c r="G26" s="7"/>
      <c r="H26" s="7"/>
      <c r="I26" s="45"/>
      <c r="J26" s="45"/>
      <c r="K26" s="45"/>
      <c r="L26" s="45"/>
      <c r="M26" s="45"/>
      <c r="N26" s="45"/>
      <c r="O26" s="45"/>
      <c r="P26" s="45"/>
      <c r="R26" s="47"/>
      <c r="S26" s="47"/>
      <c r="T26" s="47"/>
      <c r="U26" s="47"/>
      <c r="V26" s="47"/>
      <c r="W26" s="47"/>
      <c r="X26" s="47"/>
      <c r="Y26" s="47"/>
      <c r="AA26" s="47"/>
      <c r="AB26" s="47"/>
      <c r="AC26" s="47"/>
      <c r="AD26" s="47"/>
      <c r="AE26" s="47"/>
      <c r="AF26" s="47"/>
      <c r="AG26" s="47"/>
      <c r="AH26" s="47"/>
      <c r="AJ26" s="47"/>
      <c r="AK26" s="47"/>
      <c r="AL26" s="47"/>
      <c r="AM26" s="47"/>
      <c r="AN26" s="47"/>
      <c r="AO26" s="47"/>
      <c r="AP26" s="47"/>
      <c r="AQ26" s="47"/>
      <c r="AS26" s="47"/>
      <c r="AT26" s="47"/>
      <c r="AU26" s="47"/>
      <c r="AV26" s="47"/>
      <c r="AW26" s="47"/>
      <c r="AX26" s="47"/>
      <c r="AY26" s="47"/>
      <c r="AZ26" s="47"/>
      <c r="BB26" s="369"/>
      <c r="BC26" s="47"/>
      <c r="BD26" s="47"/>
      <c r="BE26" s="47"/>
      <c r="BF26" s="47"/>
      <c r="BG26" s="47"/>
      <c r="BH26" s="47"/>
      <c r="BI26" s="47"/>
    </row>
    <row r="27" spans="2:61">
      <c r="B27" s="7"/>
      <c r="C27" s="7"/>
      <c r="D27" s="7"/>
      <c r="E27" s="7"/>
      <c r="F27" s="7"/>
      <c r="G27" s="7"/>
      <c r="H27" s="7"/>
      <c r="I27" s="45"/>
      <c r="J27" s="45"/>
      <c r="K27" s="45"/>
      <c r="L27" s="45"/>
      <c r="M27" s="45"/>
      <c r="N27" s="45"/>
      <c r="O27" s="45"/>
      <c r="P27" s="45"/>
      <c r="R27" s="47"/>
      <c r="S27" s="47"/>
      <c r="T27" s="47"/>
      <c r="U27" s="47"/>
      <c r="V27" s="47"/>
      <c r="W27" s="47"/>
      <c r="X27" s="47"/>
      <c r="Y27" s="47"/>
      <c r="AA27" s="47"/>
      <c r="AB27" s="47"/>
      <c r="AC27" s="47"/>
      <c r="AD27" s="47"/>
      <c r="AE27" s="47"/>
      <c r="AF27" s="47"/>
      <c r="AG27" s="47"/>
      <c r="AH27" s="47"/>
      <c r="AJ27" s="47"/>
      <c r="AK27" s="47"/>
      <c r="AL27" s="47"/>
      <c r="AM27" s="47"/>
      <c r="AN27" s="47"/>
      <c r="AO27" s="47"/>
      <c r="AP27" s="47"/>
      <c r="AQ27" s="47"/>
      <c r="AS27" s="47"/>
      <c r="AT27" s="47"/>
      <c r="AU27" s="47"/>
      <c r="AV27" s="47"/>
      <c r="AW27" s="47"/>
      <c r="AX27" s="47"/>
      <c r="AY27" s="47"/>
      <c r="AZ27" s="47"/>
      <c r="BB27" s="369"/>
      <c r="BC27" s="47"/>
      <c r="BD27" s="47"/>
      <c r="BE27" s="47"/>
      <c r="BF27" s="47"/>
      <c r="BG27" s="47"/>
      <c r="BH27" s="47"/>
      <c r="BI27" s="47"/>
    </row>
    <row r="28" spans="2:61">
      <c r="B28" s="7"/>
      <c r="C28" s="7"/>
      <c r="D28" s="7"/>
      <c r="E28" s="7"/>
      <c r="F28" s="7"/>
      <c r="G28" s="7"/>
      <c r="H28" s="7"/>
      <c r="I28" s="45"/>
      <c r="J28" s="45"/>
      <c r="K28" s="45"/>
      <c r="L28" s="45"/>
      <c r="M28" s="45"/>
      <c r="N28" s="45"/>
      <c r="O28" s="45"/>
      <c r="P28" s="45"/>
      <c r="R28" s="47"/>
      <c r="S28" s="47"/>
      <c r="T28" s="47"/>
      <c r="U28" s="47"/>
      <c r="V28" s="47"/>
      <c r="W28" s="47"/>
      <c r="X28" s="47"/>
      <c r="Y28" s="47"/>
      <c r="AA28" s="47"/>
      <c r="AB28" s="47"/>
      <c r="AC28" s="47"/>
      <c r="AD28" s="47"/>
      <c r="AE28" s="47"/>
      <c r="AF28" s="47"/>
      <c r="AG28" s="47"/>
      <c r="AH28" s="47"/>
      <c r="AJ28" s="47"/>
      <c r="AK28" s="47"/>
      <c r="AL28" s="47"/>
      <c r="AM28" s="47"/>
      <c r="AN28" s="47"/>
      <c r="AO28" s="47"/>
      <c r="AP28" s="47"/>
      <c r="AQ28" s="47"/>
      <c r="AS28" s="47"/>
      <c r="AT28" s="47"/>
      <c r="AU28" s="47"/>
      <c r="AV28" s="47"/>
      <c r="AW28" s="47"/>
      <c r="AX28" s="47"/>
      <c r="AY28" s="47"/>
      <c r="AZ28" s="47"/>
      <c r="BB28" s="369"/>
      <c r="BC28" s="47"/>
      <c r="BD28" s="47"/>
      <c r="BE28" s="47"/>
      <c r="BF28" s="47"/>
      <c r="BG28" s="47"/>
      <c r="BH28" s="47"/>
      <c r="BI28" s="47"/>
    </row>
    <row r="29" spans="2:61">
      <c r="B29" s="7"/>
      <c r="C29" s="7"/>
      <c r="D29" s="7"/>
      <c r="E29" s="7"/>
      <c r="F29" s="7"/>
      <c r="G29" s="7"/>
      <c r="H29" s="7"/>
      <c r="I29" s="45"/>
      <c r="J29" s="45"/>
      <c r="K29" s="45"/>
      <c r="L29" s="45"/>
      <c r="M29" s="45"/>
      <c r="N29" s="45"/>
      <c r="O29" s="45"/>
      <c r="P29" s="45"/>
      <c r="R29" s="47"/>
      <c r="S29" s="47"/>
      <c r="T29" s="47"/>
      <c r="U29" s="47"/>
      <c r="V29" s="47"/>
      <c r="W29" s="47"/>
      <c r="X29" s="47"/>
      <c r="Y29" s="47"/>
      <c r="AA29" s="47"/>
      <c r="AB29" s="47"/>
      <c r="AC29" s="47"/>
      <c r="AD29" s="47"/>
      <c r="AE29" s="47"/>
      <c r="AF29" s="47"/>
      <c r="AG29" s="47"/>
      <c r="AH29" s="47"/>
      <c r="AJ29" s="47"/>
      <c r="AK29" s="47"/>
      <c r="AL29" s="47"/>
      <c r="AM29" s="47"/>
      <c r="AN29" s="47"/>
      <c r="AO29" s="47"/>
      <c r="AP29" s="47"/>
      <c r="AQ29" s="47"/>
      <c r="AS29" s="47"/>
      <c r="AT29" s="47"/>
      <c r="AU29" s="47"/>
      <c r="AV29" s="47"/>
      <c r="AW29" s="47"/>
      <c r="AX29" s="47"/>
      <c r="AY29" s="47"/>
      <c r="AZ29" s="47"/>
      <c r="BB29" s="369"/>
      <c r="BC29" s="47"/>
      <c r="BD29" s="47"/>
      <c r="BE29" s="47"/>
      <c r="BF29" s="47"/>
      <c r="BG29" s="47"/>
      <c r="BH29" s="47"/>
      <c r="BI29" s="47"/>
    </row>
    <row r="30" spans="2:61">
      <c r="B30" s="7"/>
      <c r="C30" s="7"/>
      <c r="D30" s="7"/>
      <c r="E30" s="7"/>
      <c r="F30" s="7"/>
      <c r="G30" s="7"/>
      <c r="H30" s="7"/>
      <c r="I30" s="45"/>
      <c r="J30" s="45"/>
      <c r="K30" s="45"/>
      <c r="L30" s="45"/>
      <c r="M30" s="45"/>
      <c r="N30" s="45"/>
      <c r="O30" s="45"/>
      <c r="P30" s="45"/>
      <c r="R30" s="47"/>
      <c r="S30" s="47"/>
      <c r="T30" s="47"/>
      <c r="U30" s="47"/>
      <c r="V30" s="47"/>
      <c r="W30" s="47"/>
      <c r="X30" s="47"/>
      <c r="Y30" s="47"/>
      <c r="AA30" s="47"/>
      <c r="AB30" s="47"/>
      <c r="AC30" s="47"/>
      <c r="AD30" s="47"/>
      <c r="AE30" s="47"/>
      <c r="AF30" s="47"/>
      <c r="AG30" s="47"/>
      <c r="AH30" s="47"/>
      <c r="AJ30" s="47"/>
      <c r="AK30" s="47"/>
      <c r="AL30" s="47"/>
      <c r="AM30" s="47"/>
      <c r="AN30" s="47"/>
      <c r="AO30" s="47"/>
      <c r="AP30" s="47"/>
      <c r="AQ30" s="47"/>
      <c r="AS30" s="47"/>
      <c r="AT30" s="47"/>
      <c r="AU30" s="47"/>
      <c r="AV30" s="47"/>
      <c r="AW30" s="47"/>
      <c r="AX30" s="47"/>
      <c r="AY30" s="47"/>
      <c r="AZ30" s="47"/>
      <c r="BB30" s="369"/>
      <c r="BC30" s="47"/>
      <c r="BD30" s="47"/>
      <c r="BE30" s="47"/>
      <c r="BF30" s="47"/>
      <c r="BG30" s="47"/>
      <c r="BH30" s="47"/>
      <c r="BI30" s="47"/>
    </row>
    <row r="31" spans="2:61">
      <c r="B31" s="7"/>
      <c r="C31" s="7"/>
      <c r="D31" s="7"/>
      <c r="E31" s="7"/>
      <c r="F31" s="7"/>
      <c r="G31" s="7"/>
      <c r="H31" s="7"/>
      <c r="I31" s="45"/>
      <c r="J31" s="45"/>
      <c r="K31" s="45"/>
      <c r="L31" s="45"/>
      <c r="M31" s="45"/>
      <c r="N31" s="45"/>
      <c r="O31" s="45"/>
      <c r="P31" s="45"/>
      <c r="R31" s="47"/>
      <c r="S31" s="47"/>
      <c r="T31" s="47"/>
      <c r="U31" s="47"/>
      <c r="V31" s="47"/>
      <c r="W31" s="47"/>
      <c r="X31" s="47"/>
      <c r="Y31" s="47"/>
      <c r="AA31" s="47"/>
      <c r="AB31" s="47"/>
      <c r="AC31" s="47"/>
      <c r="AD31" s="47"/>
      <c r="AE31" s="47"/>
      <c r="AF31" s="47"/>
      <c r="AG31" s="47"/>
      <c r="AH31" s="47"/>
      <c r="AJ31" s="47"/>
      <c r="AK31" s="47"/>
      <c r="AL31" s="47"/>
      <c r="AM31" s="47"/>
      <c r="AN31" s="47"/>
      <c r="AO31" s="47"/>
      <c r="AP31" s="47"/>
      <c r="AQ31" s="47"/>
      <c r="AS31" s="47"/>
      <c r="AT31" s="47"/>
      <c r="AU31" s="47"/>
      <c r="AV31" s="47"/>
      <c r="AW31" s="47"/>
      <c r="AX31" s="47"/>
      <c r="AY31" s="47"/>
      <c r="AZ31" s="47"/>
      <c r="BB31" s="369"/>
      <c r="BC31" s="47"/>
      <c r="BD31" s="47"/>
      <c r="BE31" s="47"/>
      <c r="BF31" s="47"/>
      <c r="BG31" s="47"/>
      <c r="BH31" s="47"/>
      <c r="BI31" s="47"/>
    </row>
    <row r="32" spans="2:61">
      <c r="B32" s="7"/>
      <c r="C32" s="7"/>
      <c r="D32" s="7"/>
      <c r="E32" s="7"/>
      <c r="F32" s="7"/>
      <c r="G32" s="7"/>
      <c r="H32" s="7"/>
      <c r="I32" s="45"/>
      <c r="J32" s="45"/>
      <c r="K32" s="45"/>
      <c r="L32" s="45"/>
      <c r="M32" s="45"/>
      <c r="N32" s="45"/>
      <c r="O32" s="45"/>
      <c r="P32" s="45"/>
      <c r="R32" s="47"/>
      <c r="S32" s="47"/>
      <c r="T32" s="47"/>
      <c r="U32" s="47"/>
      <c r="V32" s="47"/>
      <c r="W32" s="47"/>
      <c r="X32" s="47"/>
      <c r="Y32" s="47"/>
      <c r="AA32" s="47"/>
      <c r="AB32" s="47"/>
      <c r="AC32" s="47"/>
      <c r="AD32" s="47"/>
      <c r="AE32" s="47"/>
      <c r="AF32" s="47"/>
      <c r="AG32" s="47"/>
      <c r="AH32" s="47"/>
      <c r="AJ32" s="47"/>
      <c r="AK32" s="47"/>
      <c r="AL32" s="47"/>
      <c r="AM32" s="47"/>
      <c r="AN32" s="47"/>
      <c r="AO32" s="47"/>
      <c r="AP32" s="47"/>
      <c r="AQ32" s="47"/>
      <c r="AS32" s="47"/>
      <c r="AT32" s="47"/>
      <c r="AU32" s="47"/>
      <c r="AV32" s="47"/>
      <c r="AW32" s="47"/>
      <c r="AX32" s="47"/>
      <c r="AY32" s="47"/>
      <c r="AZ32" s="47"/>
      <c r="BB32" s="369"/>
      <c r="BC32" s="47"/>
      <c r="BD32" s="47"/>
      <c r="BE32" s="47"/>
      <c r="BF32" s="47"/>
      <c r="BG32" s="47"/>
      <c r="BH32" s="47"/>
      <c r="BI32" s="47"/>
    </row>
    <row r="33" spans="2:61">
      <c r="B33" s="7"/>
      <c r="C33" s="7"/>
      <c r="D33" s="7"/>
      <c r="E33" s="7"/>
      <c r="F33" s="7"/>
      <c r="G33" s="7"/>
      <c r="H33" s="7"/>
      <c r="I33" s="45"/>
      <c r="J33" s="45"/>
      <c r="K33" s="45"/>
      <c r="L33" s="45"/>
      <c r="M33" s="45"/>
      <c r="N33" s="45"/>
      <c r="O33" s="45"/>
      <c r="P33" s="45"/>
      <c r="R33" s="47"/>
      <c r="S33" s="47"/>
      <c r="T33" s="47"/>
      <c r="U33" s="47"/>
      <c r="V33" s="47"/>
      <c r="W33" s="47"/>
      <c r="X33" s="47"/>
      <c r="Y33" s="47"/>
      <c r="AA33" s="47"/>
      <c r="AB33" s="47"/>
      <c r="AC33" s="47"/>
      <c r="AD33" s="47"/>
      <c r="AE33" s="47"/>
      <c r="AF33" s="47"/>
      <c r="AG33" s="47"/>
      <c r="AH33" s="47"/>
      <c r="AJ33" s="47"/>
      <c r="AK33" s="47"/>
      <c r="AL33" s="47"/>
      <c r="AM33" s="47"/>
      <c r="AN33" s="47"/>
      <c r="AO33" s="47"/>
      <c r="AP33" s="47"/>
      <c r="AQ33" s="47"/>
      <c r="AS33" s="47"/>
      <c r="AT33" s="47"/>
      <c r="AU33" s="47"/>
      <c r="AV33" s="47"/>
      <c r="AW33" s="47"/>
      <c r="AX33" s="47"/>
      <c r="AY33" s="47"/>
      <c r="AZ33" s="47"/>
      <c r="BB33" s="369"/>
      <c r="BC33" s="47"/>
      <c r="BD33" s="47"/>
      <c r="BE33" s="47"/>
      <c r="BF33" s="47"/>
      <c r="BG33" s="47"/>
      <c r="BH33" s="47"/>
      <c r="BI33" s="47"/>
    </row>
    <row r="34" spans="2:61">
      <c r="B34" s="7"/>
      <c r="C34" s="7"/>
      <c r="D34" s="7"/>
      <c r="E34" s="7"/>
      <c r="F34" s="7"/>
      <c r="G34" s="7"/>
      <c r="H34" s="7"/>
      <c r="I34" s="45"/>
      <c r="J34" s="45"/>
      <c r="K34" s="45"/>
      <c r="L34" s="45"/>
      <c r="M34" s="45"/>
      <c r="N34" s="45"/>
      <c r="O34" s="45"/>
      <c r="P34" s="45"/>
      <c r="R34" s="47"/>
      <c r="S34" s="47"/>
      <c r="T34" s="47"/>
      <c r="U34" s="47"/>
      <c r="V34" s="47"/>
      <c r="W34" s="47"/>
      <c r="X34" s="47"/>
      <c r="Y34" s="47"/>
      <c r="AA34" s="47"/>
      <c r="AB34" s="47"/>
      <c r="AC34" s="47"/>
      <c r="AD34" s="47"/>
      <c r="AE34" s="47"/>
      <c r="AF34" s="47"/>
      <c r="AG34" s="47"/>
      <c r="AH34" s="47"/>
      <c r="AJ34" s="47"/>
      <c r="AK34" s="47"/>
      <c r="AL34" s="47"/>
      <c r="AM34" s="47"/>
      <c r="AN34" s="47"/>
      <c r="AO34" s="47"/>
      <c r="AP34" s="47"/>
      <c r="AQ34" s="47"/>
      <c r="AS34" s="47"/>
      <c r="AT34" s="47"/>
      <c r="AU34" s="47"/>
      <c r="AV34" s="47"/>
      <c r="AW34" s="47"/>
      <c r="AX34" s="47"/>
      <c r="AY34" s="47"/>
      <c r="AZ34" s="47"/>
      <c r="BB34" s="369"/>
      <c r="BC34" s="47"/>
      <c r="BD34" s="47"/>
      <c r="BE34" s="47"/>
      <c r="BF34" s="47"/>
      <c r="BG34" s="47"/>
      <c r="BH34" s="47"/>
      <c r="BI34" s="47"/>
    </row>
    <row r="35" spans="2:61">
      <c r="B35" s="7"/>
      <c r="C35" s="7"/>
      <c r="D35" s="7"/>
      <c r="E35" s="7"/>
      <c r="F35" s="7"/>
      <c r="G35" s="7"/>
      <c r="H35" s="7"/>
      <c r="I35" s="45"/>
      <c r="J35" s="45"/>
      <c r="K35" s="45"/>
      <c r="L35" s="45"/>
      <c r="M35" s="45"/>
      <c r="N35" s="45"/>
      <c r="O35" s="45"/>
      <c r="P35" s="45"/>
      <c r="R35" s="47"/>
      <c r="S35" s="47"/>
      <c r="T35" s="47"/>
      <c r="U35" s="47"/>
      <c r="V35" s="47"/>
      <c r="W35" s="47"/>
      <c r="X35" s="47"/>
      <c r="Y35" s="47"/>
      <c r="AA35" s="47"/>
      <c r="AB35" s="47"/>
      <c r="AC35" s="47"/>
      <c r="AD35" s="47"/>
      <c r="AE35" s="47"/>
      <c r="AF35" s="47"/>
      <c r="AG35" s="47"/>
      <c r="AH35" s="47"/>
      <c r="AJ35" s="47"/>
      <c r="AK35" s="47"/>
      <c r="AL35" s="47"/>
      <c r="AM35" s="47"/>
      <c r="AN35" s="47"/>
      <c r="AO35" s="47"/>
      <c r="AP35" s="47"/>
      <c r="AQ35" s="47"/>
      <c r="AS35" s="47"/>
      <c r="AT35" s="47"/>
      <c r="AU35" s="47"/>
      <c r="AV35" s="47"/>
      <c r="AW35" s="47"/>
      <c r="AX35" s="47"/>
      <c r="AY35" s="47"/>
      <c r="AZ35" s="47"/>
      <c r="BB35" s="369"/>
      <c r="BC35" s="47"/>
      <c r="BD35" s="47"/>
      <c r="BE35" s="47"/>
      <c r="BF35" s="47"/>
      <c r="BG35" s="47"/>
      <c r="BH35" s="47"/>
      <c r="BI35" s="47"/>
    </row>
    <row r="36" spans="2:61">
      <c r="B36" s="7"/>
      <c r="C36" s="7"/>
      <c r="D36" s="7"/>
      <c r="E36" s="7"/>
      <c r="F36" s="7"/>
      <c r="G36" s="7"/>
      <c r="H36" s="7"/>
      <c r="I36" s="45"/>
      <c r="J36" s="45"/>
      <c r="K36" s="45"/>
      <c r="L36" s="45"/>
      <c r="M36" s="45"/>
      <c r="N36" s="45"/>
      <c r="O36" s="45"/>
      <c r="P36" s="45"/>
      <c r="R36" s="47"/>
      <c r="S36" s="47"/>
      <c r="T36" s="47"/>
      <c r="U36" s="47"/>
      <c r="V36" s="47"/>
      <c r="W36" s="47"/>
      <c r="X36" s="47"/>
      <c r="Y36" s="47"/>
      <c r="AA36" s="47"/>
      <c r="AB36" s="47"/>
      <c r="AC36" s="47"/>
      <c r="AD36" s="47"/>
      <c r="AE36" s="47"/>
      <c r="AF36" s="47"/>
      <c r="AG36" s="47"/>
      <c r="AH36" s="47"/>
      <c r="AJ36" s="47"/>
      <c r="AK36" s="47"/>
      <c r="AL36" s="47"/>
      <c r="AM36" s="47"/>
      <c r="AN36" s="47"/>
      <c r="AO36" s="47"/>
      <c r="AP36" s="47"/>
      <c r="AQ36" s="47"/>
      <c r="AS36" s="47"/>
      <c r="AT36" s="47"/>
      <c r="AU36" s="47"/>
      <c r="AV36" s="47"/>
      <c r="AW36" s="47"/>
      <c r="AX36" s="47"/>
      <c r="AY36" s="47"/>
      <c r="AZ36" s="47"/>
      <c r="BB36" s="369"/>
      <c r="BC36" s="47"/>
      <c r="BD36" s="47"/>
      <c r="BE36" s="47"/>
      <c r="BF36" s="47"/>
      <c r="BG36" s="47"/>
      <c r="BH36" s="47"/>
      <c r="BI36" s="47"/>
    </row>
    <row r="37" spans="2:61">
      <c r="I37" s="49">
        <f t="shared" ref="I37:P37" si="101">SUM(I6:I36)</f>
        <v>0</v>
      </c>
      <c r="J37" s="49">
        <f t="shared" si="101"/>
        <v>0</v>
      </c>
      <c r="K37" s="676">
        <f t="shared" si="101"/>
        <v>3952.2885985658063</v>
      </c>
      <c r="L37" s="676">
        <f t="shared" si="101"/>
        <v>9032.1434211405649</v>
      </c>
      <c r="M37" s="676">
        <f t="shared" si="101"/>
        <v>6455.2708921118883</v>
      </c>
      <c r="N37" s="676">
        <f t="shared" si="101"/>
        <v>5656.7275744648286</v>
      </c>
      <c r="O37" s="676">
        <f t="shared" si="101"/>
        <v>9261.6762555572659</v>
      </c>
      <c r="P37" s="676">
        <f t="shared" si="101"/>
        <v>14448.731461098141</v>
      </c>
      <c r="Q37" s="129"/>
      <c r="R37" s="676">
        <f t="shared" ref="R37:Y37" si="102">SUM(R6:R36)</f>
        <v>0</v>
      </c>
      <c r="S37" s="676">
        <f t="shared" si="102"/>
        <v>0</v>
      </c>
      <c r="T37" s="676">
        <f t="shared" si="102"/>
        <v>31.758445113104425</v>
      </c>
      <c r="U37" s="676">
        <f t="shared" si="102"/>
        <v>115.35117825063426</v>
      </c>
      <c r="V37" s="676">
        <f t="shared" si="102"/>
        <v>115.91146365343448</v>
      </c>
      <c r="W37" s="676">
        <f t="shared" si="102"/>
        <v>116.6976284716128</v>
      </c>
      <c r="X37" s="676">
        <f t="shared" si="102"/>
        <v>118.02002513302941</v>
      </c>
      <c r="Y37" s="676">
        <f t="shared" si="102"/>
        <v>119.46770351437719</v>
      </c>
      <c r="Z37" s="129"/>
      <c r="AA37" s="676">
        <f t="shared" ref="AA37:AH37" si="103">SUM(AA6:AA36)</f>
        <v>0</v>
      </c>
      <c r="AB37" s="676">
        <f t="shared" si="103"/>
        <v>0</v>
      </c>
      <c r="AC37" s="676">
        <f t="shared" si="103"/>
        <v>1041.2628195557686</v>
      </c>
      <c r="AD37" s="676">
        <f t="shared" si="103"/>
        <v>2460.1673084024187</v>
      </c>
      <c r="AE37" s="676">
        <f t="shared" si="103"/>
        <v>2266.3415887284386</v>
      </c>
      <c r="AF37" s="676">
        <f t="shared" si="103"/>
        <v>2242.5753314536178</v>
      </c>
      <c r="AG37" s="676">
        <f t="shared" si="103"/>
        <v>3073.7866536625002</v>
      </c>
      <c r="AH37" s="676">
        <f t="shared" si="103"/>
        <v>2922.846768713137</v>
      </c>
      <c r="AI37" s="129"/>
      <c r="AJ37" s="676">
        <f t="shared" ref="AJ37:AQ37" si="104">SUM(AJ6:AJ36)</f>
        <v>0</v>
      </c>
      <c r="AK37" s="676">
        <f t="shared" si="104"/>
        <v>0</v>
      </c>
      <c r="AL37" s="676">
        <f t="shared" si="104"/>
        <v>1355.8553145818905</v>
      </c>
      <c r="AM37" s="676">
        <f t="shared" si="104"/>
        <v>2796.4865246736213</v>
      </c>
      <c r="AN37" s="676">
        <f t="shared" si="104"/>
        <v>1946.0825205818469</v>
      </c>
      <c r="AO37" s="676">
        <f t="shared" si="104"/>
        <v>1088.2451315141097</v>
      </c>
      <c r="AP37" s="676">
        <f t="shared" si="104"/>
        <v>2208.844615464066</v>
      </c>
      <c r="AQ37" s="676">
        <f t="shared" si="104"/>
        <v>3477.759180889545</v>
      </c>
      <c r="AR37" s="129"/>
      <c r="AS37" s="676">
        <f t="shared" ref="AS37:AZ37" si="105">SUM(AS6:AS36)</f>
        <v>0</v>
      </c>
      <c r="AT37" s="676">
        <f t="shared" si="105"/>
        <v>0</v>
      </c>
      <c r="AU37" s="676">
        <f t="shared" si="105"/>
        <v>1524.1789105364701</v>
      </c>
      <c r="AV37" s="676">
        <f t="shared" si="105"/>
        <v>3663.7908881625563</v>
      </c>
      <c r="AW37" s="676">
        <f t="shared" si="105"/>
        <v>2131.1596065471376</v>
      </c>
      <c r="AX37" s="676">
        <f t="shared" si="105"/>
        <v>2214.1899879306229</v>
      </c>
      <c r="AY37" s="676">
        <f t="shared" si="105"/>
        <v>3867.1733092865006</v>
      </c>
      <c r="AZ37" s="676">
        <f t="shared" si="105"/>
        <v>7936.3431753542045</v>
      </c>
      <c r="BA37" s="129"/>
      <c r="BB37" s="676">
        <f t="shared" ref="BB37:BI37" si="106">SUM(BB6:BB36)</f>
        <v>0</v>
      </c>
      <c r="BC37" s="676">
        <f t="shared" ref="BC37" si="107">SUM(BC6:BC36)</f>
        <v>0</v>
      </c>
      <c r="BD37" s="676">
        <f t="shared" si="106"/>
        <v>3953.0554897872335</v>
      </c>
      <c r="BE37" s="676">
        <f t="shared" si="106"/>
        <v>9035.7958994892288</v>
      </c>
      <c r="BF37" s="676">
        <f t="shared" si="106"/>
        <v>6459.4951795108582</v>
      </c>
      <c r="BG37" s="676">
        <f t="shared" si="106"/>
        <v>5661.7080793699624</v>
      </c>
      <c r="BH37" s="676">
        <f t="shared" si="106"/>
        <v>9267.8246035460961</v>
      </c>
      <c r="BI37" s="676">
        <f t="shared" si="106"/>
        <v>14456.416828471261</v>
      </c>
    </row>
    <row r="38" spans="2:61">
      <c r="BB38" s="84">
        <f t="shared" ref="BB38:BI38" si="108">IF(ISERROR((BB37-I37)/I37),0,(BB37-I37)/I37)</f>
        <v>0</v>
      </c>
      <c r="BC38" s="84">
        <f t="shared" si="108"/>
        <v>0</v>
      </c>
      <c r="BD38" s="84">
        <f t="shared" si="108"/>
        <v>1.9403725267062876E-4</v>
      </c>
      <c r="BE38" s="84">
        <f t="shared" si="108"/>
        <v>4.043866642014231E-4</v>
      </c>
      <c r="BF38" s="84">
        <f t="shared" si="108"/>
        <v>6.5439351338946795E-4</v>
      </c>
      <c r="BG38" s="84">
        <f t="shared" si="108"/>
        <v>8.8045691427962743E-4</v>
      </c>
      <c r="BH38" s="84">
        <f t="shared" si="108"/>
        <v>6.6384829475560955E-4</v>
      </c>
      <c r="BI38" s="84">
        <f t="shared" si="108"/>
        <v>5.3190602883113839E-4</v>
      </c>
    </row>
    <row r="39" spans="2:61">
      <c r="C39" s="41"/>
      <c r="D39" s="432"/>
      <c r="E39" s="41"/>
      <c r="F39" s="41"/>
      <c r="G39" s="41"/>
      <c r="H39" s="41"/>
      <c r="I39" s="50"/>
      <c r="J39" s="50"/>
      <c r="K39" s="50"/>
      <c r="L39" s="50"/>
      <c r="M39" s="50"/>
      <c r="N39" s="50"/>
      <c r="O39" s="50"/>
      <c r="P39" s="50"/>
      <c r="Q39" s="41"/>
      <c r="R39" s="41"/>
      <c r="S39" s="41"/>
    </row>
    <row r="40" spans="2:61">
      <c r="C40" s="41"/>
      <c r="D40" s="432"/>
      <c r="E40" s="41"/>
      <c r="F40" s="41"/>
      <c r="G40" s="41"/>
      <c r="H40" s="41"/>
      <c r="I40" s="41"/>
      <c r="J40" s="41"/>
      <c r="K40" s="41"/>
      <c r="L40" s="433"/>
      <c r="M40" s="433"/>
      <c r="N40" s="433"/>
      <c r="O40" s="433"/>
      <c r="P40" s="433"/>
      <c r="Q40" s="41"/>
      <c r="R40" s="41"/>
      <c r="S40" s="41"/>
    </row>
    <row r="41" spans="2:61">
      <c r="C41" s="41"/>
      <c r="D41" s="41"/>
      <c r="E41" s="41"/>
      <c r="F41" s="41"/>
      <c r="G41" s="41"/>
      <c r="H41" s="41"/>
      <c r="I41" s="41"/>
      <c r="J41" s="41"/>
      <c r="K41" s="112"/>
      <c r="L41" s="112"/>
      <c r="M41" s="112"/>
      <c r="N41" s="112"/>
      <c r="O41" s="112"/>
      <c r="P41" s="112"/>
      <c r="Q41" s="41"/>
      <c r="R41" s="41"/>
      <c r="S41" s="41"/>
    </row>
  </sheetData>
  <autoFilter ref="B5:H14" xr:uid="{00000000-0009-0000-0000-000016000000}"/>
  <mergeCells count="13">
    <mergeCell ref="L1:M1"/>
    <mergeCell ref="I4:P4"/>
    <mergeCell ref="BB4:BI4"/>
    <mergeCell ref="AS4:AZ4"/>
    <mergeCell ref="AJ4:AQ4"/>
    <mergeCell ref="AA4:AH4"/>
    <mergeCell ref="R4:Y4"/>
    <mergeCell ref="I3:P3"/>
    <mergeCell ref="R3:Y3"/>
    <mergeCell ref="AA3:AH3"/>
    <mergeCell ref="AJ3:AQ3"/>
    <mergeCell ref="BB3:BI3"/>
    <mergeCell ref="AS3:AZ3"/>
  </mergeCells>
  <hyperlinks>
    <hyperlink ref="B2" location="Contents!A1" display="Table of Contents" xr:uid="{00000000-0004-0000-1600-000000000000}"/>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4">
        <x14:dataValidation type="list" errorStyle="warning" showInputMessage="1" showErrorMessage="1" error="Invalid data entered" prompt="Select from drop down list" xr:uid="{00000000-0002-0000-1600-000000000000}">
          <x14:formula1>
            <xm:f>Lookups!$C$16:$C$27</xm:f>
          </x14:formula1>
          <xm:sqref>F6:F36</xm:sqref>
        </x14:dataValidation>
        <x14:dataValidation type="list" allowBlank="1" showInputMessage="1" showErrorMessage="1" prompt="Select from drop down list" xr:uid="{00000000-0002-0000-1600-000001000000}">
          <x14:formula1>
            <xm:f>Lookups!$I$15:$I$26</xm:f>
          </x14:formula1>
          <xm:sqref>H6:H36</xm:sqref>
        </x14:dataValidation>
        <x14:dataValidation type="list" errorStyle="warning" showInputMessage="1" showErrorMessage="1" error="Invalid data entered" prompt="Select from drop down list" xr:uid="{00000000-0002-0000-1600-000002000000}">
          <x14:formula1>
            <xm:f>Lookups!$C$5:$C$13</xm:f>
          </x14:formula1>
          <xm:sqref>E6:E36</xm:sqref>
        </x14:dataValidation>
        <x14:dataValidation type="list" allowBlank="1" showInputMessage="1" showErrorMessage="1" prompt="Select from drop down list" xr:uid="{00000000-0002-0000-1600-000003000000}">
          <x14:formula1>
            <xm:f>Lab_Mat!$C$25:$C$28</xm:f>
          </x14:formula1>
          <xm:sqref>G6:G36</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AK59"/>
  <sheetViews>
    <sheetView zoomScale="80" zoomScaleNormal="80" workbookViewId="0">
      <pane xSplit="2" topLeftCell="C1" activePane="topRight" state="frozen"/>
      <selection activeCell="V33" sqref="V33"/>
      <selection pane="topRight" activeCell="B2" sqref="B2"/>
    </sheetView>
  </sheetViews>
  <sheetFormatPr defaultColWidth="9.140625" defaultRowHeight="15" outlineLevelRow="1"/>
  <cols>
    <col min="1" max="1" width="6.140625" style="1" customWidth="1"/>
    <col min="2" max="2" width="33.85546875" style="1" bestFit="1" customWidth="1"/>
    <col min="3" max="3" width="8.28515625" style="1" customWidth="1"/>
    <col min="4" max="10" width="9.140625" style="1"/>
    <col min="11" max="11" width="10.140625" style="1" customWidth="1"/>
    <col min="12" max="12" width="8.7109375" style="1" customWidth="1"/>
    <col min="13" max="19" width="9.140625" style="1"/>
    <col min="20" max="20" width="8.85546875" style="1" customWidth="1"/>
    <col min="21" max="21" width="8" style="1" customWidth="1"/>
    <col min="22" max="28" width="9.140625" style="1"/>
    <col min="29" max="29" width="5.85546875" style="1" customWidth="1"/>
    <col min="30" max="30" width="8.7109375" style="1" customWidth="1"/>
    <col min="31" max="16384" width="9.140625" style="1"/>
  </cols>
  <sheetData>
    <row r="1" spans="2:37" ht="18.75">
      <c r="B1" s="10" t="s">
        <v>606</v>
      </c>
      <c r="C1" s="10"/>
      <c r="H1" s="969" t="s">
        <v>737</v>
      </c>
      <c r="I1" s="969"/>
      <c r="J1" s="232"/>
      <c r="K1" s="232"/>
      <c r="L1" s="232"/>
      <c r="M1" s="232"/>
      <c r="N1" s="232"/>
      <c r="O1" s="232"/>
      <c r="P1" s="232"/>
      <c r="Q1" s="232"/>
      <c r="R1" s="232"/>
      <c r="S1" s="232"/>
      <c r="X1" s="737">
        <v>0.57936616715399603</v>
      </c>
      <c r="Y1" s="856" t="s">
        <v>791</v>
      </c>
    </row>
    <row r="2" spans="2:37">
      <c r="B2" s="25" t="s">
        <v>6</v>
      </c>
      <c r="C2" s="25"/>
      <c r="L2" s="223">
        <f>CP_Yr_4</f>
        <v>43800</v>
      </c>
      <c r="M2" s="223">
        <f>CP_Yr_5</f>
        <v>44166</v>
      </c>
      <c r="N2" s="223">
        <f>Stub</f>
        <v>44377</v>
      </c>
      <c r="O2" s="223">
        <f>Yr_1</f>
        <v>44742</v>
      </c>
      <c r="P2" s="223">
        <f>Yr_2</f>
        <v>45107</v>
      </c>
      <c r="Q2" s="223">
        <f>Yr_3</f>
        <v>45473</v>
      </c>
      <c r="R2" s="223">
        <f>Yr_4</f>
        <v>45838</v>
      </c>
      <c r="S2" s="223">
        <f>Yr_5</f>
        <v>46203</v>
      </c>
      <c r="W2" s="931" t="b">
        <v>1</v>
      </c>
    </row>
    <row r="3" spans="2:37">
      <c r="K3" s="78" t="s">
        <v>391</v>
      </c>
      <c r="L3" s="921"/>
      <c r="M3" s="921"/>
      <c r="N3" s="921"/>
      <c r="O3" s="921"/>
      <c r="P3" s="921"/>
      <c r="Q3" s="921"/>
      <c r="R3" s="921"/>
      <c r="S3" s="921"/>
      <c r="V3" s="522">
        <v>2.4999999999999911E-2</v>
      </c>
      <c r="W3" s="522">
        <v>1.2422836565829209E-2</v>
      </c>
      <c r="X3" s="522">
        <v>2.4999999999999911E-2</v>
      </c>
      <c r="Y3" s="522">
        <v>2.4999999999999911E-2</v>
      </c>
      <c r="Z3" s="522">
        <v>2.200000000000002E-2</v>
      </c>
      <c r="AA3" s="522">
        <v>2.4999999999999911E-2</v>
      </c>
      <c r="AB3" s="522">
        <v>2.4999999999999911E-2</v>
      </c>
    </row>
    <row r="4" spans="2:37">
      <c r="B4" s="126" t="s">
        <v>349</v>
      </c>
      <c r="C4" s="126"/>
      <c r="K4" s="78" t="s">
        <v>387</v>
      </c>
      <c r="L4" s="922"/>
      <c r="M4" s="922"/>
      <c r="N4" s="922"/>
      <c r="O4" s="922"/>
      <c r="P4" s="922"/>
      <c r="Q4" s="922"/>
      <c r="R4" s="922"/>
      <c r="S4" s="922"/>
      <c r="V4" s="523">
        <v>1.835015443463095E-2</v>
      </c>
      <c r="W4" s="523">
        <v>2.0225001952140387E-2</v>
      </c>
      <c r="X4" s="523">
        <v>2.4140948534102646E-2</v>
      </c>
      <c r="Y4" s="523">
        <v>2.3743086789108414E-2</v>
      </c>
      <c r="Z4" s="523">
        <v>2.3743086789108414E-2</v>
      </c>
      <c r="AA4" s="523">
        <v>2.3743086789108414E-2</v>
      </c>
      <c r="AB4" s="523">
        <v>2.3743086789108414E-2</v>
      </c>
    </row>
    <row r="5" spans="2:37">
      <c r="B5" s="296"/>
      <c r="K5" s="78" t="s">
        <v>321</v>
      </c>
      <c r="L5" s="922"/>
      <c r="M5" s="922"/>
      <c r="N5" s="922"/>
      <c r="O5" s="922"/>
      <c r="P5" s="922"/>
      <c r="Q5" s="922"/>
      <c r="R5" s="922"/>
      <c r="S5" s="922"/>
    </row>
    <row r="6" spans="2:37">
      <c r="M6" s="108"/>
    </row>
    <row r="7" spans="2:37">
      <c r="C7" s="2" t="s">
        <v>396</v>
      </c>
      <c r="L7" s="2" t="s">
        <v>388</v>
      </c>
      <c r="U7" s="2" t="s">
        <v>389</v>
      </c>
      <c r="AD7" s="2" t="s">
        <v>390</v>
      </c>
    </row>
    <row r="8" spans="2:37" ht="5.25" customHeight="1"/>
    <row r="9" spans="2:37" ht="12.75" customHeight="1">
      <c r="B9" s="2" t="s">
        <v>345</v>
      </c>
      <c r="C9" s="223">
        <f>CP_Yr_4</f>
        <v>43800</v>
      </c>
      <c r="D9" s="223">
        <f>CP_Yr_5</f>
        <v>44166</v>
      </c>
      <c r="E9" s="223">
        <f>Stub</f>
        <v>44377</v>
      </c>
      <c r="F9" s="223">
        <f>Yr_1</f>
        <v>44742</v>
      </c>
      <c r="G9" s="223">
        <f>Yr_2</f>
        <v>45107</v>
      </c>
      <c r="H9" s="223">
        <f>Yr_3</f>
        <v>45473</v>
      </c>
      <c r="I9" s="223">
        <f>Yr_4</f>
        <v>45838</v>
      </c>
      <c r="J9" s="223">
        <f>Yr_5</f>
        <v>46203</v>
      </c>
      <c r="L9" s="223">
        <f>CP_Yr_4</f>
        <v>43800</v>
      </c>
      <c r="M9" s="223">
        <f>CP_Yr_5</f>
        <v>44166</v>
      </c>
      <c r="N9" s="223">
        <f>Stub</f>
        <v>44377</v>
      </c>
      <c r="O9" s="223">
        <f>Yr_1</f>
        <v>44742</v>
      </c>
      <c r="P9" s="223">
        <f>Yr_2</f>
        <v>45107</v>
      </c>
      <c r="Q9" s="223">
        <f>Yr_3</f>
        <v>45473</v>
      </c>
      <c r="R9" s="223">
        <f>Yr_4</f>
        <v>45838</v>
      </c>
      <c r="S9" s="223">
        <f>Yr_5</f>
        <v>46203</v>
      </c>
      <c r="U9" s="223">
        <f>CP_Yr_4</f>
        <v>43800</v>
      </c>
      <c r="V9" s="223">
        <f>CP_Yr_5</f>
        <v>44166</v>
      </c>
      <c r="W9" s="223">
        <f>Stub</f>
        <v>44377</v>
      </c>
      <c r="X9" s="223">
        <f>Yr_1</f>
        <v>44742</v>
      </c>
      <c r="Y9" s="223">
        <f>Yr_2</f>
        <v>45107</v>
      </c>
      <c r="Z9" s="223">
        <f>Yr_3</f>
        <v>45473</v>
      </c>
      <c r="AA9" s="223">
        <f>Yr_4</f>
        <v>45838</v>
      </c>
      <c r="AB9" s="223">
        <f>Yr_5</f>
        <v>46203</v>
      </c>
      <c r="AD9" s="223">
        <f>CP_Yr_4</f>
        <v>43800</v>
      </c>
      <c r="AE9" s="223">
        <f>CP_Yr_5</f>
        <v>44166</v>
      </c>
      <c r="AF9" s="223">
        <f>Stub</f>
        <v>44377</v>
      </c>
      <c r="AG9" s="223">
        <f>Yr_1</f>
        <v>44742</v>
      </c>
      <c r="AH9" s="223">
        <f>Yr_2</f>
        <v>45107</v>
      </c>
      <c r="AI9" s="223">
        <f>Yr_3</f>
        <v>45473</v>
      </c>
      <c r="AJ9" s="223">
        <f>Yr_4</f>
        <v>45838</v>
      </c>
      <c r="AK9" s="223">
        <f>Yr_5</f>
        <v>46203</v>
      </c>
    </row>
    <row r="10" spans="2:37" ht="5.25" customHeight="1">
      <c r="B10" s="2"/>
    </row>
    <row r="11" spans="2:37" ht="12.75" customHeight="1">
      <c r="B11" s="1" t="s">
        <v>150</v>
      </c>
      <c r="C11" s="871"/>
      <c r="D11" s="871"/>
      <c r="E11" s="871"/>
      <c r="F11" s="871"/>
      <c r="G11" s="871"/>
      <c r="H11" s="871"/>
      <c r="I11" s="871"/>
      <c r="J11" s="871"/>
      <c r="K11" s="54"/>
      <c r="L11" s="923"/>
      <c r="M11" s="871"/>
      <c r="N11" s="871"/>
      <c r="O11" s="871"/>
      <c r="P11" s="871"/>
      <c r="Q11" s="871"/>
      <c r="R11" s="871"/>
      <c r="S11" s="871"/>
      <c r="U11" s="917"/>
      <c r="V11" s="924"/>
      <c r="W11" s="924"/>
      <c r="X11" s="924"/>
      <c r="Y11" s="924"/>
      <c r="Z11" s="924"/>
      <c r="AA11" s="924"/>
      <c r="AB11" s="924"/>
      <c r="AD11" s="871"/>
      <c r="AE11" s="871"/>
      <c r="AF11" s="871"/>
      <c r="AG11" s="871"/>
      <c r="AH11" s="871"/>
      <c r="AI11" s="871"/>
      <c r="AJ11" s="871"/>
      <c r="AK11" s="871"/>
    </row>
    <row r="12" spans="2:37" ht="12.75" customHeight="1">
      <c r="B12" s="1" t="s">
        <v>32</v>
      </c>
      <c r="C12" s="867"/>
      <c r="D12" s="871"/>
      <c r="E12" s="871"/>
      <c r="F12" s="871"/>
      <c r="G12" s="871"/>
      <c r="H12" s="871"/>
      <c r="I12" s="871"/>
      <c r="J12" s="871"/>
      <c r="K12" s="54"/>
      <c r="L12" s="867"/>
      <c r="M12" s="924"/>
      <c r="N12" s="924"/>
      <c r="O12" s="924"/>
      <c r="P12" s="924"/>
      <c r="Q12" s="924"/>
      <c r="R12" s="924"/>
      <c r="S12" s="924"/>
      <c r="U12" s="932"/>
      <c r="V12" s="924"/>
      <c r="W12" s="924"/>
      <c r="X12" s="924"/>
      <c r="Y12" s="924"/>
      <c r="Z12" s="924"/>
      <c r="AA12" s="924"/>
      <c r="AB12" s="924"/>
      <c r="AD12" s="871"/>
      <c r="AE12" s="871"/>
      <c r="AF12" s="871"/>
      <c r="AG12" s="871"/>
      <c r="AH12" s="871"/>
      <c r="AI12" s="871"/>
      <c r="AJ12" s="871"/>
      <c r="AK12" s="871"/>
    </row>
    <row r="13" spans="2:37" ht="12.75" customHeight="1">
      <c r="B13" s="1" t="s">
        <v>10</v>
      </c>
      <c r="C13" s="867"/>
      <c r="D13" s="871"/>
      <c r="E13" s="871"/>
      <c r="F13" s="871"/>
      <c r="G13" s="871"/>
      <c r="H13" s="871"/>
      <c r="I13" s="871"/>
      <c r="J13" s="871"/>
      <c r="K13" s="54"/>
      <c r="L13" s="923"/>
      <c r="M13" s="871"/>
      <c r="N13" s="871"/>
      <c r="O13" s="871"/>
      <c r="P13" s="871"/>
      <c r="Q13" s="871"/>
      <c r="R13" s="871"/>
      <c r="S13" s="871"/>
      <c r="U13" s="917"/>
      <c r="V13" s="924"/>
      <c r="W13" s="924"/>
      <c r="X13" s="924"/>
      <c r="Y13" s="924"/>
      <c r="Z13" s="924"/>
      <c r="AA13" s="924"/>
      <c r="AB13" s="924"/>
      <c r="AD13" s="871"/>
      <c r="AE13" s="871"/>
      <c r="AF13" s="871"/>
      <c r="AG13" s="871"/>
      <c r="AH13" s="871"/>
      <c r="AI13" s="871"/>
      <c r="AJ13" s="871"/>
      <c r="AK13" s="871"/>
    </row>
    <row r="14" spans="2:37" ht="12.75" customHeight="1">
      <c r="B14" s="1" t="s">
        <v>34</v>
      </c>
      <c r="C14" s="925"/>
      <c r="D14" s="885"/>
      <c r="E14" s="885"/>
      <c r="F14" s="885"/>
      <c r="G14" s="885"/>
      <c r="H14" s="885"/>
      <c r="I14" s="885"/>
      <c r="J14" s="885"/>
      <c r="K14" s="54"/>
      <c r="L14" s="925"/>
      <c r="M14" s="925"/>
      <c r="N14" s="925"/>
      <c r="O14" s="925"/>
      <c r="P14" s="925"/>
      <c r="Q14" s="925"/>
      <c r="R14" s="925"/>
      <c r="S14" s="925"/>
      <c r="U14" s="929"/>
      <c r="V14" s="929"/>
      <c r="W14" s="929"/>
      <c r="X14" s="929"/>
      <c r="Y14" s="929"/>
      <c r="Z14" s="929"/>
      <c r="AA14" s="929"/>
      <c r="AB14" s="929"/>
      <c r="AD14" s="925"/>
      <c r="AE14" s="925"/>
      <c r="AF14" s="925"/>
      <c r="AG14" s="925"/>
      <c r="AH14" s="925"/>
      <c r="AI14" s="925"/>
      <c r="AJ14" s="925"/>
      <c r="AK14" s="925"/>
    </row>
    <row r="15" spans="2:37" ht="12.75" customHeight="1">
      <c r="C15" s="871"/>
      <c r="D15" s="871"/>
      <c r="E15" s="871"/>
      <c r="F15" s="871"/>
      <c r="G15" s="871"/>
      <c r="H15" s="871"/>
      <c r="I15" s="871"/>
      <c r="J15" s="871"/>
      <c r="K15" s="54"/>
      <c r="L15" s="871"/>
      <c r="M15" s="871"/>
      <c r="N15" s="871"/>
      <c r="O15" s="871"/>
      <c r="P15" s="871"/>
      <c r="Q15" s="871"/>
      <c r="R15" s="871"/>
      <c r="S15" s="871"/>
      <c r="U15" s="924"/>
      <c r="V15" s="924"/>
      <c r="W15" s="924"/>
      <c r="X15" s="924"/>
      <c r="Y15" s="924"/>
      <c r="Z15" s="924"/>
      <c r="AA15" s="924"/>
      <c r="AB15" s="924"/>
      <c r="AD15" s="871"/>
      <c r="AE15" s="871"/>
      <c r="AF15" s="871"/>
      <c r="AG15" s="871"/>
      <c r="AH15" s="871"/>
      <c r="AI15" s="871"/>
      <c r="AJ15" s="871"/>
      <c r="AK15" s="871"/>
    </row>
    <row r="16" spans="2:37" ht="12.75" customHeight="1">
      <c r="K16" s="54"/>
    </row>
    <row r="17" spans="2:37">
      <c r="B17" s="2" t="s">
        <v>144</v>
      </c>
      <c r="C17" s="223">
        <f>CP_Yr_4</f>
        <v>43800</v>
      </c>
      <c r="D17" s="223">
        <f>CP_Yr_5</f>
        <v>44166</v>
      </c>
      <c r="E17" s="223">
        <f>Stub</f>
        <v>44377</v>
      </c>
      <c r="F17" s="223">
        <f>Yr_1</f>
        <v>44742</v>
      </c>
      <c r="G17" s="223">
        <f>Yr_2</f>
        <v>45107</v>
      </c>
      <c r="H17" s="223">
        <f>Yr_3</f>
        <v>45473</v>
      </c>
      <c r="I17" s="223">
        <f>Yr_4</f>
        <v>45838</v>
      </c>
      <c r="J17" s="223">
        <f>Yr_5</f>
        <v>46203</v>
      </c>
      <c r="K17" s="54"/>
      <c r="L17" s="223">
        <f>CP_Yr_4</f>
        <v>43800</v>
      </c>
      <c r="M17" s="223">
        <f>CP_Yr_5</f>
        <v>44166</v>
      </c>
      <c r="N17" s="223">
        <f>Stub</f>
        <v>44377</v>
      </c>
      <c r="O17" s="223">
        <f>Yr_1</f>
        <v>44742</v>
      </c>
      <c r="P17" s="223">
        <f>Yr_2</f>
        <v>45107</v>
      </c>
      <c r="Q17" s="223">
        <f>Yr_3</f>
        <v>45473</v>
      </c>
      <c r="R17" s="223">
        <f>Yr_4</f>
        <v>45838</v>
      </c>
      <c r="S17" s="223">
        <f>Yr_5</f>
        <v>46203</v>
      </c>
      <c r="U17" s="223">
        <f>CP_Yr_4</f>
        <v>43800</v>
      </c>
      <c r="V17" s="223">
        <f>CP_Yr_5</f>
        <v>44166</v>
      </c>
      <c r="W17" s="223">
        <f>Stub</f>
        <v>44377</v>
      </c>
      <c r="X17" s="223">
        <f>Yr_1</f>
        <v>44742</v>
      </c>
      <c r="Y17" s="223">
        <f>Yr_2</f>
        <v>45107</v>
      </c>
      <c r="Z17" s="223">
        <f>Yr_3</f>
        <v>45473</v>
      </c>
      <c r="AA17" s="223">
        <f>Yr_4</f>
        <v>45838</v>
      </c>
      <c r="AB17" s="223">
        <f>Yr_5</f>
        <v>46203</v>
      </c>
      <c r="AD17" s="223">
        <f>CP_Yr_4</f>
        <v>43800</v>
      </c>
      <c r="AE17" s="223">
        <f>CP_Yr_5</f>
        <v>44166</v>
      </c>
      <c r="AF17" s="223">
        <f>Stub</f>
        <v>44377</v>
      </c>
      <c r="AG17" s="223">
        <f>Yr_1</f>
        <v>44742</v>
      </c>
      <c r="AH17" s="223">
        <f>Yr_2</f>
        <v>45107</v>
      </c>
      <c r="AI17" s="223">
        <f>Yr_3</f>
        <v>45473</v>
      </c>
      <c r="AJ17" s="223">
        <f>Yr_4</f>
        <v>45838</v>
      </c>
      <c r="AK17" s="223">
        <f>Yr_5</f>
        <v>46203</v>
      </c>
    </row>
    <row r="18" spans="2:37" ht="6" customHeight="1">
      <c r="K18" s="54"/>
    </row>
    <row r="19" spans="2:37">
      <c r="B19" s="1" t="s">
        <v>44</v>
      </c>
      <c r="C19" s="871"/>
      <c r="D19" s="871"/>
      <c r="E19" s="871"/>
      <c r="F19" s="871"/>
      <c r="G19" s="871"/>
      <c r="H19" s="871"/>
      <c r="I19" s="871"/>
      <c r="J19" s="871"/>
      <c r="K19" s="506"/>
      <c r="L19" s="924"/>
      <c r="M19" s="924"/>
      <c r="N19" s="924"/>
      <c r="O19" s="924"/>
      <c r="P19" s="924"/>
      <c r="Q19" s="924"/>
      <c r="R19" s="924"/>
      <c r="S19" s="924"/>
      <c r="U19" s="933"/>
      <c r="V19" s="933"/>
      <c r="W19" s="933"/>
      <c r="X19" s="933"/>
      <c r="Y19" s="933"/>
      <c r="Z19" s="933"/>
      <c r="AA19" s="933"/>
      <c r="AB19" s="933"/>
      <c r="AD19" s="871"/>
      <c r="AE19" s="871"/>
      <c r="AF19" s="871"/>
      <c r="AG19" s="871"/>
      <c r="AH19" s="871"/>
      <c r="AI19" s="871"/>
      <c r="AJ19" s="871"/>
      <c r="AK19" s="871"/>
    </row>
    <row r="20" spans="2:37">
      <c r="B20" s="1" t="s">
        <v>45</v>
      </c>
      <c r="C20" s="871"/>
      <c r="D20" s="871"/>
      <c r="E20" s="871"/>
      <c r="F20" s="871"/>
      <c r="G20" s="871"/>
      <c r="H20" s="871"/>
      <c r="I20" s="871"/>
      <c r="J20" s="871"/>
      <c r="K20" s="506"/>
      <c r="L20" s="924"/>
      <c r="M20" s="924"/>
      <c r="N20" s="924"/>
      <c r="O20" s="924"/>
      <c r="P20" s="924"/>
      <c r="Q20" s="924"/>
      <c r="R20" s="924"/>
      <c r="S20" s="924"/>
      <c r="U20" s="924"/>
      <c r="V20" s="924"/>
      <c r="W20" s="924"/>
      <c r="X20" s="924"/>
      <c r="Y20" s="924"/>
      <c r="Z20" s="924"/>
      <c r="AA20" s="924"/>
      <c r="AB20" s="924"/>
      <c r="AD20" s="871"/>
      <c r="AE20" s="871"/>
      <c r="AF20" s="871"/>
      <c r="AG20" s="871"/>
      <c r="AH20" s="871"/>
      <c r="AI20" s="871"/>
      <c r="AJ20" s="871"/>
      <c r="AK20" s="871"/>
    </row>
    <row r="21" spans="2:37">
      <c r="B21" s="1" t="s">
        <v>46</v>
      </c>
      <c r="C21" s="867"/>
      <c r="D21" s="871"/>
      <c r="E21" s="871"/>
      <c r="F21" s="871"/>
      <c r="G21" s="871"/>
      <c r="H21" s="871"/>
      <c r="I21" s="871"/>
      <c r="J21" s="871"/>
      <c r="K21" s="506"/>
      <c r="L21" s="924"/>
      <c r="M21" s="924"/>
      <c r="N21" s="924"/>
      <c r="O21" s="924"/>
      <c r="P21" s="924"/>
      <c r="Q21" s="924"/>
      <c r="R21" s="924"/>
      <c r="S21" s="924"/>
      <c r="U21" s="917"/>
      <c r="V21" s="924"/>
      <c r="W21" s="924"/>
      <c r="X21" s="924"/>
      <c r="Y21" s="924"/>
      <c r="Z21" s="924"/>
      <c r="AA21" s="924"/>
      <c r="AB21" s="924"/>
      <c r="AD21" s="871"/>
      <c r="AE21" s="871"/>
      <c r="AF21" s="871"/>
      <c r="AG21" s="871"/>
      <c r="AH21" s="871"/>
      <c r="AI21" s="871"/>
      <c r="AJ21" s="871"/>
      <c r="AK21" s="871"/>
    </row>
    <row r="22" spans="2:37">
      <c r="B22" s="1" t="s">
        <v>47</v>
      </c>
      <c r="C22" s="867"/>
      <c r="D22" s="871"/>
      <c r="E22" s="871"/>
      <c r="F22" s="871"/>
      <c r="G22" s="871"/>
      <c r="H22" s="871"/>
      <c r="I22" s="871"/>
      <c r="J22" s="871"/>
      <c r="K22" s="506"/>
      <c r="L22" s="924"/>
      <c r="M22" s="924"/>
      <c r="N22" s="924"/>
      <c r="O22" s="924"/>
      <c r="P22" s="924"/>
      <c r="Q22" s="924"/>
      <c r="R22" s="924"/>
      <c r="S22" s="924"/>
      <c r="U22" s="917"/>
      <c r="V22" s="924"/>
      <c r="W22" s="924"/>
      <c r="X22" s="924"/>
      <c r="Y22" s="924"/>
      <c r="Z22" s="924"/>
      <c r="AA22" s="924"/>
      <c r="AB22" s="924"/>
      <c r="AD22" s="871"/>
      <c r="AE22" s="871"/>
      <c r="AF22" s="871"/>
      <c r="AG22" s="871"/>
      <c r="AH22" s="871"/>
      <c r="AI22" s="871"/>
      <c r="AJ22" s="871"/>
      <c r="AK22" s="871"/>
    </row>
    <row r="23" spans="2:37">
      <c r="B23" s="1" t="s">
        <v>48</v>
      </c>
      <c r="C23" s="867"/>
      <c r="D23" s="871"/>
      <c r="E23" s="871"/>
      <c r="F23" s="871"/>
      <c r="G23" s="871"/>
      <c r="H23" s="871"/>
      <c r="I23" s="871"/>
      <c r="J23" s="871"/>
      <c r="K23" s="506"/>
      <c r="L23" s="924"/>
      <c r="M23" s="924"/>
      <c r="N23" s="924"/>
      <c r="O23" s="924"/>
      <c r="P23" s="924"/>
      <c r="Q23" s="924"/>
      <c r="R23" s="924"/>
      <c r="S23" s="924"/>
      <c r="U23" s="917"/>
      <c r="V23" s="924"/>
      <c r="W23" s="924"/>
      <c r="X23" s="924"/>
      <c r="Y23" s="924"/>
      <c r="Z23" s="924"/>
      <c r="AA23" s="924"/>
      <c r="AB23" s="924"/>
      <c r="AD23" s="871"/>
      <c r="AE23" s="871"/>
      <c r="AF23" s="871"/>
      <c r="AG23" s="871"/>
      <c r="AH23" s="871"/>
      <c r="AI23" s="871"/>
      <c r="AJ23" s="871"/>
      <c r="AK23" s="871"/>
    </row>
    <row r="24" spans="2:37">
      <c r="B24" s="1" t="s">
        <v>49</v>
      </c>
      <c r="C24" s="867"/>
      <c r="D24" s="871"/>
      <c r="E24" s="871"/>
      <c r="F24" s="871"/>
      <c r="G24" s="871"/>
      <c r="H24" s="871"/>
      <c r="I24" s="871"/>
      <c r="J24" s="871"/>
      <c r="K24" s="506"/>
      <c r="L24" s="924"/>
      <c r="M24" s="924"/>
      <c r="N24" s="924"/>
      <c r="O24" s="924"/>
      <c r="P24" s="924"/>
      <c r="Q24" s="924"/>
      <c r="R24" s="924"/>
      <c r="S24" s="924"/>
      <c r="U24" s="917"/>
      <c r="V24" s="924"/>
      <c r="W24" s="924"/>
      <c r="X24" s="924"/>
      <c r="Y24" s="924"/>
      <c r="Z24" s="924"/>
      <c r="AA24" s="924"/>
      <c r="AB24" s="924"/>
      <c r="AD24" s="871"/>
      <c r="AE24" s="871"/>
      <c r="AF24" s="871"/>
      <c r="AG24" s="871"/>
      <c r="AH24" s="871"/>
      <c r="AI24" s="871"/>
      <c r="AJ24" s="871"/>
      <c r="AK24" s="871"/>
    </row>
    <row r="25" spans="2:37" s="41" customFormat="1">
      <c r="B25" s="41" t="s">
        <v>50</v>
      </c>
      <c r="C25" s="908"/>
      <c r="D25" s="898"/>
      <c r="E25" s="898"/>
      <c r="F25" s="898"/>
      <c r="G25" s="898"/>
      <c r="H25" s="898"/>
      <c r="I25" s="898"/>
      <c r="J25" s="898"/>
      <c r="K25" s="508"/>
      <c r="L25" s="927"/>
      <c r="M25" s="927"/>
      <c r="N25" s="927"/>
      <c r="O25" s="927"/>
      <c r="P25" s="927"/>
      <c r="Q25" s="927"/>
      <c r="R25" s="927"/>
      <c r="S25" s="927"/>
      <c r="U25" s="934"/>
      <c r="V25" s="927"/>
      <c r="W25" s="927"/>
      <c r="X25" s="927"/>
      <c r="Y25" s="927"/>
      <c r="Z25" s="927"/>
      <c r="AA25" s="927"/>
      <c r="AB25" s="927"/>
      <c r="AD25" s="898"/>
      <c r="AE25" s="898"/>
      <c r="AF25" s="898"/>
      <c r="AG25" s="898"/>
      <c r="AH25" s="898"/>
      <c r="AI25" s="898"/>
      <c r="AJ25" s="898"/>
      <c r="AK25" s="898"/>
    </row>
    <row r="26" spans="2:37">
      <c r="B26" s="1" t="s">
        <v>395</v>
      </c>
      <c r="C26" s="925"/>
      <c r="D26" s="885"/>
      <c r="E26" s="885"/>
      <c r="F26" s="885"/>
      <c r="G26" s="885"/>
      <c r="H26" s="885"/>
      <c r="I26" s="885"/>
      <c r="J26" s="885"/>
      <c r="K26" s="506"/>
      <c r="L26" s="928"/>
      <c r="M26" s="928"/>
      <c r="N26" s="928"/>
      <c r="O26" s="928"/>
      <c r="P26" s="928"/>
      <c r="Q26" s="928"/>
      <c r="R26" s="928"/>
      <c r="S26" s="928"/>
      <c r="U26" s="929"/>
      <c r="V26" s="928"/>
      <c r="W26" s="928"/>
      <c r="X26" s="928"/>
      <c r="Y26" s="928"/>
      <c r="Z26" s="928"/>
      <c r="AA26" s="928"/>
      <c r="AB26" s="928"/>
      <c r="AD26" s="885"/>
      <c r="AE26" s="885"/>
      <c r="AF26" s="885"/>
      <c r="AG26" s="885"/>
      <c r="AH26" s="885"/>
      <c r="AI26" s="885"/>
      <c r="AJ26" s="885"/>
      <c r="AK26" s="885"/>
    </row>
    <row r="27" spans="2:37">
      <c r="B27" s="56" t="s">
        <v>291</v>
      </c>
      <c r="C27" s="871"/>
      <c r="D27" s="871"/>
      <c r="E27" s="871"/>
      <c r="F27" s="871"/>
      <c r="G27" s="871"/>
      <c r="H27" s="871"/>
      <c r="I27" s="871"/>
      <c r="J27" s="871"/>
      <c r="K27" s="506"/>
      <c r="L27" s="924"/>
      <c r="M27" s="924"/>
      <c r="N27" s="924"/>
      <c r="O27" s="924"/>
      <c r="P27" s="924"/>
      <c r="Q27" s="924"/>
      <c r="R27" s="924"/>
      <c r="S27" s="924"/>
      <c r="T27" s="34"/>
      <c r="U27" s="924"/>
      <c r="V27" s="924"/>
      <c r="W27" s="924"/>
      <c r="X27" s="924"/>
      <c r="Y27" s="924"/>
      <c r="Z27" s="924"/>
      <c r="AA27" s="924"/>
      <c r="AB27" s="924"/>
      <c r="AD27" s="871"/>
      <c r="AE27" s="871"/>
      <c r="AF27" s="871"/>
      <c r="AG27" s="871"/>
      <c r="AH27" s="871"/>
      <c r="AI27" s="871"/>
      <c r="AJ27" s="871"/>
      <c r="AK27" s="871"/>
    </row>
    <row r="28" spans="2:37">
      <c r="D28" s="39"/>
      <c r="E28" s="39"/>
      <c r="F28" s="39"/>
      <c r="G28" s="39"/>
      <c r="H28" s="39"/>
      <c r="I28" s="39"/>
      <c r="J28" s="39"/>
      <c r="K28" s="506"/>
    </row>
    <row r="29" spans="2:37" outlineLevel="1">
      <c r="D29" s="39"/>
      <c r="E29" s="39"/>
      <c r="F29" s="39"/>
      <c r="G29" s="39"/>
      <c r="H29" s="39"/>
      <c r="I29" s="39"/>
      <c r="J29" s="39"/>
      <c r="K29" s="506"/>
      <c r="M29" s="39"/>
      <c r="N29" s="39"/>
      <c r="O29" s="39"/>
      <c r="P29" s="39"/>
      <c r="Q29" s="39"/>
      <c r="R29" s="39"/>
      <c r="S29" s="39"/>
      <c r="V29" s="39"/>
      <c r="W29" s="39"/>
      <c r="X29" s="39"/>
      <c r="Y29" s="39"/>
      <c r="Z29" s="39"/>
      <c r="AA29" s="39"/>
      <c r="AB29" s="39"/>
    </row>
    <row r="30" spans="2:37" outlineLevel="1">
      <c r="B30" s="2" t="s">
        <v>148</v>
      </c>
      <c r="C30" s="223">
        <f>CP_Yr_4</f>
        <v>43800</v>
      </c>
      <c r="D30" s="223">
        <f>CP_Yr_5</f>
        <v>44166</v>
      </c>
      <c r="E30" s="223">
        <f>Stub</f>
        <v>44377</v>
      </c>
      <c r="F30" s="223">
        <f>Yr_1</f>
        <v>44742</v>
      </c>
      <c r="G30" s="223">
        <f>Yr_2</f>
        <v>45107</v>
      </c>
      <c r="H30" s="223">
        <f>Yr_3</f>
        <v>45473</v>
      </c>
      <c r="I30" s="223">
        <f>Yr_4</f>
        <v>45838</v>
      </c>
      <c r="J30" s="223">
        <f>Yr_5</f>
        <v>46203</v>
      </c>
      <c r="K30" s="507"/>
      <c r="L30" s="223">
        <f>CP_Yr_4</f>
        <v>43800</v>
      </c>
      <c r="M30" s="223">
        <f>CP_Yr_5</f>
        <v>44166</v>
      </c>
      <c r="N30" s="223">
        <f>Stub</f>
        <v>44377</v>
      </c>
      <c r="O30" s="223">
        <f>Yr_1</f>
        <v>44742</v>
      </c>
      <c r="P30" s="223">
        <f>Yr_2</f>
        <v>45107</v>
      </c>
      <c r="Q30" s="223">
        <f>Yr_3</f>
        <v>45473</v>
      </c>
      <c r="R30" s="223">
        <f>Yr_4</f>
        <v>45838</v>
      </c>
      <c r="S30" s="223">
        <f>Yr_5</f>
        <v>46203</v>
      </c>
      <c r="T30" s="332"/>
      <c r="U30" s="223">
        <f>CP_Yr_4</f>
        <v>43800</v>
      </c>
      <c r="V30" s="223">
        <f>CP_Yr_5</f>
        <v>44166</v>
      </c>
      <c r="W30" s="223">
        <f>Stub</f>
        <v>44377</v>
      </c>
      <c r="X30" s="223">
        <f>Yr_1</f>
        <v>44742</v>
      </c>
      <c r="Y30" s="223">
        <f>Yr_2</f>
        <v>45107</v>
      </c>
      <c r="Z30" s="223">
        <f>Yr_3</f>
        <v>45473</v>
      </c>
      <c r="AA30" s="223">
        <f>Yr_4</f>
        <v>45838</v>
      </c>
      <c r="AB30" s="223">
        <f>Yr_5</f>
        <v>46203</v>
      </c>
      <c r="AC30" s="332"/>
      <c r="AD30" s="223">
        <f>CP_Yr_4</f>
        <v>43800</v>
      </c>
      <c r="AE30" s="223">
        <f>CP_Yr_5</f>
        <v>44166</v>
      </c>
      <c r="AF30" s="223">
        <f>Stub</f>
        <v>44377</v>
      </c>
      <c r="AG30" s="223">
        <f>Yr_1</f>
        <v>44742</v>
      </c>
      <c r="AH30" s="223">
        <f>Yr_2</f>
        <v>45107</v>
      </c>
      <c r="AI30" s="223">
        <f>Yr_3</f>
        <v>45473</v>
      </c>
      <c r="AJ30" s="223">
        <f>Yr_4</f>
        <v>45838</v>
      </c>
      <c r="AK30" s="223">
        <f>Yr_5</f>
        <v>46203</v>
      </c>
    </row>
    <row r="31" spans="2:37" ht="6.75" customHeight="1" outlineLevel="1">
      <c r="D31" s="39"/>
      <c r="E31" s="39"/>
      <c r="F31" s="39"/>
      <c r="G31" s="39"/>
      <c r="H31" s="39"/>
      <c r="I31" s="39"/>
      <c r="J31" s="39"/>
      <c r="K31" s="506"/>
      <c r="M31" s="39"/>
      <c r="N31" s="39"/>
      <c r="O31" s="39"/>
      <c r="P31" s="39"/>
      <c r="Q31" s="39"/>
      <c r="R31" s="39"/>
      <c r="S31" s="39"/>
      <c r="V31" s="39"/>
      <c r="W31" s="39"/>
      <c r="X31" s="39"/>
      <c r="Y31" s="39"/>
      <c r="Z31" s="39"/>
      <c r="AA31" s="39"/>
      <c r="AB31" s="39"/>
    </row>
    <row r="32" spans="2:37" outlineLevel="1">
      <c r="B32" s="1" t="s">
        <v>51</v>
      </c>
      <c r="C32" s="867"/>
      <c r="D32" s="871"/>
      <c r="E32" s="871"/>
      <c r="F32" s="871"/>
      <c r="G32" s="871"/>
      <c r="H32" s="871"/>
      <c r="I32" s="871"/>
      <c r="J32" s="871"/>
      <c r="K32" s="506"/>
      <c r="L32" s="924"/>
      <c r="M32" s="924"/>
      <c r="N32" s="924"/>
      <c r="O32" s="924"/>
      <c r="P32" s="924"/>
      <c r="Q32" s="924"/>
      <c r="R32" s="924"/>
      <c r="S32" s="924"/>
      <c r="U32" s="924"/>
      <c r="V32" s="924"/>
      <c r="W32" s="924"/>
      <c r="X32" s="924"/>
      <c r="Y32" s="924"/>
      <c r="Z32" s="924"/>
      <c r="AA32" s="924"/>
      <c r="AB32" s="924"/>
      <c r="AD32" s="871"/>
      <c r="AE32" s="871"/>
      <c r="AF32" s="871"/>
      <c r="AG32" s="871"/>
      <c r="AH32" s="871"/>
      <c r="AI32" s="871"/>
      <c r="AJ32" s="871"/>
      <c r="AK32" s="871"/>
    </row>
    <row r="33" spans="2:37" outlineLevel="1">
      <c r="B33" s="1" t="s">
        <v>52</v>
      </c>
      <c r="C33" s="867"/>
      <c r="D33" s="871"/>
      <c r="E33" s="871"/>
      <c r="F33" s="871"/>
      <c r="G33" s="871"/>
      <c r="H33" s="871"/>
      <c r="I33" s="871"/>
      <c r="J33" s="871"/>
      <c r="K33" s="506"/>
      <c r="L33" s="924"/>
      <c r="M33" s="924"/>
      <c r="N33" s="924"/>
      <c r="O33" s="924"/>
      <c r="P33" s="924"/>
      <c r="Q33" s="924"/>
      <c r="R33" s="924"/>
      <c r="S33" s="924"/>
      <c r="U33" s="917"/>
      <c r="V33" s="924"/>
      <c r="W33" s="924"/>
      <c r="X33" s="924"/>
      <c r="Y33" s="924"/>
      <c r="Z33" s="924"/>
      <c r="AA33" s="924"/>
      <c r="AB33" s="924"/>
      <c r="AD33" s="871"/>
      <c r="AE33" s="871"/>
      <c r="AF33" s="871"/>
      <c r="AG33" s="871"/>
      <c r="AH33" s="871"/>
      <c r="AI33" s="871"/>
      <c r="AJ33" s="871"/>
      <c r="AK33" s="871"/>
    </row>
    <row r="34" spans="2:37" outlineLevel="1">
      <c r="B34" s="1" t="s">
        <v>53</v>
      </c>
      <c r="C34" s="867"/>
      <c r="D34" s="871"/>
      <c r="E34" s="871"/>
      <c r="F34" s="871"/>
      <c r="G34" s="871"/>
      <c r="H34" s="871"/>
      <c r="I34" s="871"/>
      <c r="J34" s="871"/>
      <c r="K34" s="506"/>
      <c r="L34" s="917"/>
      <c r="M34" s="924"/>
      <c r="N34" s="924"/>
      <c r="O34" s="924"/>
      <c r="P34" s="924"/>
      <c r="Q34" s="924"/>
      <c r="R34" s="924"/>
      <c r="S34" s="924"/>
      <c r="U34" s="917"/>
      <c r="V34" s="924"/>
      <c r="W34" s="924"/>
      <c r="X34" s="924"/>
      <c r="Y34" s="924"/>
      <c r="Z34" s="924"/>
      <c r="AA34" s="924"/>
      <c r="AB34" s="924"/>
      <c r="AD34" s="871"/>
      <c r="AE34" s="871"/>
      <c r="AF34" s="871"/>
      <c r="AG34" s="871"/>
      <c r="AH34" s="871"/>
      <c r="AI34" s="871"/>
      <c r="AJ34" s="871"/>
      <c r="AK34" s="871"/>
    </row>
    <row r="35" spans="2:37" outlineLevel="1">
      <c r="B35" s="1" t="s">
        <v>54</v>
      </c>
      <c r="C35" s="867"/>
      <c r="D35" s="871"/>
      <c r="E35" s="871"/>
      <c r="F35" s="871"/>
      <c r="G35" s="871"/>
      <c r="H35" s="871"/>
      <c r="I35" s="871"/>
      <c r="J35" s="871"/>
      <c r="K35" s="506"/>
      <c r="L35" s="917"/>
      <c r="M35" s="924"/>
      <c r="N35" s="924"/>
      <c r="O35" s="924"/>
      <c r="P35" s="924"/>
      <c r="Q35" s="924"/>
      <c r="R35" s="924"/>
      <c r="S35" s="924"/>
      <c r="U35" s="917"/>
      <c r="V35" s="924"/>
      <c r="W35" s="924"/>
      <c r="X35" s="924"/>
      <c r="Y35" s="924"/>
      <c r="Z35" s="924"/>
      <c r="AA35" s="924"/>
      <c r="AB35" s="924"/>
      <c r="AD35" s="871"/>
      <c r="AE35" s="871"/>
      <c r="AF35" s="871"/>
      <c r="AG35" s="871"/>
      <c r="AH35" s="871"/>
      <c r="AI35" s="871"/>
      <c r="AJ35" s="871"/>
      <c r="AK35" s="871"/>
    </row>
    <row r="36" spans="2:37" outlineLevel="1">
      <c r="B36" s="1" t="s">
        <v>55</v>
      </c>
      <c r="C36" s="867"/>
      <c r="D36" s="871"/>
      <c r="E36" s="871"/>
      <c r="F36" s="871"/>
      <c r="G36" s="871"/>
      <c r="H36" s="871"/>
      <c r="I36" s="871"/>
      <c r="J36" s="871"/>
      <c r="K36" s="506"/>
      <c r="L36" s="924"/>
      <c r="M36" s="924"/>
      <c r="N36" s="924"/>
      <c r="O36" s="924"/>
      <c r="P36" s="924"/>
      <c r="Q36" s="924"/>
      <c r="R36" s="924"/>
      <c r="S36" s="924"/>
      <c r="U36" s="917"/>
      <c r="V36" s="924"/>
      <c r="W36" s="924"/>
      <c r="X36" s="924"/>
      <c r="Y36" s="924"/>
      <c r="Z36" s="924"/>
      <c r="AA36" s="924"/>
      <c r="AB36" s="924"/>
      <c r="AD36" s="871"/>
      <c r="AE36" s="871"/>
      <c r="AF36" s="871"/>
      <c r="AG36" s="871"/>
      <c r="AH36" s="871"/>
      <c r="AI36" s="871"/>
      <c r="AJ36" s="871"/>
      <c r="AK36" s="871"/>
    </row>
    <row r="37" spans="2:37" outlineLevel="1">
      <c r="B37" s="1" t="s">
        <v>56</v>
      </c>
      <c r="C37" s="867"/>
      <c r="D37" s="871"/>
      <c r="E37" s="871"/>
      <c r="F37" s="871"/>
      <c r="G37" s="871"/>
      <c r="H37" s="871"/>
      <c r="I37" s="871"/>
      <c r="J37" s="871"/>
      <c r="K37" s="506"/>
      <c r="L37" s="917"/>
      <c r="M37" s="924"/>
      <c r="N37" s="924"/>
      <c r="O37" s="924"/>
      <c r="P37" s="924"/>
      <c r="Q37" s="924"/>
      <c r="R37" s="924"/>
      <c r="S37" s="924"/>
      <c r="U37" s="917"/>
      <c r="V37" s="924"/>
      <c r="W37" s="924"/>
      <c r="X37" s="924"/>
      <c r="Y37" s="924"/>
      <c r="Z37" s="924"/>
      <c r="AA37" s="924"/>
      <c r="AB37" s="924"/>
      <c r="AD37" s="871"/>
      <c r="AE37" s="871"/>
      <c r="AF37" s="871"/>
      <c r="AG37" s="871"/>
      <c r="AH37" s="871"/>
      <c r="AI37" s="871"/>
      <c r="AJ37" s="871"/>
      <c r="AK37" s="871"/>
    </row>
    <row r="38" spans="2:37" outlineLevel="1">
      <c r="B38" s="1" t="s">
        <v>57</v>
      </c>
      <c r="C38" s="867"/>
      <c r="D38" s="871"/>
      <c r="E38" s="871"/>
      <c r="F38" s="871"/>
      <c r="G38" s="871"/>
      <c r="H38" s="871"/>
      <c r="I38" s="871"/>
      <c r="J38" s="871"/>
      <c r="K38" s="506"/>
      <c r="L38" s="917"/>
      <c r="M38" s="924"/>
      <c r="N38" s="924"/>
      <c r="O38" s="924"/>
      <c r="P38" s="924"/>
      <c r="Q38" s="924"/>
      <c r="R38" s="924"/>
      <c r="S38" s="924"/>
      <c r="U38" s="917"/>
      <c r="V38" s="924"/>
      <c r="W38" s="924"/>
      <c r="X38" s="924"/>
      <c r="Y38" s="924"/>
      <c r="Z38" s="924"/>
      <c r="AA38" s="924"/>
      <c r="AB38" s="924"/>
      <c r="AD38" s="871"/>
      <c r="AE38" s="871"/>
      <c r="AF38" s="871"/>
      <c r="AG38" s="871"/>
      <c r="AH38" s="871"/>
      <c r="AI38" s="871"/>
      <c r="AJ38" s="871"/>
      <c r="AK38" s="871"/>
    </row>
    <row r="39" spans="2:37" outlineLevel="1">
      <c r="B39" s="1" t="s">
        <v>48</v>
      </c>
      <c r="C39" s="867"/>
      <c r="D39" s="871"/>
      <c r="E39" s="871"/>
      <c r="F39" s="871"/>
      <c r="G39" s="871"/>
      <c r="H39" s="871"/>
      <c r="I39" s="871"/>
      <c r="J39" s="871"/>
      <c r="K39" s="506"/>
      <c r="L39" s="917"/>
      <c r="M39" s="924"/>
      <c r="N39" s="924"/>
      <c r="O39" s="924"/>
      <c r="P39" s="924"/>
      <c r="Q39" s="924"/>
      <c r="R39" s="924"/>
      <c r="S39" s="924"/>
      <c r="U39" s="917"/>
      <c r="V39" s="924"/>
      <c r="W39" s="924"/>
      <c r="X39" s="924"/>
      <c r="Y39" s="924"/>
      <c r="Z39" s="924"/>
      <c r="AA39" s="924"/>
      <c r="AB39" s="924"/>
      <c r="AD39" s="871"/>
      <c r="AE39" s="871"/>
      <c r="AF39" s="871"/>
      <c r="AG39" s="871"/>
      <c r="AH39" s="871"/>
      <c r="AI39" s="871"/>
      <c r="AJ39" s="871"/>
      <c r="AK39" s="871"/>
    </row>
    <row r="40" spans="2:37" outlineLevel="1">
      <c r="B40" s="1" t="s">
        <v>49</v>
      </c>
      <c r="C40" s="867"/>
      <c r="D40" s="871"/>
      <c r="E40" s="871"/>
      <c r="F40" s="871"/>
      <c r="G40" s="871"/>
      <c r="H40" s="871"/>
      <c r="I40" s="871"/>
      <c r="J40" s="871"/>
      <c r="K40" s="506"/>
      <c r="L40" s="917"/>
      <c r="M40" s="924"/>
      <c r="N40" s="924"/>
      <c r="O40" s="924"/>
      <c r="P40" s="924"/>
      <c r="Q40" s="924"/>
      <c r="R40" s="924"/>
      <c r="S40" s="924"/>
      <c r="U40" s="917"/>
      <c r="V40" s="924"/>
      <c r="W40" s="924"/>
      <c r="X40" s="924"/>
      <c r="Y40" s="924"/>
      <c r="Z40" s="924"/>
      <c r="AA40" s="924"/>
      <c r="AB40" s="924"/>
      <c r="AD40" s="871"/>
      <c r="AE40" s="871"/>
      <c r="AF40" s="871"/>
      <c r="AG40" s="871"/>
      <c r="AH40" s="871"/>
      <c r="AI40" s="871"/>
      <c r="AJ40" s="871"/>
      <c r="AK40" s="871"/>
    </row>
    <row r="41" spans="2:37" outlineLevel="1">
      <c r="B41" s="1" t="s">
        <v>50</v>
      </c>
      <c r="C41" s="925"/>
      <c r="D41" s="885"/>
      <c r="E41" s="885"/>
      <c r="F41" s="885"/>
      <c r="G41" s="885"/>
      <c r="H41" s="885"/>
      <c r="I41" s="885"/>
      <c r="J41" s="885"/>
      <c r="K41" s="506"/>
      <c r="L41" s="929"/>
      <c r="M41" s="928"/>
      <c r="N41" s="928"/>
      <c r="O41" s="928"/>
      <c r="P41" s="928"/>
      <c r="Q41" s="928"/>
      <c r="R41" s="928"/>
      <c r="S41" s="928"/>
      <c r="U41" s="929"/>
      <c r="V41" s="928"/>
      <c r="W41" s="928"/>
      <c r="X41" s="928"/>
      <c r="Y41" s="928"/>
      <c r="Z41" s="928"/>
      <c r="AA41" s="928"/>
      <c r="AB41" s="928"/>
      <c r="AD41" s="885"/>
      <c r="AE41" s="885"/>
      <c r="AF41" s="885"/>
      <c r="AG41" s="885"/>
      <c r="AH41" s="885"/>
      <c r="AI41" s="885"/>
      <c r="AJ41" s="885"/>
      <c r="AK41" s="885"/>
    </row>
    <row r="42" spans="2:37" outlineLevel="1">
      <c r="B42" s="56" t="s">
        <v>291</v>
      </c>
      <c r="C42" s="871"/>
      <c r="D42" s="871"/>
      <c r="E42" s="871"/>
      <c r="F42" s="871"/>
      <c r="G42" s="871"/>
      <c r="H42" s="871"/>
      <c r="I42" s="871"/>
      <c r="J42" s="871"/>
      <c r="K42" s="54"/>
      <c r="L42" s="924"/>
      <c r="M42" s="924"/>
      <c r="N42" s="924"/>
      <c r="O42" s="924"/>
      <c r="P42" s="924"/>
      <c r="Q42" s="924"/>
      <c r="R42" s="924"/>
      <c r="S42" s="924"/>
      <c r="T42" s="34"/>
      <c r="U42" s="924"/>
      <c r="V42" s="924"/>
      <c r="W42" s="924"/>
      <c r="X42" s="924"/>
      <c r="Y42" s="924"/>
      <c r="Z42" s="924"/>
      <c r="AA42" s="924"/>
      <c r="AB42" s="924"/>
      <c r="AD42" s="871"/>
      <c r="AE42" s="871"/>
      <c r="AF42" s="871"/>
      <c r="AG42" s="871"/>
      <c r="AH42" s="871"/>
      <c r="AI42" s="871"/>
      <c r="AJ42" s="871"/>
      <c r="AK42" s="871"/>
    </row>
    <row r="43" spans="2:37" outlineLevel="1">
      <c r="K43" s="54"/>
    </row>
    <row r="44" spans="2:37">
      <c r="B44" s="2" t="s">
        <v>343</v>
      </c>
      <c r="C44" s="223">
        <f>CP_Yr_4</f>
        <v>43800</v>
      </c>
      <c r="D44" s="223">
        <f>CP_Yr_5</f>
        <v>44166</v>
      </c>
      <c r="E44" s="223">
        <f>Stub</f>
        <v>44377</v>
      </c>
      <c r="F44" s="223">
        <f>Yr_1</f>
        <v>44742</v>
      </c>
      <c r="G44" s="223">
        <f>Yr_2</f>
        <v>45107</v>
      </c>
      <c r="H44" s="223">
        <f>Yr_3</f>
        <v>45473</v>
      </c>
      <c r="I44" s="223">
        <f>Yr_4</f>
        <v>45838</v>
      </c>
      <c r="J44" s="223">
        <f>Yr_5</f>
        <v>46203</v>
      </c>
      <c r="K44" s="507"/>
      <c r="L44" s="223">
        <f>CP_Yr_4</f>
        <v>43800</v>
      </c>
      <c r="M44" s="223">
        <f>CP_Yr_5</f>
        <v>44166</v>
      </c>
      <c r="N44" s="223">
        <f>Stub</f>
        <v>44377</v>
      </c>
      <c r="O44" s="223">
        <f>Yr_1</f>
        <v>44742</v>
      </c>
      <c r="P44" s="223">
        <f>Yr_2</f>
        <v>45107</v>
      </c>
      <c r="Q44" s="223">
        <f>Yr_3</f>
        <v>45473</v>
      </c>
      <c r="R44" s="223">
        <f>Yr_4</f>
        <v>45838</v>
      </c>
      <c r="S44" s="223">
        <f>Yr_5</f>
        <v>46203</v>
      </c>
      <c r="T44" s="332"/>
      <c r="U44" s="223">
        <f>CP_Yr_4</f>
        <v>43800</v>
      </c>
      <c r="V44" s="223">
        <f>CP_Yr_5</f>
        <v>44166</v>
      </c>
      <c r="W44" s="223">
        <f>Stub</f>
        <v>44377</v>
      </c>
      <c r="X44" s="223">
        <f>Yr_1</f>
        <v>44742</v>
      </c>
      <c r="Y44" s="223">
        <f>Yr_2</f>
        <v>45107</v>
      </c>
      <c r="Z44" s="223">
        <f>Yr_3</f>
        <v>45473</v>
      </c>
      <c r="AA44" s="223">
        <f>Yr_4</f>
        <v>45838</v>
      </c>
      <c r="AB44" s="223">
        <f>Yr_5</f>
        <v>46203</v>
      </c>
      <c r="AC44" s="332"/>
      <c r="AD44" s="223">
        <f>CP_Yr_4</f>
        <v>43800</v>
      </c>
      <c r="AE44" s="223">
        <f>CP_Yr_5</f>
        <v>44166</v>
      </c>
      <c r="AF44" s="223">
        <f>Stub</f>
        <v>44377</v>
      </c>
      <c r="AG44" s="223">
        <f>Yr_1</f>
        <v>44742</v>
      </c>
      <c r="AH44" s="223">
        <f>Yr_2</f>
        <v>45107</v>
      </c>
      <c r="AI44" s="223">
        <f>Yr_3</f>
        <v>45473</v>
      </c>
      <c r="AJ44" s="223">
        <f>Yr_4</f>
        <v>45838</v>
      </c>
      <c r="AK44" s="223">
        <f>Yr_5</f>
        <v>46203</v>
      </c>
    </row>
    <row r="45" spans="2:37">
      <c r="B45" s="102" t="s">
        <v>167</v>
      </c>
      <c r="C45" s="925"/>
      <c r="D45" s="926"/>
      <c r="E45" s="926"/>
      <c r="F45" s="926"/>
      <c r="G45" s="926"/>
      <c r="H45" s="926"/>
      <c r="I45" s="926"/>
      <c r="J45" s="926"/>
      <c r="K45" s="509"/>
      <c r="L45" s="929"/>
      <c r="M45" s="930"/>
      <c r="N45" s="930"/>
      <c r="O45" s="930"/>
      <c r="P45" s="930"/>
      <c r="Q45" s="930"/>
      <c r="R45" s="930"/>
      <c r="S45" s="930"/>
      <c r="U45" s="885"/>
      <c r="V45" s="885"/>
      <c r="W45" s="885"/>
      <c r="X45" s="885"/>
      <c r="Y45" s="885"/>
      <c r="Z45" s="885"/>
      <c r="AA45" s="885"/>
      <c r="AB45" s="885"/>
      <c r="AD45" s="885"/>
      <c r="AE45" s="885"/>
      <c r="AF45" s="885"/>
      <c r="AG45" s="885"/>
      <c r="AH45" s="885"/>
      <c r="AI45" s="885"/>
      <c r="AJ45" s="885"/>
      <c r="AK45" s="885"/>
    </row>
    <row r="46" spans="2:37">
      <c r="B46" s="1" t="s">
        <v>226</v>
      </c>
      <c r="C46" s="871"/>
      <c r="D46" s="871"/>
      <c r="E46" s="871"/>
      <c r="F46" s="871"/>
      <c r="G46" s="871"/>
      <c r="H46" s="871"/>
      <c r="I46" s="871"/>
      <c r="J46" s="871"/>
      <c r="K46" s="54"/>
      <c r="L46" s="924"/>
      <c r="M46" s="924"/>
      <c r="N46" s="924"/>
      <c r="O46" s="924"/>
      <c r="P46" s="924"/>
      <c r="Q46" s="924"/>
      <c r="R46" s="924"/>
      <c r="S46" s="924"/>
      <c r="U46" s="867"/>
      <c r="V46" s="871"/>
      <c r="W46" s="871"/>
      <c r="X46" s="871"/>
      <c r="Y46" s="871"/>
      <c r="Z46" s="871"/>
      <c r="AA46" s="871"/>
      <c r="AB46" s="871"/>
      <c r="AD46" s="871"/>
      <c r="AE46" s="871"/>
      <c r="AF46" s="871"/>
      <c r="AG46" s="871"/>
      <c r="AH46" s="871"/>
      <c r="AI46" s="871"/>
      <c r="AJ46" s="871"/>
      <c r="AK46" s="871"/>
    </row>
    <row r="47" spans="2:37">
      <c r="B47" s="1" t="s">
        <v>227</v>
      </c>
      <c r="C47" s="871"/>
      <c r="D47" s="871"/>
      <c r="E47" s="871"/>
      <c r="F47" s="871"/>
      <c r="G47" s="871"/>
      <c r="H47" s="871"/>
      <c r="I47" s="871"/>
      <c r="J47" s="871"/>
      <c r="K47" s="54"/>
      <c r="L47" s="924"/>
      <c r="M47" s="924"/>
      <c r="N47" s="924"/>
      <c r="O47" s="924"/>
      <c r="P47" s="924"/>
      <c r="Q47" s="924"/>
      <c r="R47" s="924"/>
      <c r="S47" s="924"/>
      <c r="U47" s="867"/>
      <c r="V47" s="871"/>
      <c r="W47" s="871"/>
      <c r="X47" s="871"/>
      <c r="Y47" s="871"/>
      <c r="Z47" s="871"/>
      <c r="AA47" s="871"/>
      <c r="AB47" s="871"/>
      <c r="AD47" s="871"/>
      <c r="AE47" s="871"/>
      <c r="AF47" s="871"/>
      <c r="AG47" s="871"/>
      <c r="AH47" s="871"/>
      <c r="AI47" s="871"/>
      <c r="AJ47" s="871"/>
      <c r="AK47" s="871"/>
    </row>
    <row r="48" spans="2:37">
      <c r="B48" s="1" t="s">
        <v>228</v>
      </c>
      <c r="C48" s="871"/>
      <c r="D48" s="871"/>
      <c r="E48" s="871"/>
      <c r="F48" s="871"/>
      <c r="G48" s="871"/>
      <c r="H48" s="871"/>
      <c r="I48" s="871"/>
      <c r="J48" s="871"/>
      <c r="K48" s="54"/>
      <c r="L48" s="924"/>
      <c r="M48" s="924"/>
      <c r="N48" s="924"/>
      <c r="O48" s="924"/>
      <c r="P48" s="924"/>
      <c r="Q48" s="924"/>
      <c r="R48" s="924"/>
      <c r="S48" s="924"/>
      <c r="U48" s="867"/>
      <c r="V48" s="871"/>
      <c r="W48" s="871"/>
      <c r="X48" s="871"/>
      <c r="Y48" s="871"/>
      <c r="Z48" s="871"/>
      <c r="AA48" s="871"/>
      <c r="AB48" s="871"/>
      <c r="AD48" s="871"/>
      <c r="AE48" s="871"/>
      <c r="AF48" s="871"/>
      <c r="AG48" s="871"/>
      <c r="AH48" s="871"/>
      <c r="AI48" s="871"/>
      <c r="AJ48" s="871"/>
      <c r="AK48" s="871"/>
    </row>
    <row r="49" spans="2:37">
      <c r="B49" s="1" t="s">
        <v>229</v>
      </c>
      <c r="C49" s="871"/>
      <c r="D49" s="871"/>
      <c r="E49" s="871"/>
      <c r="F49" s="871"/>
      <c r="G49" s="871"/>
      <c r="H49" s="871"/>
      <c r="I49" s="871"/>
      <c r="J49" s="871"/>
      <c r="K49" s="54"/>
      <c r="L49" s="924"/>
      <c r="M49" s="924"/>
      <c r="N49" s="924"/>
      <c r="O49" s="924"/>
      <c r="P49" s="924"/>
      <c r="Q49" s="924"/>
      <c r="R49" s="924"/>
      <c r="S49" s="924"/>
      <c r="U49" s="867"/>
      <c r="V49" s="871"/>
      <c r="W49" s="871"/>
      <c r="X49" s="871"/>
      <c r="Y49" s="871"/>
      <c r="Z49" s="871"/>
      <c r="AA49" s="871"/>
      <c r="AB49" s="871"/>
      <c r="AD49" s="871"/>
      <c r="AE49" s="871"/>
      <c r="AF49" s="871"/>
      <c r="AG49" s="871"/>
      <c r="AH49" s="871"/>
      <c r="AI49" s="871"/>
      <c r="AJ49" s="871"/>
      <c r="AK49" s="871"/>
    </row>
    <row r="50" spans="2:37">
      <c r="B50" s="1" t="s">
        <v>230</v>
      </c>
      <c r="C50" s="871"/>
      <c r="D50" s="871"/>
      <c r="E50" s="871"/>
      <c r="F50" s="871"/>
      <c r="G50" s="871"/>
      <c r="H50" s="871"/>
      <c r="I50" s="871"/>
      <c r="J50" s="871"/>
      <c r="K50" s="54"/>
      <c r="L50" s="924"/>
      <c r="M50" s="924"/>
      <c r="N50" s="924"/>
      <c r="O50" s="924"/>
      <c r="P50" s="924"/>
      <c r="Q50" s="924"/>
      <c r="R50" s="924"/>
      <c r="S50" s="924"/>
      <c r="U50" s="867"/>
      <c r="V50" s="871"/>
      <c r="W50" s="871"/>
      <c r="X50" s="871"/>
      <c r="Y50" s="871"/>
      <c r="Z50" s="871"/>
      <c r="AA50" s="871"/>
      <c r="AB50" s="871"/>
      <c r="AD50" s="871"/>
      <c r="AE50" s="871"/>
      <c r="AF50" s="871"/>
      <c r="AG50" s="871"/>
      <c r="AH50" s="871"/>
      <c r="AI50" s="871"/>
      <c r="AJ50" s="871"/>
      <c r="AK50" s="871"/>
    </row>
    <row r="51" spans="2:37">
      <c r="B51" s="1" t="s">
        <v>231</v>
      </c>
      <c r="C51" s="871"/>
      <c r="D51" s="871"/>
      <c r="E51" s="871"/>
      <c r="F51" s="871"/>
      <c r="G51" s="871"/>
      <c r="H51" s="871"/>
      <c r="I51" s="871"/>
      <c r="J51" s="871"/>
      <c r="K51" s="54"/>
      <c r="L51" s="924"/>
      <c r="M51" s="924"/>
      <c r="N51" s="924"/>
      <c r="O51" s="924"/>
      <c r="P51" s="924"/>
      <c r="Q51" s="924"/>
      <c r="R51" s="924"/>
      <c r="S51" s="924"/>
      <c r="U51" s="867"/>
      <c r="V51" s="871"/>
      <c r="W51" s="871"/>
      <c r="X51" s="871"/>
      <c r="Y51" s="871"/>
      <c r="Z51" s="871"/>
      <c r="AA51" s="871"/>
      <c r="AB51" s="871"/>
      <c r="AD51" s="871"/>
      <c r="AE51" s="871"/>
      <c r="AF51" s="871"/>
      <c r="AG51" s="871"/>
      <c r="AH51" s="871"/>
      <c r="AI51" s="871"/>
      <c r="AJ51" s="871"/>
      <c r="AK51" s="871"/>
    </row>
    <row r="52" spans="2:37">
      <c r="B52" s="1" t="s">
        <v>232</v>
      </c>
      <c r="C52" s="871"/>
      <c r="D52" s="871"/>
      <c r="E52" s="871"/>
      <c r="F52" s="871"/>
      <c r="G52" s="871"/>
      <c r="H52" s="871"/>
      <c r="I52" s="871"/>
      <c r="J52" s="871"/>
      <c r="K52" s="54"/>
      <c r="L52" s="924"/>
      <c r="M52" s="924"/>
      <c r="N52" s="924"/>
      <c r="O52" s="924"/>
      <c r="P52" s="924"/>
      <c r="Q52" s="924"/>
      <c r="R52" s="924"/>
      <c r="S52" s="924"/>
      <c r="U52" s="867"/>
      <c r="V52" s="871"/>
      <c r="W52" s="871"/>
      <c r="X52" s="871"/>
      <c r="Y52" s="871"/>
      <c r="Z52" s="871"/>
      <c r="AA52" s="871"/>
      <c r="AB52" s="871"/>
      <c r="AD52" s="871"/>
      <c r="AE52" s="871"/>
      <c r="AF52" s="871"/>
      <c r="AG52" s="871"/>
      <c r="AH52" s="871"/>
      <c r="AI52" s="871"/>
      <c r="AJ52" s="871"/>
      <c r="AK52" s="871"/>
    </row>
    <row r="53" spans="2:37">
      <c r="B53" s="1" t="s">
        <v>176</v>
      </c>
      <c r="C53" s="871"/>
      <c r="D53" s="871"/>
      <c r="E53" s="871"/>
      <c r="F53" s="871"/>
      <c r="G53" s="871"/>
      <c r="H53" s="871"/>
      <c r="I53" s="871"/>
      <c r="J53" s="871"/>
      <c r="K53" s="54"/>
      <c r="L53" s="924"/>
      <c r="M53" s="924"/>
      <c r="N53" s="924"/>
      <c r="O53" s="924"/>
      <c r="P53" s="924"/>
      <c r="Q53" s="924"/>
      <c r="R53" s="924"/>
      <c r="S53" s="924"/>
      <c r="U53" s="867"/>
      <c r="V53" s="871"/>
      <c r="W53" s="871"/>
      <c r="X53" s="871"/>
      <c r="Y53" s="871"/>
      <c r="Z53" s="871"/>
      <c r="AA53" s="871"/>
      <c r="AB53" s="871"/>
      <c r="AD53" s="871"/>
      <c r="AE53" s="871"/>
      <c r="AF53" s="871"/>
      <c r="AG53" s="871"/>
      <c r="AH53" s="871"/>
      <c r="AI53" s="871"/>
      <c r="AJ53" s="871"/>
      <c r="AK53" s="871"/>
    </row>
    <row r="54" spans="2:37">
      <c r="B54" s="1" t="s">
        <v>233</v>
      </c>
      <c r="C54" s="871"/>
      <c r="D54" s="871"/>
      <c r="E54" s="871"/>
      <c r="F54" s="871"/>
      <c r="G54" s="871"/>
      <c r="H54" s="871"/>
      <c r="I54" s="871"/>
      <c r="J54" s="871"/>
      <c r="K54" s="54"/>
      <c r="L54" s="924"/>
      <c r="M54" s="924"/>
      <c r="N54" s="924"/>
      <c r="O54" s="924"/>
      <c r="P54" s="924"/>
      <c r="Q54" s="924"/>
      <c r="R54" s="924"/>
      <c r="S54" s="924"/>
      <c r="U54" s="867"/>
      <c r="V54" s="871"/>
      <c r="W54" s="871"/>
      <c r="X54" s="871"/>
      <c r="Y54" s="871"/>
      <c r="Z54" s="871"/>
      <c r="AA54" s="871"/>
      <c r="AB54" s="871"/>
      <c r="AD54" s="871"/>
      <c r="AE54" s="871"/>
      <c r="AF54" s="871"/>
      <c r="AG54" s="871"/>
      <c r="AH54" s="871"/>
      <c r="AI54" s="871"/>
      <c r="AJ54" s="871"/>
      <c r="AK54" s="871"/>
    </row>
    <row r="55" spans="2:37">
      <c r="B55" s="1" t="s">
        <v>323</v>
      </c>
      <c r="C55" s="871"/>
      <c r="D55" s="871"/>
      <c r="E55" s="871"/>
      <c r="F55" s="871"/>
      <c r="G55" s="871"/>
      <c r="H55" s="871"/>
      <c r="I55" s="871"/>
      <c r="J55" s="871"/>
      <c r="K55" s="54"/>
      <c r="L55" s="924"/>
      <c r="M55" s="924"/>
      <c r="N55" s="924"/>
      <c r="O55" s="924"/>
      <c r="P55" s="924"/>
      <c r="Q55" s="924"/>
      <c r="R55" s="924"/>
      <c r="S55" s="924"/>
      <c r="U55" s="867"/>
      <c r="V55" s="871"/>
      <c r="W55" s="871"/>
      <c r="X55" s="871"/>
      <c r="Y55" s="871"/>
      <c r="Z55" s="871"/>
      <c r="AA55" s="871"/>
      <c r="AB55" s="871"/>
      <c r="AD55" s="871"/>
      <c r="AE55" s="871"/>
      <c r="AF55" s="871"/>
      <c r="AG55" s="871"/>
      <c r="AH55" s="871"/>
      <c r="AI55" s="871"/>
      <c r="AJ55" s="871"/>
      <c r="AK55" s="871"/>
    </row>
    <row r="56" spans="2:37">
      <c r="B56" s="1" t="s">
        <v>234</v>
      </c>
      <c r="C56" s="885"/>
      <c r="D56" s="885"/>
      <c r="E56" s="885"/>
      <c r="F56" s="885"/>
      <c r="G56" s="885"/>
      <c r="H56" s="885"/>
      <c r="I56" s="885"/>
      <c r="J56" s="885"/>
      <c r="K56" s="54"/>
      <c r="L56" s="928"/>
      <c r="M56" s="928"/>
      <c r="N56" s="928"/>
      <c r="O56" s="928"/>
      <c r="P56" s="928"/>
      <c r="Q56" s="928"/>
      <c r="R56" s="928"/>
      <c r="S56" s="928"/>
      <c r="U56" s="925"/>
      <c r="V56" s="885"/>
      <c r="W56" s="885"/>
      <c r="X56" s="885"/>
      <c r="Y56" s="885"/>
      <c r="Z56" s="885"/>
      <c r="AA56" s="885"/>
      <c r="AB56" s="885"/>
      <c r="AD56" s="885"/>
      <c r="AE56" s="885"/>
      <c r="AF56" s="885"/>
      <c r="AG56" s="885"/>
      <c r="AH56" s="885"/>
      <c r="AI56" s="885"/>
      <c r="AJ56" s="885"/>
      <c r="AK56" s="885"/>
    </row>
    <row r="57" spans="2:37">
      <c r="B57" s="56" t="s">
        <v>344</v>
      </c>
      <c r="C57" s="871"/>
      <c r="D57" s="871"/>
      <c r="E57" s="871"/>
      <c r="F57" s="871"/>
      <c r="G57" s="871"/>
      <c r="H57" s="871"/>
      <c r="I57" s="871"/>
      <c r="J57" s="871"/>
      <c r="K57" s="54"/>
      <c r="L57" s="924"/>
      <c r="M57" s="924"/>
      <c r="N57" s="924"/>
      <c r="O57" s="924"/>
      <c r="P57" s="924"/>
      <c r="Q57" s="924"/>
      <c r="R57" s="924"/>
      <c r="S57" s="924"/>
      <c r="U57" s="871"/>
      <c r="V57" s="871"/>
      <c r="W57" s="871"/>
      <c r="X57" s="871"/>
      <c r="Y57" s="871"/>
      <c r="Z57" s="871"/>
      <c r="AA57" s="871"/>
      <c r="AB57" s="871"/>
      <c r="AD57" s="871"/>
      <c r="AE57" s="871"/>
      <c r="AF57" s="871"/>
      <c r="AG57" s="871"/>
      <c r="AH57" s="871"/>
      <c r="AI57" s="871"/>
      <c r="AJ57" s="871"/>
      <c r="AK57" s="871"/>
    </row>
    <row r="58" spans="2:37">
      <c r="C58" s="887"/>
      <c r="D58" s="867"/>
      <c r="E58" s="867"/>
      <c r="F58" s="867"/>
      <c r="G58" s="867"/>
      <c r="H58" s="867"/>
      <c r="I58" s="867"/>
      <c r="J58" s="867"/>
      <c r="K58" s="54"/>
      <c r="L58" s="924"/>
      <c r="M58" s="924"/>
      <c r="N58" s="924"/>
      <c r="O58" s="924"/>
      <c r="P58" s="924"/>
      <c r="Q58" s="924"/>
      <c r="R58" s="924"/>
      <c r="S58" s="924"/>
      <c r="U58" s="887"/>
      <c r="V58" s="887"/>
      <c r="W58" s="887"/>
      <c r="X58" s="887"/>
      <c r="Y58" s="887"/>
      <c r="Z58" s="887"/>
      <c r="AA58" s="887"/>
      <c r="AB58" s="887"/>
      <c r="AD58" s="887"/>
      <c r="AE58" s="887"/>
      <c r="AF58" s="887"/>
      <c r="AG58" s="887"/>
      <c r="AH58" s="887"/>
      <c r="AI58" s="887"/>
      <c r="AJ58" s="887"/>
      <c r="AK58" s="887"/>
    </row>
    <row r="59" spans="2:37">
      <c r="K59" s="54"/>
      <c r="M59" s="39"/>
      <c r="N59" s="39"/>
      <c r="O59" s="39"/>
      <c r="P59" s="39"/>
      <c r="Q59" s="39"/>
      <c r="R59" s="39"/>
      <c r="S59" s="39"/>
    </row>
  </sheetData>
  <mergeCells count="1">
    <mergeCell ref="H1:I1"/>
  </mergeCells>
  <hyperlinks>
    <hyperlink ref="B2" location="Contents!A1" display="Table of Contents" xr:uid="{00000000-0004-0000-1700-000000000000}"/>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8" tint="-0.499984740745262"/>
  </sheetPr>
  <dimension ref="C3:C4"/>
  <sheetViews>
    <sheetView zoomScale="85" zoomScaleNormal="85" zoomScalePageLayoutView="125" workbookViewId="0">
      <selection activeCell="V33" sqref="V33"/>
    </sheetView>
  </sheetViews>
  <sheetFormatPr defaultColWidth="8.85546875" defaultRowHeight="15"/>
  <cols>
    <col min="1" max="16384" width="8.85546875" style="22"/>
  </cols>
  <sheetData>
    <row r="3" spans="3:3" ht="18.75">
      <c r="C3" s="21" t="s">
        <v>294</v>
      </c>
    </row>
    <row r="4" spans="3:3">
      <c r="C4" s="26" t="s">
        <v>6</v>
      </c>
    </row>
  </sheetData>
  <hyperlinks>
    <hyperlink ref="C4" location="Contents!A1" display="Table of Contents" xr:uid="{00000000-0004-0000-18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B1:AD61"/>
  <sheetViews>
    <sheetView zoomScale="85" zoomScaleNormal="85" zoomScalePageLayoutView="125" workbookViewId="0">
      <pane ySplit="5" topLeftCell="A6" activePane="bottomLeft" state="frozen"/>
      <selection activeCell="V33" sqref="V33"/>
      <selection pane="bottomLeft" activeCell="J14" sqref="J14"/>
    </sheetView>
  </sheetViews>
  <sheetFormatPr defaultColWidth="8.85546875" defaultRowHeight="15" outlineLevelCol="1"/>
  <cols>
    <col min="1" max="2" width="4.42578125" style="1" customWidth="1"/>
    <col min="3" max="3" width="4.7109375" style="1" customWidth="1"/>
    <col min="4" max="4" width="35.42578125" style="1" customWidth="1"/>
    <col min="5" max="7" width="8.140625" style="1" customWidth="1" outlineLevel="1"/>
    <col min="8" max="12" width="9.42578125" style="1" customWidth="1"/>
    <col min="13" max="13" width="3.7109375" style="1" customWidth="1"/>
    <col min="14" max="14" width="5" style="1" customWidth="1"/>
    <col min="15" max="15" width="4.140625" style="1" customWidth="1"/>
    <col min="16" max="16" width="35.28515625" style="1" customWidth="1"/>
    <col min="17" max="19" width="8.42578125" style="1" customWidth="1" outlineLevel="1"/>
    <col min="20" max="24" width="8.85546875" style="1"/>
    <col min="25" max="25" width="6" style="1" customWidth="1"/>
    <col min="26" max="16384" width="8.85546875" style="1"/>
  </cols>
  <sheetData>
    <row r="1" spans="2:30" ht="18.75">
      <c r="B1" s="10" t="s">
        <v>149</v>
      </c>
      <c r="I1" s="969" t="s">
        <v>737</v>
      </c>
      <c r="J1" s="969"/>
    </row>
    <row r="2" spans="2:30">
      <c r="B2" s="25" t="s">
        <v>6</v>
      </c>
      <c r="O2" s="2"/>
    </row>
    <row r="4" spans="2:30">
      <c r="C4" s="2" t="s">
        <v>609</v>
      </c>
      <c r="O4" s="2" t="s">
        <v>609</v>
      </c>
    </row>
    <row r="5" spans="2:30">
      <c r="C5" s="95" t="s">
        <v>145</v>
      </c>
      <c r="D5" s="94"/>
      <c r="E5" s="333">
        <f>CP_Yr_4</f>
        <v>43800</v>
      </c>
      <c r="F5" s="333">
        <f>CP_Yr_5</f>
        <v>44166</v>
      </c>
      <c r="G5" s="333">
        <f>Stub</f>
        <v>44377</v>
      </c>
      <c r="H5" s="334">
        <f>Yr_1</f>
        <v>44742</v>
      </c>
      <c r="I5" s="333">
        <f>Yr_2</f>
        <v>45107</v>
      </c>
      <c r="J5" s="333">
        <f>Yr_3</f>
        <v>45473</v>
      </c>
      <c r="K5" s="333">
        <f>Yr_4</f>
        <v>45838</v>
      </c>
      <c r="L5" s="333">
        <f>Yr_5</f>
        <v>46203</v>
      </c>
      <c r="O5" s="97" t="s">
        <v>302</v>
      </c>
      <c r="P5" s="98"/>
      <c r="Q5" s="333">
        <f>CP_Yr_4</f>
        <v>43800</v>
      </c>
      <c r="R5" s="333">
        <f>CP_Yr_5</f>
        <v>44166</v>
      </c>
      <c r="S5" s="333">
        <f>Stub</f>
        <v>44377</v>
      </c>
      <c r="T5" s="334">
        <f>Yr_1</f>
        <v>44742</v>
      </c>
      <c r="U5" s="333">
        <f>Yr_2</f>
        <v>45107</v>
      </c>
      <c r="V5" s="333">
        <f>Yr_3</f>
        <v>45473</v>
      </c>
      <c r="W5" s="333">
        <f>Yr_4</f>
        <v>45838</v>
      </c>
      <c r="X5" s="333">
        <f>Yr_5</f>
        <v>46203</v>
      </c>
    </row>
    <row r="6" spans="2:30" ht="6" customHeight="1">
      <c r="F6" s="36"/>
      <c r="G6" s="330"/>
      <c r="H6" s="44"/>
      <c r="I6" s="36"/>
      <c r="J6" s="36"/>
      <c r="K6" s="36"/>
      <c r="L6" s="36"/>
      <c r="R6" s="36"/>
      <c r="S6" s="330"/>
      <c r="T6" s="44"/>
      <c r="U6" s="36"/>
      <c r="V6" s="36"/>
      <c r="W6" s="36"/>
      <c r="X6" s="36"/>
    </row>
    <row r="7" spans="2:30">
      <c r="C7" s="42" t="s">
        <v>25</v>
      </c>
      <c r="D7" s="42"/>
      <c r="E7" s="40">
        <f>SUM(E8:E9)</f>
        <v>0</v>
      </c>
      <c r="F7" s="885"/>
      <c r="G7" s="885"/>
      <c r="H7" s="894"/>
      <c r="I7" s="885"/>
      <c r="J7" s="885"/>
      <c r="K7" s="885"/>
      <c r="L7" s="885"/>
      <c r="O7" s="42" t="s">
        <v>25</v>
      </c>
      <c r="P7" s="42"/>
      <c r="Q7" s="40">
        <f>SUM(Q8:Q9)</f>
        <v>0</v>
      </c>
      <c r="R7" s="885"/>
      <c r="S7" s="885"/>
      <c r="T7" s="894"/>
      <c r="U7" s="885"/>
      <c r="V7" s="885"/>
      <c r="W7" s="885"/>
      <c r="X7" s="885"/>
      <c r="Z7" s="84">
        <f>IF(ISERROR((T7-H7)/H7),0,(T7-H7)/H7)</f>
        <v>0</v>
      </c>
      <c r="AA7" s="84">
        <f>IF(ISERROR((U7-I7)/I7),0,(U7-I7)/I7)</f>
        <v>0</v>
      </c>
      <c r="AB7" s="84">
        <f>IF(ISERROR((V7-J7)/J7),0,(V7-J7)/J7)</f>
        <v>0</v>
      </c>
      <c r="AC7" s="84">
        <f>IF(ISERROR((W7-K7)/K7),0,(W7-K7)/K7)</f>
        <v>0</v>
      </c>
      <c r="AD7" s="84">
        <f>IF(ISERROR((X7-L7)/L7),0,(X7-L7)/L7)</f>
        <v>0</v>
      </c>
    </row>
    <row r="8" spans="2:30">
      <c r="D8" s="1" t="s">
        <v>397</v>
      </c>
      <c r="E8" s="39">
        <f>INDEX(Augmentation!$J$38:$Q$38,1,MATCH(E$5,Augmentation!$J$5:$Q$5,0))-E9</f>
        <v>0</v>
      </c>
      <c r="F8" s="871"/>
      <c r="G8" s="871"/>
      <c r="H8" s="895"/>
      <c r="I8" s="871"/>
      <c r="J8" s="871"/>
      <c r="K8" s="871"/>
      <c r="L8" s="871"/>
      <c r="P8" s="1" t="str">
        <f>D8</f>
        <v>Demand driven Augmentation</v>
      </c>
      <c r="Q8" s="160">
        <f>INDEX(Augmentation!$CQ$38:$CX$38,1,MATCH(Q$5,Augmentation!$J$5:$Q$5,0))-Q9</f>
        <v>0</v>
      </c>
      <c r="R8" s="871"/>
      <c r="S8" s="871"/>
      <c r="T8" s="895"/>
      <c r="U8" s="871"/>
      <c r="V8" s="871"/>
      <c r="W8" s="871"/>
      <c r="X8" s="871"/>
      <c r="Z8" s="84">
        <f t="shared" ref="Z8:Z9" si="0">IF(ISERROR((T8-H8)/H8),0,(T8-H8)/H8)</f>
        <v>0</v>
      </c>
      <c r="AA8" s="84">
        <f t="shared" ref="AA8:AA9" si="1">IF(ISERROR((U8-I8)/I8),0,(U8-I8)/I8)</f>
        <v>0</v>
      </c>
      <c r="AB8" s="84">
        <f t="shared" ref="AB8:AB9" si="2">IF(ISERROR((V8-J8)/J8),0,(V8-J8)/J8)</f>
        <v>0</v>
      </c>
      <c r="AC8" s="84">
        <f t="shared" ref="AC8:AC9" si="3">IF(ISERROR((W8-K8)/K8),0,(W8-K8)/K8)</f>
        <v>0</v>
      </c>
      <c r="AD8" s="84">
        <f t="shared" ref="AD8:AD9" si="4">IF(ISERROR((X8-L8)/L8),0,(X8-L8)/L8)</f>
        <v>0</v>
      </c>
    </row>
    <row r="9" spans="2:30">
      <c r="D9" s="1" t="s">
        <v>575</v>
      </c>
      <c r="E9" s="1">
        <f>SUMIFS(Augmentation!J$6:J$37,Augmentation!$C$6:$C$37,"=REFCL*")</f>
        <v>0</v>
      </c>
      <c r="F9" s="871"/>
      <c r="G9" s="871"/>
      <c r="H9" s="895"/>
      <c r="I9" s="871"/>
      <c r="J9" s="871"/>
      <c r="K9" s="871"/>
      <c r="L9" s="871"/>
      <c r="P9" s="1" t="str">
        <f>D9</f>
        <v>REFCL driven Augmentation</v>
      </c>
      <c r="Q9" s="1">
        <f>SUMIFS(Augmentation!CQ$6:CQ$37,Augmentation!$C$6:$C$37,"=REFCL*")</f>
        <v>0</v>
      </c>
      <c r="R9" s="871"/>
      <c r="S9" s="871"/>
      <c r="T9" s="895"/>
      <c r="U9" s="871"/>
      <c r="V9" s="871"/>
      <c r="W9" s="871"/>
      <c r="X9" s="871"/>
      <c r="Z9" s="84">
        <f t="shared" si="0"/>
        <v>0</v>
      </c>
      <c r="AA9" s="84">
        <f t="shared" si="1"/>
        <v>0</v>
      </c>
      <c r="AB9" s="84">
        <f t="shared" si="2"/>
        <v>0</v>
      </c>
      <c r="AC9" s="84">
        <f t="shared" si="3"/>
        <v>0</v>
      </c>
      <c r="AD9" s="84">
        <f t="shared" si="4"/>
        <v>0</v>
      </c>
    </row>
    <row r="10" spans="2:30">
      <c r="F10" s="871"/>
      <c r="G10" s="871"/>
      <c r="H10" s="895"/>
      <c r="I10" s="871"/>
      <c r="J10" s="871"/>
      <c r="K10" s="871"/>
      <c r="L10" s="871"/>
      <c r="R10" s="871"/>
      <c r="S10" s="871"/>
      <c r="T10" s="895"/>
      <c r="U10" s="871"/>
      <c r="V10" s="871"/>
      <c r="W10" s="871"/>
      <c r="X10" s="871"/>
    </row>
    <row r="11" spans="2:30">
      <c r="C11" s="525" t="s">
        <v>138</v>
      </c>
      <c r="D11" s="42"/>
      <c r="E11" s="40">
        <f t="shared" ref="E11" si="5">SUM(E12:E13)</f>
        <v>0</v>
      </c>
      <c r="F11" s="885"/>
      <c r="G11" s="885"/>
      <c r="H11" s="894"/>
      <c r="I11" s="885"/>
      <c r="J11" s="885"/>
      <c r="K11" s="885"/>
      <c r="L11" s="885"/>
      <c r="O11" s="42" t="s">
        <v>138</v>
      </c>
      <c r="P11" s="42"/>
      <c r="Q11" s="40">
        <f t="shared" ref="Q11" si="6">SUM(Q12:Q13)</f>
        <v>0</v>
      </c>
      <c r="R11" s="885"/>
      <c r="S11" s="885"/>
      <c r="T11" s="894"/>
      <c r="U11" s="885"/>
      <c r="V11" s="885"/>
      <c r="W11" s="885"/>
      <c r="X11" s="885"/>
    </row>
    <row r="12" spans="2:30">
      <c r="D12" s="524" t="s">
        <v>88</v>
      </c>
      <c r="E12" s="39"/>
      <c r="F12" s="871"/>
      <c r="G12" s="871"/>
      <c r="H12" s="896"/>
      <c r="I12" s="897"/>
      <c r="J12" s="897"/>
      <c r="K12" s="897"/>
      <c r="L12" s="897"/>
      <c r="P12" s="1" t="str">
        <f>D12</f>
        <v>Customer Capex (Gross)</v>
      </c>
      <c r="Q12" s="39"/>
      <c r="R12" s="871"/>
      <c r="S12" s="871"/>
      <c r="T12" s="896"/>
      <c r="U12" s="897"/>
      <c r="V12" s="897"/>
      <c r="W12" s="897"/>
      <c r="X12" s="897"/>
      <c r="Y12" s="52"/>
      <c r="Z12" s="84">
        <f>IF(ISERROR((T12-H12)/H12),0,(T12-H12)/H12)</f>
        <v>0</v>
      </c>
      <c r="AA12" s="84">
        <f>IF(ISERROR((U12-I12)/I12),0,(U12-I12)/I12)</f>
        <v>0</v>
      </c>
      <c r="AB12" s="84">
        <f>IF(ISERROR((V12-J12)/J12),0,(V12-J12)/J12)</f>
        <v>0</v>
      </c>
      <c r="AC12" s="84">
        <f>IF(ISERROR((W12-K12)/K12),0,(W12-K12)/K12)</f>
        <v>0</v>
      </c>
      <c r="AD12" s="84">
        <f>IF(ISERROR((X12-L12)/L12),0,(X12-L12)/L12)</f>
        <v>0</v>
      </c>
    </row>
    <row r="13" spans="2:30">
      <c r="D13" s="524" t="s">
        <v>89</v>
      </c>
      <c r="E13" s="50"/>
      <c r="F13" s="898"/>
      <c r="G13" s="898"/>
      <c r="H13" s="899"/>
      <c r="I13" s="900"/>
      <c r="J13" s="900"/>
      <c r="K13" s="900"/>
      <c r="L13" s="900"/>
      <c r="P13" s="1" t="str">
        <f>D13</f>
        <v>Contributions</v>
      </c>
      <c r="Q13" s="50"/>
      <c r="R13" s="898"/>
      <c r="S13" s="898"/>
      <c r="T13" s="899"/>
      <c r="U13" s="900"/>
      <c r="V13" s="900"/>
      <c r="W13" s="900"/>
      <c r="X13" s="900"/>
      <c r="Y13" s="52"/>
    </row>
    <row r="14" spans="2:30">
      <c r="F14" s="871"/>
      <c r="G14" s="871"/>
      <c r="H14" s="895"/>
      <c r="I14" s="871"/>
      <c r="J14" s="871"/>
      <c r="K14" s="871"/>
      <c r="L14" s="871"/>
      <c r="R14" s="871"/>
      <c r="S14" s="871"/>
      <c r="T14" s="895"/>
      <c r="U14" s="871"/>
      <c r="V14" s="871"/>
      <c r="W14" s="871"/>
      <c r="X14" s="871"/>
    </row>
    <row r="15" spans="2:30">
      <c r="C15" s="42" t="s">
        <v>80</v>
      </c>
      <c r="D15" s="42"/>
      <c r="E15" s="40">
        <f t="shared" ref="E15" si="7">SUM(E16:E20)</f>
        <v>0</v>
      </c>
      <c r="F15" s="885"/>
      <c r="G15" s="885"/>
      <c r="H15" s="894"/>
      <c r="I15" s="885"/>
      <c r="J15" s="885"/>
      <c r="K15" s="885"/>
      <c r="L15" s="885"/>
      <c r="O15" s="42" t="s">
        <v>80</v>
      </c>
      <c r="P15" s="42"/>
      <c r="Q15" s="40">
        <f t="shared" ref="Q15" si="8">SUM(Q16:Q20)</f>
        <v>0</v>
      </c>
      <c r="R15" s="885"/>
      <c r="S15" s="885"/>
      <c r="T15" s="894"/>
      <c r="U15" s="885"/>
      <c r="V15" s="885"/>
      <c r="W15" s="885"/>
      <c r="X15" s="885"/>
      <c r="Z15" s="84">
        <f t="shared" ref="Z15:AD20" si="9">IF(ISERROR((T15-H15)/H15),0,(T15-H15)/H15)</f>
        <v>0</v>
      </c>
      <c r="AA15" s="84">
        <f t="shared" si="9"/>
        <v>0</v>
      </c>
      <c r="AB15" s="84">
        <f t="shared" si="9"/>
        <v>0</v>
      </c>
      <c r="AC15" s="84">
        <f t="shared" si="9"/>
        <v>0</v>
      </c>
      <c r="AD15" s="84">
        <f t="shared" si="9"/>
        <v>0</v>
      </c>
    </row>
    <row r="16" spans="2:30">
      <c r="D16" s="1" t="s">
        <v>11</v>
      </c>
      <c r="E16" s="39">
        <f>INDEX(Major_Rebuilds!$J$37:$Q$37,1,MATCH(E$5,Major_Rebuilds!$J$5:$Q$5,0))</f>
        <v>0</v>
      </c>
      <c r="F16" s="871"/>
      <c r="G16" s="871"/>
      <c r="H16" s="895"/>
      <c r="I16" s="871"/>
      <c r="J16" s="871"/>
      <c r="K16" s="871"/>
      <c r="L16" s="871"/>
      <c r="P16" s="1" t="str">
        <f>D16</f>
        <v>Major Rebuilds</v>
      </c>
      <c r="Q16" s="39">
        <f>INDEX(Major_Rebuilds!$CQ$37:$CX$37,1,MATCH(Q$5,Major_Rebuilds!$J$5:$Q$5,0))</f>
        <v>0</v>
      </c>
      <c r="R16" s="871"/>
      <c r="S16" s="871"/>
      <c r="T16" s="895"/>
      <c r="U16" s="871"/>
      <c r="V16" s="871"/>
      <c r="W16" s="871"/>
      <c r="X16" s="871"/>
      <c r="Z16" s="84">
        <f t="shared" si="9"/>
        <v>0</v>
      </c>
      <c r="AA16" s="84">
        <f t="shared" si="9"/>
        <v>0</v>
      </c>
      <c r="AB16" s="84">
        <f t="shared" si="9"/>
        <v>0</v>
      </c>
      <c r="AC16" s="84">
        <f t="shared" si="9"/>
        <v>0</v>
      </c>
      <c r="AD16" s="84">
        <f t="shared" si="9"/>
        <v>0</v>
      </c>
    </row>
    <row r="17" spans="3:30">
      <c r="D17" s="1" t="s">
        <v>1</v>
      </c>
      <c r="E17" s="39">
        <f>INDEX(Stations!$T$39:$AA$39,1,MATCH(E$5,Stations!$T$6:$AA$6,0))</f>
        <v>0</v>
      </c>
      <c r="F17" s="871"/>
      <c r="G17" s="871"/>
      <c r="H17" s="895"/>
      <c r="I17" s="871"/>
      <c r="J17" s="871"/>
      <c r="K17" s="871"/>
      <c r="L17" s="871"/>
      <c r="P17" s="1" t="str">
        <f>D17</f>
        <v>Stations</v>
      </c>
      <c r="Q17" s="39">
        <f>INDEX(Stations!$DF$39:$DM$39,1,MATCH(Q$5,Stations!$DF$6:$DM$6,0))</f>
        <v>0</v>
      </c>
      <c r="R17" s="871"/>
      <c r="S17" s="871"/>
      <c r="T17" s="895"/>
      <c r="U17" s="871"/>
      <c r="V17" s="871"/>
      <c r="W17" s="871"/>
      <c r="X17" s="871"/>
      <c r="Z17" s="84">
        <f t="shared" si="9"/>
        <v>0</v>
      </c>
      <c r="AA17" s="84">
        <f t="shared" si="9"/>
        <v>0</v>
      </c>
      <c r="AB17" s="84">
        <f t="shared" si="9"/>
        <v>0</v>
      </c>
      <c r="AC17" s="84">
        <f t="shared" si="9"/>
        <v>0</v>
      </c>
      <c r="AD17" s="84">
        <f t="shared" si="9"/>
        <v>0</v>
      </c>
    </row>
    <row r="18" spans="3:30">
      <c r="D18" s="1" t="s">
        <v>2</v>
      </c>
      <c r="E18" s="39">
        <f>INDEX(Lines!$T$38:$AA$38,1,MATCH(E$5,Lines!$T$6:$AA$6,0))</f>
        <v>0</v>
      </c>
      <c r="F18" s="871"/>
      <c r="G18" s="871"/>
      <c r="H18" s="895"/>
      <c r="I18" s="871"/>
      <c r="J18" s="871"/>
      <c r="K18" s="871"/>
      <c r="L18" s="871"/>
      <c r="P18" s="1" t="str">
        <f>D18</f>
        <v>Lines</v>
      </c>
      <c r="Q18" s="39">
        <f>INDEX(Lines!$DF$38:$DM$38,1,MATCH(Q$5,Lines!$DF$6:$DM$6,0))</f>
        <v>0</v>
      </c>
      <c r="R18" s="871"/>
      <c r="S18" s="871"/>
      <c r="T18" s="895"/>
      <c r="U18" s="871"/>
      <c r="V18" s="871"/>
      <c r="W18" s="871"/>
      <c r="X18" s="871"/>
      <c r="Z18" s="84">
        <f t="shared" si="9"/>
        <v>0</v>
      </c>
      <c r="AA18" s="84">
        <f t="shared" si="9"/>
        <v>0</v>
      </c>
      <c r="AB18" s="84">
        <f t="shared" si="9"/>
        <v>0</v>
      </c>
      <c r="AC18" s="84">
        <f t="shared" si="9"/>
        <v>0</v>
      </c>
      <c r="AD18" s="84">
        <f t="shared" si="9"/>
        <v>0</v>
      </c>
    </row>
    <row r="19" spans="3:30">
      <c r="D19" s="1" t="s">
        <v>3</v>
      </c>
      <c r="E19" s="39">
        <f>INDEX('PC&amp;A'!$J$37:$Q$37,1,MATCH(E$5,'PC&amp;A'!$J$5:$Q$5,0))</f>
        <v>0</v>
      </c>
      <c r="F19" s="871"/>
      <c r="G19" s="871"/>
      <c r="H19" s="895"/>
      <c r="I19" s="871"/>
      <c r="J19" s="871"/>
      <c r="K19" s="871"/>
      <c r="L19" s="871"/>
      <c r="P19" s="1" t="str">
        <f>D19</f>
        <v>Protection, Control &amp; Automation</v>
      </c>
      <c r="Q19" s="39">
        <f>INDEX('PC&amp;A'!$CQ$37:$CX$37,1,MATCH(Q$5,'PC&amp;A'!$J$5:$Q$5,0))</f>
        <v>0</v>
      </c>
      <c r="R19" s="871"/>
      <c r="S19" s="871"/>
      <c r="T19" s="895"/>
      <c r="U19" s="871"/>
      <c r="V19" s="871"/>
      <c r="W19" s="871"/>
      <c r="X19" s="871"/>
      <c r="Z19" s="84">
        <f t="shared" si="9"/>
        <v>0</v>
      </c>
      <c r="AA19" s="84">
        <f t="shared" si="9"/>
        <v>0</v>
      </c>
      <c r="AB19" s="84">
        <f t="shared" si="9"/>
        <v>0</v>
      </c>
      <c r="AC19" s="84">
        <f t="shared" si="9"/>
        <v>0</v>
      </c>
      <c r="AD19" s="84">
        <f t="shared" si="9"/>
        <v>0</v>
      </c>
    </row>
    <row r="20" spans="3:30">
      <c r="D20" s="1" t="s">
        <v>356</v>
      </c>
      <c r="F20" s="898"/>
      <c r="G20" s="898"/>
      <c r="H20" s="895"/>
      <c r="I20" s="898"/>
      <c r="J20" s="898"/>
      <c r="K20" s="898"/>
      <c r="L20" s="898"/>
      <c r="P20" s="1" t="str">
        <f>D20</f>
        <v>Other &lt;spare&gt;</v>
      </c>
      <c r="R20" s="898"/>
      <c r="S20" s="898"/>
      <c r="T20" s="895"/>
      <c r="U20" s="898"/>
      <c r="V20" s="898"/>
      <c r="W20" s="898"/>
      <c r="X20" s="898"/>
      <c r="Z20" s="84">
        <f t="shared" si="9"/>
        <v>0</v>
      </c>
      <c r="AA20" s="84">
        <f t="shared" si="9"/>
        <v>0</v>
      </c>
      <c r="AB20" s="84">
        <f t="shared" si="9"/>
        <v>0</v>
      </c>
      <c r="AC20" s="84">
        <f t="shared" si="9"/>
        <v>0</v>
      </c>
      <c r="AD20" s="84">
        <f t="shared" si="9"/>
        <v>0</v>
      </c>
    </row>
    <row r="21" spans="3:30">
      <c r="F21" s="871"/>
      <c r="G21" s="871"/>
      <c r="H21" s="895"/>
      <c r="I21" s="871"/>
      <c r="J21" s="871"/>
      <c r="K21" s="871"/>
      <c r="L21" s="871"/>
      <c r="R21" s="871"/>
      <c r="S21" s="871"/>
      <c r="T21" s="895"/>
      <c r="U21" s="871"/>
      <c r="V21" s="871"/>
      <c r="W21" s="871"/>
      <c r="X21" s="871"/>
    </row>
    <row r="22" spans="3:30">
      <c r="C22" s="42" t="s">
        <v>142</v>
      </c>
      <c r="D22" s="42"/>
      <c r="E22" s="40">
        <f t="shared" ref="E22" si="10">SUM(E23:E26)</f>
        <v>0</v>
      </c>
      <c r="F22" s="885"/>
      <c r="G22" s="885"/>
      <c r="H22" s="894"/>
      <c r="I22" s="885"/>
      <c r="J22" s="885"/>
      <c r="K22" s="885"/>
      <c r="L22" s="885"/>
      <c r="O22" s="42" t="s">
        <v>142</v>
      </c>
      <c r="P22" s="42"/>
      <c r="Q22" s="40">
        <f t="shared" ref="Q22" si="11">SUM(Q23:Q26)</f>
        <v>0</v>
      </c>
      <c r="R22" s="885"/>
      <c r="S22" s="885"/>
      <c r="T22" s="894"/>
      <c r="U22" s="885"/>
      <c r="V22" s="885"/>
      <c r="W22" s="885"/>
      <c r="X22" s="885"/>
    </row>
    <row r="23" spans="3:30">
      <c r="D23" s="1" t="s">
        <v>13</v>
      </c>
      <c r="E23" s="39">
        <f>INDEX(ESL_1!$T$38:$AA$38,1,MATCH(E$5,ESL_1!$T$6:$AA$6,0))+INDEX(ESL_2!$J$37:$Q$37,1,MATCH(E$5,ESL_2!$J$5:$Q$5,0))</f>
        <v>0</v>
      </c>
      <c r="F23" s="871"/>
      <c r="G23" s="871"/>
      <c r="H23" s="895"/>
      <c r="I23" s="871"/>
      <c r="J23" s="871"/>
      <c r="K23" s="871"/>
      <c r="L23" s="871"/>
      <c r="P23" s="1" t="str">
        <f>D23</f>
        <v>Enviro, Safety &amp; Legal Capex</v>
      </c>
      <c r="Q23" s="39">
        <f>INDEX(ESL_1!$DF$38:$DM$38,1,MATCH(Q$5,ESL_1!$DF$6:$DM$6,0))+INDEX(ESL_2!$CQ$37:$CX$37,1,MATCH(Q$5,ESL_2!$CQ$5:$CX$5,0))</f>
        <v>0</v>
      </c>
      <c r="R23" s="871"/>
      <c r="S23" s="871"/>
      <c r="T23" s="895"/>
      <c r="U23" s="871"/>
      <c r="V23" s="871"/>
      <c r="W23" s="871"/>
      <c r="X23" s="871"/>
      <c r="Z23" s="84">
        <f t="shared" ref="Z23:AD26" si="12">IF(ISERROR((T23-H23)/H23),0,(T23-H23)/H23)</f>
        <v>0</v>
      </c>
      <c r="AA23" s="84">
        <f t="shared" si="12"/>
        <v>0</v>
      </c>
      <c r="AB23" s="84">
        <f t="shared" si="12"/>
        <v>0</v>
      </c>
      <c r="AC23" s="84">
        <f t="shared" si="12"/>
        <v>0</v>
      </c>
      <c r="AD23" s="84">
        <f t="shared" si="12"/>
        <v>0</v>
      </c>
    </row>
    <row r="24" spans="3:30">
      <c r="D24" s="54" t="s">
        <v>584</v>
      </c>
      <c r="E24" s="39">
        <f>INDEX(REFCL!$J$48:$Q$48,1,MATCH(E$5,REFCL!$J$5:$Q$5,0))</f>
        <v>0</v>
      </c>
      <c r="F24" s="871"/>
      <c r="G24" s="871"/>
      <c r="H24" s="895"/>
      <c r="I24" s="871"/>
      <c r="J24" s="871"/>
      <c r="K24" s="871"/>
      <c r="L24" s="871"/>
      <c r="P24" s="54" t="str">
        <f>D24</f>
        <v>REFCL Contingent projects (T1 / T2 / T3)</v>
      </c>
      <c r="Q24" s="39">
        <f>INDEX(REFCL!$CQ$48:$CX$48,1,MATCH(E$5,REFCL!$CQ$5:$CX$5,0))</f>
        <v>0</v>
      </c>
      <c r="R24" s="871"/>
      <c r="S24" s="871"/>
      <c r="T24" s="895"/>
      <c r="U24" s="871"/>
      <c r="V24" s="871"/>
      <c r="W24" s="871"/>
      <c r="X24" s="871"/>
      <c r="Z24" s="84">
        <f t="shared" si="12"/>
        <v>0</v>
      </c>
      <c r="AA24" s="84">
        <f t="shared" si="12"/>
        <v>0</v>
      </c>
      <c r="AB24" s="84">
        <f t="shared" si="12"/>
        <v>0</v>
      </c>
      <c r="AC24" s="84">
        <f t="shared" si="12"/>
        <v>0</v>
      </c>
      <c r="AD24" s="84">
        <f t="shared" si="12"/>
        <v>0</v>
      </c>
    </row>
    <row r="25" spans="3:30">
      <c r="D25" s="54" t="s">
        <v>129</v>
      </c>
      <c r="E25" s="39">
        <f>ESL_2!J45</f>
        <v>0</v>
      </c>
      <c r="F25" s="871"/>
      <c r="G25" s="871"/>
      <c r="H25" s="895"/>
      <c r="I25" s="871"/>
      <c r="J25" s="871"/>
      <c r="K25" s="871"/>
      <c r="L25" s="871"/>
      <c r="P25" s="54" t="str">
        <f>D25</f>
        <v>Govt. Funded Programs</v>
      </c>
      <c r="Q25" s="39">
        <f>ESL_2!CQ45</f>
        <v>0</v>
      </c>
      <c r="R25" s="871"/>
      <c r="S25" s="871"/>
      <c r="T25" s="895"/>
      <c r="U25" s="871"/>
      <c r="V25" s="871"/>
      <c r="W25" s="871"/>
      <c r="X25" s="871"/>
      <c r="Y25" s="52"/>
      <c r="Z25" s="84">
        <f t="shared" si="12"/>
        <v>0</v>
      </c>
      <c r="AA25" s="84">
        <f t="shared" si="12"/>
        <v>0</v>
      </c>
      <c r="AB25" s="84">
        <f t="shared" si="12"/>
        <v>0</v>
      </c>
      <c r="AC25" s="84">
        <f t="shared" si="12"/>
        <v>0</v>
      </c>
      <c r="AD25" s="84">
        <f t="shared" si="12"/>
        <v>0</v>
      </c>
    </row>
    <row r="26" spans="3:30">
      <c r="D26" s="54" t="s">
        <v>141</v>
      </c>
      <c r="E26" s="39"/>
      <c r="F26" s="871"/>
      <c r="G26" s="871"/>
      <c r="H26" s="895"/>
      <c r="I26" s="871"/>
      <c r="J26" s="871"/>
      <c r="K26" s="871"/>
      <c r="L26" s="871"/>
      <c r="P26" s="54" t="str">
        <f>D26</f>
        <v>Govt. Contribution</v>
      </c>
      <c r="Q26" s="39"/>
      <c r="R26" s="871"/>
      <c r="S26" s="871"/>
      <c r="T26" s="895"/>
      <c r="U26" s="871"/>
      <c r="V26" s="871"/>
      <c r="W26" s="871"/>
      <c r="X26" s="871"/>
      <c r="Y26" s="52"/>
      <c r="Z26" s="84">
        <f t="shared" si="12"/>
        <v>0</v>
      </c>
      <c r="AA26" s="84">
        <f t="shared" si="12"/>
        <v>0</v>
      </c>
      <c r="AB26" s="84">
        <f t="shared" si="12"/>
        <v>0</v>
      </c>
      <c r="AC26" s="84">
        <f t="shared" si="12"/>
        <v>0</v>
      </c>
      <c r="AD26" s="84">
        <f t="shared" si="12"/>
        <v>0</v>
      </c>
    </row>
    <row r="27" spans="3:30">
      <c r="F27" s="871"/>
      <c r="G27" s="871"/>
      <c r="H27" s="895"/>
      <c r="I27" s="871"/>
      <c r="J27" s="871"/>
      <c r="K27" s="871"/>
      <c r="L27" s="871"/>
      <c r="R27" s="871"/>
      <c r="S27" s="871"/>
      <c r="T27" s="895"/>
      <c r="U27" s="871"/>
      <c r="V27" s="871"/>
      <c r="W27" s="871"/>
      <c r="X27" s="871"/>
    </row>
    <row r="28" spans="3:30">
      <c r="C28" s="42" t="s">
        <v>520</v>
      </c>
      <c r="D28" s="42"/>
      <c r="E28" s="40">
        <f t="shared" ref="E28" si="13">SUM(E29:E30)</f>
        <v>0</v>
      </c>
      <c r="F28" s="885"/>
      <c r="G28" s="885"/>
      <c r="H28" s="894"/>
      <c r="I28" s="885"/>
      <c r="J28" s="885"/>
      <c r="K28" s="885"/>
      <c r="L28" s="885"/>
      <c r="O28" s="42" t="s">
        <v>520</v>
      </c>
      <c r="P28" s="42"/>
      <c r="Q28" s="40">
        <f t="shared" ref="Q28" si="14">SUM(Q29:Q30)</f>
        <v>0</v>
      </c>
      <c r="R28" s="885"/>
      <c r="S28" s="885"/>
      <c r="T28" s="894"/>
      <c r="U28" s="885"/>
      <c r="V28" s="885"/>
      <c r="W28" s="885"/>
      <c r="X28" s="885"/>
      <c r="Z28" s="84">
        <f t="shared" ref="Z28:AD30" si="15">IF(ISERROR((T28-H28)/H28),0,(T28-H28)/H28)</f>
        <v>0</v>
      </c>
      <c r="AA28" s="84">
        <f t="shared" si="15"/>
        <v>0</v>
      </c>
      <c r="AB28" s="84">
        <f t="shared" si="15"/>
        <v>0</v>
      </c>
      <c r="AC28" s="84">
        <f t="shared" si="15"/>
        <v>0</v>
      </c>
      <c r="AD28" s="84">
        <f t="shared" si="15"/>
        <v>0</v>
      </c>
    </row>
    <row r="29" spans="3:30">
      <c r="D29" s="1" t="s">
        <v>12</v>
      </c>
      <c r="E29" s="1">
        <f>INDEX('SCADA&amp;Comms'!$J$37:$Q$37,1,MATCH(Base_Forecast!E$5,'SCADA&amp;Comms'!$J$5:$Q$5,0))</f>
        <v>0</v>
      </c>
      <c r="F29" s="871"/>
      <c r="G29" s="871"/>
      <c r="H29" s="895"/>
      <c r="I29" s="871"/>
      <c r="J29" s="871"/>
      <c r="K29" s="871"/>
      <c r="L29" s="871"/>
      <c r="P29" s="1" t="str">
        <f>D29</f>
        <v>SCADA &amp; Comms</v>
      </c>
      <c r="Q29" s="1">
        <f>INDEX('SCADA&amp;Comms'!$CQ$37:$CX$37,1,MATCH(Base_Forecast!E$5,'SCADA&amp;Comms'!$CQ$5:$CX$5,0))</f>
        <v>0</v>
      </c>
      <c r="R29" s="871"/>
      <c r="S29" s="871"/>
      <c r="T29" s="895"/>
      <c r="U29" s="871"/>
      <c r="V29" s="871"/>
      <c r="W29" s="871"/>
      <c r="X29" s="871"/>
      <c r="Z29" s="84">
        <f t="shared" si="15"/>
        <v>0</v>
      </c>
      <c r="AA29" s="84">
        <f t="shared" si="15"/>
        <v>0</v>
      </c>
      <c r="AB29" s="84">
        <f t="shared" si="15"/>
        <v>0</v>
      </c>
      <c r="AC29" s="84">
        <f t="shared" si="15"/>
        <v>0</v>
      </c>
      <c r="AD29" s="84">
        <f t="shared" si="15"/>
        <v>0</v>
      </c>
    </row>
    <row r="30" spans="3:30">
      <c r="D30" s="1" t="s">
        <v>518</v>
      </c>
      <c r="E30" s="1">
        <f>SUMIFS(Metering_SCS!J$6:J$36,Metering_SCS!$G$6:$G$36,"Replacement",Metering_SCS!$E$6:$E$36,$C$28)</f>
        <v>0</v>
      </c>
      <c r="F30" s="871"/>
      <c r="G30" s="871"/>
      <c r="H30" s="895"/>
      <c r="I30" s="871"/>
      <c r="J30" s="871"/>
      <c r="K30" s="871"/>
      <c r="L30" s="871"/>
      <c r="P30" s="1" t="str">
        <f>D30</f>
        <v>SCADA &amp; Comms - Metering</v>
      </c>
      <c r="Q30" s="1">
        <f>SUMIFS(Metering_SCS!BC$6:BC$36,Metering_SCS!$G$6:$G$36,"Replacement",Metering_SCS!$E$6:$E$36,$O$28)</f>
        <v>0</v>
      </c>
      <c r="R30" s="871"/>
      <c r="S30" s="871"/>
      <c r="T30" s="895"/>
      <c r="U30" s="871"/>
      <c r="V30" s="871"/>
      <c r="W30" s="871"/>
      <c r="X30" s="871"/>
      <c r="Z30" s="84">
        <f t="shared" si="15"/>
        <v>0</v>
      </c>
      <c r="AA30" s="84">
        <f t="shared" si="15"/>
        <v>0</v>
      </c>
      <c r="AB30" s="84">
        <f t="shared" si="15"/>
        <v>0</v>
      </c>
      <c r="AC30" s="84">
        <f t="shared" si="15"/>
        <v>0</v>
      </c>
      <c r="AD30" s="84">
        <f t="shared" si="15"/>
        <v>0</v>
      </c>
    </row>
    <row r="31" spans="3:30">
      <c r="F31" s="871"/>
      <c r="G31" s="871"/>
      <c r="H31" s="895"/>
      <c r="I31" s="871"/>
      <c r="J31" s="871"/>
      <c r="K31" s="871"/>
      <c r="L31" s="871"/>
      <c r="R31" s="871"/>
      <c r="S31" s="871"/>
      <c r="T31" s="895"/>
      <c r="U31" s="871"/>
      <c r="V31" s="871"/>
      <c r="W31" s="871"/>
      <c r="X31" s="871"/>
    </row>
    <row r="32" spans="3:30">
      <c r="C32" s="2" t="s">
        <v>109</v>
      </c>
      <c r="D32" s="2"/>
      <c r="E32" s="51">
        <f t="shared" ref="E32" si="16">E7+E12+E15+E22-E26+E28</f>
        <v>0</v>
      </c>
      <c r="F32" s="901"/>
      <c r="G32" s="901"/>
      <c r="H32" s="902"/>
      <c r="I32" s="901"/>
      <c r="J32" s="901"/>
      <c r="K32" s="901"/>
      <c r="L32" s="901"/>
      <c r="O32" s="2" t="s">
        <v>109</v>
      </c>
      <c r="P32" s="2"/>
      <c r="Q32" s="51">
        <f t="shared" ref="Q32" si="17">Q7+Q12+Q15+Q22-Q26+Q28</f>
        <v>0</v>
      </c>
      <c r="R32" s="901"/>
      <c r="S32" s="901"/>
      <c r="T32" s="902"/>
      <c r="U32" s="901"/>
      <c r="V32" s="901"/>
      <c r="W32" s="901"/>
      <c r="X32" s="901"/>
    </row>
    <row r="33" spans="3:30">
      <c r="C33" s="2" t="s">
        <v>110</v>
      </c>
      <c r="D33" s="2"/>
      <c r="E33" s="51">
        <f t="shared" ref="E33" si="18">E32+E13+E26</f>
        <v>0</v>
      </c>
      <c r="F33" s="901"/>
      <c r="G33" s="901"/>
      <c r="H33" s="902"/>
      <c r="I33" s="901"/>
      <c r="J33" s="901"/>
      <c r="K33" s="901"/>
      <c r="L33" s="901"/>
      <c r="O33" s="2" t="s">
        <v>110</v>
      </c>
      <c r="P33" s="2"/>
      <c r="Q33" s="51">
        <f t="shared" ref="Q33" si="19">Q32+Q13+Q26</f>
        <v>0</v>
      </c>
      <c r="R33" s="901"/>
      <c r="S33" s="901"/>
      <c r="T33" s="902"/>
      <c r="U33" s="901"/>
      <c r="V33" s="901"/>
      <c r="W33" s="901"/>
      <c r="X33" s="901"/>
    </row>
    <row r="34" spans="3:30">
      <c r="F34" s="871"/>
      <c r="G34" s="871"/>
      <c r="H34" s="895"/>
      <c r="I34" s="871"/>
      <c r="J34" s="871"/>
      <c r="K34" s="871"/>
      <c r="L34" s="871"/>
      <c r="R34" s="871"/>
      <c r="S34" s="871"/>
      <c r="T34" s="895"/>
      <c r="U34" s="871"/>
      <c r="V34" s="871"/>
      <c r="W34" s="871"/>
      <c r="X34" s="871"/>
    </row>
    <row r="35" spans="3:30">
      <c r="C35" s="42" t="s">
        <v>81</v>
      </c>
      <c r="D35" s="42"/>
      <c r="E35" s="40">
        <f t="shared" ref="E35" si="20">SUM(E36:E40)</f>
        <v>0</v>
      </c>
      <c r="F35" s="885"/>
      <c r="G35" s="885"/>
      <c r="H35" s="894"/>
      <c r="I35" s="885"/>
      <c r="J35" s="885"/>
      <c r="K35" s="885"/>
      <c r="L35" s="885"/>
      <c r="O35" s="42" t="s">
        <v>81</v>
      </c>
      <c r="P35" s="42"/>
      <c r="Q35" s="40">
        <f t="shared" ref="Q35" si="21">SUM(Q36:Q40)</f>
        <v>0</v>
      </c>
      <c r="R35" s="885"/>
      <c r="S35" s="885"/>
      <c r="T35" s="894"/>
      <c r="U35" s="885"/>
      <c r="V35" s="885"/>
      <c r="W35" s="885"/>
      <c r="X35" s="885"/>
    </row>
    <row r="36" spans="3:30">
      <c r="D36" s="1" t="s">
        <v>4</v>
      </c>
      <c r="E36" s="39">
        <f>ICT!J$37</f>
        <v>0</v>
      </c>
      <c r="F36" s="871"/>
      <c r="G36" s="871"/>
      <c r="H36" s="895"/>
      <c r="I36" s="871"/>
      <c r="J36" s="871"/>
      <c r="K36" s="871"/>
      <c r="L36" s="871"/>
      <c r="P36" s="1" t="str">
        <f>D36</f>
        <v>ICT Infrastructure Capex</v>
      </c>
      <c r="Q36" s="39">
        <f>ICT!BC37</f>
        <v>0</v>
      </c>
      <c r="R36" s="871"/>
      <c r="S36" s="871"/>
      <c r="T36" s="895"/>
      <c r="U36" s="871"/>
      <c r="V36" s="871"/>
      <c r="W36" s="871"/>
      <c r="X36" s="871"/>
      <c r="Y36" s="52"/>
      <c r="Z36" s="84">
        <f>IF(ISERROR((T36-H36)/H36),0,(T36-H36)/H36)</f>
        <v>0</v>
      </c>
      <c r="AA36" s="84">
        <f>IF(ISERROR((U36-I36)/I36),0,(U36-I36)/I36)</f>
        <v>0</v>
      </c>
      <c r="AB36" s="84">
        <f>IF(ISERROR((V36-J36)/J36),0,(V36-J36)/J36)</f>
        <v>0</v>
      </c>
      <c r="AC36" s="84">
        <f>IF(ISERROR((W36-K36)/K36),0,(W36-K36)/K36)</f>
        <v>0</v>
      </c>
      <c r="AD36" s="84">
        <f>IF(ISERROR((X36-L36)/L36),0,(X36-L36)/L36)</f>
        <v>0</v>
      </c>
    </row>
    <row r="37" spans="3:30">
      <c r="D37" s="1" t="s">
        <v>519</v>
      </c>
      <c r="E37" s="39">
        <f>SUMIFS(Metering_SCS!J$6:J$36,Metering_SCS!$C$6:$C$36,$D37)</f>
        <v>0</v>
      </c>
      <c r="F37" s="871"/>
      <c r="G37" s="871"/>
      <c r="H37" s="895"/>
      <c r="I37" s="871"/>
      <c r="J37" s="871"/>
      <c r="K37" s="871"/>
      <c r="L37" s="871"/>
      <c r="P37" s="1" t="str">
        <f>D37</f>
        <v>Metering related IT systems</v>
      </c>
      <c r="Q37" s="39">
        <f>SUMIFS(Metering_SCS!BC$6:BC$36,Metering_SCS!$C$6:$C$36,$P37)</f>
        <v>0</v>
      </c>
      <c r="R37" s="871"/>
      <c r="S37" s="871"/>
      <c r="T37" s="895"/>
      <c r="U37" s="871"/>
      <c r="V37" s="871"/>
      <c r="W37" s="871"/>
      <c r="X37" s="871"/>
      <c r="Y37" s="52"/>
      <c r="Z37" s="84">
        <f t="shared" ref="Z37" si="22">IF(ISERROR((T37-H37)/H37),0,(T37-H37)/H37)</f>
        <v>0</v>
      </c>
      <c r="AA37" s="84">
        <f t="shared" ref="AA37" si="23">IF(ISERROR((U37-I37)/I37),0,(U37-I37)/I37)</f>
        <v>0</v>
      </c>
      <c r="AB37" s="84">
        <f t="shared" ref="AB37" si="24">IF(ISERROR((V37-J37)/J37),0,(V37-J37)/J37)</f>
        <v>0</v>
      </c>
      <c r="AC37" s="84">
        <f t="shared" ref="AC37" si="25">IF(ISERROR((W37-K37)/K37),0,(W37-K37)/K37)</f>
        <v>0</v>
      </c>
      <c r="AD37" s="84">
        <f t="shared" ref="AD37" si="26">IF(ISERROR((X37-L37)/L37),0,(X37-L37)/L37)</f>
        <v>0</v>
      </c>
    </row>
    <row r="38" spans="3:30">
      <c r="D38" s="1" t="s">
        <v>14</v>
      </c>
      <c r="E38" s="39">
        <f>Other_NN!I$37-E40-E39</f>
        <v>0</v>
      </c>
      <c r="F38" s="898"/>
      <c r="G38" s="898"/>
      <c r="H38" s="895"/>
      <c r="I38" s="898"/>
      <c r="J38" s="898"/>
      <c r="K38" s="898"/>
      <c r="L38" s="898"/>
      <c r="P38" s="1" t="str">
        <f>D38</f>
        <v>Other Non Network</v>
      </c>
      <c r="Q38" s="50">
        <f>Other_NN!BB37-Q40-Q39</f>
        <v>0</v>
      </c>
      <c r="R38" s="898"/>
      <c r="S38" s="898"/>
      <c r="T38" s="895"/>
      <c r="U38" s="898"/>
      <c r="V38" s="898"/>
      <c r="W38" s="898"/>
      <c r="X38" s="898"/>
      <c r="Y38" s="52"/>
      <c r="Z38" s="84">
        <f>IF(ISERROR((T38-H38)/H38),0,(T38-H38)/H38)</f>
        <v>0</v>
      </c>
      <c r="AA38" s="84">
        <f>IF(ISERROR((U38-I38)/I38),0,(U38-I38)/I38)</f>
        <v>0</v>
      </c>
      <c r="AB38" s="84">
        <f>IF(ISERROR((V38-J38)/J38),0,(V38-J38)/J38)</f>
        <v>0</v>
      </c>
      <c r="AC38" s="84">
        <f>IF(ISERROR((W38-K38)/K38),0,(W38-K38)/K38)</f>
        <v>0</v>
      </c>
      <c r="AD38" s="84">
        <f>IF(ISERROR((X38-L38)/L38),0,(X38-L38)/L38)</f>
        <v>0</v>
      </c>
    </row>
    <row r="39" spans="3:30">
      <c r="D39" s="1" t="s">
        <v>587</v>
      </c>
      <c r="E39" s="39">
        <f>Other_NN!I14</f>
        <v>0</v>
      </c>
      <c r="F39" s="898"/>
      <c r="G39" s="898"/>
      <c r="H39" s="895"/>
      <c r="I39" s="898"/>
      <c r="J39" s="898"/>
      <c r="K39" s="898"/>
      <c r="L39" s="898"/>
      <c r="P39" s="1" t="str">
        <f>D39</f>
        <v>Capitalised Leases</v>
      </c>
      <c r="Q39" s="50">
        <f>Other_NN!BB14</f>
        <v>0</v>
      </c>
      <c r="R39" s="898"/>
      <c r="S39" s="898"/>
      <c r="T39" s="895"/>
      <c r="U39" s="898"/>
      <c r="V39" s="898"/>
      <c r="W39" s="898"/>
      <c r="X39" s="898"/>
      <c r="Y39" s="52"/>
      <c r="Z39" s="84"/>
      <c r="AA39" s="84"/>
      <c r="AB39" s="84"/>
      <c r="AC39" s="84"/>
      <c r="AD39" s="84"/>
    </row>
    <row r="40" spans="3:30">
      <c r="D40" s="1" t="s">
        <v>453</v>
      </c>
      <c r="E40" s="1">
        <f>Other_NN!I12</f>
        <v>0</v>
      </c>
      <c r="F40" s="898"/>
      <c r="G40" s="898"/>
      <c r="H40" s="895"/>
      <c r="I40" s="898"/>
      <c r="J40" s="898"/>
      <c r="K40" s="898"/>
      <c r="L40" s="898"/>
      <c r="P40" s="1" t="str">
        <f>D40</f>
        <v>Innovation</v>
      </c>
      <c r="Q40" s="50">
        <f>Other_NN!BB12</f>
        <v>0</v>
      </c>
      <c r="R40" s="898"/>
      <c r="S40" s="898"/>
      <c r="T40" s="895"/>
      <c r="U40" s="898"/>
      <c r="V40" s="898"/>
      <c r="W40" s="898"/>
      <c r="X40" s="898"/>
      <c r="Y40" s="52"/>
      <c r="Z40" s="84">
        <f t="shared" ref="Z40" si="27">IF(ISERROR((T40-H40)/H40),0,(T40-H40)/H40)</f>
        <v>0</v>
      </c>
      <c r="AA40" s="84">
        <f t="shared" ref="AA40" si="28">IF(ISERROR((U40-I40)/I40),0,(U40-I40)/I40)</f>
        <v>0</v>
      </c>
      <c r="AB40" s="84">
        <f t="shared" ref="AB40" si="29">IF(ISERROR((V40-J40)/J40),0,(V40-J40)/J40)</f>
        <v>0</v>
      </c>
      <c r="AC40" s="84">
        <f t="shared" ref="AC40" si="30">IF(ISERROR((W40-K40)/K40),0,(W40-K40)/K40)</f>
        <v>0</v>
      </c>
      <c r="AD40" s="84">
        <f t="shared" ref="AD40" si="31">IF(ISERROR((X40-L40)/L40),0,(X40-L40)/L40)</f>
        <v>0</v>
      </c>
    </row>
    <row r="41" spans="3:30">
      <c r="F41" s="871"/>
      <c r="G41" s="871"/>
      <c r="H41" s="895"/>
      <c r="I41" s="871"/>
      <c r="J41" s="871"/>
      <c r="K41" s="871"/>
      <c r="L41" s="871"/>
      <c r="R41" s="871"/>
      <c r="S41" s="871"/>
      <c r="T41" s="895"/>
      <c r="U41" s="871"/>
      <c r="V41" s="871"/>
      <c r="W41" s="871"/>
      <c r="X41" s="871"/>
    </row>
    <row r="42" spans="3:30">
      <c r="C42" s="2" t="s">
        <v>402</v>
      </c>
      <c r="D42" s="2"/>
      <c r="E42" s="51">
        <f t="shared" ref="E42" si="32">E32+E35</f>
        <v>0</v>
      </c>
      <c r="F42" s="901"/>
      <c r="G42" s="901"/>
      <c r="H42" s="902"/>
      <c r="I42" s="901"/>
      <c r="J42" s="901"/>
      <c r="K42" s="901"/>
      <c r="L42" s="901"/>
      <c r="O42" s="2" t="s">
        <v>402</v>
      </c>
      <c r="P42" s="2"/>
      <c r="Q42" s="51">
        <f t="shared" ref="Q42" si="33">Q32+Q35</f>
        <v>0</v>
      </c>
      <c r="R42" s="901"/>
      <c r="S42" s="901"/>
      <c r="T42" s="902"/>
      <c r="U42" s="901"/>
      <c r="V42" s="901"/>
      <c r="W42" s="901"/>
      <c r="X42" s="901"/>
    </row>
    <row r="43" spans="3:30">
      <c r="C43" s="2" t="s">
        <v>111</v>
      </c>
      <c r="D43" s="2"/>
      <c r="E43" s="51">
        <f t="shared" ref="E43" si="34">E33+E35</f>
        <v>0</v>
      </c>
      <c r="F43" s="901"/>
      <c r="G43" s="901"/>
      <c r="H43" s="902"/>
      <c r="I43" s="901"/>
      <c r="J43" s="901"/>
      <c r="K43" s="901"/>
      <c r="L43" s="901"/>
      <c r="O43" s="2" t="s">
        <v>111</v>
      </c>
      <c r="P43" s="2"/>
      <c r="Q43" s="51">
        <f t="shared" ref="Q43" si="35">Q33+Q35</f>
        <v>0</v>
      </c>
      <c r="R43" s="901"/>
      <c r="S43" s="901"/>
      <c r="T43" s="902"/>
      <c r="U43" s="901"/>
      <c r="V43" s="901"/>
      <c r="W43" s="901"/>
      <c r="X43" s="901"/>
    </row>
    <row r="45" spans="3:30">
      <c r="D45" s="538"/>
      <c r="G45" s="39"/>
      <c r="H45" s="39"/>
      <c r="I45" s="39"/>
      <c r="J45" s="39"/>
      <c r="K45" s="39"/>
      <c r="L45" s="39"/>
      <c r="U45" s="539"/>
    </row>
    <row r="46" spans="3:30">
      <c r="D46" s="538"/>
      <c r="E46" s="39"/>
      <c r="F46" s="39"/>
      <c r="G46" s="39"/>
      <c r="H46" s="39"/>
      <c r="I46" s="39"/>
      <c r="J46" s="39"/>
      <c r="K46" s="39"/>
      <c r="L46" s="39"/>
    </row>
    <row r="47" spans="3:30">
      <c r="D47" s="538"/>
      <c r="E47" s="39"/>
      <c r="F47" s="39"/>
      <c r="G47" s="39"/>
      <c r="H47" s="545"/>
      <c r="I47" s="545"/>
      <c r="J47" s="545"/>
      <c r="K47" s="545"/>
      <c r="L47" s="545"/>
    </row>
    <row r="48" spans="3:30">
      <c r="H48" s="545"/>
      <c r="I48" s="545"/>
      <c r="J48" s="545"/>
      <c r="K48" s="545"/>
      <c r="L48" s="545"/>
    </row>
    <row r="49" spans="8:12">
      <c r="H49" s="39"/>
      <c r="I49" s="39"/>
      <c r="J49" s="39"/>
      <c r="K49" s="39"/>
      <c r="L49" s="39"/>
    </row>
    <row r="50" spans="8:12" ht="6.75" customHeight="1">
      <c r="H50" s="39"/>
      <c r="I50" s="39"/>
      <c r="J50" s="39"/>
      <c r="K50" s="39"/>
      <c r="L50" s="39"/>
    </row>
    <row r="51" spans="8:12">
      <c r="H51" s="39"/>
      <c r="I51" s="39"/>
      <c r="J51" s="39"/>
      <c r="K51" s="39"/>
      <c r="L51" s="39"/>
    </row>
    <row r="52" spans="8:12">
      <c r="H52" s="39"/>
      <c r="I52" s="39"/>
      <c r="J52" s="39"/>
      <c r="K52" s="39"/>
      <c r="L52" s="39"/>
    </row>
    <row r="61" spans="8:12" ht="13.9" customHeight="1"/>
  </sheetData>
  <mergeCells count="1">
    <mergeCell ref="I1:J1"/>
  </mergeCells>
  <hyperlinks>
    <hyperlink ref="B2" location="Contents!A1" display="Table of Contents" xr:uid="{00000000-0004-0000-1900-000000000000}"/>
  </hyperlinks>
  <pageMargins left="0.25" right="0.25" top="0.75" bottom="0.75" header="0.3" footer="0.3"/>
  <pageSetup paperSize="9" orientation="portrait"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BT49"/>
  <sheetViews>
    <sheetView zoomScale="85" zoomScaleNormal="85" workbookViewId="0">
      <pane xSplit="3" topLeftCell="Y1" activePane="topRight" state="frozen"/>
      <selection activeCell="V33" sqref="V33"/>
      <selection pane="topRight" activeCell="AH5" sqref="AH5"/>
    </sheetView>
  </sheetViews>
  <sheetFormatPr defaultColWidth="9.140625" defaultRowHeight="15" outlineLevelCol="1"/>
  <cols>
    <col min="1" max="2" width="3.5703125" style="1" customWidth="1"/>
    <col min="3" max="3" width="40.85546875" style="1" customWidth="1"/>
    <col min="4" max="4" width="10" style="1" customWidth="1"/>
    <col min="5" max="6" width="9.28515625" style="1" customWidth="1" outlineLevel="1"/>
    <col min="7" max="11" width="9.5703125" style="1" customWidth="1"/>
    <col min="12" max="12" width="10.85546875" style="1" customWidth="1"/>
    <col min="13" max="13" width="5" style="1" customWidth="1"/>
    <col min="14" max="14" width="9.7109375" style="1" customWidth="1" outlineLevel="1"/>
    <col min="15" max="16" width="9" style="1" customWidth="1" outlineLevel="1"/>
    <col min="17" max="21" width="9.28515625" style="1" bestFit="1" customWidth="1"/>
    <col min="22" max="22" width="10.85546875" style="1" customWidth="1"/>
    <col min="23" max="23" width="5.28515625" style="1" customWidth="1"/>
    <col min="24" max="26" width="9.7109375" style="1" customWidth="1" outlineLevel="1"/>
    <col min="27" max="27" width="8.85546875" style="1" customWidth="1"/>
    <col min="28" max="28" width="9.28515625" style="1" customWidth="1"/>
    <col min="29" max="29" width="9" style="1" customWidth="1"/>
    <col min="30" max="32" width="9.5703125" style="1" bestFit="1" customWidth="1"/>
    <col min="33" max="33" width="5.140625" style="1" customWidth="1"/>
    <col min="34" max="36" width="8.7109375" style="1" customWidth="1" outlineLevel="1"/>
    <col min="37" max="41" width="8.7109375" style="1" customWidth="1"/>
    <col min="42" max="42" width="9.7109375" style="1" customWidth="1"/>
    <col min="43" max="43" width="5.140625" style="1" customWidth="1"/>
    <col min="44" max="46" width="9.28515625" style="1" customWidth="1" outlineLevel="1"/>
    <col min="47" max="47" width="10.5703125" style="1" bestFit="1" customWidth="1"/>
    <col min="48" max="51" width="9.5703125" style="1" bestFit="1" customWidth="1"/>
    <col min="52" max="52" width="10.7109375" style="1" customWidth="1"/>
    <col min="53" max="53" width="6.140625" style="1" customWidth="1"/>
    <col min="54" max="54" width="9.7109375" style="1" customWidth="1" outlineLevel="1"/>
    <col min="55" max="56" width="9.5703125" style="1" customWidth="1" outlineLevel="1"/>
    <col min="57" max="59" width="9.5703125" style="1" bestFit="1" customWidth="1"/>
    <col min="60" max="60" width="10.7109375" style="1" customWidth="1"/>
    <col min="61" max="61" width="9.5703125" style="1" bestFit="1" customWidth="1"/>
    <col min="62" max="62" width="9.140625" style="1"/>
    <col min="63" max="63" width="5" style="1" customWidth="1"/>
    <col min="64" max="66" width="9.140625" style="1" customWidth="1" outlineLevel="1"/>
    <col min="67" max="71" width="9.140625" style="1"/>
    <col min="72" max="72" width="11" style="1" customWidth="1"/>
    <col min="73" max="16384" width="9.140625" style="1"/>
  </cols>
  <sheetData>
    <row r="1" spans="2:72" ht="18.75">
      <c r="B1" s="10" t="s">
        <v>510</v>
      </c>
      <c r="T1" s="969" t="s">
        <v>737</v>
      </c>
      <c r="U1" s="969"/>
    </row>
    <row r="2" spans="2:72">
      <c r="B2" s="25" t="s">
        <v>6</v>
      </c>
      <c r="D2" s="1" t="s">
        <v>670</v>
      </c>
      <c r="M2" s="1" t="s">
        <v>670</v>
      </c>
    </row>
    <row r="3" spans="2:72">
      <c r="D3" s="2" t="s">
        <v>502</v>
      </c>
      <c r="L3" s="262" t="s">
        <v>137</v>
      </c>
      <c r="M3" s="2" t="s">
        <v>501</v>
      </c>
      <c r="V3" s="262" t="s">
        <v>137</v>
      </c>
      <c r="W3" s="2" t="s">
        <v>497</v>
      </c>
      <c r="AF3" s="262" t="s">
        <v>137</v>
      </c>
      <c r="AG3" s="2" t="s">
        <v>607</v>
      </c>
      <c r="AP3" s="358" t="s">
        <v>137</v>
      </c>
      <c r="AQ3" s="2" t="s">
        <v>498</v>
      </c>
      <c r="AZ3" s="262" t="s">
        <v>137</v>
      </c>
      <c r="BA3" s="2" t="s">
        <v>487</v>
      </c>
      <c r="BJ3" s="262" t="s">
        <v>137</v>
      </c>
      <c r="BK3" s="2" t="s">
        <v>488</v>
      </c>
      <c r="BT3" s="262" t="s">
        <v>137</v>
      </c>
    </row>
    <row r="4" spans="2:72">
      <c r="D4" s="223">
        <f>CP_Yr_4</f>
        <v>43800</v>
      </c>
      <c r="E4" s="223">
        <f>CP_Yr_5</f>
        <v>44166</v>
      </c>
      <c r="F4" s="223">
        <f>Stub</f>
        <v>44377</v>
      </c>
      <c r="G4" s="335">
        <f>Yr_1</f>
        <v>44742</v>
      </c>
      <c r="H4" s="223">
        <f>Yr_2</f>
        <v>45107</v>
      </c>
      <c r="I4" s="223">
        <f>Yr_3</f>
        <v>45473</v>
      </c>
      <c r="J4" s="223">
        <f>Yr_4</f>
        <v>45838</v>
      </c>
      <c r="K4" s="223">
        <f>Yr_5</f>
        <v>46203</v>
      </c>
      <c r="L4" s="262" t="str">
        <f>NReg_Period</f>
        <v>2022-26</v>
      </c>
      <c r="N4" s="223">
        <f>CP_Yr_4</f>
        <v>43800</v>
      </c>
      <c r="O4" s="223">
        <f>CP_Yr_5</f>
        <v>44166</v>
      </c>
      <c r="P4" s="223">
        <f>Stub</f>
        <v>44377</v>
      </c>
      <c r="Q4" s="335">
        <f>Yr_1</f>
        <v>44742</v>
      </c>
      <c r="R4" s="223">
        <f>Yr_2</f>
        <v>45107</v>
      </c>
      <c r="S4" s="223">
        <f>Yr_3</f>
        <v>45473</v>
      </c>
      <c r="T4" s="223">
        <f>Yr_4</f>
        <v>45838</v>
      </c>
      <c r="U4" s="223">
        <f>Yr_5</f>
        <v>46203</v>
      </c>
      <c r="V4" s="262" t="str">
        <f>NReg_Period</f>
        <v>2022-26</v>
      </c>
      <c r="W4" s="262"/>
      <c r="X4" s="223">
        <f>CP_Yr_4</f>
        <v>43800</v>
      </c>
      <c r="Y4" s="223">
        <f>CP_Yr_5</f>
        <v>44166</v>
      </c>
      <c r="Z4" s="223">
        <f>Stub</f>
        <v>44377</v>
      </c>
      <c r="AA4" s="335">
        <f>Yr_1</f>
        <v>44742</v>
      </c>
      <c r="AB4" s="336">
        <f>Yr_2</f>
        <v>45107</v>
      </c>
      <c r="AC4" s="223">
        <f>Yr_3</f>
        <v>45473</v>
      </c>
      <c r="AD4" s="223">
        <f>Yr_4</f>
        <v>45838</v>
      </c>
      <c r="AE4" s="223">
        <f>Yr_5</f>
        <v>46203</v>
      </c>
      <c r="AF4" s="262" t="str">
        <f>NReg_Period</f>
        <v>2022-26</v>
      </c>
      <c r="AH4" s="223">
        <f>CP_Yr_4</f>
        <v>43800</v>
      </c>
      <c r="AI4" s="223">
        <f>CP_Yr_5</f>
        <v>44166</v>
      </c>
      <c r="AJ4" s="223">
        <f>Stub</f>
        <v>44377</v>
      </c>
      <c r="AK4" s="335">
        <f>Yr_1</f>
        <v>44742</v>
      </c>
      <c r="AL4" s="223">
        <f>Yr_2</f>
        <v>45107</v>
      </c>
      <c r="AM4" s="223">
        <f>Yr_3</f>
        <v>45473</v>
      </c>
      <c r="AN4" s="223">
        <f>Yr_4</f>
        <v>45838</v>
      </c>
      <c r="AO4" s="223">
        <f>Yr_5</f>
        <v>46203</v>
      </c>
      <c r="AP4" s="358" t="str">
        <f>NReg_Period</f>
        <v>2022-26</v>
      </c>
      <c r="AR4" s="223">
        <f>CP_Yr_4</f>
        <v>43800</v>
      </c>
      <c r="AS4" s="223">
        <f>CP_Yr_5</f>
        <v>44166</v>
      </c>
      <c r="AT4" s="223">
        <f>Stub</f>
        <v>44377</v>
      </c>
      <c r="AU4" s="335">
        <f>Yr_1</f>
        <v>44742</v>
      </c>
      <c r="AV4" s="223">
        <f>Yr_2</f>
        <v>45107</v>
      </c>
      <c r="AW4" s="223">
        <f>Yr_3</f>
        <v>45473</v>
      </c>
      <c r="AX4" s="223">
        <f>Yr_4</f>
        <v>45838</v>
      </c>
      <c r="AY4" s="223">
        <f>Yr_5</f>
        <v>46203</v>
      </c>
      <c r="AZ4" s="262" t="str">
        <f>NReg_Period</f>
        <v>2022-26</v>
      </c>
      <c r="BB4" s="223">
        <f>CP_Yr_4</f>
        <v>43800</v>
      </c>
      <c r="BC4" s="223">
        <f>CP_Yr_5</f>
        <v>44166</v>
      </c>
      <c r="BD4" s="223">
        <f>Stub</f>
        <v>44377</v>
      </c>
      <c r="BE4" s="335">
        <f>Yr_1</f>
        <v>44742</v>
      </c>
      <c r="BF4" s="223">
        <f>Yr_2</f>
        <v>45107</v>
      </c>
      <c r="BG4" s="223">
        <f>Yr_3</f>
        <v>45473</v>
      </c>
      <c r="BH4" s="223">
        <f>Yr_4</f>
        <v>45838</v>
      </c>
      <c r="BI4" s="223">
        <f>Yr_5</f>
        <v>46203</v>
      </c>
      <c r="BJ4" s="262" t="str">
        <f>NReg_Period</f>
        <v>2022-26</v>
      </c>
      <c r="BL4" s="223">
        <f>CP_Yr_4</f>
        <v>43800</v>
      </c>
      <c r="BM4" s="223">
        <f>CP_Yr_5</f>
        <v>44166</v>
      </c>
      <c r="BN4" s="223">
        <f>Stub</f>
        <v>44377</v>
      </c>
      <c r="BO4" s="335">
        <f>Yr_1</f>
        <v>44742</v>
      </c>
      <c r="BP4" s="223">
        <f>Yr_2</f>
        <v>45107</v>
      </c>
      <c r="BQ4" s="223">
        <f>Yr_3</f>
        <v>45473</v>
      </c>
      <c r="BR4" s="223">
        <f>Yr_4</f>
        <v>45838</v>
      </c>
      <c r="BS4" s="223">
        <f>Yr_5</f>
        <v>46203</v>
      </c>
      <c r="BT4" s="262" t="str">
        <f>NReg_Period</f>
        <v>2022-26</v>
      </c>
    </row>
    <row r="5" spans="2:72">
      <c r="B5" s="1" t="s">
        <v>44</v>
      </c>
      <c r="G5" s="38"/>
      <c r="Q5" s="38"/>
      <c r="AA5" s="38"/>
      <c r="AB5" s="41"/>
      <c r="AK5" s="38"/>
      <c r="AU5" s="38"/>
      <c r="BE5" s="38"/>
      <c r="BO5" s="38"/>
    </row>
    <row r="6" spans="2:72">
      <c r="C6" s="1" t="s">
        <v>10</v>
      </c>
      <c r="D6" s="361">
        <f>SUMIFS(Augmentation!CQ$6:CQ$37,Augmentation!$G$6:$G$37,$C6,Augmentation!$E$6:$E$37,$B$5)+SUMIFS(Major_Rebuilds!CQ$6:CQ$36,Major_Rebuilds!$G$6:$G$36,$C6,Major_Rebuilds!$E$6:$E$36,$B$5)+SUMIFS(Stations!DF$7:DF$38,Stations!$G$7:$G$38,$C6,Stations!$E$7:$E$38,$B$5)+SUMIFS(Lines!DF$7:DF$37,Lines!$G$7:$G$37,$C6,Lines!$E$7:$E$37,$B$5)+SUMIFS('PC&amp;A'!CQ$6:CQ$36,'PC&amp;A'!$G$6:$G$36,$C6,'PC&amp;A'!$E$6:$E$36,$B$5)+SUMIFS('SCADA&amp;Comms'!CQ$6:CQ$36,'SCADA&amp;Comms'!$G$6:$G$36,$C6,'SCADA&amp;Comms'!$E$6:$E$36,$B$5)+SUMIFS(REFCL!CQ$6:CQ$47,REFCL!$G$6:$G$47,$C6,REFCL!$E$6:$E$47,$B$5)+SUMIFS(ESL_1!DF$7:DF$37,ESL_1!$G$7:$G$37,$C6,ESL_1!$E$7:$E$37,$B$5)+SUMIFS(ESL_2!CQ$6:CQ$36,ESL_2!$G$6:$G$36,$C6,ESL_2!$E$6:$E$36,$B$5)+SUMIFS(ESL_2!CQ$42:CQ$44,ESL_2!$G$42:$G$44,$C6,ESL_2!$E$42:$E$44,$B$5)</f>
        <v>0</v>
      </c>
      <c r="E6" s="865"/>
      <c r="F6" s="865"/>
      <c r="G6" s="866"/>
      <c r="H6" s="865"/>
      <c r="I6" s="865"/>
      <c r="J6" s="865"/>
      <c r="K6" s="865"/>
      <c r="L6" s="876"/>
      <c r="N6" s="157">
        <f>SUMIFS(Augmentation!J$6:J$37,Augmentation!$G$6:$G$37,$C6,Augmentation!$E$6:$E$37,$B$5)+SUMIFS(Major_Rebuilds!J$6:J$36,Major_Rebuilds!$G$6:$G$36,$C6,Major_Rebuilds!$E$6:$E$36,$B$5)+SUMIFS(Stations!T$7:T$38,Stations!$G$7:$G$38,$C6,Stations!$E$7:$E$38,$B$5)+SUMIFS(Lines!T$7:T$37,Lines!$G$7:$G$37,$C6,Lines!$E$7:$E$37,$B$5)+SUMIFS('PC&amp;A'!J$6:J$36,'PC&amp;A'!$G$6:$G$36,$C6,'PC&amp;A'!$E$6:$E$36,$B$5)+SUMIFS('SCADA&amp;Comms'!J$6:J$36,'SCADA&amp;Comms'!$G$6:$G$36,$C6,'SCADA&amp;Comms'!$E$6:$E$36,$B$5)+SUMIFS(REFCL!J$6:J$47,REFCL!$G$6:$G$47,$C6,REFCL!$E$6:$E$47,$B$5)+SUMIFS(ESL_1!T$7:T$37,ESL_1!$G$7:$G$37,$C6,ESL_1!$E$7:$E$37,$B$5)+SUMIFS(ESL_2!J$6:J$36,ESL_2!$G$6:$G$36,$C6,ESL_2!$E$6:$E$36,$B$5)+SUMIFS(ESL_2!J$42:J$44,ESL_2!$G$42:$G$44,$C6,ESL_2!$E$42:$E$44,$B$5)</f>
        <v>0</v>
      </c>
      <c r="O6" s="865"/>
      <c r="P6" s="865"/>
      <c r="Q6" s="866"/>
      <c r="R6" s="865"/>
      <c r="S6" s="865"/>
      <c r="T6" s="865"/>
      <c r="U6" s="865"/>
      <c r="V6" s="876"/>
      <c r="X6" s="158">
        <f>D6-N6</f>
        <v>0</v>
      </c>
      <c r="Y6" s="876"/>
      <c r="Z6" s="876"/>
      <c r="AA6" s="877"/>
      <c r="AB6" s="907"/>
      <c r="AC6" s="876"/>
      <c r="AD6" s="876"/>
      <c r="AE6" s="876"/>
      <c r="AF6" s="876"/>
      <c r="AH6" s="876"/>
      <c r="AI6" s="876"/>
      <c r="AJ6" s="876"/>
      <c r="AK6" s="877"/>
      <c r="AL6" s="876"/>
      <c r="AM6" s="876"/>
      <c r="AN6" s="876"/>
      <c r="AO6" s="876"/>
      <c r="AP6" s="876"/>
      <c r="AR6" s="158">
        <v>0</v>
      </c>
      <c r="AS6" s="158">
        <v>0</v>
      </c>
      <c r="AT6" s="158">
        <v>1017.2717727793053</v>
      </c>
      <c r="AU6" s="264">
        <v>40339.949571888297</v>
      </c>
      <c r="AV6" s="158">
        <v>39335.45690112577</v>
      </c>
      <c r="AW6" s="158">
        <v>7876.9889910215852</v>
      </c>
      <c r="AX6" s="158">
        <v>3036.2818785172162</v>
      </c>
      <c r="AY6" s="158">
        <v>2342.9538302248002</v>
      </c>
      <c r="AZ6" s="158">
        <f>SUM(AU6:AY6)</f>
        <v>92931.631172777663</v>
      </c>
      <c r="BB6" s="158">
        <f t="shared" ref="BB6:BI7" si="0">AR6*BB37</f>
        <v>0</v>
      </c>
      <c r="BC6" s="158">
        <f t="shared" si="0"/>
        <v>0</v>
      </c>
      <c r="BD6" s="158">
        <f t="shared" si="0"/>
        <v>98.609884102417311</v>
      </c>
      <c r="BE6" s="264">
        <f t="shared" si="0"/>
        <v>4100.5210457783915</v>
      </c>
      <c r="BF6" s="158">
        <f t="shared" si="0"/>
        <v>3800.3326871980121</v>
      </c>
      <c r="BG6" s="158">
        <f t="shared" si="0"/>
        <v>920.51214115076164</v>
      </c>
      <c r="BH6" s="158">
        <f t="shared" si="0"/>
        <v>393.56127376321336</v>
      </c>
      <c r="BI6" s="158">
        <f t="shared" si="0"/>
        <v>318.74483663595873</v>
      </c>
      <c r="BJ6" s="158">
        <f>SUM(BE6:BI6)</f>
        <v>9533.671984526336</v>
      </c>
      <c r="BL6" s="158">
        <f>AR6+BB6</f>
        <v>0</v>
      </c>
      <c r="BM6" s="158">
        <f t="shared" ref="BM6:BN8" si="1">AS6+BC6</f>
        <v>0</v>
      </c>
      <c r="BN6" s="158">
        <f t="shared" si="1"/>
        <v>1115.8816568817226</v>
      </c>
      <c r="BO6" s="264">
        <f t="shared" ref="BO6:BO8" si="2">AU6+BE6</f>
        <v>44440.470617666688</v>
      </c>
      <c r="BP6" s="158">
        <f t="shared" ref="BP6:BP8" si="3">AV6+BF6</f>
        <v>43135.78958832378</v>
      </c>
      <c r="BQ6" s="158">
        <f t="shared" ref="BQ6:BQ8" si="4">AW6+BG6</f>
        <v>8797.5011321723468</v>
      </c>
      <c r="BR6" s="158">
        <f t="shared" ref="BR6:BR8" si="5">AX6+BH6</f>
        <v>3429.8431522804294</v>
      </c>
      <c r="BS6" s="158">
        <f t="shared" ref="BS6:BS8" si="6">AY6+BI6</f>
        <v>2661.6986668607587</v>
      </c>
      <c r="BT6" s="158">
        <f>SUM(BO6:BS6)</f>
        <v>102465.30315730399</v>
      </c>
    </row>
    <row r="7" spans="2:72">
      <c r="C7" s="1" t="s">
        <v>150</v>
      </c>
      <c r="D7" s="361">
        <f>SUMIFS(Augmentation!CQ$6:CQ$37,Augmentation!$G$6:$G$37,$C7,Augmentation!$E$6:$E$37,$B$5)+SUMIFS(Major_Rebuilds!CQ$6:CQ$36,Major_Rebuilds!$G$6:$G$36,$C7,Major_Rebuilds!$E$6:$E$36,$B$5)+SUMIFS(Stations!DF$7:DF$38,Stations!$G$7:$G$38,$C7,Stations!$E$7:$E$38,$B$5)+SUMIFS(Lines!DF$7:DF$37,Lines!$G$7:$G$37,$C7,Lines!$E$7:$E$37,$B$5)+SUMIFS('PC&amp;A'!CQ$6:CQ$36,'PC&amp;A'!$G$6:$G$36,$C7,'PC&amp;A'!$E$6:$E$36,$B$5)+SUMIFS('SCADA&amp;Comms'!CQ$6:CQ$36,'SCADA&amp;Comms'!$G$6:$G$36,$C7,'SCADA&amp;Comms'!$E$6:$E$36,$B$5)+SUMIFS(REFCL!CQ$6:CQ$47,REFCL!$G$6:$G$47,$C7,REFCL!$E$6:$E$47,$B$5)+SUMIFS(ESL_1!DF$7:DF$37,ESL_1!$G$7:$G$37,$C7,ESL_1!$E$7:$E$37,$B$5)+SUMIFS(ESL_2!CQ$6:CQ$36,ESL_2!$G$6:$G$36,$C7,ESL_2!$E$6:$E$36,$B$5)+SUMIFS(ESL_2!CQ$42:CQ$44,ESL_2!$G$42:$G$44,$C7,ESL_2!$E$42:$E$44,$B$5)</f>
        <v>0</v>
      </c>
      <c r="E7" s="865"/>
      <c r="F7" s="865"/>
      <c r="G7" s="866"/>
      <c r="H7" s="865"/>
      <c r="I7" s="865"/>
      <c r="J7" s="865"/>
      <c r="K7" s="865"/>
      <c r="L7" s="876"/>
      <c r="N7" s="157">
        <f>SUMIFS(Augmentation!J$6:J$37,Augmentation!$G$6:$G$37,$C7,Augmentation!$E$6:$E$37,$B$5)+SUMIFS(Major_Rebuilds!J$6:J$36,Major_Rebuilds!$G$6:$G$36,$C7,Major_Rebuilds!$E$6:$E$36,$B$5)+SUMIFS(Stations!T$7:T$38,Stations!$G$7:$G$38,$C7,Stations!$E$7:$E$38,$B$5)+SUMIFS(Lines!T$7:T$37,Lines!$G$7:$G$37,$C7,Lines!$E$7:$E$37,$B$5)+SUMIFS('PC&amp;A'!J$6:J$36,'PC&amp;A'!$G$6:$G$36,$C7,'PC&amp;A'!$E$6:$E$36,$B$5)+SUMIFS('SCADA&amp;Comms'!J$6:J$36,'SCADA&amp;Comms'!$G$6:$G$36,$C7,'SCADA&amp;Comms'!$E$6:$E$36,$B$5)+SUMIFS(REFCL!J$6:J$47,REFCL!$G$6:$G$47,$C7,REFCL!$E$6:$E$47,$B$5)+SUMIFS(ESL_1!T$7:T$37,ESL_1!$G$7:$G$37,$C7,ESL_1!$E$7:$E$37,$B$5)+SUMIFS(ESL_2!J$6:J$36,ESL_2!$G$6:$G$36,$C7,ESL_2!$E$6:$E$36,$B$5)+SUMIFS(ESL_2!J$42:J$44,ESL_2!$G$42:$G$44,$C7,ESL_2!$E$42:$E$44,$B$5)</f>
        <v>0</v>
      </c>
      <c r="O7" s="865"/>
      <c r="P7" s="865"/>
      <c r="Q7" s="866"/>
      <c r="R7" s="865"/>
      <c r="S7" s="865"/>
      <c r="T7" s="865"/>
      <c r="U7" s="865"/>
      <c r="V7" s="876"/>
      <c r="X7" s="158">
        <f t="shared" ref="X7:X8" si="7">D7-N7</f>
        <v>0</v>
      </c>
      <c r="Y7" s="876"/>
      <c r="Z7" s="876"/>
      <c r="AA7" s="877"/>
      <c r="AB7" s="907"/>
      <c r="AC7" s="876"/>
      <c r="AD7" s="876"/>
      <c r="AE7" s="876"/>
      <c r="AF7" s="876"/>
      <c r="AH7" s="876"/>
      <c r="AI7" s="876"/>
      <c r="AJ7" s="876"/>
      <c r="AK7" s="877"/>
      <c r="AL7" s="876"/>
      <c r="AM7" s="876"/>
      <c r="AN7" s="876"/>
      <c r="AO7" s="876"/>
      <c r="AP7" s="876"/>
      <c r="AR7" s="158">
        <v>0</v>
      </c>
      <c r="AS7" s="158">
        <v>1072.5630793214652</v>
      </c>
      <c r="AT7" s="158">
        <v>2545.2800908559402</v>
      </c>
      <c r="AU7" s="264">
        <v>22360.888195627511</v>
      </c>
      <c r="AV7" s="158">
        <v>31054.377020509935</v>
      </c>
      <c r="AW7" s="158">
        <v>31238.545257449103</v>
      </c>
      <c r="AX7" s="158">
        <v>16152.691655551478</v>
      </c>
      <c r="AY7" s="158">
        <v>5245.0844038292435</v>
      </c>
      <c r="AZ7" s="158">
        <f>SUM(AU7:AY7)</f>
        <v>106051.58653296727</v>
      </c>
      <c r="BB7" s="158">
        <f t="shared" si="0"/>
        <v>0</v>
      </c>
      <c r="BC7" s="158">
        <f t="shared" si="0"/>
        <v>88.266994222259385</v>
      </c>
      <c r="BD7" s="158">
        <f t="shared" si="0"/>
        <v>246.72833895878296</v>
      </c>
      <c r="BE7" s="264">
        <f t="shared" si="0"/>
        <v>2272.9649794199327</v>
      </c>
      <c r="BF7" s="158">
        <f t="shared" si="0"/>
        <v>3000.2693083815966</v>
      </c>
      <c r="BG7" s="158">
        <f t="shared" si="0"/>
        <v>3650.5649829072672</v>
      </c>
      <c r="BH7" s="158">
        <f t="shared" si="0"/>
        <v>2093.7034692469915</v>
      </c>
      <c r="BI7" s="158">
        <f t="shared" si="0"/>
        <v>713.56232029547004</v>
      </c>
      <c r="BJ7" s="158">
        <f>SUM(BE7:BI7)</f>
        <v>11731.06506025126</v>
      </c>
      <c r="BL7" s="158">
        <f t="shared" ref="BL7:BL8" si="8">AR7+BB7</f>
        <v>0</v>
      </c>
      <c r="BM7" s="158">
        <f t="shared" si="1"/>
        <v>1160.8300735437247</v>
      </c>
      <c r="BN7" s="158">
        <f t="shared" si="1"/>
        <v>2792.0084298147231</v>
      </c>
      <c r="BO7" s="264">
        <f t="shared" si="2"/>
        <v>24633.853175047443</v>
      </c>
      <c r="BP7" s="158">
        <f t="shared" si="3"/>
        <v>34054.646328891533</v>
      </c>
      <c r="BQ7" s="158">
        <f t="shared" si="4"/>
        <v>34889.110240356371</v>
      </c>
      <c r="BR7" s="158">
        <f t="shared" si="5"/>
        <v>18246.39512479847</v>
      </c>
      <c r="BS7" s="158">
        <f t="shared" si="6"/>
        <v>5958.6467241247137</v>
      </c>
      <c r="BT7" s="158">
        <f>SUM(BO7:BS7)</f>
        <v>117782.65159321853</v>
      </c>
    </row>
    <row r="8" spans="2:72">
      <c r="C8" s="524" t="s">
        <v>32</v>
      </c>
      <c r="D8" s="220"/>
      <c r="E8" s="874"/>
      <c r="F8" s="874"/>
      <c r="G8" s="909"/>
      <c r="H8" s="910"/>
      <c r="I8" s="910"/>
      <c r="J8" s="910"/>
      <c r="K8" s="910"/>
      <c r="L8" s="911"/>
      <c r="N8" s="220"/>
      <c r="O8" s="874"/>
      <c r="P8" s="874"/>
      <c r="Q8" s="909"/>
      <c r="R8" s="910"/>
      <c r="S8" s="910"/>
      <c r="T8" s="910"/>
      <c r="U8" s="910"/>
      <c r="V8" s="911"/>
      <c r="X8" s="267">
        <f t="shared" si="7"/>
        <v>0</v>
      </c>
      <c r="Y8" s="903"/>
      <c r="Z8" s="903"/>
      <c r="AA8" s="904"/>
      <c r="AB8" s="903"/>
      <c r="AC8" s="903"/>
      <c r="AD8" s="903"/>
      <c r="AE8" s="903"/>
      <c r="AF8" s="903"/>
      <c r="AH8" s="903"/>
      <c r="AI8" s="903"/>
      <c r="AJ8" s="903"/>
      <c r="AK8" s="904"/>
      <c r="AL8" s="903"/>
      <c r="AM8" s="903"/>
      <c r="AN8" s="903"/>
      <c r="AO8" s="903"/>
      <c r="AP8" s="903"/>
      <c r="AR8" s="267">
        <v>0</v>
      </c>
      <c r="AS8" s="267">
        <v>0</v>
      </c>
      <c r="AT8" s="267">
        <v>0</v>
      </c>
      <c r="AU8" s="268">
        <v>16429.034914362579</v>
      </c>
      <c r="AV8" s="267">
        <v>16555.250606240839</v>
      </c>
      <c r="AW8" s="267">
        <v>16580.859886778362</v>
      </c>
      <c r="AX8" s="267">
        <v>16618.553772494266</v>
      </c>
      <c r="AY8" s="267">
        <v>16667.518078447029</v>
      </c>
      <c r="AZ8" s="267">
        <f>SUM(AU8:AY8)</f>
        <v>82851.217258323071</v>
      </c>
      <c r="BB8" s="287"/>
      <c r="BC8" s="287"/>
      <c r="BD8" s="287"/>
      <c r="BE8" s="288">
        <f>AusNet_Overheads!K46*BE39</f>
        <v>1524.1932019644626</v>
      </c>
      <c r="BF8" s="287">
        <f>AusNet_Overheads!L46*BF39</f>
        <v>1370.0341902128644</v>
      </c>
      <c r="BG8" s="287">
        <f>AusNet_Overheads!M46*BG39</f>
        <v>1578.4322155330556</v>
      </c>
      <c r="BH8" s="287">
        <f>AusNet_Overheads!N46*BH39</f>
        <v>1698.2517637206167</v>
      </c>
      <c r="BI8" s="287">
        <f>AusNet_Overheads!O46*BI39</f>
        <v>1756.9262718013213</v>
      </c>
      <c r="BJ8" s="267">
        <f>SUM(BE8:BI8)</f>
        <v>7927.8376432323203</v>
      </c>
      <c r="BL8" s="267">
        <f t="shared" si="8"/>
        <v>0</v>
      </c>
      <c r="BM8" s="267">
        <f t="shared" si="1"/>
        <v>0</v>
      </c>
      <c r="BN8" s="267">
        <f t="shared" si="1"/>
        <v>0</v>
      </c>
      <c r="BO8" s="268">
        <f t="shared" si="2"/>
        <v>17953.228116327042</v>
      </c>
      <c r="BP8" s="267">
        <f t="shared" si="3"/>
        <v>17925.284796453703</v>
      </c>
      <c r="BQ8" s="267">
        <f t="shared" si="4"/>
        <v>18159.292102311418</v>
      </c>
      <c r="BR8" s="267">
        <f t="shared" si="5"/>
        <v>18316.805536214884</v>
      </c>
      <c r="BS8" s="267">
        <f t="shared" si="6"/>
        <v>18424.444350248348</v>
      </c>
      <c r="BT8" s="267">
        <f>SUM(BO8:BS8)</f>
        <v>90779.054901555399</v>
      </c>
    </row>
    <row r="9" spans="2:72">
      <c r="C9" s="1" t="s">
        <v>479</v>
      </c>
      <c r="D9" s="158">
        <f t="shared" ref="D9" si="9">SUM(D6:D8)</f>
        <v>0</v>
      </c>
      <c r="E9" s="876"/>
      <c r="F9" s="876"/>
      <c r="G9" s="877"/>
      <c r="H9" s="876"/>
      <c r="I9" s="876"/>
      <c r="J9" s="876"/>
      <c r="K9" s="876"/>
      <c r="L9" s="876"/>
      <c r="N9" s="158">
        <f t="shared" ref="N9" si="10">SUM(N6:N8)</f>
        <v>0</v>
      </c>
      <c r="O9" s="876"/>
      <c r="P9" s="876"/>
      <c r="Q9" s="877"/>
      <c r="R9" s="876"/>
      <c r="S9" s="876"/>
      <c r="T9" s="876"/>
      <c r="U9" s="876"/>
      <c r="V9" s="876"/>
      <c r="X9" s="158">
        <f t="shared" ref="X9" si="11">SUM(X6:X8)</f>
        <v>0</v>
      </c>
      <c r="Y9" s="876"/>
      <c r="Z9" s="876"/>
      <c r="AA9" s="877"/>
      <c r="AB9" s="907"/>
      <c r="AC9" s="876"/>
      <c r="AD9" s="876"/>
      <c r="AE9" s="876"/>
      <c r="AF9" s="876"/>
      <c r="AH9" s="876"/>
      <c r="AI9" s="876"/>
      <c r="AJ9" s="876"/>
      <c r="AK9" s="877"/>
      <c r="AL9" s="876"/>
      <c r="AM9" s="876"/>
      <c r="AN9" s="876"/>
      <c r="AO9" s="876"/>
      <c r="AP9" s="876"/>
      <c r="AR9" s="158">
        <v>0</v>
      </c>
      <c r="AS9" s="158">
        <v>1072.5630793214652</v>
      </c>
      <c r="AT9" s="158">
        <v>3562.5518636352454</v>
      </c>
      <c r="AU9" s="264">
        <v>79129.872681878391</v>
      </c>
      <c r="AV9" s="265">
        <v>86945.084527876534</v>
      </c>
      <c r="AW9" s="158">
        <v>55696.394135249051</v>
      </c>
      <c r="AX9" s="158">
        <v>35807.527306562959</v>
      </c>
      <c r="AY9" s="158">
        <v>24255.556312501074</v>
      </c>
      <c r="AZ9" s="158">
        <f t="shared" ref="AZ9" si="12">SUM(AZ6:AZ8)</f>
        <v>281834.434964068</v>
      </c>
      <c r="BB9" s="158">
        <f t="shared" ref="BB9:BI9" si="13">SUM(BB6:BB8)</f>
        <v>0</v>
      </c>
      <c r="BC9" s="158">
        <f t="shared" si="13"/>
        <v>88.266994222259385</v>
      </c>
      <c r="BD9" s="158">
        <f t="shared" ref="BD9" si="14">SUM(BD6:BD8)</f>
        <v>345.33822306120027</v>
      </c>
      <c r="BE9" s="264">
        <f t="shared" si="13"/>
        <v>7897.6792271627874</v>
      </c>
      <c r="BF9" s="158">
        <f t="shared" si="13"/>
        <v>8170.636185792473</v>
      </c>
      <c r="BG9" s="158">
        <f t="shared" si="13"/>
        <v>6149.5093395910844</v>
      </c>
      <c r="BH9" s="158">
        <f t="shared" si="13"/>
        <v>4185.5165067308217</v>
      </c>
      <c r="BI9" s="158">
        <f t="shared" si="13"/>
        <v>2789.2334287327503</v>
      </c>
      <c r="BJ9" s="158">
        <f t="shared" ref="BJ9" si="15">SUM(BJ6:BJ8)</f>
        <v>29192.574688009918</v>
      </c>
      <c r="BL9" s="158">
        <f t="shared" ref="BL9:BT9" si="16">SUM(BL6:BL8)</f>
        <v>0</v>
      </c>
      <c r="BM9" s="158">
        <f t="shared" si="16"/>
        <v>1160.8300735437247</v>
      </c>
      <c r="BN9" s="158">
        <f t="shared" ref="BN9" si="17">SUM(BN6:BN8)</f>
        <v>3907.8900866964459</v>
      </c>
      <c r="BO9" s="264">
        <f t="shared" si="16"/>
        <v>87027.551909041169</v>
      </c>
      <c r="BP9" s="158">
        <f t="shared" si="16"/>
        <v>95115.720713669012</v>
      </c>
      <c r="BQ9" s="158">
        <f t="shared" si="16"/>
        <v>61845.903474840132</v>
      </c>
      <c r="BR9" s="158">
        <f t="shared" si="16"/>
        <v>39993.043813293785</v>
      </c>
      <c r="BS9" s="158">
        <f t="shared" si="16"/>
        <v>27044.789741233821</v>
      </c>
      <c r="BT9" s="158">
        <f t="shared" si="16"/>
        <v>311027.00965207792</v>
      </c>
    </row>
    <row r="10" spans="2:72">
      <c r="B10" s="1" t="s">
        <v>45</v>
      </c>
      <c r="E10" s="867"/>
      <c r="F10" s="867"/>
      <c r="G10" s="868"/>
      <c r="H10" s="867"/>
      <c r="I10" s="867"/>
      <c r="J10" s="867"/>
      <c r="K10" s="867"/>
      <c r="L10" s="867"/>
      <c r="O10" s="867"/>
      <c r="P10" s="867"/>
      <c r="Q10" s="868"/>
      <c r="R10" s="867"/>
      <c r="S10" s="867"/>
      <c r="T10" s="867"/>
      <c r="U10" s="867"/>
      <c r="V10" s="867"/>
      <c r="Y10" s="867"/>
      <c r="Z10" s="867"/>
      <c r="AA10" s="868"/>
      <c r="AB10" s="908"/>
      <c r="AC10" s="867"/>
      <c r="AD10" s="867"/>
      <c r="AE10" s="867"/>
      <c r="AF10" s="867"/>
      <c r="AH10" s="867"/>
      <c r="AI10" s="867"/>
      <c r="AJ10" s="867"/>
      <c r="AK10" s="868"/>
      <c r="AL10" s="867"/>
      <c r="AM10" s="867"/>
      <c r="AN10" s="867"/>
      <c r="AO10" s="867"/>
      <c r="AP10" s="867"/>
      <c r="AU10" s="38"/>
      <c r="BB10" s="158"/>
      <c r="BC10" s="158"/>
      <c r="BD10" s="158"/>
      <c r="BE10" s="264"/>
      <c r="BF10" s="158"/>
      <c r="BG10" s="158"/>
      <c r="BH10" s="158"/>
      <c r="BI10" s="158"/>
      <c r="BO10" s="38"/>
    </row>
    <row r="11" spans="2:72">
      <c r="C11" s="1" t="s">
        <v>10</v>
      </c>
      <c r="D11" s="157">
        <f>SUMIFS(Augmentation!CQ$6:CQ$37,Augmentation!$G$6:$G$37,$C11,Augmentation!$E$6:$E$37,$B$10)+SUMIFS(Major_Rebuilds!CQ$6:CQ$36,Major_Rebuilds!$G$6:$G$36,$C11,Major_Rebuilds!$E$6:$E$36,$B$10)+SUMIFS(Stations!DF$7:DF$38,Stations!$G$7:$G$38,$C11,Stations!$E$7:$E$38,$B$10)+SUMIFS(Lines!DF$7:DF$37,Lines!$G$7:$G$37,$C11,Lines!$E$7:$E$37,$B$10)+SUMIFS('PC&amp;A'!CQ$6:CQ$36,'PC&amp;A'!$G$6:$G$36,$C11,'PC&amp;A'!$E$6:$E$36,$B$10)+SUMIFS('SCADA&amp;Comms'!CQ$6:CQ$36,'SCADA&amp;Comms'!$G$6:$G$36,$C11,'SCADA&amp;Comms'!$E$6:$E$36,$B$10)+SUMIFS(REFCL!CQ$6:CQ$47,REFCL!$G$6:$G$47,$C11,REFCL!$E$6:$E$47,$B$10)+SUMIFS(ESL_1!DF$7:DF$37,ESL_1!$G$7:$G$37,$C11,ESL_1!$E$7:$E$37,$B$10)+SUMIFS(ESL_2!CQ$6:CQ$36,ESL_2!$G$6:$G$36,$C11,ESL_2!$E$6:$E$36,$B$10)+SUMIFS(ESL_2!CQ$42:CQ$44,ESL_2!$G$42:$G$44,$C11,ESL_2!$E$42:$E$44,$B$10)</f>
        <v>0</v>
      </c>
      <c r="E11" s="865"/>
      <c r="F11" s="865"/>
      <c r="G11" s="866"/>
      <c r="H11" s="865"/>
      <c r="I11" s="865"/>
      <c r="J11" s="865"/>
      <c r="K11" s="865"/>
      <c r="L11" s="876"/>
      <c r="N11" s="157">
        <f>SUMIFS(Augmentation!J$6:J$37,Augmentation!$G$6:$G$37,$C11,Augmentation!$E$6:$E$37,$B$10)+SUMIFS(Major_Rebuilds!J$6:J$36,Major_Rebuilds!$G$6:$G$36,$C11,Major_Rebuilds!$E$6:$E$36,$B$10)+SUMIFS(Stations!T$7:T$38,Stations!$G$7:$G$38,$C11,Stations!$E$7:$E$38,$B$10)+SUMIFS(Lines!T$7:T$37,Lines!$G$7:$G$37,$C11,Lines!$E$7:$E$37,$B$10)+SUMIFS('PC&amp;A'!J$6:J$36,'PC&amp;A'!$G$6:$G$36,$C11,'PC&amp;A'!$E$6:$E$36,$B$10)+SUMIFS('SCADA&amp;Comms'!J$6:J$36,'SCADA&amp;Comms'!$G$6:$G$36,$C11,'SCADA&amp;Comms'!$E$6:$E$36,$B$10)+SUMIFS(REFCL!J$6:J$47,REFCL!$G$6:$G$47,$C11,REFCL!$E$6:$E$47,$B$10)+SUMIFS(ESL_1!T$7:T$37,ESL_1!$G$7:$G$37,$C11,ESL_1!$E$7:$E$37,$B$10)+SUMIFS(ESL_2!J$6:J$36,ESL_2!$G$6:$G$36,$C11,ESL_2!$E$6:$E$36,$B$10)+SUMIFS(ESL_2!J$42:J$44,ESL_2!$G$42:$G$44,$C11,ESL_2!$E$42:$E$44,$B$10)</f>
        <v>0</v>
      </c>
      <c r="O11" s="865"/>
      <c r="P11" s="865"/>
      <c r="Q11" s="866"/>
      <c r="R11" s="865"/>
      <c r="S11" s="865"/>
      <c r="T11" s="865"/>
      <c r="U11" s="865"/>
      <c r="V11" s="876"/>
      <c r="X11" s="158">
        <f t="shared" ref="X11:X13" si="18">D11-N11</f>
        <v>0</v>
      </c>
      <c r="Y11" s="876"/>
      <c r="Z11" s="876"/>
      <c r="AA11" s="877"/>
      <c r="AB11" s="907"/>
      <c r="AC11" s="876"/>
      <c r="AD11" s="876"/>
      <c r="AE11" s="876"/>
      <c r="AF11" s="876"/>
      <c r="AH11" s="876"/>
      <c r="AI11" s="876"/>
      <c r="AJ11" s="876"/>
      <c r="AK11" s="877"/>
      <c r="AL11" s="876"/>
      <c r="AM11" s="876"/>
      <c r="AN11" s="876"/>
      <c r="AO11" s="876"/>
      <c r="AP11" s="876"/>
      <c r="AR11" s="158">
        <v>0</v>
      </c>
      <c r="AS11" s="158">
        <v>0</v>
      </c>
      <c r="AT11" s="158">
        <v>460.40749807264814</v>
      </c>
      <c r="AU11" s="264">
        <v>24470.870270965836</v>
      </c>
      <c r="AV11" s="158">
        <v>24259.240655783069</v>
      </c>
      <c r="AW11" s="158">
        <v>14041.610710423527</v>
      </c>
      <c r="AX11" s="158">
        <v>12413.486234656926</v>
      </c>
      <c r="AY11" s="158">
        <v>12393.970774160631</v>
      </c>
      <c r="AZ11" s="158">
        <f>SUM(AU11:AY11)</f>
        <v>87579.178645989989</v>
      </c>
      <c r="BB11" s="158">
        <f t="shared" ref="BB11:BI12" si="19">AR11*BB37</f>
        <v>0</v>
      </c>
      <c r="BC11" s="158">
        <f t="shared" si="19"/>
        <v>0</v>
      </c>
      <c r="BD11" s="158">
        <f t="shared" si="19"/>
        <v>44.62989265964557</v>
      </c>
      <c r="BE11" s="264">
        <f t="shared" si="19"/>
        <v>2487.4428356879857</v>
      </c>
      <c r="BF11" s="158">
        <f t="shared" si="19"/>
        <v>2343.7680020474554</v>
      </c>
      <c r="BG11" s="158">
        <f t="shared" si="19"/>
        <v>1640.9154760772483</v>
      </c>
      <c r="BH11" s="158">
        <f t="shared" si="19"/>
        <v>1609.0296124744314</v>
      </c>
      <c r="BI11" s="158">
        <f t="shared" si="19"/>
        <v>1686.125496250874</v>
      </c>
      <c r="BJ11" s="158">
        <f>SUM(BE11:BI11)</f>
        <v>9767.2814225379952</v>
      </c>
      <c r="BL11" s="158">
        <f>AR11+BB11</f>
        <v>0</v>
      </c>
      <c r="BM11" s="158">
        <f t="shared" ref="BM11:BN13" si="20">AS11+BC11</f>
        <v>0</v>
      </c>
      <c r="BN11" s="158">
        <f t="shared" si="20"/>
        <v>505.03739073229372</v>
      </c>
      <c r="BO11" s="264">
        <f t="shared" ref="BO11:BO13" si="21">AU11+BE11</f>
        <v>26958.313106653823</v>
      </c>
      <c r="BP11" s="158">
        <f t="shared" ref="BP11:BP13" si="22">AV11+BF11</f>
        <v>26603.008657830524</v>
      </c>
      <c r="BQ11" s="158">
        <f t="shared" ref="BQ11:BQ13" si="23">AW11+BG11</f>
        <v>15682.526186500776</v>
      </c>
      <c r="BR11" s="158">
        <f t="shared" ref="BR11:BR13" si="24">AX11+BH11</f>
        <v>14022.515847131357</v>
      </c>
      <c r="BS11" s="158">
        <f t="shared" ref="BS11:BS13" si="25">AY11+BI11</f>
        <v>14080.096270411505</v>
      </c>
      <c r="BT11" s="158">
        <f>SUM(BO11:BS11)</f>
        <v>97346.460068527987</v>
      </c>
    </row>
    <row r="12" spans="2:72">
      <c r="C12" s="1" t="s">
        <v>150</v>
      </c>
      <c r="D12" s="157">
        <f>SUMIFS(Augmentation!CQ$6:CQ$37,Augmentation!$G$6:$G$37,$C12,Augmentation!$E$6:$E$37,$B$10)+SUMIFS(Major_Rebuilds!CQ$6:CQ$36,Major_Rebuilds!$G$6:$G$36,$C12,Major_Rebuilds!$E$6:$E$36,$B$10)+SUMIFS(Stations!DF$7:DF$38,Stations!$G$7:$G$38,$C12,Stations!$E$7:$E$38,$B$10)+SUMIFS(Lines!DF$7:DF$37,Lines!$G$7:$G$37,$C12,Lines!$E$7:$E$37,$B$10)+SUMIFS('PC&amp;A'!CQ$6:CQ$36,'PC&amp;A'!$G$6:$G$36,$C12,'PC&amp;A'!$E$6:$E$36,$B$10)+SUMIFS('SCADA&amp;Comms'!CQ$6:CQ$36,'SCADA&amp;Comms'!$G$6:$G$36,$C12,'SCADA&amp;Comms'!$E$6:$E$36,$B$10)+SUMIFS(REFCL!CQ$6:CQ$47,REFCL!$G$6:$G$47,$C12,REFCL!$E$6:$E$47,$B$10)+SUMIFS(ESL_1!DF$7:DF$37,ESL_1!$G$7:$G$37,$C12,ESL_1!$E$7:$E$37,$B$10)+SUMIFS(ESL_2!CQ$6:CQ$36,ESL_2!$G$6:$G$36,$C12,ESL_2!$E$6:$E$36,$B$10)+SUMIFS(ESL_2!CQ$42:CQ$44,ESL_2!$G$42:$G$44,$C12,ESL_2!$E$42:$E$44,$B$10)</f>
        <v>0</v>
      </c>
      <c r="E12" s="865"/>
      <c r="F12" s="865"/>
      <c r="G12" s="866"/>
      <c r="H12" s="865"/>
      <c r="I12" s="865"/>
      <c r="J12" s="865"/>
      <c r="K12" s="865"/>
      <c r="L12" s="876"/>
      <c r="N12" s="157">
        <f>SUMIFS(Augmentation!J$6:J$37,Augmentation!$G$6:$G$37,$C12,Augmentation!$E$6:$E$37,$B$10)+SUMIFS(Major_Rebuilds!J$6:J$36,Major_Rebuilds!$G$6:$G$36,$C12,Major_Rebuilds!$E$6:$E$36,$B$10)+SUMIFS(Stations!T$7:T$38,Stations!$G$7:$G$38,$C12,Stations!$E$7:$E$38,$B$10)+SUMIFS(Lines!T$7:T$37,Lines!$G$7:$G$37,$C12,Lines!$E$7:$E$37,$B$10)+SUMIFS('PC&amp;A'!J$6:J$36,'PC&amp;A'!$G$6:$G$36,$C12,'PC&amp;A'!$E$6:$E$36,$B$10)+SUMIFS('SCADA&amp;Comms'!J$6:J$36,'SCADA&amp;Comms'!$G$6:$G$36,$C12,'SCADA&amp;Comms'!$E$6:$E$36,$B$10)+SUMIFS(REFCL!J$6:J$47,REFCL!$G$6:$G$47,$C12,REFCL!$E$6:$E$47,$B$10)+SUMIFS(ESL_1!T$7:T$37,ESL_1!$G$7:$G$37,$C12,ESL_1!$E$7:$E$37,$B$10)+SUMIFS(ESL_2!J$6:J$36,ESL_2!$G$6:$G$36,$C12,ESL_2!$E$6:$E$36,$B$10)+SUMIFS(ESL_2!J$42:J$44,ESL_2!$G$42:$G$44,$C12,ESL_2!$E$42:$E$44,$B$10)</f>
        <v>0</v>
      </c>
      <c r="O12" s="865"/>
      <c r="P12" s="865"/>
      <c r="Q12" s="866"/>
      <c r="R12" s="865"/>
      <c r="S12" s="865"/>
      <c r="T12" s="865"/>
      <c r="U12" s="865"/>
      <c r="V12" s="876"/>
      <c r="X12" s="158">
        <f t="shared" si="18"/>
        <v>0</v>
      </c>
      <c r="Y12" s="876"/>
      <c r="Z12" s="876"/>
      <c r="AA12" s="877"/>
      <c r="AB12" s="907"/>
      <c r="AC12" s="876"/>
      <c r="AD12" s="876"/>
      <c r="AE12" s="876"/>
      <c r="AF12" s="876"/>
      <c r="AH12" s="876"/>
      <c r="AI12" s="876"/>
      <c r="AJ12" s="876"/>
      <c r="AK12" s="877"/>
      <c r="AL12" s="876"/>
      <c r="AM12" s="876"/>
      <c r="AN12" s="876"/>
      <c r="AO12" s="876"/>
      <c r="AP12" s="876"/>
      <c r="AR12" s="158">
        <v>0</v>
      </c>
      <c r="AS12" s="158">
        <v>0</v>
      </c>
      <c r="AT12" s="158">
        <v>132.85723798104254</v>
      </c>
      <c r="AU12" s="264">
        <v>91456.626771607989</v>
      </c>
      <c r="AV12" s="158">
        <v>89387.081978162561</v>
      </c>
      <c r="AW12" s="158">
        <v>86539.125534376144</v>
      </c>
      <c r="AX12" s="158">
        <v>87011.577383850861</v>
      </c>
      <c r="AY12" s="158">
        <v>93508.303188053891</v>
      </c>
      <c r="AZ12" s="158">
        <f>SUM(AU12:AY12)</f>
        <v>447902.71485605143</v>
      </c>
      <c r="BB12" s="158">
        <f t="shared" si="19"/>
        <v>0</v>
      </c>
      <c r="BC12" s="158">
        <f t="shared" si="19"/>
        <v>0</v>
      </c>
      <c r="BD12" s="158">
        <f t="shared" si="19"/>
        <v>12.878600576603358</v>
      </c>
      <c r="BE12" s="264">
        <f t="shared" si="19"/>
        <v>9296.4871506487489</v>
      </c>
      <c r="BF12" s="158">
        <f t="shared" si="19"/>
        <v>8635.9909409146185</v>
      </c>
      <c r="BG12" s="158">
        <f t="shared" si="19"/>
        <v>10113.041395609695</v>
      </c>
      <c r="BH12" s="158">
        <f t="shared" si="19"/>
        <v>11278.395286559551</v>
      </c>
      <c r="BI12" s="158">
        <f t="shared" si="19"/>
        <v>12721.244626882895</v>
      </c>
      <c r="BJ12" s="158">
        <f>SUM(BE12:BI12)</f>
        <v>52045.159400615506</v>
      </c>
      <c r="BL12" s="158">
        <f t="shared" ref="BL12:BL13" si="26">AR12+BB12</f>
        <v>0</v>
      </c>
      <c r="BM12" s="158">
        <f t="shared" si="20"/>
        <v>0</v>
      </c>
      <c r="BN12" s="158">
        <f t="shared" si="20"/>
        <v>145.73583855764591</v>
      </c>
      <c r="BO12" s="264">
        <f t="shared" si="21"/>
        <v>100753.11392225674</v>
      </c>
      <c r="BP12" s="158">
        <f t="shared" si="22"/>
        <v>98023.072919077182</v>
      </c>
      <c r="BQ12" s="158">
        <f t="shared" si="23"/>
        <v>96652.166929985833</v>
      </c>
      <c r="BR12" s="158">
        <f t="shared" si="24"/>
        <v>98289.972670410411</v>
      </c>
      <c r="BS12" s="158">
        <f t="shared" si="25"/>
        <v>106229.54781493678</v>
      </c>
      <c r="BT12" s="158">
        <f>SUM(BO12:BS12)</f>
        <v>499947.87425666692</v>
      </c>
    </row>
    <row r="13" spans="2:72">
      <c r="C13" s="524" t="s">
        <v>32</v>
      </c>
      <c r="D13" s="220"/>
      <c r="E13" s="874"/>
      <c r="F13" s="874"/>
      <c r="G13" s="909"/>
      <c r="H13" s="910"/>
      <c r="I13" s="910"/>
      <c r="J13" s="910"/>
      <c r="K13" s="910"/>
      <c r="L13" s="911"/>
      <c r="N13" s="220"/>
      <c r="O13" s="874"/>
      <c r="P13" s="874"/>
      <c r="Q13" s="909"/>
      <c r="R13" s="910"/>
      <c r="S13" s="910"/>
      <c r="T13" s="910"/>
      <c r="U13" s="910"/>
      <c r="V13" s="911"/>
      <c r="X13" s="267">
        <f t="shared" si="18"/>
        <v>0</v>
      </c>
      <c r="Y13" s="903"/>
      <c r="Z13" s="903"/>
      <c r="AA13" s="904"/>
      <c r="AB13" s="903"/>
      <c r="AC13" s="903"/>
      <c r="AD13" s="903"/>
      <c r="AE13" s="903"/>
      <c r="AF13" s="903"/>
      <c r="AH13" s="903"/>
      <c r="AI13" s="903"/>
      <c r="AJ13" s="903"/>
      <c r="AK13" s="904"/>
      <c r="AL13" s="903"/>
      <c r="AM13" s="903"/>
      <c r="AN13" s="903"/>
      <c r="AO13" s="903"/>
      <c r="AP13" s="903"/>
      <c r="AR13" s="267">
        <v>0</v>
      </c>
      <c r="AS13" s="267">
        <v>0</v>
      </c>
      <c r="AT13" s="267">
        <v>0</v>
      </c>
      <c r="AU13" s="268">
        <v>52771.511936692543</v>
      </c>
      <c r="AV13" s="267">
        <v>90735.043375872454</v>
      </c>
      <c r="AW13" s="267">
        <v>90733.692596932597</v>
      </c>
      <c r="AX13" s="267">
        <v>91297.067483547653</v>
      </c>
      <c r="AY13" s="267">
        <v>91879.481819333072</v>
      </c>
      <c r="AZ13" s="267">
        <f>SUM(AU13:AY13)</f>
        <v>417416.79721237835</v>
      </c>
      <c r="BB13" s="287"/>
      <c r="BC13" s="287"/>
      <c r="BD13" s="287"/>
      <c r="BE13" s="288">
        <f>AusNet_Overheads!K47*BE39</f>
        <v>3033.660034505247</v>
      </c>
      <c r="BF13" s="287">
        <f>AusNet_Overheads!L47*BF39</f>
        <v>4639.556409529373</v>
      </c>
      <c r="BG13" s="287">
        <f>AusNet_Overheads!M47*BG39</f>
        <v>5320.3497435492909</v>
      </c>
      <c r="BH13" s="287">
        <f>AusNet_Overheads!N47*BH39</f>
        <v>5731.6028187871516</v>
      </c>
      <c r="BI13" s="287">
        <f>AusNet_Overheads!O47*BI39</f>
        <v>5945.5985962013783</v>
      </c>
      <c r="BJ13" s="267">
        <f>SUM(BE13:BI13)</f>
        <v>24670.767602572443</v>
      </c>
      <c r="BL13" s="267">
        <f t="shared" si="26"/>
        <v>0</v>
      </c>
      <c r="BM13" s="267">
        <f t="shared" si="20"/>
        <v>0</v>
      </c>
      <c r="BN13" s="267">
        <f t="shared" si="20"/>
        <v>0</v>
      </c>
      <c r="BO13" s="268">
        <f t="shared" si="21"/>
        <v>55805.171971197793</v>
      </c>
      <c r="BP13" s="267">
        <f t="shared" si="22"/>
        <v>95374.599785401821</v>
      </c>
      <c r="BQ13" s="267">
        <f t="shared" si="23"/>
        <v>96054.042340481887</v>
      </c>
      <c r="BR13" s="267">
        <f t="shared" si="24"/>
        <v>97028.670302334809</v>
      </c>
      <c r="BS13" s="267">
        <f t="shared" si="25"/>
        <v>97825.080415534452</v>
      </c>
      <c r="BT13" s="267">
        <f>SUM(BO13:BS13)</f>
        <v>442087.56481495075</v>
      </c>
    </row>
    <row r="14" spans="2:72">
      <c r="C14" s="1" t="s">
        <v>479</v>
      </c>
      <c r="D14" s="158">
        <f t="shared" ref="D14" si="27">SUM(D11:D13)</f>
        <v>0</v>
      </c>
      <c r="E14" s="876"/>
      <c r="F14" s="876"/>
      <c r="G14" s="877"/>
      <c r="H14" s="876"/>
      <c r="I14" s="876"/>
      <c r="J14" s="876"/>
      <c r="K14" s="876"/>
      <c r="L14" s="876"/>
      <c r="N14" s="157">
        <f>SUM(N11:N13)</f>
        <v>0</v>
      </c>
      <c r="O14" s="865"/>
      <c r="P14" s="865"/>
      <c r="Q14" s="866"/>
      <c r="R14" s="865"/>
      <c r="S14" s="865"/>
      <c r="T14" s="865"/>
      <c r="U14" s="865"/>
      <c r="V14" s="865"/>
      <c r="X14" s="158">
        <f t="shared" ref="X14" si="28">SUM(X11:X13)</f>
        <v>0</v>
      </c>
      <c r="Y14" s="876"/>
      <c r="Z14" s="876"/>
      <c r="AA14" s="877"/>
      <c r="AB14" s="907"/>
      <c r="AC14" s="876"/>
      <c r="AD14" s="876"/>
      <c r="AE14" s="876"/>
      <c r="AF14" s="876"/>
      <c r="AH14" s="876"/>
      <c r="AI14" s="876"/>
      <c r="AJ14" s="876"/>
      <c r="AK14" s="877"/>
      <c r="AL14" s="876"/>
      <c r="AM14" s="876"/>
      <c r="AN14" s="876"/>
      <c r="AO14" s="876"/>
      <c r="AP14" s="876"/>
      <c r="AR14" s="158">
        <v>0</v>
      </c>
      <c r="AS14" s="158">
        <v>0</v>
      </c>
      <c r="AT14" s="158">
        <v>593.26473605369074</v>
      </c>
      <c r="AU14" s="264">
        <v>168699.00897926636</v>
      </c>
      <c r="AV14" s="265">
        <v>204381.3660098181</v>
      </c>
      <c r="AW14" s="158">
        <v>191314.42884173227</v>
      </c>
      <c r="AX14" s="158">
        <v>190722.13110205543</v>
      </c>
      <c r="AY14" s="158">
        <v>197781.75578154757</v>
      </c>
      <c r="AZ14" s="158">
        <f t="shared" ref="AZ14" si="29">SUM(AZ11:AZ13)</f>
        <v>952898.69071441982</v>
      </c>
      <c r="BB14" s="158">
        <f t="shared" ref="BB14:BI14" si="30">SUM(BB11:BB13)</f>
        <v>0</v>
      </c>
      <c r="BC14" s="158">
        <f t="shared" si="30"/>
        <v>0</v>
      </c>
      <c r="BD14" s="158">
        <f t="shared" ref="BD14" si="31">SUM(BD11:BD13)</f>
        <v>57.508493236248924</v>
      </c>
      <c r="BE14" s="264">
        <f t="shared" si="30"/>
        <v>14817.590020841981</v>
      </c>
      <c r="BF14" s="158">
        <f t="shared" si="30"/>
        <v>15619.315352491449</v>
      </c>
      <c r="BG14" s="158">
        <f t="shared" si="30"/>
        <v>17074.306615236233</v>
      </c>
      <c r="BH14" s="158">
        <f t="shared" si="30"/>
        <v>18619.027717821133</v>
      </c>
      <c r="BI14" s="158">
        <f t="shared" si="30"/>
        <v>20352.968719335149</v>
      </c>
      <c r="BJ14" s="158">
        <f t="shared" ref="BJ14" si="32">SUM(BJ11:BJ13)</f>
        <v>86483.208425725956</v>
      </c>
      <c r="BL14" s="158">
        <f t="shared" ref="BL14:BS14" si="33">SUM(BL11:BL13)</f>
        <v>0</v>
      </c>
      <c r="BM14" s="158">
        <f t="shared" si="33"/>
        <v>0</v>
      </c>
      <c r="BN14" s="158">
        <f t="shared" ref="BN14" si="34">SUM(BN11:BN13)</f>
        <v>650.77322928993965</v>
      </c>
      <c r="BO14" s="264">
        <f t="shared" si="33"/>
        <v>183516.59900010837</v>
      </c>
      <c r="BP14" s="158">
        <f t="shared" si="33"/>
        <v>220000.68136230952</v>
      </c>
      <c r="BQ14" s="158">
        <f t="shared" si="33"/>
        <v>208388.73545696848</v>
      </c>
      <c r="BR14" s="158">
        <f t="shared" si="33"/>
        <v>209341.15881987658</v>
      </c>
      <c r="BS14" s="158">
        <f t="shared" si="33"/>
        <v>218134.72450088273</v>
      </c>
      <c r="BT14" s="158">
        <f t="shared" ref="BT14" si="35">SUM(BT11:BT13)</f>
        <v>1039381.8991401456</v>
      </c>
    </row>
    <row r="15" spans="2:72">
      <c r="B15" s="1" t="s">
        <v>48</v>
      </c>
      <c r="E15" s="867"/>
      <c r="F15" s="867"/>
      <c r="G15" s="868"/>
      <c r="H15" s="867"/>
      <c r="I15" s="867"/>
      <c r="J15" s="867"/>
      <c r="K15" s="867"/>
      <c r="L15" s="867"/>
      <c r="O15" s="867"/>
      <c r="P15" s="867"/>
      <c r="Q15" s="868"/>
      <c r="R15" s="867"/>
      <c r="S15" s="867"/>
      <c r="T15" s="867"/>
      <c r="U15" s="867"/>
      <c r="V15" s="867"/>
      <c r="Y15" s="867"/>
      <c r="Z15" s="867"/>
      <c r="AA15" s="868"/>
      <c r="AB15" s="908"/>
      <c r="AC15" s="867"/>
      <c r="AD15" s="867"/>
      <c r="AE15" s="867"/>
      <c r="AF15" s="867"/>
      <c r="AH15" s="867"/>
      <c r="AI15" s="867"/>
      <c r="AJ15" s="867"/>
      <c r="AK15" s="868"/>
      <c r="AL15" s="867"/>
      <c r="AM15" s="867"/>
      <c r="AN15" s="867"/>
      <c r="AO15" s="867"/>
      <c r="AP15" s="867"/>
      <c r="AU15" s="38"/>
      <c r="BB15" s="158"/>
      <c r="BC15" s="158"/>
      <c r="BD15" s="158"/>
      <c r="BE15" s="264"/>
      <c r="BF15" s="158"/>
      <c r="BG15" s="158"/>
      <c r="BH15" s="158"/>
      <c r="BI15" s="158"/>
      <c r="BO15" s="38"/>
    </row>
    <row r="16" spans="2:72">
      <c r="C16" s="1" t="s">
        <v>10</v>
      </c>
      <c r="D16" s="361">
        <f>SUMIFS(Augmentation!CQ$6:CQ$37,Augmentation!$G$6:$G$37,$C16,Augmentation!$E$6:$E$37,$B$15)+SUMIFS(Major_Rebuilds!CQ$6:CQ$36,Major_Rebuilds!$G$6:$G$36,$C16,Major_Rebuilds!$E$6:$E$36,$B$15)+SUMIFS(Stations!DF$7:DF$38,Stations!$G$7:$G$38,$C16,Stations!$E$7:$E$38,$B$15)+SUMIFS(Lines!DF$7:DF$37,Lines!$G$7:$G$37,$C16,Lines!$E$7:$E$37,$B$15)+SUMIFS('PC&amp;A'!CQ$6:CQ$36,'PC&amp;A'!$G$6:$G$36,$C16,'PC&amp;A'!$E$6:$E$36,$B$15)+SUMIFS('SCADA&amp;Comms'!CQ$6:CQ$36,'SCADA&amp;Comms'!$G$6:$G$36,$C16,'SCADA&amp;Comms'!$E$6:$E$36,$B$15)+SUMIFS(REFCL!CQ$6:CQ$47,REFCL!$G$6:$G$47,$C16,REFCL!$E$6:$E$47,$B$15)+SUMIFS(ESL_1!DF$7:DF$37,ESL_1!$G$7:$G$37,$C16,ESL_1!$E$7:$E$37,$B$15)+SUMIFS(ESL_2!CQ$6:CQ$36,ESL_2!$G$6:$G$36,$C16,ESL_2!$E$6:$E$36,$B$15)+SUMIFS(ESL_2!CQ$42:CQ$44,ESL_2!$G$42:$G$44,$C16,ESL_2!$E$42:$E$44,$B$15)+SUMIFS(Metering_SCS!BC$6:BC$36,Metering_SCS!$G$6:$G$36,$C16,Metering_SCS!$E$6:$E$36,$B$15)</f>
        <v>0</v>
      </c>
      <c r="E16" s="865"/>
      <c r="F16" s="865"/>
      <c r="G16" s="866"/>
      <c r="H16" s="865"/>
      <c r="I16" s="865"/>
      <c r="J16" s="865"/>
      <c r="K16" s="865"/>
      <c r="L16" s="876"/>
      <c r="N16" s="157">
        <f>SUMIFS(Augmentation!J$6:J$37,Augmentation!$G$6:$G$37,$C16,Augmentation!$E$6:$E$37,$B$15)+SUMIFS(Major_Rebuilds!J$6:J$36,Major_Rebuilds!$G$6:$G$36,$C16,Major_Rebuilds!$E$6:$E$36,$B$15)+SUMIFS(Stations!T$7:T$38,Stations!$G$7:$G$38,$C16,Stations!$E$7:$E$38,$B$15)+SUMIFS(Lines!T$7:T$37,Lines!$G$7:$G$37,$C16,Lines!$E$7:$E$37,$B$15)+SUMIFS('PC&amp;A'!J$6:J$36,'PC&amp;A'!$G$6:$G$36,$C16,'PC&amp;A'!$E$6:$E$36,$B$15)+SUMIFS('SCADA&amp;Comms'!J$6:J$36,'SCADA&amp;Comms'!$G$6:$G$36,$C16,'SCADA&amp;Comms'!$E$6:$E$36,$B$15)+SUMIFS(REFCL!J$6:J$47,REFCL!$G$6:$G$47,$C16,REFCL!$E$6:$E$47,$B$15)+SUMIFS(ESL_1!T$7:T$37,ESL_1!$G$7:$G$37,$C16,ESL_1!$E$7:$E$37,$B$15)+SUMIFS(ESL_2!J$6:J$36,ESL_2!$G$6:$G$36,$C16,ESL_2!$E$6:$E$36,$B$15)+SUMIFS(ESL_2!J$42:J$44,ESL_2!$G$42:$G$44,$C16,ESL_2!$E$42:$E$44,$B$15)+SUMIFS(Metering_SCS!J$6:J$36,Metering_SCS!$G$6:$G$36,$C16,Metering_SCS!$E$6:$E$36,$B$15)</f>
        <v>0</v>
      </c>
      <c r="O16" s="865"/>
      <c r="P16" s="865"/>
      <c r="Q16" s="866"/>
      <c r="R16" s="865"/>
      <c r="S16" s="865"/>
      <c r="T16" s="865"/>
      <c r="U16" s="865"/>
      <c r="V16" s="876"/>
      <c r="X16" s="158">
        <f t="shared" ref="X16:X18" si="36">D16-N16</f>
        <v>0</v>
      </c>
      <c r="Y16" s="876"/>
      <c r="Z16" s="876"/>
      <c r="AA16" s="877"/>
      <c r="AB16" s="907"/>
      <c r="AC16" s="876"/>
      <c r="AD16" s="876"/>
      <c r="AE16" s="876"/>
      <c r="AF16" s="876"/>
      <c r="AH16" s="876"/>
      <c r="AI16" s="876"/>
      <c r="AJ16" s="876"/>
      <c r="AK16" s="877"/>
      <c r="AL16" s="876"/>
      <c r="AM16" s="876"/>
      <c r="AN16" s="876"/>
      <c r="AO16" s="876"/>
      <c r="AP16" s="876"/>
      <c r="AR16" s="158">
        <v>0</v>
      </c>
      <c r="AS16" s="158">
        <v>0</v>
      </c>
      <c r="AT16" s="158">
        <v>283.63853542862512</v>
      </c>
      <c r="AU16" s="264">
        <v>13265.408543162353</v>
      </c>
      <c r="AV16" s="158">
        <v>10268.936495412605</v>
      </c>
      <c r="AW16" s="158">
        <v>1423.533175730196</v>
      </c>
      <c r="AX16" s="158">
        <v>1074.1603438646655</v>
      </c>
      <c r="AY16" s="158">
        <v>807.32702005353974</v>
      </c>
      <c r="AZ16" s="158">
        <f>SUM(AU16:AY16)</f>
        <v>26839.365578223365</v>
      </c>
      <c r="BB16" s="158">
        <f t="shared" ref="BB16:BI18" si="37">AR16*BB37</f>
        <v>0</v>
      </c>
      <c r="BC16" s="158">
        <f t="shared" si="37"/>
        <v>0</v>
      </c>
      <c r="BD16" s="158">
        <f t="shared" si="37"/>
        <v>27.494681218943093</v>
      </c>
      <c r="BE16" s="264">
        <f t="shared" si="37"/>
        <v>1348.417325488974</v>
      </c>
      <c r="BF16" s="158">
        <f t="shared" si="37"/>
        <v>992.11698809986945</v>
      </c>
      <c r="BG16" s="158">
        <f t="shared" si="37"/>
        <v>166.35538948755089</v>
      </c>
      <c r="BH16" s="158">
        <f t="shared" si="37"/>
        <v>139.23210362924542</v>
      </c>
      <c r="BI16" s="158">
        <f t="shared" si="37"/>
        <v>109.83200599137315</v>
      </c>
      <c r="BJ16" s="158">
        <f>SUM(BE16:BI16)</f>
        <v>2755.9538126970128</v>
      </c>
      <c r="BL16" s="158">
        <f>AR16+BB16</f>
        <v>0</v>
      </c>
      <c r="BM16" s="158">
        <f t="shared" ref="BM16:BN18" si="38">AS16+BC16</f>
        <v>0</v>
      </c>
      <c r="BN16" s="158">
        <f t="shared" si="38"/>
        <v>311.13321664756819</v>
      </c>
      <c r="BO16" s="264">
        <f t="shared" ref="BO16:BO18" si="39">AU16+BE16</f>
        <v>14613.825868651327</v>
      </c>
      <c r="BP16" s="158">
        <f t="shared" ref="BP16:BP18" si="40">AV16+BF16</f>
        <v>11261.053483512474</v>
      </c>
      <c r="BQ16" s="158">
        <f t="shared" ref="BQ16:BQ18" si="41">AW16+BG16</f>
        <v>1589.8885652177469</v>
      </c>
      <c r="BR16" s="158">
        <f t="shared" ref="BR16:BR18" si="42">AX16+BH16</f>
        <v>1213.3924474939108</v>
      </c>
      <c r="BS16" s="158">
        <f t="shared" ref="BS16:BS18" si="43">AY16+BI16</f>
        <v>917.15902604491293</v>
      </c>
      <c r="BT16" s="158">
        <f>SUM(BO16:BS16)</f>
        <v>29595.319390920373</v>
      </c>
    </row>
    <row r="17" spans="2:72">
      <c r="C17" s="1" t="s">
        <v>150</v>
      </c>
      <c r="D17" s="361">
        <f>SUMIFS(Augmentation!CQ$6:CQ$37,Augmentation!$G$6:$G$37,$C17,Augmentation!$E$6:$E$37,$B$15)+SUMIFS(Major_Rebuilds!CQ$6:CQ$36,Major_Rebuilds!$G$6:$G$36,$C17,Major_Rebuilds!$E$6:$E$36,$B$15)+SUMIFS(Stations!DF$7:DF$38,Stations!$G$7:$G$38,$C17,Stations!$E$7:$E$38,$B$15)+SUMIFS(Lines!DF$7:DF$37,Lines!$G$7:$G$37,$C17,Lines!$E$7:$E$37,$B$15)+SUMIFS('PC&amp;A'!CQ$6:CQ$36,'PC&amp;A'!$G$6:$G$36,$C17,'PC&amp;A'!$E$6:$E$36,$B$15)+SUMIFS('SCADA&amp;Comms'!CQ$6:CQ$36,'SCADA&amp;Comms'!$G$6:$G$36,$C17,'SCADA&amp;Comms'!$E$6:$E$36,$B$15)+SUMIFS(REFCL!CQ$6:CQ$47,REFCL!$G$6:$G$47,$C17,REFCL!$E$6:$E$47,$B$15)+SUMIFS(ESL_1!DF$7:DF$37,ESL_1!$G$7:$G$37,$C17,ESL_1!$E$7:$E$37,$B$15)+SUMIFS(ESL_2!CQ$6:CQ$36,ESL_2!$G$6:$G$36,$C17,ESL_2!$E$6:$E$36,$B$15)+SUMIFS(ESL_2!CQ$42:CQ$44,ESL_2!$G$42:$G$44,$C17,ESL_2!$E$42:$E$44,$B$15)+SUMIFS(Metering_SCS!BC$6:BC$36,Metering_SCS!$G$6:$G$36,$C17,Metering_SCS!$E$6:$E$36,$B$15)</f>
        <v>0</v>
      </c>
      <c r="E17" s="865"/>
      <c r="F17" s="865"/>
      <c r="G17" s="866"/>
      <c r="H17" s="865"/>
      <c r="I17" s="865"/>
      <c r="J17" s="865"/>
      <c r="K17" s="865"/>
      <c r="L17" s="876"/>
      <c r="N17" s="157">
        <f>SUMIFS(Augmentation!J$6:J$37,Augmentation!$G$6:$G$37,$C17,Augmentation!$E$6:$E$37,$B$15)+SUMIFS(Major_Rebuilds!J$6:J$36,Major_Rebuilds!$G$6:$G$36,$C17,Major_Rebuilds!$E$6:$E$36,$B$15)+SUMIFS(Stations!T$7:T$38,Stations!$G$7:$G$38,$C17,Stations!$E$7:$E$38,$B$15)+SUMIFS(Lines!T$7:T$37,Lines!$G$7:$G$37,$C17,Lines!$E$7:$E$37,$B$15)+SUMIFS('PC&amp;A'!J$6:J$36,'PC&amp;A'!$G$6:$G$36,$C17,'PC&amp;A'!$E$6:$E$36,$B$15)+SUMIFS('SCADA&amp;Comms'!J$6:J$36,'SCADA&amp;Comms'!$G$6:$G$36,$C17,'SCADA&amp;Comms'!$E$6:$E$36,$B$15)+SUMIFS(REFCL!J$6:J$47,REFCL!$G$6:$G$47,$C17,REFCL!$E$6:$E$47,$B$15)+SUMIFS(ESL_1!T$7:T$37,ESL_1!$G$7:$G$37,$C17,ESL_1!$E$7:$E$37,$B$15)+SUMIFS(ESL_2!J$6:J$36,ESL_2!$G$6:$G$36,$C17,ESL_2!$E$6:$E$36,$B$15)+SUMIFS(ESL_2!J$42:J$44,ESL_2!$G$42:$G$44,$C17,ESL_2!$E$42:$E$44,$B$15)+SUMIFS(Metering_SCS!J$6:J$36,Metering_SCS!$G$6:$G$36,$C17,Metering_SCS!$E$6:$E$36,$B$15)</f>
        <v>0</v>
      </c>
      <c r="O17" s="865"/>
      <c r="P17" s="865"/>
      <c r="Q17" s="866"/>
      <c r="R17" s="865"/>
      <c r="S17" s="865"/>
      <c r="T17" s="865"/>
      <c r="U17" s="865"/>
      <c r="V17" s="876"/>
      <c r="X17" s="158">
        <f t="shared" si="36"/>
        <v>0</v>
      </c>
      <c r="Y17" s="876"/>
      <c r="Z17" s="876"/>
      <c r="AA17" s="877"/>
      <c r="AB17" s="907"/>
      <c r="AC17" s="876"/>
      <c r="AD17" s="876"/>
      <c r="AE17" s="876"/>
      <c r="AF17" s="876"/>
      <c r="AH17" s="876"/>
      <c r="AI17" s="876"/>
      <c r="AJ17" s="876"/>
      <c r="AK17" s="877"/>
      <c r="AL17" s="876"/>
      <c r="AM17" s="876"/>
      <c r="AN17" s="876"/>
      <c r="AO17" s="876"/>
      <c r="AP17" s="876"/>
      <c r="AR17" s="158">
        <v>0</v>
      </c>
      <c r="AS17" s="158">
        <v>0</v>
      </c>
      <c r="AT17" s="158">
        <v>6855.1177926228283</v>
      </c>
      <c r="AU17" s="264">
        <v>17849.201979255726</v>
      </c>
      <c r="AV17" s="158">
        <v>12654.260241108042</v>
      </c>
      <c r="AW17" s="158">
        <v>11929.347754669012</v>
      </c>
      <c r="AX17" s="158">
        <v>11434.207993116392</v>
      </c>
      <c r="AY17" s="158">
        <v>7722.3691025169574</v>
      </c>
      <c r="AZ17" s="158">
        <f>SUM(AU17:AY17)</f>
        <v>61589.387070666126</v>
      </c>
      <c r="BB17" s="158">
        <f t="shared" si="37"/>
        <v>0</v>
      </c>
      <c r="BC17" s="158">
        <f t="shared" si="37"/>
        <v>0</v>
      </c>
      <c r="BD17" s="158">
        <f t="shared" si="37"/>
        <v>664.5051884139998</v>
      </c>
      <c r="BE17" s="264">
        <f t="shared" si="37"/>
        <v>1814.3559707692857</v>
      </c>
      <c r="BF17" s="158">
        <f t="shared" si="37"/>
        <v>1222.571252889572</v>
      </c>
      <c r="BG17" s="158">
        <f t="shared" si="37"/>
        <v>1394.0744942895035</v>
      </c>
      <c r="BH17" s="158">
        <f t="shared" si="37"/>
        <v>1482.0960774702614</v>
      </c>
      <c r="BI17" s="158">
        <f t="shared" si="37"/>
        <v>1050.5820670773405</v>
      </c>
      <c r="BJ17" s="158">
        <f>SUM(BE17:BI17)</f>
        <v>6963.6798624959629</v>
      </c>
      <c r="BL17" s="158">
        <f t="shared" ref="BL17:BL18" si="44">AR17+BB17</f>
        <v>0</v>
      </c>
      <c r="BM17" s="158">
        <f t="shared" si="38"/>
        <v>0</v>
      </c>
      <c r="BN17" s="158">
        <f t="shared" si="38"/>
        <v>7519.6229810368277</v>
      </c>
      <c r="BO17" s="264">
        <f t="shared" si="39"/>
        <v>19663.55795002501</v>
      </c>
      <c r="BP17" s="158">
        <f t="shared" si="40"/>
        <v>13876.831493997615</v>
      </c>
      <c r="BQ17" s="158">
        <f t="shared" si="41"/>
        <v>13323.422248958515</v>
      </c>
      <c r="BR17" s="158">
        <f t="shared" si="42"/>
        <v>12916.304070586653</v>
      </c>
      <c r="BS17" s="158">
        <f t="shared" si="43"/>
        <v>8772.9511695942983</v>
      </c>
      <c r="BT17" s="158">
        <f>SUM(BO17:BS17)</f>
        <v>68553.066933162088</v>
      </c>
    </row>
    <row r="18" spans="2:72">
      <c r="C18" s="1" t="s">
        <v>32</v>
      </c>
      <c r="D18" s="367"/>
      <c r="E18" s="912"/>
      <c r="F18" s="912"/>
      <c r="G18" s="912"/>
      <c r="H18" s="912"/>
      <c r="I18" s="912"/>
      <c r="J18" s="912"/>
      <c r="K18" s="912"/>
      <c r="L18" s="903"/>
      <c r="N18" s="272"/>
      <c r="O18" s="912"/>
      <c r="P18" s="912"/>
      <c r="Q18" s="912"/>
      <c r="R18" s="912"/>
      <c r="S18" s="912"/>
      <c r="T18" s="912"/>
      <c r="U18" s="912"/>
      <c r="V18" s="903"/>
      <c r="X18" s="267">
        <f t="shared" si="36"/>
        <v>0</v>
      </c>
      <c r="Y18" s="903"/>
      <c r="Z18" s="903"/>
      <c r="AA18" s="904"/>
      <c r="AB18" s="903"/>
      <c r="AC18" s="903"/>
      <c r="AD18" s="903"/>
      <c r="AE18" s="903"/>
      <c r="AF18" s="903"/>
      <c r="AH18" s="903"/>
      <c r="AI18" s="903"/>
      <c r="AJ18" s="903"/>
      <c r="AK18" s="904"/>
      <c r="AL18" s="903"/>
      <c r="AM18" s="903"/>
      <c r="AN18" s="903"/>
      <c r="AO18" s="903"/>
      <c r="AP18" s="903"/>
      <c r="AR18" s="267">
        <v>0</v>
      </c>
      <c r="AS18" s="267">
        <v>0</v>
      </c>
      <c r="AT18" s="267">
        <v>0</v>
      </c>
      <c r="AU18" s="268">
        <v>0</v>
      </c>
      <c r="AV18" s="267">
        <v>0</v>
      </c>
      <c r="AW18" s="267">
        <v>0</v>
      </c>
      <c r="AX18" s="267">
        <v>0</v>
      </c>
      <c r="AY18" s="267">
        <v>0</v>
      </c>
      <c r="AZ18" s="267">
        <f>SUM(AU18:AY18)</f>
        <v>0</v>
      </c>
      <c r="BB18" s="267">
        <f t="shared" si="37"/>
        <v>0</v>
      </c>
      <c r="BC18" s="267">
        <f t="shared" si="37"/>
        <v>0</v>
      </c>
      <c r="BD18" s="267">
        <f t="shared" si="37"/>
        <v>0</v>
      </c>
      <c r="BE18" s="268">
        <f t="shared" si="37"/>
        <v>0</v>
      </c>
      <c r="BF18" s="267">
        <f t="shared" si="37"/>
        <v>0</v>
      </c>
      <c r="BG18" s="267">
        <f t="shared" si="37"/>
        <v>0</v>
      </c>
      <c r="BH18" s="267">
        <f t="shared" si="37"/>
        <v>0</v>
      </c>
      <c r="BI18" s="267">
        <f t="shared" si="37"/>
        <v>0</v>
      </c>
      <c r="BJ18" s="267">
        <f>SUM(BE18:BI18)</f>
        <v>0</v>
      </c>
      <c r="BL18" s="267">
        <f t="shared" si="44"/>
        <v>0</v>
      </c>
      <c r="BM18" s="267">
        <f t="shared" si="38"/>
        <v>0</v>
      </c>
      <c r="BN18" s="267">
        <f t="shared" si="38"/>
        <v>0</v>
      </c>
      <c r="BO18" s="268">
        <f t="shared" si="39"/>
        <v>0</v>
      </c>
      <c r="BP18" s="267">
        <f t="shared" si="40"/>
        <v>0</v>
      </c>
      <c r="BQ18" s="267">
        <f t="shared" si="41"/>
        <v>0</v>
      </c>
      <c r="BR18" s="267">
        <f t="shared" si="42"/>
        <v>0</v>
      </c>
      <c r="BS18" s="267">
        <f t="shared" si="43"/>
        <v>0</v>
      </c>
      <c r="BT18" s="267">
        <f>SUM(BO18:BS18)</f>
        <v>0</v>
      </c>
    </row>
    <row r="19" spans="2:72">
      <c r="C19" s="1" t="s">
        <v>479</v>
      </c>
      <c r="D19" s="158">
        <f t="shared" ref="D19" si="45">SUM(D16:D18)</f>
        <v>0</v>
      </c>
      <c r="E19" s="876"/>
      <c r="F19" s="876"/>
      <c r="G19" s="877"/>
      <c r="H19" s="876"/>
      <c r="I19" s="876"/>
      <c r="J19" s="876"/>
      <c r="K19" s="876"/>
      <c r="L19" s="876"/>
      <c r="N19" s="158">
        <f t="shared" ref="N19" si="46">SUM(N16:N18)</f>
        <v>0</v>
      </c>
      <c r="O19" s="876"/>
      <c r="P19" s="876"/>
      <c r="Q19" s="877"/>
      <c r="R19" s="876"/>
      <c r="S19" s="876"/>
      <c r="T19" s="876"/>
      <c r="U19" s="876"/>
      <c r="V19" s="876"/>
      <c r="X19" s="158">
        <f t="shared" ref="X19" si="47">SUM(X16:X18)</f>
        <v>0</v>
      </c>
      <c r="Y19" s="876"/>
      <c r="Z19" s="876"/>
      <c r="AA19" s="877"/>
      <c r="AB19" s="907"/>
      <c r="AC19" s="876"/>
      <c r="AD19" s="876"/>
      <c r="AE19" s="876"/>
      <c r="AF19" s="876"/>
      <c r="AH19" s="876"/>
      <c r="AI19" s="876"/>
      <c r="AJ19" s="876"/>
      <c r="AK19" s="877"/>
      <c r="AL19" s="876"/>
      <c r="AM19" s="876"/>
      <c r="AN19" s="876"/>
      <c r="AO19" s="876"/>
      <c r="AP19" s="876"/>
      <c r="AR19" s="158">
        <v>0</v>
      </c>
      <c r="AS19" s="158">
        <v>0</v>
      </c>
      <c r="AT19" s="158">
        <v>7138.7563280514532</v>
      </c>
      <c r="AU19" s="264">
        <v>31114.610522418079</v>
      </c>
      <c r="AV19" s="265">
        <v>22923.196736520647</v>
      </c>
      <c r="AW19" s="158">
        <v>13352.880930399208</v>
      </c>
      <c r="AX19" s="158">
        <v>12508.368336981057</v>
      </c>
      <c r="AY19" s="158">
        <v>8529.6961225704963</v>
      </c>
      <c r="AZ19" s="158">
        <f t="shared" ref="AZ19:BI19" si="48">SUM(AZ16:AZ18)</f>
        <v>88428.752648889495</v>
      </c>
      <c r="BB19" s="158">
        <f t="shared" si="48"/>
        <v>0</v>
      </c>
      <c r="BC19" s="158">
        <f t="shared" si="48"/>
        <v>0</v>
      </c>
      <c r="BD19" s="158">
        <f t="shared" ref="BD19" si="49">SUM(BD16:BD18)</f>
        <v>691.99986963294293</v>
      </c>
      <c r="BE19" s="264">
        <f t="shared" si="48"/>
        <v>3162.7732962582595</v>
      </c>
      <c r="BF19" s="158">
        <f t="shared" si="48"/>
        <v>2214.6882409894415</v>
      </c>
      <c r="BG19" s="158">
        <f t="shared" si="48"/>
        <v>1560.4298837770543</v>
      </c>
      <c r="BH19" s="158">
        <f t="shared" si="48"/>
        <v>1621.3281810995068</v>
      </c>
      <c r="BI19" s="158">
        <f t="shared" si="48"/>
        <v>1160.4140730687136</v>
      </c>
      <c r="BJ19" s="158">
        <f t="shared" ref="BJ19" si="50">SUM(BJ16:BJ18)</f>
        <v>9719.6336751929757</v>
      </c>
      <c r="BL19" s="158">
        <f t="shared" ref="BL19:BT19" si="51">SUM(BL16:BL18)</f>
        <v>0</v>
      </c>
      <c r="BM19" s="158">
        <f t="shared" si="51"/>
        <v>0</v>
      </c>
      <c r="BN19" s="158">
        <f t="shared" ref="BN19" si="52">SUM(BN16:BN18)</f>
        <v>7830.7561976843963</v>
      </c>
      <c r="BO19" s="264">
        <f t="shared" si="51"/>
        <v>34277.383818676339</v>
      </c>
      <c r="BP19" s="158">
        <f t="shared" si="51"/>
        <v>25137.88497751009</v>
      </c>
      <c r="BQ19" s="158">
        <f t="shared" si="51"/>
        <v>14913.310814176262</v>
      </c>
      <c r="BR19" s="158">
        <f t="shared" si="51"/>
        <v>14129.696518080564</v>
      </c>
      <c r="BS19" s="158">
        <f t="shared" si="51"/>
        <v>9690.1101956392122</v>
      </c>
      <c r="BT19" s="158">
        <f t="shared" si="51"/>
        <v>98148.386324082458</v>
      </c>
    </row>
    <row r="20" spans="2:72">
      <c r="B20" s="1" t="s">
        <v>480</v>
      </c>
      <c r="E20" s="867"/>
      <c r="F20" s="867"/>
      <c r="G20" s="868"/>
      <c r="H20" s="867"/>
      <c r="I20" s="867"/>
      <c r="J20" s="867"/>
      <c r="K20" s="867"/>
      <c r="L20" s="867"/>
      <c r="O20" s="867"/>
      <c r="P20" s="867"/>
      <c r="Q20" s="868"/>
      <c r="R20" s="867"/>
      <c r="S20" s="867"/>
      <c r="T20" s="867"/>
      <c r="U20" s="867"/>
      <c r="V20" s="867"/>
      <c r="Y20" s="867"/>
      <c r="Z20" s="867"/>
      <c r="AA20" s="868"/>
      <c r="AB20" s="908"/>
      <c r="AC20" s="867"/>
      <c r="AD20" s="867"/>
      <c r="AE20" s="867"/>
      <c r="AF20" s="867"/>
      <c r="AH20" s="867"/>
      <c r="AI20" s="867"/>
      <c r="AJ20" s="867"/>
      <c r="AK20" s="868"/>
      <c r="AL20" s="867"/>
      <c r="AM20" s="867"/>
      <c r="AN20" s="867"/>
      <c r="AO20" s="867"/>
      <c r="AP20" s="867"/>
      <c r="AU20" s="38"/>
      <c r="BB20" s="158"/>
      <c r="BC20" s="158"/>
      <c r="BD20" s="158"/>
      <c r="BE20" s="264"/>
      <c r="BF20" s="158"/>
      <c r="BG20" s="158"/>
      <c r="BH20" s="158"/>
      <c r="BI20" s="158"/>
      <c r="BO20" s="38"/>
    </row>
    <row r="21" spans="2:72">
      <c r="C21" s="1" t="s">
        <v>49</v>
      </c>
      <c r="D21" s="158">
        <f>SUMIFS(Augmentation!CQ$6:CQ$37,Augmentation!$E$6:$E$37,$C21)+SUMIFS(Connections!CS$7:CS$37,Connections!$E$7:$E$37,$C21)+SUMIFS(Major_Rebuilds!CQ$6:CQ$36,Major_Rebuilds!$E$6:$E$36,$C21)+SUMIFS(Stations!DF$7:DF$38,Stations!$E$7:$E$38,$C21)+SUMIFS(Lines!DF$7:DF$37,Lines!$E$7:$E$37,$C21)+SUMIFS('PC&amp;A'!CQ$6:CQ$36,'PC&amp;A'!$E$6:$E$36,$C21)+SUMIFS('SCADA&amp;Comms'!CQ$6:CQ$36,'SCADA&amp;Comms'!$E$6:$E$36,$C21)+SUMIFS(REFCL!CQ$6:CQ$47,REFCL!$E$6:$E$47,$C21)+SUMIFS(ESL_1!DF$7:DF$37,ESL_1!$E$7:$E$37,$C21)+SUMIFS(ESL_2!CQ$6:CQ$36,ESL_2!$E$6:$E$36,$C21)+SUMIFS(ESL_2!CQ$42:CQ$44,ESL_2!$E$42:$E$44,$C21)+SUMIFS(ICT!BC$6:BC$36,ICT!$E$6:$E$36,$C21)+SUMIFS(Metering_SCS!BC$6:BC$36,Metering_SCS!$E$6:$E$36,$C21)+SUMIFS(Other_NN!BB$6:BB$36,Other_NN!$E$6:$E$36,$C21)</f>
        <v>0</v>
      </c>
      <c r="E21" s="876"/>
      <c r="F21" s="876"/>
      <c r="G21" s="877"/>
      <c r="H21" s="876"/>
      <c r="I21" s="876"/>
      <c r="J21" s="876"/>
      <c r="K21" s="876"/>
      <c r="L21" s="876"/>
      <c r="N21" s="158">
        <f>SUMIFS(Augmentation!J$6:J$37,Augmentation!$E$6:$E$37,$C21)+SUMIFS(Connections!Q$7:Q$37,Connections!$E$7:$E$37,$C21)+SUMIFS(Major_Rebuilds!J$6:J$36,Major_Rebuilds!$E$6:$E$36,$C21)+SUMIFS(Stations!T$7:T$38,Stations!$E$7:$E$38,$C21)+SUMIFS(Lines!T$7:T$37,Lines!$E$7:$E$37,$C21)+SUMIFS('PC&amp;A'!J$6:J$36,'PC&amp;A'!$E$6:$E$36,$C21)+SUMIFS('SCADA&amp;Comms'!J$6:J$36,'SCADA&amp;Comms'!$E$6:$E$36,$C21)+SUMIFS(REFCL!J$6:J$47,REFCL!$E$6:$E$47,$C21)+SUMIFS(ESL_1!T$7:T$37,ESL_1!$E$7:$E$37,$C21)+SUMIFS(ESL_2!J$6:J$36,ESL_2!$E$6:$E$36,$C21)+SUMIFS(ESL_2!J$42:J$44,ESL_2!$E$42:$E$44,$C21)+SUMIFS(ICT!J$6:J$36,ICT!$E$6:$E$36,$C21)+SUMIFS(Metering_SCS!J$6:J$36,Metering_SCS!$E$6:$E$36,$C21)+SUMIFS(Other_NN!I$6:I$36,Other_NN!$E$6:$E$36,$C21)</f>
        <v>0</v>
      </c>
      <c r="O21" s="876"/>
      <c r="P21" s="876"/>
      <c r="Q21" s="877"/>
      <c r="R21" s="876"/>
      <c r="S21" s="876"/>
      <c r="T21" s="876"/>
      <c r="U21" s="876"/>
      <c r="V21" s="876"/>
      <c r="X21" s="158">
        <f t="shared" ref="X21:X25" si="53">D21-N21</f>
        <v>0</v>
      </c>
      <c r="Y21" s="876"/>
      <c r="Z21" s="876"/>
      <c r="AA21" s="877"/>
      <c r="AB21" s="907"/>
      <c r="AC21" s="876"/>
      <c r="AD21" s="876"/>
      <c r="AE21" s="876"/>
      <c r="AF21" s="876"/>
      <c r="AH21" s="876"/>
      <c r="AI21" s="876"/>
      <c r="AJ21" s="876"/>
      <c r="AK21" s="877"/>
      <c r="AL21" s="876"/>
      <c r="AM21" s="876"/>
      <c r="AN21" s="876"/>
      <c r="AO21" s="876"/>
      <c r="AP21" s="876"/>
      <c r="AR21" s="158">
        <v>0</v>
      </c>
      <c r="AS21" s="158">
        <v>0</v>
      </c>
      <c r="AT21" s="359">
        <v>18531.039377659272</v>
      </c>
      <c r="AU21" s="264">
        <v>42594.904633135804</v>
      </c>
      <c r="AV21" s="158">
        <v>28686.01025909511</v>
      </c>
      <c r="AW21" s="158">
        <v>33501.617631001871</v>
      </c>
      <c r="AX21" s="158">
        <v>25220.465294562873</v>
      </c>
      <c r="AY21" s="158">
        <v>24765.067340190981</v>
      </c>
      <c r="AZ21" s="158">
        <f>SUM(AU21:AY21)</f>
        <v>154768.06515798662</v>
      </c>
      <c r="BB21" s="158">
        <f t="shared" ref="BB21:BI22" si="54">AR21*BB$40</f>
        <v>0</v>
      </c>
      <c r="BC21" s="158">
        <f t="shared" si="54"/>
        <v>0</v>
      </c>
      <c r="BD21" s="158">
        <f t="shared" si="54"/>
        <v>550.08529117591445</v>
      </c>
      <c r="BE21" s="264">
        <f t="shared" si="54"/>
        <v>2532.8759933027263</v>
      </c>
      <c r="BF21" s="158">
        <f t="shared" si="54"/>
        <v>2468.8505143943421</v>
      </c>
      <c r="BG21" s="158">
        <f t="shared" si="54"/>
        <v>2481.1858027143085</v>
      </c>
      <c r="BH21" s="158">
        <f t="shared" si="54"/>
        <v>2475.6385745397188</v>
      </c>
      <c r="BI21" s="158">
        <f t="shared" si="54"/>
        <v>2477.5710128328874</v>
      </c>
      <c r="BJ21" s="158">
        <f>SUM(BE21:BI21)</f>
        <v>12436.121897783982</v>
      </c>
      <c r="BL21" s="158">
        <f>AR21+BB21</f>
        <v>0</v>
      </c>
      <c r="BM21" s="158">
        <f t="shared" ref="BM21:BN25" si="55">AS21+BC21</f>
        <v>0</v>
      </c>
      <c r="BN21" s="158">
        <f t="shared" si="55"/>
        <v>19081.124668835186</v>
      </c>
      <c r="BO21" s="264">
        <f t="shared" ref="BO21:BO25" si="56">AU21+BE21</f>
        <v>45127.780626438529</v>
      </c>
      <c r="BP21" s="158">
        <f t="shared" ref="BP21:BP25" si="57">AV21+BF21</f>
        <v>31154.860773489454</v>
      </c>
      <c r="BQ21" s="158">
        <f t="shared" ref="BQ21:BQ25" si="58">AW21+BG21</f>
        <v>35982.803433716181</v>
      </c>
      <c r="BR21" s="158">
        <f t="shared" ref="BR21:BR25" si="59">AX21+BH21</f>
        <v>27696.103869102593</v>
      </c>
      <c r="BS21" s="158">
        <f t="shared" ref="BS21:BS25" si="60">AY21+BI21</f>
        <v>27242.638353023867</v>
      </c>
      <c r="BT21" s="158">
        <f>SUM(BO21:BS21)</f>
        <v>167204.18705577066</v>
      </c>
    </row>
    <row r="22" spans="2:72">
      <c r="C22" s="1" t="s">
        <v>517</v>
      </c>
      <c r="D22" s="158">
        <f>SUMIFS(Augmentation!CQ$6:CQ$37,Augmentation!$E$6:$E$37,$C22)+SUMIFS(Connections!CS$7:CS$37,Connections!$E$7:$E$37,$C22)+SUMIFS(Major_Rebuilds!CQ$6:CQ$36,Major_Rebuilds!$E$6:$E$36,$C22)+SUMIFS(Stations!DF$7:DF$38,Stations!$E$7:$E$38,$C22)+SUMIFS(Lines!DF$7:DF$37,Lines!$E$7:$E$37,$C22)+SUMIFS('PC&amp;A'!CQ$6:CQ$36,'PC&amp;A'!$E$6:$E$36,$C22)+SUMIFS('SCADA&amp;Comms'!CQ$6:CQ$36,'SCADA&amp;Comms'!$E$6:$E$36,$C22)+SUMIFS(REFCL!CQ$6:CQ$47,REFCL!$E$6:$E$47,$C22)+SUMIFS(ESL_1!DF$7:DF$37,ESL_1!$E$7:$E$37,$C22)+SUMIFS(ESL_2!CQ$6:CQ$36,ESL_2!$E$6:$E$36,$C22)+SUMIFS(ESL_2!CQ$42:CQ$44,ESL_2!$E$42:$E$44,$C22)+SUMIFS(ICT!BC$6:BC$36,ICT!$E$6:$E$36,$C22)+SUMIFS(Metering_SCS!BC$6:BC$36,Metering_SCS!$E$6:$E$36,$C22)+SUMIFS(Other_NN!BB$6:BB$36,Other_NN!$E$6:$E$36,$C22)</f>
        <v>0</v>
      </c>
      <c r="E22" s="876"/>
      <c r="F22" s="876"/>
      <c r="G22" s="877"/>
      <c r="H22" s="876"/>
      <c r="I22" s="876"/>
      <c r="J22" s="876"/>
      <c r="K22" s="876"/>
      <c r="L22" s="876"/>
      <c r="N22" s="158">
        <f>SUMIFS(Augmentation!J$6:J$37,Augmentation!$E$6:$E$37,$C22)+SUMIFS(Connections!Q$7:Q$37,Connections!$E$7:$E$37,$C22)+SUMIFS(Major_Rebuilds!J$6:J$36,Major_Rebuilds!$E$6:$E$36,$C22)+SUMIFS(Stations!T$7:T$38,Stations!$E$7:$E$38,$C22)+SUMIFS(Lines!T$7:T$37,Lines!$E$7:$E$37,$C22)+SUMIFS('PC&amp;A'!J$6:J$36,'PC&amp;A'!$E$6:$E$36,$C22)+SUMIFS('SCADA&amp;Comms'!J$6:J$36,'SCADA&amp;Comms'!$E$6:$E$36,$C22)+SUMIFS(REFCL!J$6:J$47,REFCL!$E$6:$E$47,$C22)+SUMIFS(ESL_1!T$7:T$37,ESL_1!$E$7:$E$37,$C22)+SUMIFS(ESL_2!J$6:J$36,ESL_2!$E$6:$E$36,$C22)+SUMIFS(ESL_2!J$42:J$44,ESL_2!$E$42:$E$44,$C22)+SUMIFS(ICT!J$6:J$36,ICT!$E$6:$E$36,$C22)+SUMIFS(Metering_SCS!J$6:J$36,Metering_SCS!$E$6:$E$36,$C22)+SUMIFS(Other_NN!I$6:I$36,Other_NN!$E$6:$E$36,$C22)</f>
        <v>0</v>
      </c>
      <c r="O22" s="876"/>
      <c r="P22" s="876"/>
      <c r="Q22" s="877"/>
      <c r="R22" s="876"/>
      <c r="S22" s="876"/>
      <c r="T22" s="876"/>
      <c r="U22" s="876"/>
      <c r="V22" s="876"/>
      <c r="X22" s="157">
        <f t="shared" ref="X22" si="61">D22-N22</f>
        <v>0</v>
      </c>
      <c r="Y22" s="865"/>
      <c r="Z22" s="865"/>
      <c r="AA22" s="866"/>
      <c r="AB22" s="873"/>
      <c r="AC22" s="865"/>
      <c r="AD22" s="865"/>
      <c r="AE22" s="865"/>
      <c r="AF22" s="876"/>
      <c r="AH22" s="865"/>
      <c r="AI22" s="865"/>
      <c r="AJ22" s="865"/>
      <c r="AK22" s="866"/>
      <c r="AL22" s="865"/>
      <c r="AM22" s="865"/>
      <c r="AN22" s="865"/>
      <c r="AO22" s="865"/>
      <c r="AP22" s="876"/>
      <c r="AR22" s="158">
        <v>0</v>
      </c>
      <c r="AS22" s="158">
        <v>0</v>
      </c>
      <c r="AT22" s="359">
        <v>0</v>
      </c>
      <c r="AU22" s="264">
        <v>0</v>
      </c>
      <c r="AV22" s="158">
        <v>0</v>
      </c>
      <c r="AW22" s="158">
        <v>0</v>
      </c>
      <c r="AX22" s="158">
        <v>0</v>
      </c>
      <c r="AY22" s="158">
        <v>0</v>
      </c>
      <c r="AZ22" s="158">
        <f>SUM(AU22:AY22)</f>
        <v>0</v>
      </c>
      <c r="BB22" s="158">
        <f t="shared" si="54"/>
        <v>0</v>
      </c>
      <c r="BC22" s="158">
        <f t="shared" si="54"/>
        <v>0</v>
      </c>
      <c r="BD22" s="158">
        <f t="shared" si="54"/>
        <v>0</v>
      </c>
      <c r="BE22" s="264">
        <f t="shared" si="54"/>
        <v>0</v>
      </c>
      <c r="BF22" s="158">
        <f t="shared" si="54"/>
        <v>0</v>
      </c>
      <c r="BG22" s="158">
        <f t="shared" si="54"/>
        <v>0</v>
      </c>
      <c r="BH22" s="158">
        <f t="shared" si="54"/>
        <v>0</v>
      </c>
      <c r="BI22" s="158">
        <f t="shared" si="54"/>
        <v>0</v>
      </c>
      <c r="BJ22" s="158">
        <f>SUM(BE22:BI22)</f>
        <v>0</v>
      </c>
      <c r="BL22" s="158">
        <f t="shared" ref="BL22" si="62">AR22+BB22</f>
        <v>0</v>
      </c>
      <c r="BM22" s="158">
        <f t="shared" ref="BM22:BN22" si="63">AS22+BC22</f>
        <v>0</v>
      </c>
      <c r="BN22" s="158">
        <f t="shared" si="63"/>
        <v>0</v>
      </c>
      <c r="BO22" s="264">
        <f t="shared" ref="BO22" si="64">AU22+BE22</f>
        <v>0</v>
      </c>
      <c r="BP22" s="158">
        <f t="shared" ref="BP22" si="65">AV22+BF22</f>
        <v>0</v>
      </c>
      <c r="BQ22" s="158">
        <f t="shared" ref="BQ22" si="66">AW22+BG22</f>
        <v>0</v>
      </c>
      <c r="BR22" s="158">
        <f t="shared" ref="BR22" si="67">AX22+BH22</f>
        <v>0</v>
      </c>
      <c r="BS22" s="158">
        <f t="shared" ref="BS22" si="68">AY22+BI22</f>
        <v>0</v>
      </c>
      <c r="BT22" s="158">
        <f>SUM(BO22:BS22)</f>
        <v>0</v>
      </c>
    </row>
    <row r="23" spans="2:72">
      <c r="C23" s="1" t="s">
        <v>50</v>
      </c>
      <c r="D23" s="158">
        <f>SUMIFS(Augmentation!CQ$6:CQ$37,Augmentation!$E$6:$E$37,$C23)+SUMIFS(Connections!CS$7:CS$37,Connections!$E$7:$E$37,$C23)+SUMIFS(Major_Rebuilds!CQ$6:CQ$36,Major_Rebuilds!$E$6:$E$36,$C23)+SUMIFS(Stations!DF$7:DF$38,Stations!$E$7:$E$38,$C23)+SUMIFS(Lines!DF$7:DF$37,Lines!$E$7:$E$37,$C23)+SUMIFS('PC&amp;A'!CQ$6:CQ$36,'PC&amp;A'!$E$6:$E$36,$C23)+SUMIFS('SCADA&amp;Comms'!CQ$6:CQ$36,'SCADA&amp;Comms'!$E$6:$E$36,$C23)+SUMIFS(REFCL!CQ$6:CQ$47,REFCL!$E$6:$E$47,$C23)+SUMIFS(ESL_1!DF$7:DF$37,ESL_1!$E$7:$E$37,$C23)+SUMIFS(ESL_2!CQ$6:CQ$36,ESL_2!$E$6:$E$36,$C23)+SUMIFS(ESL_2!CQ$42:CQ$44,ESL_2!$E$42:$E$44,$C23)+SUMIFS(ICT!BC$6:BC$36,ICT!$E$6:$E$36,$C23)+SUMIFS(Metering_SCS!BC$6:BC$36,Metering_SCS!$E$6:$E$36,$C23)+SUMIFS(Other_NN!BB$6:BB$36,Other_NN!$E$6:$E$36,$C23)</f>
        <v>0</v>
      </c>
      <c r="E23" s="876"/>
      <c r="F23" s="876"/>
      <c r="G23" s="877"/>
      <c r="H23" s="876"/>
      <c r="I23" s="876"/>
      <c r="J23" s="876"/>
      <c r="K23" s="876"/>
      <c r="L23" s="876"/>
      <c r="N23" s="158">
        <f>SUMIFS(Augmentation!J$6:J$37,Augmentation!$E$6:$E$37,$C23)+SUMIFS(Connections!Q$7:Q$37,Connections!$E$7:$E$37,$C23)+SUMIFS(Major_Rebuilds!J$6:J$36,Major_Rebuilds!$E$6:$E$36,$C23)+SUMIFS(Stations!T$7:T$38,Stations!$E$7:$E$38,$C23)+SUMIFS(Lines!T$7:T$37,Lines!$E$7:$E$37,$C23)+SUMIFS('PC&amp;A'!J$6:J$36,'PC&amp;A'!$E$6:$E$36,$C23)+SUMIFS('SCADA&amp;Comms'!J$6:J$36,'SCADA&amp;Comms'!$E$6:$E$36,$C23)+SUMIFS(REFCL!J$6:J$47,REFCL!$E$6:$E$47,$C23)+SUMIFS(ESL_1!T$7:T$37,ESL_1!$E$7:$E$37,$C23)+SUMIFS(ESL_2!J$6:J$36,ESL_2!$E$6:$E$36,$C23)+SUMIFS(ESL_2!J$42:J$44,ESL_2!$E$42:$E$44,$C23)+SUMIFS(ICT!J$6:J$36,ICT!$E$6:$E$36,$C23)+SUMIFS(Metering_SCS!J$6:J$36,Metering_SCS!$E$6:$E$36,$C23)+SUMIFS(Other_NN!I$6:I$36,Other_NN!$E$6:$E$36,$C23)</f>
        <v>0</v>
      </c>
      <c r="O23" s="876"/>
      <c r="P23" s="876"/>
      <c r="Q23" s="877"/>
      <c r="R23" s="876"/>
      <c r="S23" s="876"/>
      <c r="T23" s="876"/>
      <c r="U23" s="876"/>
      <c r="V23" s="876"/>
      <c r="X23" s="157">
        <f t="shared" si="53"/>
        <v>0</v>
      </c>
      <c r="Y23" s="865"/>
      <c r="Z23" s="865"/>
      <c r="AA23" s="866"/>
      <c r="AB23" s="873"/>
      <c r="AC23" s="865"/>
      <c r="AD23" s="865"/>
      <c r="AE23" s="865"/>
      <c r="AF23" s="876"/>
      <c r="AH23" s="865"/>
      <c r="AI23" s="865"/>
      <c r="AJ23" s="865"/>
      <c r="AK23" s="866"/>
      <c r="AL23" s="865"/>
      <c r="AM23" s="865"/>
      <c r="AN23" s="865"/>
      <c r="AO23" s="865"/>
      <c r="AP23" s="876"/>
      <c r="AR23" s="158">
        <v>0</v>
      </c>
      <c r="AS23" s="158">
        <v>0</v>
      </c>
      <c r="AT23" s="158">
        <v>3800.8375912214274</v>
      </c>
      <c r="AU23" s="264">
        <v>7795.6680360067712</v>
      </c>
      <c r="AV23" s="158">
        <v>6459.4951795108582</v>
      </c>
      <c r="AW23" s="158">
        <v>5661.7080793699624</v>
      </c>
      <c r="AX23" s="158">
        <v>9267.8246035460961</v>
      </c>
      <c r="AY23" s="158">
        <v>9854.767477972402</v>
      </c>
      <c r="AZ23" s="158">
        <f>SUM(AU23:AY23)</f>
        <v>39039.463376406093</v>
      </c>
      <c r="BB23" s="163"/>
      <c r="BC23" s="163"/>
      <c r="BD23" s="163"/>
      <c r="BE23" s="284"/>
      <c r="BF23" s="163"/>
      <c r="BG23" s="163"/>
      <c r="BH23" s="163"/>
      <c r="BI23" s="163"/>
      <c r="BJ23" s="158">
        <f>SUM(BE23:BI23)</f>
        <v>0</v>
      </c>
      <c r="BL23" s="158">
        <f t="shared" ref="BL23:BL25" si="69">AR23+BB23</f>
        <v>0</v>
      </c>
      <c r="BM23" s="158">
        <f t="shared" si="55"/>
        <v>0</v>
      </c>
      <c r="BN23" s="158">
        <f t="shared" si="55"/>
        <v>3800.8375912214274</v>
      </c>
      <c r="BO23" s="264">
        <f t="shared" si="56"/>
        <v>7795.6680360067712</v>
      </c>
      <c r="BP23" s="158">
        <f t="shared" si="57"/>
        <v>6459.4951795108582</v>
      </c>
      <c r="BQ23" s="158">
        <f t="shared" si="58"/>
        <v>5661.7080793699624</v>
      </c>
      <c r="BR23" s="158">
        <f t="shared" si="59"/>
        <v>9267.8246035460961</v>
      </c>
      <c r="BS23" s="158">
        <f t="shared" si="60"/>
        <v>9854.767477972402</v>
      </c>
      <c r="BT23" s="158">
        <f>SUM(BO23:BS23)</f>
        <v>39039.463376406093</v>
      </c>
    </row>
    <row r="24" spans="2:72">
      <c r="C24" s="1" t="s">
        <v>585</v>
      </c>
      <c r="D24" s="158">
        <f>SUMIFS(Augmentation!CQ$6:CQ$37,Augmentation!$E$6:$E$37,$C24)+SUMIFS(Connections!CS$7:CS$37,Connections!$E$7:$E$37,$C24)+SUMIFS(Major_Rebuilds!CQ$6:CQ$36,Major_Rebuilds!$E$6:$E$36,$C24)+SUMIFS(Stations!DF$7:DF$38,Stations!$E$7:$E$38,$C24)+SUMIFS(Lines!DF$7:DF$37,Lines!$E$7:$E$37,$C24)+SUMIFS('PC&amp;A'!CQ$6:CQ$36,'PC&amp;A'!$E$6:$E$36,$C24)+SUMIFS('SCADA&amp;Comms'!CQ$6:CQ$36,'SCADA&amp;Comms'!$E$6:$E$36,$C24)+SUMIFS(REFCL!CQ$6:CQ$47,REFCL!$E$6:$E$47,$C24)+SUMIFS(ESL_1!DF$7:DF$37,ESL_1!$E$7:$E$37,$C24)+SUMIFS(ESL_2!CQ$6:CQ$36,ESL_2!$E$6:$E$36,$C24)+SUMIFS(ESL_2!CQ$42:CQ$44,ESL_2!$E$42:$E$44,$C24)+SUMIFS(ICT!BC$6:BC$36,ICT!$E$6:$E$36,$C24)+SUMIFS(Metering_SCS!BC$6:BC$36,Metering_SCS!$E$6:$E$36,$C24)+SUMIFS(Other_NN!BB$6:BB$36,Other_NN!$E$6:$E$36,$C24)</f>
        <v>0</v>
      </c>
      <c r="E24" s="876"/>
      <c r="F24" s="876"/>
      <c r="G24" s="877"/>
      <c r="H24" s="876"/>
      <c r="I24" s="876"/>
      <c r="J24" s="876"/>
      <c r="K24" s="876"/>
      <c r="L24" s="876"/>
      <c r="N24" s="158">
        <f>SUMIFS(Augmentation!J$6:J$37,Augmentation!$E$6:$E$37,$C24)+SUMIFS(Connections!Q$7:Q$37,Connections!$E$7:$E$37,$C24)+SUMIFS(Major_Rebuilds!J$6:J$36,Major_Rebuilds!$E$6:$E$36,$C24)+SUMIFS(Stations!T$7:T$38,Stations!$E$7:$E$38,$C24)+SUMIFS(Lines!T$7:T$37,Lines!$E$7:$E$37,$C24)+SUMIFS('PC&amp;A'!J$6:J$36,'PC&amp;A'!$E$6:$E$36,$C24)+SUMIFS('SCADA&amp;Comms'!J$6:J$36,'SCADA&amp;Comms'!$E$6:$E$36,$C24)+SUMIFS(REFCL!J$6:J$47,REFCL!$E$6:$E$47,$C24)+SUMIFS(ESL_1!T$7:T$37,ESL_1!$E$7:$E$37,$C24)+SUMIFS(ESL_2!J$6:J$36,ESL_2!$E$6:$E$36,$C24)+SUMIFS(ESL_2!J$42:J$44,ESL_2!$E$42:$E$44,$C24)+SUMIFS(ICT!J$6:J$36,ICT!$E$6:$E$36,$C24)+SUMIFS(Metering_SCS!J$6:J$36,Metering_SCS!$E$6:$E$36,$C24)+SUMIFS(Other_NN!I$6:I$36,Other_NN!$E$6:$E$36,$C24)</f>
        <v>0</v>
      </c>
      <c r="O24" s="876"/>
      <c r="P24" s="876"/>
      <c r="Q24" s="877"/>
      <c r="R24" s="876"/>
      <c r="S24" s="876"/>
      <c r="T24" s="876"/>
      <c r="U24" s="876"/>
      <c r="V24" s="876"/>
      <c r="X24" s="157">
        <f t="shared" ref="X24" si="70">D24-N24</f>
        <v>0</v>
      </c>
      <c r="Y24" s="865"/>
      <c r="Z24" s="865"/>
      <c r="AA24" s="866"/>
      <c r="AB24" s="873"/>
      <c r="AC24" s="865"/>
      <c r="AD24" s="865"/>
      <c r="AE24" s="865"/>
      <c r="AF24" s="876"/>
      <c r="AH24" s="865"/>
      <c r="AI24" s="865"/>
      <c r="AJ24" s="865"/>
      <c r="AK24" s="866"/>
      <c r="AL24" s="865"/>
      <c r="AM24" s="865"/>
      <c r="AN24" s="865"/>
      <c r="AO24" s="865"/>
      <c r="AP24" s="876"/>
      <c r="AR24" s="158">
        <v>0</v>
      </c>
      <c r="AS24" s="158">
        <v>0</v>
      </c>
      <c r="AT24" s="158">
        <v>152.21789856580605</v>
      </c>
      <c r="AU24" s="264">
        <v>1240.1278634824585</v>
      </c>
      <c r="AV24" s="158">
        <v>0</v>
      </c>
      <c r="AW24" s="158">
        <v>0</v>
      </c>
      <c r="AX24" s="158">
        <v>0</v>
      </c>
      <c r="AY24" s="158">
        <v>4601.6493504988603</v>
      </c>
      <c r="AZ24" s="158">
        <f>SUM(AU24:AY24)</f>
        <v>5841.7772139813187</v>
      </c>
      <c r="BB24" s="163"/>
      <c r="BC24" s="163"/>
      <c r="BD24" s="163"/>
      <c r="BE24" s="284"/>
      <c r="BF24" s="163"/>
      <c r="BG24" s="163"/>
      <c r="BH24" s="163"/>
      <c r="BI24" s="163"/>
      <c r="BJ24" s="158">
        <f>SUM(BE24:BI24)</f>
        <v>0</v>
      </c>
      <c r="BL24" s="158">
        <f t="shared" ref="BL24" si="71">AR24+BB24</f>
        <v>0</v>
      </c>
      <c r="BM24" s="158">
        <f t="shared" ref="BM24" si="72">AS24+BC24</f>
        <v>0</v>
      </c>
      <c r="BN24" s="158">
        <f t="shared" ref="BN24" si="73">AT24+BD24</f>
        <v>152.21789856580605</v>
      </c>
      <c r="BO24" s="264">
        <f t="shared" ref="BO24" si="74">AU24+BE24</f>
        <v>1240.1278634824585</v>
      </c>
      <c r="BP24" s="158">
        <f t="shared" ref="BP24" si="75">AV24+BF24</f>
        <v>0</v>
      </c>
      <c r="BQ24" s="158">
        <f t="shared" ref="BQ24" si="76">AW24+BG24</f>
        <v>0</v>
      </c>
      <c r="BR24" s="158">
        <f t="shared" ref="BR24" si="77">AX24+BH24</f>
        <v>0</v>
      </c>
      <c r="BS24" s="158">
        <f t="shared" ref="BS24" si="78">AY24+BI24</f>
        <v>4601.6493504988603</v>
      </c>
      <c r="BT24" s="158">
        <f>SUM(BO24:BS24)</f>
        <v>5841.7772139813187</v>
      </c>
    </row>
    <row r="25" spans="2:72">
      <c r="C25" s="1" t="s">
        <v>395</v>
      </c>
      <c r="D25" s="267">
        <f>SUMIFS(Augmentation!CQ$6:CQ$37,Augmentation!$E$6:$E$37,$C25)+SUMIFS(Connections!CS$7:CS$37,Connections!$E$7:$E$37,$C25)+SUMIFS(Major_Rebuilds!CQ$6:CQ$36,Major_Rebuilds!$E$6:$E$36,$C25)+SUMIFS(Stations!DF$7:DF$38,Stations!$E$7:$E$38,$C25)+SUMIFS(Lines!DF$7:DF$37,Lines!$E$7:$E$37,$C25)+SUMIFS('PC&amp;A'!CQ$6:CQ$36,'PC&amp;A'!$E$6:$E$36,$C25)+SUMIFS('SCADA&amp;Comms'!CQ$6:CQ$36,'SCADA&amp;Comms'!$E$6:$E$36,$C25)+SUMIFS(REFCL!CQ$6:CQ$47,REFCL!$E$6:$E$47,$C25)+SUMIFS(ESL_1!DF$7:DF$37,ESL_1!$E$7:$E$37,$C25)+SUMIFS(ESL_2!CQ$6:CQ$36,ESL_2!$E$6:$E$36,$C25)+SUMIFS(ESL_2!CQ$42:CQ$44,ESL_2!$E$42:$E$44,$C25)+SUMIFS(ICT!BC$6:BC$36,ICT!$E$6:$E$36,$C25)+SUMIFS(Metering_SCS!BC$6:BC$36,Metering_SCS!$E$6:$E$36,$C25)+SUMIFS(Other_NN!BB$6:BB$36,Other_NN!$E$6:$E$36,$C25)</f>
        <v>0</v>
      </c>
      <c r="E25" s="903"/>
      <c r="F25" s="903"/>
      <c r="G25" s="904"/>
      <c r="H25" s="903"/>
      <c r="I25" s="903"/>
      <c r="J25" s="903"/>
      <c r="K25" s="903"/>
      <c r="L25" s="903"/>
      <c r="N25" s="267">
        <f>SUMIFS(Augmentation!J$6:J$37,Augmentation!$E$6:$E$37,$C25)+SUMIFS(Connections!Q$7:Q$37,Connections!$E$7:$E$37,$C25)+SUMIFS(Major_Rebuilds!J$6:J$36,Major_Rebuilds!$E$6:$E$36,$C25)+SUMIFS(Stations!T$7:T$38,Stations!$E$7:$E$38,$C25)+SUMIFS(Lines!T$7:T$37,Lines!$E$7:$E$37,$C25)+SUMIFS('PC&amp;A'!J$6:J$36,'PC&amp;A'!$E$6:$E$36,$C25)+SUMIFS('SCADA&amp;Comms'!J$6:J$36,'SCADA&amp;Comms'!$E$6:$E$36,$C25)+SUMIFS(REFCL!J$6:J$47,REFCL!$E$6:$E$47,$C25)+SUMIFS(ESL_1!T$7:T$37,ESL_1!$E$7:$E$37,$C25)+SUMIFS(ESL_2!J$6:J$36,ESL_2!$E$6:$E$36,$C25)+SUMIFS(ESL_2!J$42:J$44,ESL_2!$E$42:$E$44,$C25)+SUMIFS(ICT!J$6:J$36,ICT!$E$6:$E$36,$C25)+SUMIFS(Metering_SCS!J$6:J$36,Metering_SCS!$E$6:$E$36,$C25)+SUMIFS(Other_NN!I$6:I$36,Other_NN!$E$6:$E$36,$C25)</f>
        <v>0</v>
      </c>
      <c r="O25" s="903"/>
      <c r="P25" s="903"/>
      <c r="Q25" s="904"/>
      <c r="R25" s="903"/>
      <c r="S25" s="903"/>
      <c r="T25" s="903"/>
      <c r="U25" s="903"/>
      <c r="V25" s="903"/>
      <c r="X25" s="270">
        <f t="shared" si="53"/>
        <v>0</v>
      </c>
      <c r="Y25" s="905"/>
      <c r="Z25" s="905"/>
      <c r="AA25" s="906"/>
      <c r="AB25" s="905"/>
      <c r="AC25" s="905"/>
      <c r="AD25" s="905"/>
      <c r="AE25" s="905"/>
      <c r="AF25" s="903"/>
      <c r="AH25" s="905"/>
      <c r="AI25" s="905"/>
      <c r="AJ25" s="905"/>
      <c r="AK25" s="906"/>
      <c r="AL25" s="905"/>
      <c r="AM25" s="905"/>
      <c r="AN25" s="905"/>
      <c r="AO25" s="905"/>
      <c r="AP25" s="903"/>
      <c r="AR25" s="399">
        <v>0</v>
      </c>
      <c r="AS25" s="399">
        <v>0</v>
      </c>
      <c r="AT25" s="267">
        <v>0</v>
      </c>
      <c r="AU25" s="268">
        <v>1536.4365490702908</v>
      </c>
      <c r="AV25" s="267">
        <v>0</v>
      </c>
      <c r="AW25" s="267">
        <v>0</v>
      </c>
      <c r="AX25" s="267">
        <v>0</v>
      </c>
      <c r="AY25" s="267">
        <v>0</v>
      </c>
      <c r="AZ25" s="267">
        <f>SUM(AU25:AY25)</f>
        <v>1536.4365490702908</v>
      </c>
      <c r="BB25" s="164"/>
      <c r="BC25" s="164"/>
      <c r="BD25" s="164"/>
      <c r="BE25" s="286"/>
      <c r="BF25" s="164"/>
      <c r="BG25" s="164"/>
      <c r="BH25" s="164"/>
      <c r="BI25" s="164"/>
      <c r="BJ25" s="267">
        <f>SUM(BE25:BI25)</f>
        <v>0</v>
      </c>
      <c r="BL25" s="267">
        <f t="shared" si="69"/>
        <v>0</v>
      </c>
      <c r="BM25" s="267">
        <f t="shared" si="55"/>
        <v>0</v>
      </c>
      <c r="BN25" s="267">
        <f t="shared" si="55"/>
        <v>0</v>
      </c>
      <c r="BO25" s="268">
        <f t="shared" si="56"/>
        <v>1536.4365490702908</v>
      </c>
      <c r="BP25" s="267">
        <f t="shared" si="57"/>
        <v>0</v>
      </c>
      <c r="BQ25" s="267">
        <f t="shared" si="58"/>
        <v>0</v>
      </c>
      <c r="BR25" s="267">
        <f t="shared" si="59"/>
        <v>0</v>
      </c>
      <c r="BS25" s="267">
        <f t="shared" si="60"/>
        <v>0</v>
      </c>
      <c r="BT25" s="267">
        <f>SUM(BO25:BS25)</f>
        <v>1536.4365490702908</v>
      </c>
    </row>
    <row r="26" spans="2:72">
      <c r="C26" s="1" t="s">
        <v>479</v>
      </c>
      <c r="D26" s="158">
        <f t="shared" ref="D26" si="79">SUM(D21:D25)</f>
        <v>0</v>
      </c>
      <c r="E26" s="876"/>
      <c r="F26" s="876"/>
      <c r="G26" s="877"/>
      <c r="H26" s="876"/>
      <c r="I26" s="876"/>
      <c r="J26" s="876"/>
      <c r="K26" s="876"/>
      <c r="L26" s="876"/>
      <c r="N26" s="158">
        <f t="shared" ref="N26" si="80">SUM(N21:N25)</f>
        <v>0</v>
      </c>
      <c r="O26" s="876"/>
      <c r="P26" s="876"/>
      <c r="Q26" s="877"/>
      <c r="R26" s="876"/>
      <c r="S26" s="876"/>
      <c r="T26" s="876"/>
      <c r="U26" s="876"/>
      <c r="V26" s="876"/>
      <c r="X26" s="158">
        <f t="shared" ref="X26" si="81">SUM(X21:X25)</f>
        <v>0</v>
      </c>
      <c r="Y26" s="876"/>
      <c r="Z26" s="876"/>
      <c r="AA26" s="877"/>
      <c r="AB26" s="907"/>
      <c r="AC26" s="876"/>
      <c r="AD26" s="876"/>
      <c r="AE26" s="876"/>
      <c r="AF26" s="876"/>
      <c r="AH26" s="876"/>
      <c r="AI26" s="876"/>
      <c r="AJ26" s="876"/>
      <c r="AK26" s="877"/>
      <c r="AL26" s="876"/>
      <c r="AM26" s="876"/>
      <c r="AN26" s="876"/>
      <c r="AO26" s="876"/>
      <c r="AP26" s="876"/>
      <c r="AR26" s="158">
        <v>0</v>
      </c>
      <c r="AS26" s="158">
        <v>0</v>
      </c>
      <c r="AT26" s="158">
        <v>22484.094867446507</v>
      </c>
      <c r="AU26" s="264">
        <v>53167.13708169532</v>
      </c>
      <c r="AV26" s="265">
        <v>35145.505438605971</v>
      </c>
      <c r="AW26" s="158">
        <v>39163.325710371835</v>
      </c>
      <c r="AX26" s="158">
        <v>34488.289898108967</v>
      </c>
      <c r="AY26" s="158">
        <v>39221.484168662246</v>
      </c>
      <c r="AZ26" s="158">
        <f t="shared" ref="AZ26" si="82">SUM(AZ21:AZ25)</f>
        <v>201185.74229744432</v>
      </c>
      <c r="BB26" s="157">
        <f t="shared" ref="BB26:BJ26" si="83">SUM(BB21:BB25)</f>
        <v>0</v>
      </c>
      <c r="BC26" s="157">
        <f t="shared" si="83"/>
        <v>0</v>
      </c>
      <c r="BD26" s="157">
        <f t="shared" si="83"/>
        <v>550.08529117591445</v>
      </c>
      <c r="BE26" s="263">
        <f t="shared" si="83"/>
        <v>2532.8759933027263</v>
      </c>
      <c r="BF26" s="157">
        <f t="shared" si="83"/>
        <v>2468.8505143943421</v>
      </c>
      <c r="BG26" s="157">
        <f t="shared" si="83"/>
        <v>2481.1858027143085</v>
      </c>
      <c r="BH26" s="157">
        <f t="shared" si="83"/>
        <v>2475.6385745397188</v>
      </c>
      <c r="BI26" s="157">
        <f t="shared" si="83"/>
        <v>2477.5710128328874</v>
      </c>
      <c r="BJ26" s="158">
        <f t="shared" si="83"/>
        <v>12436.121897783982</v>
      </c>
      <c r="BL26" s="158">
        <f t="shared" ref="BL26:BT26" si="84">SUM(BL21:BL25)</f>
        <v>0</v>
      </c>
      <c r="BM26" s="158">
        <f t="shared" si="84"/>
        <v>0</v>
      </c>
      <c r="BN26" s="158">
        <f t="shared" ref="BN26" si="85">SUM(BN21:BN25)</f>
        <v>23034.180158622421</v>
      </c>
      <c r="BO26" s="264">
        <f t="shared" si="84"/>
        <v>55700.013074998045</v>
      </c>
      <c r="BP26" s="158">
        <f t="shared" si="84"/>
        <v>37614.355953000311</v>
      </c>
      <c r="BQ26" s="158">
        <f t="shared" si="84"/>
        <v>41644.511513086145</v>
      </c>
      <c r="BR26" s="158">
        <f t="shared" si="84"/>
        <v>36963.928472648688</v>
      </c>
      <c r="BS26" s="158">
        <f t="shared" si="84"/>
        <v>41699.055181495132</v>
      </c>
      <c r="BT26" s="158">
        <f t="shared" si="84"/>
        <v>213621.86419522835</v>
      </c>
    </row>
    <row r="27" spans="2:72">
      <c r="G27" s="38"/>
      <c r="Q27" s="38"/>
      <c r="AA27" s="38"/>
      <c r="AB27" s="41"/>
      <c r="AK27" s="38"/>
      <c r="AU27" s="38"/>
      <c r="BE27" s="38"/>
      <c r="BO27" s="38"/>
    </row>
    <row r="28" spans="2:72">
      <c r="B28" s="1" t="s">
        <v>146</v>
      </c>
      <c r="D28" s="158">
        <f t="shared" ref="D28" si="86">D9+D14+D19+D26</f>
        <v>0</v>
      </c>
      <c r="E28" s="876"/>
      <c r="F28" s="876"/>
      <c r="G28" s="877"/>
      <c r="H28" s="876"/>
      <c r="I28" s="876"/>
      <c r="J28" s="876"/>
      <c r="K28" s="876"/>
      <c r="L28" s="876"/>
      <c r="N28" s="157">
        <f t="shared" ref="N28" si="87">N9+N14+N19+N26</f>
        <v>0</v>
      </c>
      <c r="O28" s="865"/>
      <c r="P28" s="865"/>
      <c r="Q28" s="866"/>
      <c r="R28" s="865"/>
      <c r="S28" s="865"/>
      <c r="T28" s="865"/>
      <c r="U28" s="865"/>
      <c r="V28" s="865"/>
      <c r="X28" s="158">
        <f t="shared" ref="X28" si="88">X9+X14+X19+X26</f>
        <v>0</v>
      </c>
      <c r="Y28" s="876"/>
      <c r="Z28" s="876"/>
      <c r="AA28" s="877"/>
      <c r="AB28" s="907"/>
      <c r="AC28" s="876"/>
      <c r="AD28" s="876"/>
      <c r="AE28" s="876"/>
      <c r="AF28" s="876"/>
      <c r="AH28" s="876"/>
      <c r="AI28" s="876"/>
      <c r="AJ28" s="876"/>
      <c r="AK28" s="877"/>
      <c r="AL28" s="876"/>
      <c r="AM28" s="876"/>
      <c r="AN28" s="876"/>
      <c r="AO28" s="876"/>
      <c r="AP28" s="876"/>
      <c r="AR28" s="158">
        <f t="shared" ref="AR28:AY28" si="89">AR9+AR14+AR19+AR26</f>
        <v>0</v>
      </c>
      <c r="AS28" s="158">
        <f t="shared" si="89"/>
        <v>1072.5630793214652</v>
      </c>
      <c r="AT28" s="158">
        <f t="shared" ref="AT28" si="90">AT9+AT14+AT19+AT26</f>
        <v>33778.667795186899</v>
      </c>
      <c r="AU28" s="264">
        <f t="shared" si="89"/>
        <v>332110.62926525815</v>
      </c>
      <c r="AV28" s="265">
        <f t="shared" si="89"/>
        <v>349395.1527128212</v>
      </c>
      <c r="AW28" s="158">
        <f t="shared" si="89"/>
        <v>299527.02961775236</v>
      </c>
      <c r="AX28" s="158">
        <f t="shared" si="89"/>
        <v>273526.31664370839</v>
      </c>
      <c r="AY28" s="158">
        <f t="shared" si="89"/>
        <v>269788.49238528137</v>
      </c>
      <c r="AZ28" s="158">
        <f>SUM(AU28:AY28)</f>
        <v>1524347.6206248216</v>
      </c>
      <c r="BB28" s="158">
        <f t="shared" ref="BB28:BI28" si="91">BB9+BB14+BB19+BB26</f>
        <v>0</v>
      </c>
      <c r="BC28" s="158">
        <f t="shared" si="91"/>
        <v>88.266994222259385</v>
      </c>
      <c r="BD28" s="359">
        <f t="shared" ref="BD28" si="92">BD9+BD14+BD19+BD26</f>
        <v>1644.9318771063067</v>
      </c>
      <c r="BE28" s="264">
        <f t="shared" si="91"/>
        <v>28410.918537565754</v>
      </c>
      <c r="BF28" s="265">
        <f t="shared" si="91"/>
        <v>28473.49029366771</v>
      </c>
      <c r="BG28" s="158">
        <f t="shared" si="91"/>
        <v>27265.431641318683</v>
      </c>
      <c r="BH28" s="158">
        <f t="shared" si="91"/>
        <v>26901.510980191182</v>
      </c>
      <c r="BI28" s="158">
        <f t="shared" si="91"/>
        <v>26780.1872339695</v>
      </c>
      <c r="BJ28" s="158">
        <f>SUM(BE28:BI28)</f>
        <v>137831.53868671283</v>
      </c>
      <c r="BL28" s="158">
        <f t="shared" ref="BL28:BS28" si="93">BL9+BL14+BL19+BL26</f>
        <v>0</v>
      </c>
      <c r="BM28" s="158">
        <f t="shared" si="93"/>
        <v>1160.8300735437247</v>
      </c>
      <c r="BN28" s="158">
        <f t="shared" ref="BN28" si="94">BN9+BN14+BN19+BN26</f>
        <v>35423.599672293203</v>
      </c>
      <c r="BO28" s="264">
        <f t="shared" si="93"/>
        <v>360521.54780282394</v>
      </c>
      <c r="BP28" s="265">
        <f t="shared" si="93"/>
        <v>377868.64300648891</v>
      </c>
      <c r="BQ28" s="158">
        <f t="shared" si="93"/>
        <v>326792.46125907107</v>
      </c>
      <c r="BR28" s="158">
        <f t="shared" si="93"/>
        <v>300427.82762389956</v>
      </c>
      <c r="BS28" s="158">
        <f t="shared" si="93"/>
        <v>296568.67961925088</v>
      </c>
      <c r="BT28" s="158">
        <f>SUM(BO28:BS28)</f>
        <v>1662179.1593115344</v>
      </c>
    </row>
    <row r="29" spans="2:72">
      <c r="D29" s="158" t="b">
        <f>D28=Base_Forecast!Q42</f>
        <v>1</v>
      </c>
      <c r="E29" s="158" t="b">
        <f>E28=Base_Forecast!R42</f>
        <v>1</v>
      </c>
      <c r="F29" s="158" t="b">
        <f>F28=Base_Forecast!S42</f>
        <v>1</v>
      </c>
      <c r="G29" s="158" t="b">
        <f>G28=Base_Forecast!T42</f>
        <v>1</v>
      </c>
      <c r="H29" s="158" t="b">
        <f>H28=Base_Forecast!U42</f>
        <v>1</v>
      </c>
      <c r="I29" s="158" t="b">
        <f>I28=Base_Forecast!V42</f>
        <v>1</v>
      </c>
      <c r="J29" s="158" t="b">
        <f>J28=Base_Forecast!W42</f>
        <v>1</v>
      </c>
      <c r="K29" s="158" t="b">
        <f>K28=Base_Forecast!X42</f>
        <v>1</v>
      </c>
      <c r="L29" s="158"/>
      <c r="N29" s="158" t="b">
        <f>N28=Base_Forecast!E42</f>
        <v>1</v>
      </c>
      <c r="O29" s="158" t="b">
        <f>O28=Base_Forecast!F42</f>
        <v>1</v>
      </c>
      <c r="P29" s="158" t="b">
        <f>P28=Base_Forecast!G42</f>
        <v>1</v>
      </c>
      <c r="Q29" s="264" t="b">
        <f>Q28=Base_Forecast!H42</f>
        <v>1</v>
      </c>
      <c r="R29" s="158" t="b">
        <f>R28=Base_Forecast!I42</f>
        <v>1</v>
      </c>
      <c r="S29" s="158" t="b">
        <f>S28=Base_Forecast!J42</f>
        <v>1</v>
      </c>
      <c r="T29" s="158" t="b">
        <f>T28=Base_Forecast!K42</f>
        <v>1</v>
      </c>
      <c r="U29" s="158" t="b">
        <f>U28=Base_Forecast!L42</f>
        <v>1</v>
      </c>
      <c r="V29" s="158"/>
      <c r="X29" s="1" t="b">
        <f>ROUND(X28,2)=ROUND(D28-N28,2)</f>
        <v>1</v>
      </c>
      <c r="Y29" s="1" t="b">
        <f t="shared" ref="Y29:Z29" si="95">ROUND(Y28,2)=ROUND(E28-O28,2)</f>
        <v>1</v>
      </c>
      <c r="Z29" s="1" t="b">
        <f t="shared" si="95"/>
        <v>1</v>
      </c>
      <c r="AA29" s="38" t="b">
        <f t="shared" ref="AA29:AF29" si="96">ROUND(AA28,2)=ROUND(G28-Q28,2)</f>
        <v>1</v>
      </c>
      <c r="AB29" s="1" t="b">
        <f t="shared" si="96"/>
        <v>1</v>
      </c>
      <c r="AC29" s="1" t="b">
        <f t="shared" si="96"/>
        <v>1</v>
      </c>
      <c r="AD29" s="1" t="b">
        <f t="shared" si="96"/>
        <v>1</v>
      </c>
      <c r="AE29" s="1" t="b">
        <f t="shared" si="96"/>
        <v>1</v>
      </c>
      <c r="AF29" s="1" t="b">
        <f t="shared" si="96"/>
        <v>1</v>
      </c>
      <c r="AH29" s="1" t="b">
        <f>AH28=Downer_Contract!AD15</f>
        <v>1</v>
      </c>
      <c r="AI29" s="1" t="b">
        <f>AI28=Downer_Contract!AE15</f>
        <v>1</v>
      </c>
      <c r="AJ29" s="1" t="b">
        <f>AJ28=Downer_Contract!AF15</f>
        <v>1</v>
      </c>
      <c r="AK29" s="38" t="b">
        <f>AK28=Downer_Contract!AG15</f>
        <v>1</v>
      </c>
      <c r="AL29" s="1" t="b">
        <f>AL28=Downer_Contract!AH15</f>
        <v>1</v>
      </c>
      <c r="AM29" s="1" t="b">
        <f>AM28=Downer_Contract!AI15</f>
        <v>1</v>
      </c>
      <c r="AN29" s="1" t="b">
        <f>AN28=Downer_Contract!AJ15</f>
        <v>1</v>
      </c>
      <c r="AO29" s="1" t="b">
        <f>AO28=Downer_Contract!AK15</f>
        <v>1</v>
      </c>
      <c r="AR29" s="158" t="b">
        <f>AR28=D28+Downer_Contract!AD15</f>
        <v>1</v>
      </c>
      <c r="AS29" s="158" t="b">
        <f>AS28=E28+Downer_Contract!AE15</f>
        <v>0</v>
      </c>
      <c r="AT29" s="158" t="b">
        <f>AT28=F28+Downer_Contract!AF15</f>
        <v>0</v>
      </c>
      <c r="AU29" s="264" t="b">
        <f>AU28=G28+Downer_Contract!AG15</f>
        <v>0</v>
      </c>
      <c r="AV29" s="158" t="b">
        <f>AV28=H28+Downer_Contract!AH15</f>
        <v>0</v>
      </c>
      <c r="AW29" s="158" t="b">
        <f>AW28=I28+Downer_Contract!AI15</f>
        <v>0</v>
      </c>
      <c r="AX29" s="158" t="b">
        <f>AX28=J28+Downer_Contract!AJ15</f>
        <v>0</v>
      </c>
      <c r="AY29" s="158" t="b">
        <f>AY28=K28+Downer_Contract!AK15</f>
        <v>0</v>
      </c>
      <c r="AZ29" s="158" t="b">
        <f>AZ28=(L28+SUM(Downer_Contract!AG15:AK15))</f>
        <v>0</v>
      </c>
      <c r="BB29" s="1" t="b">
        <f>BB28=AusNet_Overheads!H17</f>
        <v>0</v>
      </c>
      <c r="BC29" s="1" t="b">
        <f>BC28=AusNet_Overheads!I17</f>
        <v>0</v>
      </c>
      <c r="BD29" s="1" t="b">
        <f>BD28=AusNet_Overheads!J17</f>
        <v>0</v>
      </c>
      <c r="BE29" s="38" t="b">
        <f>BE28=AusNet_Overheads!K17</f>
        <v>1</v>
      </c>
      <c r="BF29" s="1" t="b">
        <f>BF28=AusNet_Overheads!L17</f>
        <v>1</v>
      </c>
      <c r="BG29" s="1" t="b">
        <f>BG28=AusNet_Overheads!M17</f>
        <v>1</v>
      </c>
      <c r="BH29" s="1" t="b">
        <f>BH28=AusNet_Overheads!N17</f>
        <v>1</v>
      </c>
      <c r="BI29" s="1" t="b">
        <f>BI28=AusNet_Overheads!O17</f>
        <v>1</v>
      </c>
    </row>
    <row r="30" spans="2:72">
      <c r="B30" s="1" t="s">
        <v>481</v>
      </c>
      <c r="X30" s="158"/>
    </row>
    <row r="31" spans="2:72">
      <c r="C31" s="1" t="s">
        <v>10</v>
      </c>
      <c r="D31" s="359">
        <f t="shared" ref="D31:D33" si="97">D6+D11+D16</f>
        <v>0</v>
      </c>
      <c r="E31" s="876"/>
      <c r="F31" s="876"/>
      <c r="G31" s="877"/>
      <c r="H31" s="876"/>
      <c r="I31" s="876"/>
      <c r="J31" s="876"/>
      <c r="K31" s="876"/>
      <c r="L31" s="876"/>
      <c r="M31" s="158"/>
      <c r="N31" s="158">
        <f t="shared" ref="N31:N33" si="98">N6+N11+N16</f>
        <v>0</v>
      </c>
      <c r="O31" s="876"/>
      <c r="P31" s="876"/>
      <c r="Q31" s="877"/>
      <c r="R31" s="876"/>
      <c r="S31" s="876"/>
      <c r="T31" s="876"/>
      <c r="U31" s="876"/>
      <c r="V31" s="876"/>
      <c r="W31" s="158"/>
      <c r="X31" s="158">
        <f t="shared" ref="X31:X33" si="99">X6+X11+X16</f>
        <v>0</v>
      </c>
      <c r="Y31" s="876"/>
      <c r="Z31" s="876"/>
      <c r="AA31" s="877"/>
      <c r="AB31" s="876"/>
      <c r="AC31" s="876"/>
      <c r="AD31" s="876"/>
      <c r="AE31" s="876"/>
      <c r="AF31" s="876"/>
      <c r="AH31" s="876"/>
      <c r="AI31" s="876"/>
      <c r="AJ31" s="876"/>
      <c r="AK31" s="877"/>
      <c r="AL31" s="876"/>
      <c r="AM31" s="876"/>
      <c r="AN31" s="876"/>
      <c r="AO31" s="876"/>
      <c r="AP31" s="876"/>
      <c r="AR31" s="158">
        <f t="shared" ref="AR31:AS33" si="100">AR6+AR11+AR16</f>
        <v>0</v>
      </c>
      <c r="AS31" s="158">
        <f t="shared" si="100"/>
        <v>0</v>
      </c>
      <c r="AT31" s="158">
        <f t="shared" ref="AT31" si="101">AT6+AT11+AT16</f>
        <v>1761.3178062805785</v>
      </c>
      <c r="AU31" s="264">
        <f t="shared" ref="AU31:AY33" si="102">AU6+AU11+AU16</f>
        <v>78076.22838601649</v>
      </c>
      <c r="AV31" s="158">
        <f t="shared" si="102"/>
        <v>73863.634052321446</v>
      </c>
      <c r="AW31" s="158">
        <f t="shared" si="102"/>
        <v>23342.132877175311</v>
      </c>
      <c r="AX31" s="158">
        <f t="shared" si="102"/>
        <v>16523.928457038808</v>
      </c>
      <c r="AY31" s="158">
        <f t="shared" si="102"/>
        <v>15544.25162443897</v>
      </c>
      <c r="AZ31" s="158">
        <f>SUM(AU31:AY31)</f>
        <v>207350.17539699102</v>
      </c>
      <c r="BB31" s="158">
        <f t="shared" ref="BB31:BC33" si="103">BB6+BB11+BB16</f>
        <v>0</v>
      </c>
      <c r="BC31" s="158">
        <f t="shared" si="103"/>
        <v>0</v>
      </c>
      <c r="BD31" s="158">
        <f t="shared" ref="BD31" si="104">BD6+BD11+BD16</f>
        <v>170.73445798100599</v>
      </c>
      <c r="BE31" s="264">
        <f t="shared" ref="BE31:BI33" si="105">BE6+BE11+BE16</f>
        <v>7936.3812069553514</v>
      </c>
      <c r="BF31" s="158">
        <f t="shared" si="105"/>
        <v>7136.2176773453375</v>
      </c>
      <c r="BG31" s="158">
        <f t="shared" si="105"/>
        <v>2727.7830067155605</v>
      </c>
      <c r="BH31" s="158">
        <f t="shared" si="105"/>
        <v>2141.8229898668901</v>
      </c>
      <c r="BI31" s="158">
        <f t="shared" si="105"/>
        <v>2114.7023388782059</v>
      </c>
      <c r="BJ31" s="158">
        <f>SUM(BE31:BI31)</f>
        <v>22056.907219761346</v>
      </c>
      <c r="BL31" s="158">
        <f t="shared" ref="BL31:BM33" si="106">BL6+BL11+BL16</f>
        <v>0</v>
      </c>
      <c r="BM31" s="158">
        <f t="shared" si="106"/>
        <v>0</v>
      </c>
      <c r="BN31" s="158">
        <f t="shared" ref="BN31" si="107">BN6+BN11+BN16</f>
        <v>1932.0522642615845</v>
      </c>
      <c r="BO31" s="264">
        <f t="shared" ref="BO31:BS33" si="108">BO6+BO11+BO16</f>
        <v>86012.609592971843</v>
      </c>
      <c r="BP31" s="158">
        <f t="shared" si="108"/>
        <v>80999.851729666771</v>
      </c>
      <c r="BQ31" s="158">
        <f t="shared" si="108"/>
        <v>26069.91588389087</v>
      </c>
      <c r="BR31" s="158">
        <f t="shared" si="108"/>
        <v>18665.751446905699</v>
      </c>
      <c r="BS31" s="158">
        <f t="shared" si="108"/>
        <v>17658.953963317177</v>
      </c>
      <c r="BT31" s="158">
        <f>SUM(BO31:BS31)</f>
        <v>229407.08261675236</v>
      </c>
    </row>
    <row r="32" spans="2:72">
      <c r="C32" s="1" t="s">
        <v>150</v>
      </c>
      <c r="D32" s="359">
        <f t="shared" si="97"/>
        <v>0</v>
      </c>
      <c r="E32" s="876"/>
      <c r="F32" s="876"/>
      <c r="G32" s="877"/>
      <c r="H32" s="876"/>
      <c r="I32" s="876"/>
      <c r="J32" s="876"/>
      <c r="K32" s="876"/>
      <c r="L32" s="876"/>
      <c r="M32" s="158"/>
      <c r="N32" s="158">
        <f t="shared" si="98"/>
        <v>0</v>
      </c>
      <c r="O32" s="876"/>
      <c r="P32" s="876"/>
      <c r="Q32" s="877"/>
      <c r="R32" s="876"/>
      <c r="S32" s="876"/>
      <c r="T32" s="876"/>
      <c r="U32" s="876"/>
      <c r="V32" s="876"/>
      <c r="W32" s="157"/>
      <c r="X32" s="158">
        <f t="shared" si="99"/>
        <v>0</v>
      </c>
      <c r="Y32" s="876"/>
      <c r="Z32" s="876"/>
      <c r="AA32" s="877"/>
      <c r="AB32" s="876"/>
      <c r="AC32" s="876"/>
      <c r="AD32" s="876"/>
      <c r="AE32" s="876"/>
      <c r="AF32" s="876"/>
      <c r="AH32" s="876"/>
      <c r="AI32" s="876"/>
      <c r="AJ32" s="876"/>
      <c r="AK32" s="877"/>
      <c r="AL32" s="876"/>
      <c r="AM32" s="876"/>
      <c r="AN32" s="876"/>
      <c r="AO32" s="876"/>
      <c r="AP32" s="876"/>
      <c r="AR32" s="158">
        <f t="shared" si="100"/>
        <v>0</v>
      </c>
      <c r="AS32" s="158">
        <f t="shared" si="100"/>
        <v>1072.5630793214652</v>
      </c>
      <c r="AT32" s="158">
        <f t="shared" ref="AT32" si="109">AT7+AT12+AT17</f>
        <v>9533.2551214598116</v>
      </c>
      <c r="AU32" s="264">
        <f t="shared" si="102"/>
        <v>131666.71694649121</v>
      </c>
      <c r="AV32" s="158">
        <f t="shared" si="102"/>
        <v>133095.71923978053</v>
      </c>
      <c r="AW32" s="158">
        <f t="shared" si="102"/>
        <v>129707.01854649426</v>
      </c>
      <c r="AX32" s="158">
        <f t="shared" si="102"/>
        <v>114598.47703251873</v>
      </c>
      <c r="AY32" s="158">
        <f t="shared" si="102"/>
        <v>106475.75669440009</v>
      </c>
      <c r="AZ32" s="158">
        <f>SUM(AU32:AY32)</f>
        <v>615543.68845968472</v>
      </c>
      <c r="BB32" s="158">
        <f t="shared" si="103"/>
        <v>0</v>
      </c>
      <c r="BC32" s="158">
        <f t="shared" si="103"/>
        <v>88.266994222259385</v>
      </c>
      <c r="BD32" s="158">
        <f t="shared" ref="BD32" si="110">BD7+BD12+BD17</f>
        <v>924.11212794938615</v>
      </c>
      <c r="BE32" s="264">
        <f t="shared" si="105"/>
        <v>13383.808100837967</v>
      </c>
      <c r="BF32" s="158">
        <f t="shared" si="105"/>
        <v>12858.831502185785</v>
      </c>
      <c r="BG32" s="158">
        <f t="shared" si="105"/>
        <v>15157.680872806464</v>
      </c>
      <c r="BH32" s="158">
        <f t="shared" si="105"/>
        <v>14854.194833276804</v>
      </c>
      <c r="BI32" s="158">
        <f t="shared" si="105"/>
        <v>14485.389014255707</v>
      </c>
      <c r="BJ32" s="158">
        <f>SUM(BE32:BI32)</f>
        <v>70739.904323362731</v>
      </c>
      <c r="BL32" s="158">
        <f t="shared" si="106"/>
        <v>0</v>
      </c>
      <c r="BM32" s="158">
        <f t="shared" si="106"/>
        <v>1160.8300735437247</v>
      </c>
      <c r="BN32" s="158">
        <f t="shared" ref="BN32" si="111">BN7+BN12+BN17</f>
        <v>10457.367249409197</v>
      </c>
      <c r="BO32" s="264">
        <f t="shared" si="108"/>
        <v>145050.5250473292</v>
      </c>
      <c r="BP32" s="158">
        <f t="shared" si="108"/>
        <v>145954.55074196635</v>
      </c>
      <c r="BQ32" s="158">
        <f t="shared" si="108"/>
        <v>144864.69941930074</v>
      </c>
      <c r="BR32" s="158">
        <f t="shared" si="108"/>
        <v>129452.67186579554</v>
      </c>
      <c r="BS32" s="158">
        <f t="shared" si="108"/>
        <v>120961.14570865579</v>
      </c>
      <c r="BT32" s="158">
        <f>SUM(BO32:BS32)</f>
        <v>686283.59278304758</v>
      </c>
    </row>
    <row r="33" spans="2:72">
      <c r="C33" s="1" t="s">
        <v>32</v>
      </c>
      <c r="D33" s="359">
        <f t="shared" si="97"/>
        <v>0</v>
      </c>
      <c r="E33" s="876"/>
      <c r="F33" s="876"/>
      <c r="G33" s="877"/>
      <c r="H33" s="876"/>
      <c r="I33" s="876"/>
      <c r="J33" s="876"/>
      <c r="K33" s="876"/>
      <c r="L33" s="876"/>
      <c r="M33" s="158"/>
      <c r="N33" s="158">
        <f t="shared" si="98"/>
        <v>0</v>
      </c>
      <c r="O33" s="876"/>
      <c r="P33" s="876"/>
      <c r="Q33" s="877"/>
      <c r="R33" s="876"/>
      <c r="S33" s="876"/>
      <c r="T33" s="876"/>
      <c r="U33" s="876"/>
      <c r="V33" s="876"/>
      <c r="W33" s="157"/>
      <c r="X33" s="158">
        <f t="shared" si="99"/>
        <v>0</v>
      </c>
      <c r="Y33" s="876"/>
      <c r="Z33" s="876"/>
      <c r="AA33" s="877"/>
      <c r="AB33" s="876"/>
      <c r="AC33" s="876"/>
      <c r="AD33" s="876"/>
      <c r="AE33" s="876"/>
      <c r="AF33" s="876"/>
      <c r="AH33" s="876"/>
      <c r="AI33" s="876"/>
      <c r="AJ33" s="876"/>
      <c r="AK33" s="877"/>
      <c r="AL33" s="876"/>
      <c r="AM33" s="876"/>
      <c r="AN33" s="876"/>
      <c r="AO33" s="876"/>
      <c r="AP33" s="876"/>
      <c r="AR33" s="158">
        <f t="shared" si="100"/>
        <v>0</v>
      </c>
      <c r="AS33" s="158">
        <f t="shared" si="100"/>
        <v>0</v>
      </c>
      <c r="AT33" s="158">
        <f t="shared" ref="AT33" si="112">AT8+AT13+AT18</f>
        <v>0</v>
      </c>
      <c r="AU33" s="264">
        <f>AU8+AU13+AU18</f>
        <v>69200.546851055115</v>
      </c>
      <c r="AV33" s="158">
        <f t="shared" si="102"/>
        <v>107290.29398211329</v>
      </c>
      <c r="AW33" s="158">
        <f t="shared" si="102"/>
        <v>107314.55248371096</v>
      </c>
      <c r="AX33" s="158">
        <f t="shared" si="102"/>
        <v>107915.62125604192</v>
      </c>
      <c r="AY33" s="158">
        <f t="shared" si="102"/>
        <v>108546.9998977801</v>
      </c>
      <c r="AZ33" s="158">
        <f>SUM(AU33:AY33)</f>
        <v>500268.01447070146</v>
      </c>
      <c r="BB33" s="158">
        <f t="shared" si="103"/>
        <v>0</v>
      </c>
      <c r="BC33" s="158">
        <f t="shared" si="103"/>
        <v>0</v>
      </c>
      <c r="BD33" s="158">
        <f t="shared" ref="BD33" si="113">BD8+BD13+BD18</f>
        <v>0</v>
      </c>
      <c r="BE33" s="264">
        <f t="shared" si="105"/>
        <v>4557.8532364697094</v>
      </c>
      <c r="BF33" s="158">
        <f t="shared" si="105"/>
        <v>6009.5905997422378</v>
      </c>
      <c r="BG33" s="158">
        <f t="shared" si="105"/>
        <v>6898.7819590823465</v>
      </c>
      <c r="BH33" s="158">
        <f t="shared" si="105"/>
        <v>7429.8545825077681</v>
      </c>
      <c r="BI33" s="158">
        <f t="shared" si="105"/>
        <v>7702.5248680026998</v>
      </c>
      <c r="BJ33" s="158">
        <f>SUM(BE33:BI33)</f>
        <v>32598.60524580476</v>
      </c>
      <c r="BL33" s="158">
        <f t="shared" si="106"/>
        <v>0</v>
      </c>
      <c r="BM33" s="158">
        <f t="shared" si="106"/>
        <v>0</v>
      </c>
      <c r="BN33" s="158">
        <f t="shared" ref="BN33" si="114">BN8+BN13+BN18</f>
        <v>0</v>
      </c>
      <c r="BO33" s="264">
        <f t="shared" si="108"/>
        <v>73758.400087524831</v>
      </c>
      <c r="BP33" s="158">
        <f t="shared" si="108"/>
        <v>113299.88458185553</v>
      </c>
      <c r="BQ33" s="158">
        <f t="shared" si="108"/>
        <v>114213.3344427933</v>
      </c>
      <c r="BR33" s="158">
        <f t="shared" si="108"/>
        <v>115345.4758385497</v>
      </c>
      <c r="BS33" s="158">
        <f t="shared" si="108"/>
        <v>116249.5247657828</v>
      </c>
      <c r="BT33" s="158">
        <f>SUM(BO33:BS33)</f>
        <v>532866.6197165061</v>
      </c>
    </row>
    <row r="34" spans="2:72">
      <c r="C34" s="1" t="s">
        <v>480</v>
      </c>
      <c r="D34" s="158">
        <f t="shared" ref="D34" si="115">D26</f>
        <v>0</v>
      </c>
      <c r="E34" s="876"/>
      <c r="F34" s="876"/>
      <c r="G34" s="877"/>
      <c r="H34" s="876"/>
      <c r="I34" s="876"/>
      <c r="J34" s="876"/>
      <c r="K34" s="876"/>
      <c r="L34" s="876"/>
      <c r="M34" s="158"/>
      <c r="N34" s="158">
        <f t="shared" ref="N34" si="116">N26</f>
        <v>0</v>
      </c>
      <c r="O34" s="876"/>
      <c r="P34" s="876"/>
      <c r="Q34" s="877"/>
      <c r="R34" s="876"/>
      <c r="S34" s="876"/>
      <c r="T34" s="876"/>
      <c r="U34" s="876"/>
      <c r="V34" s="876"/>
      <c r="W34" s="271"/>
      <c r="X34" s="158">
        <f t="shared" ref="X34" si="117">X26</f>
        <v>0</v>
      </c>
      <c r="Y34" s="876"/>
      <c r="Z34" s="876"/>
      <c r="AA34" s="877"/>
      <c r="AB34" s="876"/>
      <c r="AC34" s="876"/>
      <c r="AD34" s="876"/>
      <c r="AE34" s="876"/>
      <c r="AF34" s="876"/>
      <c r="AH34" s="876"/>
      <c r="AI34" s="876"/>
      <c r="AJ34" s="876"/>
      <c r="AK34" s="877"/>
      <c r="AL34" s="876"/>
      <c r="AM34" s="876"/>
      <c r="AN34" s="876"/>
      <c r="AO34" s="876"/>
      <c r="AP34" s="876"/>
      <c r="AR34" s="158">
        <f t="shared" ref="AR34:AY34" si="118">AR26</f>
        <v>0</v>
      </c>
      <c r="AS34" s="158">
        <f t="shared" si="118"/>
        <v>0</v>
      </c>
      <c r="AT34" s="158">
        <f t="shared" ref="AT34" si="119">AT26</f>
        <v>22484.094867446507</v>
      </c>
      <c r="AU34" s="264">
        <f t="shared" si="118"/>
        <v>53167.13708169532</v>
      </c>
      <c r="AV34" s="158">
        <f t="shared" si="118"/>
        <v>35145.505438605971</v>
      </c>
      <c r="AW34" s="158">
        <f t="shared" si="118"/>
        <v>39163.325710371835</v>
      </c>
      <c r="AX34" s="158">
        <f t="shared" si="118"/>
        <v>34488.289898108967</v>
      </c>
      <c r="AY34" s="158">
        <f t="shared" si="118"/>
        <v>39221.484168662246</v>
      </c>
      <c r="AZ34" s="158">
        <f>SUM(AU34:AY34)</f>
        <v>201185.74229744435</v>
      </c>
      <c r="BB34" s="158">
        <f t="shared" ref="BB34:BI34" si="120">BB26</f>
        <v>0</v>
      </c>
      <c r="BC34" s="158">
        <f t="shared" si="120"/>
        <v>0</v>
      </c>
      <c r="BD34" s="158">
        <f t="shared" ref="BD34" si="121">BD26</f>
        <v>550.08529117591445</v>
      </c>
      <c r="BE34" s="264">
        <f t="shared" si="120"/>
        <v>2532.8759933027263</v>
      </c>
      <c r="BF34" s="158">
        <f t="shared" si="120"/>
        <v>2468.8505143943421</v>
      </c>
      <c r="BG34" s="158">
        <f t="shared" si="120"/>
        <v>2481.1858027143085</v>
      </c>
      <c r="BH34" s="158">
        <f t="shared" si="120"/>
        <v>2475.6385745397188</v>
      </c>
      <c r="BI34" s="158">
        <f t="shared" si="120"/>
        <v>2477.5710128328874</v>
      </c>
      <c r="BJ34" s="158">
        <f>SUM(BE34:BI34)</f>
        <v>12436.121897783982</v>
      </c>
      <c r="BL34" s="158">
        <f t="shared" ref="BL34:BS34" si="122">BL26</f>
        <v>0</v>
      </c>
      <c r="BM34" s="158">
        <f t="shared" si="122"/>
        <v>0</v>
      </c>
      <c r="BN34" s="158">
        <f t="shared" ref="BN34" si="123">BN26</f>
        <v>23034.180158622421</v>
      </c>
      <c r="BO34" s="264">
        <f t="shared" si="122"/>
        <v>55700.013074998045</v>
      </c>
      <c r="BP34" s="158">
        <f t="shared" si="122"/>
        <v>37614.355953000311</v>
      </c>
      <c r="BQ34" s="158">
        <f t="shared" si="122"/>
        <v>41644.511513086145</v>
      </c>
      <c r="BR34" s="158">
        <f t="shared" si="122"/>
        <v>36963.928472648688</v>
      </c>
      <c r="BS34" s="158">
        <f t="shared" si="122"/>
        <v>41699.055181495132</v>
      </c>
      <c r="BT34" s="158">
        <f>SUM(BO34:BS34)</f>
        <v>213621.86419522832</v>
      </c>
    </row>
    <row r="35" spans="2:72">
      <c r="D35" s="158"/>
      <c r="E35" s="876"/>
      <c r="F35" s="876"/>
      <c r="G35" s="907"/>
      <c r="H35" s="876"/>
      <c r="I35" s="876"/>
      <c r="J35" s="876"/>
      <c r="K35" s="876"/>
      <c r="L35" s="876"/>
      <c r="M35" s="158"/>
      <c r="N35" s="158"/>
      <c r="O35" s="876"/>
      <c r="P35" s="876"/>
      <c r="Q35" s="876"/>
      <c r="R35" s="876"/>
      <c r="S35" s="876"/>
      <c r="T35" s="876"/>
      <c r="U35" s="876"/>
      <c r="V35" s="876"/>
      <c r="W35" s="158"/>
      <c r="X35" s="158"/>
      <c r="Y35" s="158"/>
      <c r="Z35" s="158"/>
      <c r="AA35" s="265"/>
      <c r="AB35" s="158"/>
      <c r="AC35" s="158"/>
      <c r="AD35" s="158"/>
      <c r="AE35" s="158"/>
      <c r="AF35" s="158"/>
      <c r="AR35" s="158"/>
      <c r="AS35" s="158"/>
      <c r="AT35" s="158"/>
      <c r="AU35" s="265"/>
      <c r="AV35" s="158"/>
      <c r="AW35" s="158"/>
      <c r="AX35" s="158"/>
      <c r="AY35" s="158"/>
      <c r="AZ35" s="158"/>
    </row>
    <row r="36" spans="2:72">
      <c r="B36" s="2"/>
      <c r="C36" s="1" t="s">
        <v>10</v>
      </c>
      <c r="D36" s="158">
        <f>SUMIFS(Augmentation!CQ$6:CQ$37,Augmentation!$G$6:$G$37,$C36)+SUMIFS(Major_Rebuilds!CQ$6:CQ$36,Major_Rebuilds!$G$6:$G$36,$C36)+SUMIFS(Stations!DF$7:DF$38,Stations!$G$7:$G$38,$C36)+SUMIFS(Lines!DF$7:DF$37,Lines!$G$7:$G$37,$C36)+SUMIFS('PC&amp;A'!CQ$6:CQ$36,'PC&amp;A'!$G$6:$G$36,$C36)+SUMIFS('SCADA&amp;Comms'!CQ$6:CQ$36,'SCADA&amp;Comms'!$G$6:$G$36,$C36)+SUMIFS(REFCL!CQ$6:CQ$47,REFCL!$G$6:$G$47,$C36)+SUMIFS(ESL_1!DF$7:DF$37,ESL_1!$G$7:$G$37,$C36)+SUMIFS(ESL_2!CQ$6:CQ$36,ESL_2!$G$6:$G$36,$C36)+SUMIFS(ESL_2!CQ$42:CQ$44,ESL_2!$G$42:$G$44,$C36)+SUMIFS(ICT!BC$6:BC$36,ICT!$G$6:$G$36,$C36)</f>
        <v>0</v>
      </c>
      <c r="E36" s="876"/>
      <c r="F36" s="876"/>
      <c r="G36" s="876"/>
      <c r="H36" s="876"/>
      <c r="I36" s="876"/>
      <c r="J36" s="876"/>
      <c r="K36" s="876"/>
      <c r="L36" s="876"/>
      <c r="N36" s="157">
        <f>SUMIFS(Augmentation!J$6:J$37,Augmentation!$G$6:$G$37,$C36)+SUMIFS(Major_Rebuilds!J$6:J$36,Major_Rebuilds!$G$6:$G$36,$C36)+SUMIFS(Stations!T$7:T$38,Stations!$G$7:$G$38,$C36)+SUMIFS(Lines!T$7:T$37,Lines!$G$7:$G$37,$C36)+SUMIFS('PC&amp;A'!J$6:J$36,'PC&amp;A'!$G$6:$G$36,$C36)+SUMIFS('SCADA&amp;Comms'!J$6:J$36,'SCADA&amp;Comms'!$G$6:$G$36,$C36)+SUMIFS(REFCL!J$6:J$47,REFCL!$G$6:$G$47,$C36)+SUMIFS(ESL_1!T$7:T$37,ESL_1!$G$7:$G$37,$C36)+SUMIFS(ESL_2!J$6:J$36,ESL_2!$G$6:$G$36,$C36)+SUMIFS(ESL_2!J$42:J$44,ESL_2!$G$42:$G$44,$C36)+SUMIFS(ICT!J$6:J$36,ICT!$G$6:$G$36,$C36)</f>
        <v>0</v>
      </c>
      <c r="O36" s="865"/>
      <c r="P36" s="865"/>
      <c r="Q36" s="871"/>
      <c r="R36" s="871"/>
      <c r="S36" s="871"/>
      <c r="T36" s="871"/>
      <c r="U36" s="871"/>
      <c r="V36" s="876"/>
      <c r="AZ36" s="301" t="s">
        <v>506</v>
      </c>
      <c r="BA36" s="302"/>
      <c r="BB36" s="29">
        <f>CP_Yr_4</f>
        <v>43800</v>
      </c>
      <c r="BC36" s="29">
        <f>CP_Yr_5</f>
        <v>44166</v>
      </c>
      <c r="BD36" s="29">
        <f>Stub</f>
        <v>44377</v>
      </c>
      <c r="BE36" s="29">
        <f>Yr_1</f>
        <v>44742</v>
      </c>
      <c r="BF36" s="29">
        <f>Yr_2</f>
        <v>45107</v>
      </c>
      <c r="BG36" s="29">
        <f>Yr_3</f>
        <v>45473</v>
      </c>
      <c r="BH36" s="29">
        <f>Yr_4</f>
        <v>45838</v>
      </c>
      <c r="BI36" s="29">
        <f>Yr_5</f>
        <v>46203</v>
      </c>
    </row>
    <row r="37" spans="2:72">
      <c r="C37" s="1" t="s">
        <v>150</v>
      </c>
      <c r="D37" s="158">
        <f>SUMIFS(Augmentation!CQ$6:CQ$37,Augmentation!$G$6:$G$37,$C37)+SUMIFS(Major_Rebuilds!CQ$6:CQ$36,Major_Rebuilds!$G$6:$G$36,$C37)+SUMIFS(Stations!DF$7:DF$38,Stations!$G$7:$G$38,$C37)+SUMIFS(Lines!DF$7:DF$37,Lines!$G$7:$G$37,$C37)+SUMIFS('PC&amp;A'!CQ$6:CQ$36,'PC&amp;A'!$G$6:$G$36,$C37)+SUMIFS('SCADA&amp;Comms'!CQ$6:CQ$36,'SCADA&amp;Comms'!$G$6:$G$36,$C37)+SUMIFS(REFCL!CQ$6:CQ$47,REFCL!$G$6:$G$47,$C37)+SUMIFS(ESL_1!DF$7:DF$37,ESL_1!$G$7:$G$37,$C37)+SUMIFS(ESL_2!CQ$6:CQ$36,ESL_2!$G$6:$G$36,$C37)+SUMIFS(ESL_2!CQ$42:CQ$44,ESL_2!$G$42:$G$44,$C37)+SUMIFS(Metering_SCS!BC$6:BC$36,Metering_SCS!$G$6:$G$36,$C37)</f>
        <v>0</v>
      </c>
      <c r="E37" s="876"/>
      <c r="F37" s="876"/>
      <c r="G37" s="876"/>
      <c r="H37" s="876"/>
      <c r="I37" s="876"/>
      <c r="J37" s="876"/>
      <c r="K37" s="876"/>
      <c r="L37" s="876"/>
      <c r="N37" s="157">
        <f>SUMIFS(Augmentation!J$6:J$37,Augmentation!$G$6:$G$37,$C37)+SUMIFS(Major_Rebuilds!J$6:J$36,Major_Rebuilds!$G$6:$G$36,$C37)+SUMIFS(Stations!T$7:T$38,Stations!$G$7:$G$38,$C37)+SUMIFS(Lines!T$7:T$37,Lines!$G$7:$G$37,$C37)+SUMIFS('PC&amp;A'!J$6:J$36,'PC&amp;A'!$G$6:$G$36,$C37)+SUMIFS('SCADA&amp;Comms'!J$6:J$36,'SCADA&amp;Comms'!$G$6:$G$36,$C37)+SUMIFS(REFCL!J$6:J$47,REFCL!$G$6:$G$47,$C37)+SUMIFS(ESL_1!T$7:T$37,ESL_1!$G$7:$G$37,$C37)+SUMIFS(ESL_2!J$6:J$36,ESL_2!$G$6:$G$36,$C37)+SUMIFS(ESL_2!J$42:J$44,ESL_2!$G$42:$G$44,$C37)+SUMIFS(Metering_SCS!J$6:J$36,Metering_SCS!$G$6:$G$36,$C37)</f>
        <v>0</v>
      </c>
      <c r="O37" s="865"/>
      <c r="P37" s="865"/>
      <c r="Q37" s="871"/>
      <c r="R37" s="871"/>
      <c r="S37" s="871"/>
      <c r="T37" s="871"/>
      <c r="U37" s="871"/>
      <c r="V37" s="876"/>
      <c r="AZ37" s="251" t="s">
        <v>10</v>
      </c>
      <c r="BA37" s="298"/>
      <c r="BB37" s="79">
        <f>AusNet_Overheads!H$20</f>
        <v>9.2701783377187957E-2</v>
      </c>
      <c r="BC37" s="79">
        <f>AusNet_Overheads!I$20</f>
        <v>8.2295387491894342E-2</v>
      </c>
      <c r="BD37" s="79">
        <f>AusNet_Overheads!J$20</f>
        <v>9.6935633860166584E-2</v>
      </c>
      <c r="BE37" s="79">
        <f>AusNet_Overheads!K$20</f>
        <v>0.10164913663243451</v>
      </c>
      <c r="BF37" s="79">
        <f>AusNet_Overheads!L$20</f>
        <v>9.6613411578022057E-2</v>
      </c>
      <c r="BG37" s="79">
        <f>AusNet_Overheads!M$20</f>
        <v>0.11686091502730135</v>
      </c>
      <c r="BH37" s="79">
        <f>AusNet_Overheads!N$20</f>
        <v>0.12961947852990877</v>
      </c>
      <c r="BI37" s="79">
        <f>AusNet_Overheads!O$20</f>
        <v>0.13604401099332633</v>
      </c>
    </row>
    <row r="38" spans="2:72">
      <c r="C38" s="1" t="s">
        <v>32</v>
      </c>
      <c r="D38" s="158">
        <f>Base_Forecast!Q12</f>
        <v>0</v>
      </c>
      <c r="E38" s="876"/>
      <c r="F38" s="876"/>
      <c r="G38" s="876"/>
      <c r="H38" s="876"/>
      <c r="I38" s="876"/>
      <c r="J38" s="876"/>
      <c r="K38" s="876"/>
      <c r="L38" s="876"/>
      <c r="N38" s="157">
        <f>Base_Forecast!E12</f>
        <v>0</v>
      </c>
      <c r="O38" s="865"/>
      <c r="P38" s="865"/>
      <c r="Q38" s="871"/>
      <c r="R38" s="871"/>
      <c r="S38" s="871"/>
      <c r="T38" s="871"/>
      <c r="U38" s="871"/>
      <c r="V38" s="876"/>
      <c r="AZ38" s="38" t="s">
        <v>150</v>
      </c>
      <c r="BA38" s="248"/>
      <c r="BB38" s="79">
        <f>AusNet_Overheads!H$20</f>
        <v>9.2701783377187957E-2</v>
      </c>
      <c r="BC38" s="79">
        <f>AusNet_Overheads!I$20</f>
        <v>8.2295387491894342E-2</v>
      </c>
      <c r="BD38" s="79">
        <f>AusNet_Overheads!J$20</f>
        <v>9.6935633860166584E-2</v>
      </c>
      <c r="BE38" s="79">
        <f>AusNet_Overheads!K$20</f>
        <v>0.10164913663243451</v>
      </c>
      <c r="BF38" s="79">
        <f>AusNet_Overheads!L$20</f>
        <v>9.6613411578022057E-2</v>
      </c>
      <c r="BG38" s="79">
        <f>AusNet_Overheads!M$20</f>
        <v>0.11686091502730135</v>
      </c>
      <c r="BH38" s="79">
        <f>AusNet_Overheads!N$20</f>
        <v>0.12961947852990877</v>
      </c>
      <c r="BI38" s="79">
        <f>AusNet_Overheads!O$20</f>
        <v>0.13604401099332633</v>
      </c>
    </row>
    <row r="39" spans="2:72">
      <c r="C39" s="1" t="s">
        <v>480</v>
      </c>
      <c r="D39" s="158">
        <f>Base_Forecast!Q35+SUMIFS(REFCL!CQ$6:CQ$47,REFCL!$G$6:$G$47,$C39)+SUMIFS(Augmentation!CQ$6:CQ$37,Augmentation!$G$6:$G$37,$C39)</f>
        <v>0</v>
      </c>
      <c r="E39" s="876"/>
      <c r="F39" s="876"/>
      <c r="G39" s="876"/>
      <c r="H39" s="876"/>
      <c r="I39" s="876"/>
      <c r="J39" s="876"/>
      <c r="K39" s="876"/>
      <c r="L39" s="876"/>
      <c r="N39" s="157">
        <f>Base_Forecast!E35+SUMIFS(REFCL!J$6:J$47,REFCL!$G$6:$G$47,$C39)+SUMIFS(Augmentation!J$6:J$37,Augmentation!$G$6:$G$37,$C39)</f>
        <v>0</v>
      </c>
      <c r="O39" s="865"/>
      <c r="P39" s="865"/>
      <c r="Q39" s="871"/>
      <c r="R39" s="871"/>
      <c r="S39" s="871"/>
      <c r="T39" s="871"/>
      <c r="U39" s="871"/>
      <c r="V39" s="876"/>
      <c r="AZ39" s="299" t="s">
        <v>32</v>
      </c>
      <c r="BA39" s="300"/>
      <c r="BB39" s="79">
        <f>AusNet_Overheads!H21</f>
        <v>7.8422110306589396E-2</v>
      </c>
      <c r="BC39" s="79">
        <f>AusNet_Overheads!I21</f>
        <v>7.0375260011246041E-2</v>
      </c>
      <c r="BD39" s="79">
        <f>AusNet_Overheads!J21</f>
        <v>8.2898493836675233E-2</v>
      </c>
      <c r="BE39" s="79">
        <f>AusNet_Overheads!K21</f>
        <v>9.2774360144063206E-2</v>
      </c>
      <c r="BF39" s="79">
        <f>AusNet_Overheads!L21</f>
        <v>8.2755267364929053E-2</v>
      </c>
      <c r="BG39" s="79">
        <f>AusNet_Overheads!M21</f>
        <v>9.519604087552197E-2</v>
      </c>
      <c r="BH39" s="79">
        <f>AusNet_Overheads!N21</f>
        <v>0.1021901055271988</v>
      </c>
      <c r="BI39" s="79">
        <f>AusNet_Overheads!O21</f>
        <v>0.10541019145935256</v>
      </c>
    </row>
    <row r="40" spans="2:72">
      <c r="AZ40" s="299" t="s">
        <v>482</v>
      </c>
      <c r="BA40" s="300"/>
      <c r="BB40" s="79">
        <f>AusNet_Overheads!H22</f>
        <v>5.9219230995973378E-2</v>
      </c>
      <c r="BC40" s="79">
        <f>AusNet_Overheads!I22</f>
        <v>6.4103446000536829E-2</v>
      </c>
      <c r="BD40" s="79">
        <f>AusNet_Overheads!J22</f>
        <v>2.9684535225751481E-2</v>
      </c>
      <c r="BE40" s="79">
        <f>AusNet_Overheads!K22</f>
        <v>5.9464295439044815E-2</v>
      </c>
      <c r="BF40" s="79">
        <f>AusNet_Overheads!L22</f>
        <v>8.606461798261314E-2</v>
      </c>
      <c r="BG40" s="79">
        <f>AusNet_Overheads!M22</f>
        <v>7.406167158979983E-2</v>
      </c>
      <c r="BH40" s="79">
        <f>AusNet_Overheads!N22</f>
        <v>9.8159908852808786E-2</v>
      </c>
      <c r="BI40" s="79">
        <f>AusNet_Overheads!O22</f>
        <v>0.10004297500181081</v>
      </c>
    </row>
    <row r="41" spans="2:72" ht="15" customHeight="1">
      <c r="C41" s="1" t="s">
        <v>10</v>
      </c>
      <c r="D41" s="158">
        <f>D31-D36</f>
        <v>0</v>
      </c>
      <c r="E41" s="158">
        <f t="shared" ref="E41:L41" si="124">E31-E36</f>
        <v>0</v>
      </c>
      <c r="F41" s="158">
        <f t="shared" ref="F41" si="125">F31-F36</f>
        <v>0</v>
      </c>
      <c r="G41" s="158">
        <f t="shared" si="124"/>
        <v>0</v>
      </c>
      <c r="H41" s="158">
        <f t="shared" si="124"/>
        <v>0</v>
      </c>
      <c r="I41" s="158">
        <f t="shared" si="124"/>
        <v>0</v>
      </c>
      <c r="J41" s="158">
        <f t="shared" si="124"/>
        <v>0</v>
      </c>
      <c r="K41" s="158">
        <f t="shared" si="124"/>
        <v>0</v>
      </c>
      <c r="L41" s="158">
        <f t="shared" si="124"/>
        <v>0</v>
      </c>
      <c r="N41" s="158">
        <f>N31-N36</f>
        <v>0</v>
      </c>
      <c r="O41" s="158">
        <f t="shared" ref="O41:V41" si="126">O31-O36</f>
        <v>0</v>
      </c>
      <c r="P41" s="158">
        <f t="shared" ref="P41" si="127">P31-P36</f>
        <v>0</v>
      </c>
      <c r="Q41" s="158">
        <f t="shared" si="126"/>
        <v>0</v>
      </c>
      <c r="R41" s="158">
        <f t="shared" si="126"/>
        <v>0</v>
      </c>
      <c r="S41" s="158">
        <f t="shared" si="126"/>
        <v>0</v>
      </c>
      <c r="T41" s="158">
        <f t="shared" si="126"/>
        <v>0</v>
      </c>
      <c r="U41" s="158">
        <f t="shared" si="126"/>
        <v>0</v>
      </c>
      <c r="V41" s="158">
        <f t="shared" si="126"/>
        <v>0</v>
      </c>
    </row>
    <row r="42" spans="2:72" ht="15" customHeight="1">
      <c r="C42" s="1" t="s">
        <v>150</v>
      </c>
      <c r="D42" s="158">
        <f t="shared" ref="D42:L42" si="128">D32-D37</f>
        <v>0</v>
      </c>
      <c r="E42" s="158">
        <f t="shared" si="128"/>
        <v>0</v>
      </c>
      <c r="F42" s="158">
        <f t="shared" ref="F42" si="129">F32-F37</f>
        <v>0</v>
      </c>
      <c r="G42" s="158">
        <f t="shared" si="128"/>
        <v>0</v>
      </c>
      <c r="H42" s="158">
        <f t="shared" si="128"/>
        <v>0</v>
      </c>
      <c r="I42" s="158">
        <f t="shared" si="128"/>
        <v>0</v>
      </c>
      <c r="J42" s="158">
        <f t="shared" si="128"/>
        <v>0</v>
      </c>
      <c r="K42" s="158">
        <f t="shared" si="128"/>
        <v>0</v>
      </c>
      <c r="L42" s="158">
        <f t="shared" si="128"/>
        <v>0</v>
      </c>
      <c r="N42" s="158">
        <f t="shared" ref="N42:V42" si="130">N32-N37</f>
        <v>0</v>
      </c>
      <c r="O42" s="158">
        <f t="shared" si="130"/>
        <v>0</v>
      </c>
      <c r="P42" s="158">
        <f t="shared" ref="P42" si="131">P32-P37</f>
        <v>0</v>
      </c>
      <c r="Q42" s="158">
        <f t="shared" si="130"/>
        <v>0</v>
      </c>
      <c r="R42" s="158">
        <f t="shared" si="130"/>
        <v>0</v>
      </c>
      <c r="S42" s="158">
        <f t="shared" si="130"/>
        <v>0</v>
      </c>
      <c r="T42" s="158">
        <f t="shared" si="130"/>
        <v>0</v>
      </c>
      <c r="U42" s="158">
        <f t="shared" si="130"/>
        <v>0</v>
      </c>
      <c r="V42" s="158">
        <f t="shared" si="130"/>
        <v>0</v>
      </c>
      <c r="BO42" s="158"/>
      <c r="BP42" s="158"/>
      <c r="BQ42" s="158"/>
      <c r="BR42" s="158"/>
      <c r="BS42" s="158"/>
      <c r="BT42" s="158"/>
    </row>
    <row r="43" spans="2:72" ht="15" customHeight="1">
      <c r="C43" s="1" t="s">
        <v>32</v>
      </c>
      <c r="D43" s="158">
        <f t="shared" ref="D43:L43" si="132">D33-D38</f>
        <v>0</v>
      </c>
      <c r="E43" s="158">
        <f t="shared" si="132"/>
        <v>0</v>
      </c>
      <c r="F43" s="158">
        <f t="shared" ref="F43" si="133">F33-F38</f>
        <v>0</v>
      </c>
      <c r="G43" s="158">
        <f t="shared" si="132"/>
        <v>0</v>
      </c>
      <c r="H43" s="158">
        <f t="shared" si="132"/>
        <v>0</v>
      </c>
      <c r="I43" s="158">
        <f t="shared" si="132"/>
        <v>0</v>
      </c>
      <c r="J43" s="158">
        <f t="shared" si="132"/>
        <v>0</v>
      </c>
      <c r="K43" s="158">
        <f t="shared" si="132"/>
        <v>0</v>
      </c>
      <c r="L43" s="158">
        <f t="shared" si="132"/>
        <v>0</v>
      </c>
      <c r="N43" s="158">
        <f t="shared" ref="N43:V43" si="134">N33-N38</f>
        <v>0</v>
      </c>
      <c r="O43" s="158">
        <f t="shared" si="134"/>
        <v>0</v>
      </c>
      <c r="P43" s="158">
        <f t="shared" ref="P43" si="135">P33-P38</f>
        <v>0</v>
      </c>
      <c r="Q43" s="158">
        <f t="shared" si="134"/>
        <v>0</v>
      </c>
      <c r="R43" s="158">
        <f t="shared" si="134"/>
        <v>0</v>
      </c>
      <c r="S43" s="158">
        <f t="shared" si="134"/>
        <v>0</v>
      </c>
      <c r="T43" s="158">
        <f t="shared" si="134"/>
        <v>0</v>
      </c>
      <c r="U43" s="158">
        <f t="shared" si="134"/>
        <v>0</v>
      </c>
      <c r="V43" s="158">
        <f t="shared" si="134"/>
        <v>0</v>
      </c>
    </row>
    <row r="44" spans="2:72" ht="15" customHeight="1">
      <c r="C44" s="1" t="s">
        <v>480</v>
      </c>
      <c r="D44" s="158">
        <f t="shared" ref="D44:L44" si="136">D34-D39</f>
        <v>0</v>
      </c>
      <c r="E44" s="158">
        <f t="shared" si="136"/>
        <v>0</v>
      </c>
      <c r="F44" s="158">
        <f t="shared" ref="F44" si="137">F34-F39</f>
        <v>0</v>
      </c>
      <c r="G44" s="158">
        <f t="shared" si="136"/>
        <v>0</v>
      </c>
      <c r="H44" s="158">
        <f t="shared" si="136"/>
        <v>0</v>
      </c>
      <c r="I44" s="158">
        <f t="shared" si="136"/>
        <v>0</v>
      </c>
      <c r="J44" s="158">
        <f t="shared" si="136"/>
        <v>0</v>
      </c>
      <c r="K44" s="158">
        <f t="shared" si="136"/>
        <v>0</v>
      </c>
      <c r="L44" s="158">
        <f t="shared" si="136"/>
        <v>0</v>
      </c>
      <c r="N44" s="158">
        <f t="shared" ref="N44:V44" si="138">N34-N39</f>
        <v>0</v>
      </c>
      <c r="O44" s="158">
        <f t="shared" si="138"/>
        <v>0</v>
      </c>
      <c r="P44" s="158">
        <f t="shared" ref="P44" si="139">P34-P39</f>
        <v>0</v>
      </c>
      <c r="Q44" s="158">
        <f t="shared" si="138"/>
        <v>0</v>
      </c>
      <c r="R44" s="158">
        <f t="shared" si="138"/>
        <v>0</v>
      </c>
      <c r="S44" s="158">
        <f t="shared" si="138"/>
        <v>0</v>
      </c>
      <c r="T44" s="158">
        <f t="shared" si="138"/>
        <v>0</v>
      </c>
      <c r="U44" s="158">
        <f t="shared" si="138"/>
        <v>0</v>
      </c>
      <c r="V44" s="158">
        <f t="shared" si="138"/>
        <v>0</v>
      </c>
    </row>
    <row r="45" spans="2:72" ht="15" customHeight="1"/>
    <row r="48" spans="2:72">
      <c r="AU48" s="158"/>
    </row>
    <row r="49" spans="47:47">
      <c r="AU49" s="669"/>
    </row>
  </sheetData>
  <mergeCells count="1">
    <mergeCell ref="T1:U1"/>
  </mergeCells>
  <hyperlinks>
    <hyperlink ref="B2" location="Contents!A1" display="Table of Contents"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BU55"/>
  <sheetViews>
    <sheetView zoomScale="85" zoomScaleNormal="85" workbookViewId="0">
      <pane xSplit="3" ySplit="4" topLeftCell="D29" activePane="bottomRight" state="frozen"/>
      <selection activeCell="V33" sqref="V33"/>
      <selection pane="topRight" activeCell="V33" sqref="V33"/>
      <selection pane="bottomLeft" activeCell="V33" sqref="V33"/>
      <selection pane="bottomRight" activeCell="K37" sqref="K37"/>
    </sheetView>
  </sheetViews>
  <sheetFormatPr defaultColWidth="9.140625" defaultRowHeight="15" outlineLevelRow="1" outlineLevelCol="1"/>
  <cols>
    <col min="1" max="1" width="4" style="1" customWidth="1"/>
    <col min="2" max="2" width="3.28515625" style="1" customWidth="1"/>
    <col min="3" max="3" width="34.85546875" style="1" customWidth="1"/>
    <col min="4" max="6" width="9.28515625" style="1" customWidth="1" outlineLevel="1"/>
    <col min="7" max="11" width="9.28515625" style="1" customWidth="1"/>
    <col min="12" max="12" width="11.5703125" style="1" customWidth="1"/>
    <col min="13" max="13" width="5" style="1" customWidth="1"/>
    <col min="14" max="16" width="8.28515625" style="1" customWidth="1" outlineLevel="1"/>
    <col min="17" max="21" width="9.85546875" style="1" customWidth="1"/>
    <col min="22" max="22" width="10.28515625" style="1" customWidth="1"/>
    <col min="23" max="23" width="4" style="1" customWidth="1"/>
    <col min="24" max="26" width="9.28515625" style="1" customWidth="1" outlineLevel="1"/>
    <col min="27" max="32" width="9.28515625" style="1" customWidth="1"/>
    <col min="33" max="33" width="5" style="1" customWidth="1"/>
    <col min="34" max="36" width="9.5703125" style="1" customWidth="1" outlineLevel="1"/>
    <col min="37" max="41" width="9.5703125" style="1" customWidth="1"/>
    <col min="42" max="42" width="11" style="1" customWidth="1"/>
    <col min="43" max="43" width="4" style="1" customWidth="1"/>
    <col min="44" max="46" width="8.42578125" style="1" customWidth="1" outlineLevel="1"/>
    <col min="47" max="51" width="8.42578125" style="1" customWidth="1"/>
    <col min="52" max="52" width="10.42578125" style="1" customWidth="1"/>
    <col min="53" max="53" width="4.85546875" style="1" customWidth="1"/>
    <col min="54" max="55" width="10" style="1" customWidth="1" outlineLevel="1"/>
    <col min="56" max="56" width="9" style="1" customWidth="1" outlineLevel="1"/>
    <col min="57" max="61" width="10" style="1" customWidth="1"/>
    <col min="62" max="62" width="11.42578125" style="1" customWidth="1"/>
    <col min="63" max="63" width="4.42578125" style="1" customWidth="1"/>
    <col min="64" max="64" width="12" style="1" bestFit="1" customWidth="1"/>
    <col min="65" max="72" width="9.140625" style="1"/>
    <col min="73" max="73" width="15.28515625" style="1" bestFit="1" customWidth="1"/>
    <col min="74" max="16384" width="9.140625" style="1"/>
  </cols>
  <sheetData>
    <row r="1" spans="2:70" ht="18.75">
      <c r="B1" s="10" t="s">
        <v>503</v>
      </c>
      <c r="H1" s="969" t="s">
        <v>737</v>
      </c>
      <c r="I1" s="969"/>
    </row>
    <row r="2" spans="2:70">
      <c r="B2" s="25" t="s">
        <v>6</v>
      </c>
      <c r="G2" s="54" t="s">
        <v>670</v>
      </c>
      <c r="M2" s="247" t="s">
        <v>494</v>
      </c>
      <c r="AR2" s="162"/>
      <c r="AV2" s="162"/>
      <c r="BB2" s="162"/>
      <c r="BF2" s="162"/>
      <c r="BL2" s="100">
        <f>Escalators!$P$14</f>
        <v>1.0597841134352426</v>
      </c>
      <c r="BM2" s="183" t="s">
        <v>583</v>
      </c>
    </row>
    <row r="3" spans="2:70">
      <c r="B3" s="2"/>
      <c r="E3" s="253"/>
      <c r="F3" s="253"/>
      <c r="G3" s="2" t="s">
        <v>490</v>
      </c>
      <c r="H3" s="2"/>
      <c r="I3" s="2"/>
      <c r="J3" s="2"/>
      <c r="K3" s="2"/>
      <c r="L3" s="43" t="s">
        <v>137</v>
      </c>
      <c r="M3" s="2" t="s">
        <v>495</v>
      </c>
      <c r="O3" s="253"/>
      <c r="P3" s="253"/>
      <c r="Q3" s="2"/>
      <c r="R3" s="2"/>
      <c r="S3" s="2"/>
      <c r="T3" s="2"/>
      <c r="U3" s="2"/>
      <c r="V3" s="43" t="s">
        <v>137</v>
      </c>
      <c r="W3" s="2" t="s">
        <v>607</v>
      </c>
      <c r="Y3" s="2"/>
      <c r="Z3" s="2"/>
      <c r="AA3" s="2"/>
      <c r="AB3" s="2"/>
      <c r="AC3" s="2"/>
      <c r="AD3" s="2"/>
      <c r="AE3" s="2"/>
      <c r="AF3" s="43" t="s">
        <v>137</v>
      </c>
      <c r="AG3" s="2" t="s">
        <v>495</v>
      </c>
      <c r="AI3" s="253"/>
      <c r="AJ3" s="253"/>
      <c r="AK3" s="2"/>
      <c r="AL3" s="2"/>
      <c r="AM3" s="2"/>
      <c r="AN3" s="2"/>
      <c r="AO3" s="2"/>
      <c r="AP3" s="43" t="s">
        <v>137</v>
      </c>
      <c r="AQ3" s="2" t="s">
        <v>487</v>
      </c>
      <c r="AS3" s="2"/>
      <c r="AT3" s="2"/>
      <c r="AU3" s="2"/>
      <c r="AV3" s="2"/>
      <c r="AW3" s="2"/>
      <c r="AX3" s="2"/>
      <c r="AY3" s="2"/>
      <c r="AZ3" s="43" t="s">
        <v>137</v>
      </c>
      <c r="BA3" s="2" t="s">
        <v>488</v>
      </c>
      <c r="BC3" s="2"/>
      <c r="BD3" s="2"/>
      <c r="BE3" s="2"/>
      <c r="BF3" s="2"/>
      <c r="BG3" s="2"/>
      <c r="BH3" s="2"/>
      <c r="BI3" s="2"/>
      <c r="BJ3" s="43" t="s">
        <v>137</v>
      </c>
      <c r="BL3" s="971" t="s">
        <v>722</v>
      </c>
      <c r="BM3" s="971"/>
      <c r="BN3" s="971"/>
      <c r="BO3" s="971"/>
      <c r="BP3" s="971"/>
      <c r="BQ3" s="971"/>
    </row>
    <row r="4" spans="2:70">
      <c r="D4" s="333">
        <f>CP_Yr_4</f>
        <v>43800</v>
      </c>
      <c r="E4" s="333">
        <f>CP_Yr_5</f>
        <v>44166</v>
      </c>
      <c r="F4" s="333">
        <f>Stub</f>
        <v>44377</v>
      </c>
      <c r="G4" s="337">
        <f>Yr_1</f>
        <v>44742</v>
      </c>
      <c r="H4" s="333">
        <f>Yr_2</f>
        <v>45107</v>
      </c>
      <c r="I4" s="333">
        <f>Yr_3</f>
        <v>45473</v>
      </c>
      <c r="J4" s="333">
        <f>Yr_4</f>
        <v>45838</v>
      </c>
      <c r="K4" s="333">
        <f>Yr_5</f>
        <v>46203</v>
      </c>
      <c r="L4" s="43" t="str">
        <f>NReg_Period</f>
        <v>2022-26</v>
      </c>
      <c r="M4" s="262"/>
      <c r="N4" s="333">
        <f>CP_Yr_4</f>
        <v>43800</v>
      </c>
      <c r="O4" s="333">
        <f>CP_Yr_5</f>
        <v>44166</v>
      </c>
      <c r="P4" s="333">
        <f>Stub</f>
        <v>44377</v>
      </c>
      <c r="Q4" s="337">
        <f>Yr_1</f>
        <v>44742</v>
      </c>
      <c r="R4" s="333">
        <f>Yr_2</f>
        <v>45107</v>
      </c>
      <c r="S4" s="333">
        <f>Yr_3</f>
        <v>45473</v>
      </c>
      <c r="T4" s="333">
        <f>Yr_4</f>
        <v>45838</v>
      </c>
      <c r="U4" s="333">
        <f>Yr_5</f>
        <v>46203</v>
      </c>
      <c r="V4" s="43" t="str">
        <f>NReg_Period</f>
        <v>2022-26</v>
      </c>
      <c r="W4" s="262"/>
      <c r="X4" s="333">
        <f>CP_Yr_4</f>
        <v>43800</v>
      </c>
      <c r="Y4" s="333">
        <f>CP_Yr_5</f>
        <v>44166</v>
      </c>
      <c r="Z4" s="333">
        <f>Stub</f>
        <v>44377</v>
      </c>
      <c r="AA4" s="337">
        <f>Yr_1</f>
        <v>44742</v>
      </c>
      <c r="AB4" s="333">
        <f>Yr_2</f>
        <v>45107</v>
      </c>
      <c r="AC4" s="333">
        <f>Yr_3</f>
        <v>45473</v>
      </c>
      <c r="AD4" s="333">
        <f>Yr_4</f>
        <v>45838</v>
      </c>
      <c r="AE4" s="333">
        <f>Yr_5</f>
        <v>46203</v>
      </c>
      <c r="AF4" s="43" t="str">
        <f>NReg_Period</f>
        <v>2022-26</v>
      </c>
      <c r="AH4" s="333">
        <f>CP_Yr_4</f>
        <v>43800</v>
      </c>
      <c r="AI4" s="333">
        <f>CP_Yr_5</f>
        <v>44166</v>
      </c>
      <c r="AJ4" s="333">
        <f>Stub</f>
        <v>44377</v>
      </c>
      <c r="AK4" s="337">
        <f>Yr_1</f>
        <v>44742</v>
      </c>
      <c r="AL4" s="333">
        <f>Yr_2</f>
        <v>45107</v>
      </c>
      <c r="AM4" s="333">
        <f>Yr_3</f>
        <v>45473</v>
      </c>
      <c r="AN4" s="333">
        <f>Yr_4</f>
        <v>45838</v>
      </c>
      <c r="AO4" s="333">
        <f>Yr_5</f>
        <v>46203</v>
      </c>
      <c r="AP4" s="43" t="str">
        <f>NReg_Period</f>
        <v>2022-26</v>
      </c>
      <c r="AQ4" s="358"/>
      <c r="AR4" s="333">
        <f>CP_Yr_4</f>
        <v>43800</v>
      </c>
      <c r="AS4" s="333">
        <f>CP_Yr_5</f>
        <v>44166</v>
      </c>
      <c r="AT4" s="333">
        <f>Stub</f>
        <v>44377</v>
      </c>
      <c r="AU4" s="337">
        <f>Yr_1</f>
        <v>44742</v>
      </c>
      <c r="AV4" s="333">
        <f>Yr_2</f>
        <v>45107</v>
      </c>
      <c r="AW4" s="333">
        <f>Yr_3</f>
        <v>45473</v>
      </c>
      <c r="AX4" s="333">
        <f>Yr_4</f>
        <v>45838</v>
      </c>
      <c r="AY4" s="333">
        <f>Yr_5</f>
        <v>46203</v>
      </c>
      <c r="AZ4" s="43" t="str">
        <f>NReg_Period</f>
        <v>2022-26</v>
      </c>
      <c r="BB4" s="333">
        <f>CP_Yr_4</f>
        <v>43800</v>
      </c>
      <c r="BC4" s="333">
        <f>CP_Yr_5</f>
        <v>44166</v>
      </c>
      <c r="BD4" s="333">
        <f>Stub</f>
        <v>44377</v>
      </c>
      <c r="BE4" s="337">
        <f>Yr_1</f>
        <v>44742</v>
      </c>
      <c r="BF4" s="333">
        <f>Yr_2</f>
        <v>45107</v>
      </c>
      <c r="BG4" s="333">
        <f>Yr_3</f>
        <v>45473</v>
      </c>
      <c r="BH4" s="333">
        <f>Yr_4</f>
        <v>45838</v>
      </c>
      <c r="BI4" s="333">
        <f>Yr_5</f>
        <v>46203</v>
      </c>
      <c r="BJ4" s="43" t="str">
        <f>NReg_Period</f>
        <v>2022-26</v>
      </c>
      <c r="BL4" s="336">
        <f>Yr_1</f>
        <v>44742</v>
      </c>
      <c r="BM4" s="336">
        <f>Yr_2</f>
        <v>45107</v>
      </c>
      <c r="BN4" s="336">
        <f>Yr_3</f>
        <v>45473</v>
      </c>
      <c r="BO4" s="336">
        <f>Yr_4</f>
        <v>45838</v>
      </c>
      <c r="BP4" s="336">
        <f>Yr_5</f>
        <v>46203</v>
      </c>
      <c r="BQ4" s="355" t="str">
        <f>NReg_Period</f>
        <v>2022-26</v>
      </c>
    </row>
    <row r="5" spans="2:70">
      <c r="B5" s="247" t="s">
        <v>449</v>
      </c>
      <c r="D5" s="865"/>
      <c r="E5" s="865"/>
      <c r="F5" s="865"/>
      <c r="G5" s="866"/>
      <c r="H5" s="865"/>
      <c r="I5" s="865"/>
      <c r="J5" s="865"/>
      <c r="K5" s="865"/>
      <c r="L5" s="865"/>
      <c r="N5" s="865"/>
      <c r="O5" s="865"/>
      <c r="P5" s="865"/>
      <c r="Q5" s="866"/>
      <c r="R5" s="865"/>
      <c r="S5" s="865"/>
      <c r="T5" s="865"/>
      <c r="U5" s="865"/>
      <c r="V5" s="865"/>
      <c r="X5" s="865"/>
      <c r="Y5" s="865"/>
      <c r="Z5" s="865"/>
      <c r="AA5" s="866"/>
      <c r="AB5" s="865"/>
      <c r="AC5" s="865"/>
      <c r="AD5" s="865"/>
      <c r="AE5" s="865"/>
      <c r="AF5" s="865"/>
      <c r="AH5" s="157">
        <v>0</v>
      </c>
      <c r="AI5" s="157">
        <v>0</v>
      </c>
      <c r="AJ5" s="157">
        <v>0</v>
      </c>
      <c r="AK5" s="263">
        <v>16553.680592673212</v>
      </c>
      <c r="AL5" s="157">
        <v>18491.499938760055</v>
      </c>
      <c r="AM5" s="157">
        <v>16165.591224980557</v>
      </c>
      <c r="AN5" s="157">
        <v>12969.081731167256</v>
      </c>
      <c r="AO5" s="157">
        <v>12665.285066778162</v>
      </c>
      <c r="AP5" s="157">
        <f t="shared" ref="AP5:AP16" si="0">SUM(AK5:AO5)</f>
        <v>76845.138554359248</v>
      </c>
      <c r="AR5" s="157">
        <f t="shared" ref="AR5:AY5" si="1">SUBTOTAL(9,AR6:AR9)</f>
        <v>0</v>
      </c>
      <c r="AS5" s="157">
        <f t="shared" si="1"/>
        <v>0</v>
      </c>
      <c r="AT5" s="157">
        <f t="shared" si="1"/>
        <v>0</v>
      </c>
      <c r="AU5" s="263">
        <f t="shared" si="1"/>
        <v>1682.6673403343186</v>
      </c>
      <c r="AV5" s="157">
        <f t="shared" si="1"/>
        <v>1786.526894278395</v>
      </c>
      <c r="AW5" s="157">
        <f t="shared" si="1"/>
        <v>1889.1257825085413</v>
      </c>
      <c r="AX5" s="157">
        <f t="shared" si="1"/>
        <v>1681.0456110056662</v>
      </c>
      <c r="AY5" s="157">
        <f t="shared" si="1"/>
        <v>1723.03618085838</v>
      </c>
      <c r="AZ5" s="157">
        <f t="shared" ref="AZ5:AZ16" si="2">SUM(AU5:AY5)</f>
        <v>8762.4018089853016</v>
      </c>
      <c r="BB5" s="157">
        <f t="shared" ref="BB5:BI5" si="3">SUBTOTAL(9,BB6:BB9)</f>
        <v>0</v>
      </c>
      <c r="BC5" s="157">
        <f t="shared" si="3"/>
        <v>0</v>
      </c>
      <c r="BD5" s="157">
        <f t="shared" si="3"/>
        <v>0</v>
      </c>
      <c r="BE5" s="368">
        <f t="shared" si="3"/>
        <v>18236.347933007528</v>
      </c>
      <c r="BF5" s="361">
        <f t="shared" si="3"/>
        <v>20278.026833038453</v>
      </c>
      <c r="BG5" s="361">
        <f t="shared" si="3"/>
        <v>18054.7170074891</v>
      </c>
      <c r="BH5" s="361">
        <f t="shared" si="3"/>
        <v>14650.127342172922</v>
      </c>
      <c r="BI5" s="361">
        <f t="shared" si="3"/>
        <v>14388.321247636542</v>
      </c>
      <c r="BJ5" s="157">
        <f t="shared" ref="BJ5:BJ16" si="4">SUM(BE5:BI5)</f>
        <v>85607.540363344553</v>
      </c>
      <c r="BL5" s="593">
        <f t="shared" ref="BL5" si="5">BE5*$BL$2/Thousands</f>
        <v>19.326591826479003</v>
      </c>
      <c r="BM5" s="593">
        <f t="shared" ref="BM5" si="6">BF5*$BL$2/Thousands</f>
        <v>21.490330689467719</v>
      </c>
      <c r="BN5" s="593">
        <f t="shared" ref="BN5" si="7">BG5*$BL$2/Thousands</f>
        <v>19.134102257106033</v>
      </c>
      <c r="BO5" s="593">
        <f t="shared" ref="BO5" si="8">BH5*$BL$2/Thousands</f>
        <v>15.525972217038138</v>
      </c>
      <c r="BP5" s="593">
        <f t="shared" ref="BP5" si="9">BI5*$BL$2/Thousands</f>
        <v>15.248514277247958</v>
      </c>
      <c r="BQ5" s="594">
        <f t="shared" ref="BQ5:BQ40" si="10">SUM(BL5:BP5)</f>
        <v>90.72551126733886</v>
      </c>
    </row>
    <row r="6" spans="2:70" outlineLevel="1">
      <c r="C6" s="1" t="s">
        <v>44</v>
      </c>
      <c r="D6" s="865"/>
      <c r="E6" s="865"/>
      <c r="F6" s="865"/>
      <c r="G6" s="866"/>
      <c r="H6" s="865"/>
      <c r="I6" s="865"/>
      <c r="J6" s="865"/>
      <c r="K6" s="865"/>
      <c r="L6" s="865"/>
      <c r="M6" s="157"/>
      <c r="N6" s="869"/>
      <c r="O6" s="869"/>
      <c r="P6" s="869"/>
      <c r="Q6" s="872"/>
      <c r="R6" s="865"/>
      <c r="S6" s="865"/>
      <c r="T6" s="865"/>
      <c r="U6" s="865"/>
      <c r="V6" s="865"/>
      <c r="X6" s="865"/>
      <c r="Y6" s="865"/>
      <c r="Z6" s="865"/>
      <c r="AA6" s="866"/>
      <c r="AB6" s="865"/>
      <c r="AC6" s="865"/>
      <c r="AD6" s="865"/>
      <c r="AE6" s="865"/>
      <c r="AF6" s="865"/>
      <c r="AH6" s="158">
        <v>0</v>
      </c>
      <c r="AI6" s="158">
        <v>0</v>
      </c>
      <c r="AJ6" s="158">
        <v>0</v>
      </c>
      <c r="AK6" s="264">
        <v>2134.4730572304302</v>
      </c>
      <c r="AL6" s="158">
        <v>3643.2687297694119</v>
      </c>
      <c r="AM6" s="158">
        <v>2302.9262408706149</v>
      </c>
      <c r="AN6" s="158">
        <v>555.59549651032978</v>
      </c>
      <c r="AO6" s="158">
        <v>271.31429261753129</v>
      </c>
      <c r="AP6" s="157">
        <f t="shared" si="0"/>
        <v>8907.5778169983187</v>
      </c>
      <c r="AR6" s="157">
        <f>AH6*AusNet_Overheads!H$20</f>
        <v>0</v>
      </c>
      <c r="AS6" s="157">
        <f>AI6*AusNet_Overheads!I$20</f>
        <v>0</v>
      </c>
      <c r="AT6" s="157">
        <f>AJ6*AusNet_Overheads!J$20</f>
        <v>0</v>
      </c>
      <c r="AU6" s="263">
        <f>AK6*AusNet_Overheads!K$20</f>
        <v>216.96734343266621</v>
      </c>
      <c r="AV6" s="157">
        <f>AL6*AusNet_Overheads!L$20</f>
        <v>351.98862127854983</v>
      </c>
      <c r="AW6" s="157">
        <f>AM6*AusNet_Overheads!M$20</f>
        <v>269.12206774852348</v>
      </c>
      <c r="AX6" s="157">
        <f>AN6*AusNet_Overheads!N$20</f>
        <v>72.015998531234686</v>
      </c>
      <c r="AY6" s="157">
        <f>AO6*AusNet_Overheads!O$20</f>
        <v>36.910684607505985</v>
      </c>
      <c r="AZ6" s="158">
        <f t="shared" si="2"/>
        <v>947.00471559848017</v>
      </c>
      <c r="BB6" s="157">
        <f>AR6+AH6</f>
        <v>0</v>
      </c>
      <c r="BC6" s="157">
        <f t="shared" ref="BC6:BC9" si="11">AS6+AI6</f>
        <v>0</v>
      </c>
      <c r="BD6" s="157">
        <f t="shared" ref="BD6:BD9" si="12">AT6+AJ6</f>
        <v>0</v>
      </c>
      <c r="BE6" s="263">
        <f t="shared" ref="BE6:BE9" si="13">AU6+AK6</f>
        <v>2351.4404006630966</v>
      </c>
      <c r="BF6" s="157">
        <f t="shared" ref="BF6:BF9" si="14">AV6+AL6</f>
        <v>3995.2573510479619</v>
      </c>
      <c r="BG6" s="157">
        <f t="shared" ref="BG6:BG9" si="15">AW6+AM6</f>
        <v>2572.0483086191384</v>
      </c>
      <c r="BH6" s="157">
        <f t="shared" ref="BH6:BH9" si="16">AX6+AN6</f>
        <v>627.61149504156447</v>
      </c>
      <c r="BI6" s="157">
        <f t="shared" ref="BI6:BI9" si="17">AY6+AO6</f>
        <v>308.22497722503726</v>
      </c>
      <c r="BJ6" s="158">
        <f t="shared" si="4"/>
        <v>9854.5825325967999</v>
      </c>
      <c r="BL6" s="281">
        <f t="shared" ref="BL6:BP10" si="18">BE6*$BL$2/Thousands</f>
        <v>2.4920191803125511</v>
      </c>
      <c r="BM6" s="281">
        <f t="shared" si="18"/>
        <v>4.234110269726</v>
      </c>
      <c r="BN6" s="281">
        <f t="shared" si="18"/>
        <v>2.7258159364625492</v>
      </c>
      <c r="BO6" s="281">
        <f t="shared" si="18"/>
        <v>0.6651326918543915</v>
      </c>
      <c r="BP6" s="281">
        <f t="shared" si="18"/>
        <v>0.32665193422703398</v>
      </c>
      <c r="BQ6" s="285">
        <f t="shared" si="10"/>
        <v>10.443730012582526</v>
      </c>
      <c r="BR6" s="274"/>
    </row>
    <row r="7" spans="2:70" outlineLevel="1">
      <c r="C7" s="1" t="s">
        <v>45</v>
      </c>
      <c r="D7" s="865"/>
      <c r="E7" s="865"/>
      <c r="F7" s="865"/>
      <c r="G7" s="866"/>
      <c r="H7" s="865"/>
      <c r="I7" s="865"/>
      <c r="J7" s="865"/>
      <c r="K7" s="865"/>
      <c r="L7" s="865"/>
      <c r="M7" s="157"/>
      <c r="N7" s="869"/>
      <c r="O7" s="869"/>
      <c r="P7" s="869"/>
      <c r="Q7" s="866"/>
      <c r="R7" s="865"/>
      <c r="S7" s="865"/>
      <c r="T7" s="865"/>
      <c r="U7" s="865"/>
      <c r="V7" s="865"/>
      <c r="X7" s="865"/>
      <c r="Y7" s="865"/>
      <c r="Z7" s="865"/>
      <c r="AA7" s="866"/>
      <c r="AB7" s="865"/>
      <c r="AC7" s="865"/>
      <c r="AD7" s="865"/>
      <c r="AE7" s="865"/>
      <c r="AF7" s="865"/>
      <c r="AH7" s="158">
        <v>0</v>
      </c>
      <c r="AI7" s="158">
        <v>0</v>
      </c>
      <c r="AJ7" s="158">
        <v>0</v>
      </c>
      <c r="AK7" s="264">
        <v>14040.49907515523</v>
      </c>
      <c r="AL7" s="158">
        <v>14848.231208990645</v>
      </c>
      <c r="AM7" s="158">
        <v>13862.664984109942</v>
      </c>
      <c r="AN7" s="158">
        <v>12413.486234656926</v>
      </c>
      <c r="AO7" s="158">
        <v>12393.970774160631</v>
      </c>
      <c r="AP7" s="157">
        <f t="shared" si="0"/>
        <v>67558.852277073369</v>
      </c>
      <c r="AR7" s="157">
        <f>AH7*AusNet_Overheads!H$20</f>
        <v>0</v>
      </c>
      <c r="AS7" s="157">
        <f>AI7*AusNet_Overheads!I$20</f>
        <v>0</v>
      </c>
      <c r="AT7" s="157">
        <f>AJ7*AusNet_Overheads!J$20</f>
        <v>0</v>
      </c>
      <c r="AU7" s="263">
        <f>AK7*AusNet_Overheads!K$20</f>
        <v>1427.2046088780244</v>
      </c>
      <c r="AV7" s="157">
        <f>AL7*AusNet_Overheads!L$20</f>
        <v>1434.5382729998453</v>
      </c>
      <c r="AW7" s="157">
        <f>AM7*AusNet_Overheads!M$20</f>
        <v>1620.0037147600178</v>
      </c>
      <c r="AX7" s="157">
        <f>AN7*AusNet_Overheads!N$20</f>
        <v>1609.0296124744314</v>
      </c>
      <c r="AY7" s="157">
        <f>AO7*AusNet_Overheads!O$20</f>
        <v>1686.125496250874</v>
      </c>
      <c r="AZ7" s="158">
        <f t="shared" si="2"/>
        <v>7776.9017053631924</v>
      </c>
      <c r="BB7" s="157">
        <f t="shared" ref="BB7:BB9" si="19">AR7+AH7</f>
        <v>0</v>
      </c>
      <c r="BC7" s="157">
        <f t="shared" si="11"/>
        <v>0</v>
      </c>
      <c r="BD7" s="157">
        <f t="shared" si="12"/>
        <v>0</v>
      </c>
      <c r="BE7" s="263">
        <f t="shared" si="13"/>
        <v>15467.703684033255</v>
      </c>
      <c r="BF7" s="157">
        <f t="shared" si="14"/>
        <v>16282.76948199049</v>
      </c>
      <c r="BG7" s="157">
        <f t="shared" si="15"/>
        <v>15482.66869886996</v>
      </c>
      <c r="BH7" s="157">
        <f t="shared" si="16"/>
        <v>14022.515847131357</v>
      </c>
      <c r="BI7" s="157">
        <f t="shared" si="17"/>
        <v>14080.096270411505</v>
      </c>
      <c r="BJ7" s="158">
        <f t="shared" si="4"/>
        <v>75335.753982436567</v>
      </c>
      <c r="BL7" s="281">
        <f t="shared" si="18"/>
        <v>16.392426635662218</v>
      </c>
      <c r="BM7" s="281">
        <f t="shared" si="18"/>
        <v>17.256220419741716</v>
      </c>
      <c r="BN7" s="281">
        <f t="shared" si="18"/>
        <v>16.40828632064348</v>
      </c>
      <c r="BO7" s="281">
        <f t="shared" si="18"/>
        <v>14.860839525183744</v>
      </c>
      <c r="BP7" s="281">
        <f t="shared" si="18"/>
        <v>14.921862343020923</v>
      </c>
      <c r="BQ7" s="285">
        <f t="shared" si="10"/>
        <v>79.839635244252079</v>
      </c>
      <c r="BR7" s="274"/>
    </row>
    <row r="8" spans="2:70" outlineLevel="1">
      <c r="C8" s="1" t="s">
        <v>48</v>
      </c>
      <c r="D8" s="865"/>
      <c r="E8" s="865"/>
      <c r="F8" s="865"/>
      <c r="G8" s="866"/>
      <c r="H8" s="865"/>
      <c r="I8" s="865"/>
      <c r="J8" s="865"/>
      <c r="K8" s="865"/>
      <c r="L8" s="865"/>
      <c r="M8" s="157"/>
      <c r="N8" s="869"/>
      <c r="O8" s="869"/>
      <c r="P8" s="869"/>
      <c r="Q8" s="866"/>
      <c r="R8" s="865"/>
      <c r="S8" s="865"/>
      <c r="T8" s="865"/>
      <c r="U8" s="865"/>
      <c r="V8" s="865"/>
      <c r="X8" s="865"/>
      <c r="Y8" s="865"/>
      <c r="Z8" s="865"/>
      <c r="AA8" s="866"/>
      <c r="AB8" s="865"/>
      <c r="AC8" s="865"/>
      <c r="AD8" s="865"/>
      <c r="AE8" s="865"/>
      <c r="AF8" s="865"/>
      <c r="AH8" s="158">
        <v>0</v>
      </c>
      <c r="AI8" s="158">
        <v>0</v>
      </c>
      <c r="AJ8" s="158">
        <v>0</v>
      </c>
      <c r="AK8" s="264">
        <v>378.70846028754931</v>
      </c>
      <c r="AL8" s="158">
        <v>0</v>
      </c>
      <c r="AM8" s="158">
        <v>0</v>
      </c>
      <c r="AN8" s="158">
        <v>0</v>
      </c>
      <c r="AO8" s="158">
        <v>0</v>
      </c>
      <c r="AP8" s="157">
        <f t="shared" si="0"/>
        <v>378.70846028754931</v>
      </c>
      <c r="AR8" s="157">
        <f>AH8*AusNet_Overheads!H$20</f>
        <v>0</v>
      </c>
      <c r="AS8" s="157">
        <f>AI8*AusNet_Overheads!I$20</f>
        <v>0</v>
      </c>
      <c r="AT8" s="157">
        <f>AJ8*AusNet_Overheads!J$20</f>
        <v>0</v>
      </c>
      <c r="AU8" s="263">
        <f>AK8*AusNet_Overheads!K$20</f>
        <v>38.495388023627996</v>
      </c>
      <c r="AV8" s="157">
        <f>AL8*AusNet_Overheads!L$20</f>
        <v>0</v>
      </c>
      <c r="AW8" s="157">
        <f>AM8*AusNet_Overheads!M$20</f>
        <v>0</v>
      </c>
      <c r="AX8" s="157">
        <f>AN8*AusNet_Overheads!N$20</f>
        <v>0</v>
      </c>
      <c r="AY8" s="157">
        <f>AO8*AusNet_Overheads!O$20</f>
        <v>0</v>
      </c>
      <c r="AZ8" s="158">
        <f t="shared" si="2"/>
        <v>38.495388023627996</v>
      </c>
      <c r="BB8" s="157">
        <f t="shared" si="19"/>
        <v>0</v>
      </c>
      <c r="BC8" s="157">
        <f t="shared" si="11"/>
        <v>0</v>
      </c>
      <c r="BD8" s="157">
        <f t="shared" si="12"/>
        <v>0</v>
      </c>
      <c r="BE8" s="263">
        <f t="shared" si="13"/>
        <v>417.2038483111773</v>
      </c>
      <c r="BF8" s="157">
        <f t="shared" si="14"/>
        <v>0</v>
      </c>
      <c r="BG8" s="157">
        <f t="shared" si="15"/>
        <v>0</v>
      </c>
      <c r="BH8" s="157">
        <f t="shared" si="16"/>
        <v>0</v>
      </c>
      <c r="BI8" s="157">
        <f t="shared" si="17"/>
        <v>0</v>
      </c>
      <c r="BJ8" s="158">
        <f t="shared" si="4"/>
        <v>417.2038483111773</v>
      </c>
      <c r="BL8" s="281">
        <f t="shared" si="18"/>
        <v>0.44214601050423241</v>
      </c>
      <c r="BM8" s="281">
        <f t="shared" si="18"/>
        <v>0</v>
      </c>
      <c r="BN8" s="281">
        <f t="shared" si="18"/>
        <v>0</v>
      </c>
      <c r="BO8" s="281">
        <f t="shared" si="18"/>
        <v>0</v>
      </c>
      <c r="BP8" s="281">
        <f t="shared" si="18"/>
        <v>0</v>
      </c>
      <c r="BQ8" s="285">
        <f t="shared" si="10"/>
        <v>0.44214601050423241</v>
      </c>
      <c r="BR8" s="274"/>
    </row>
    <row r="9" spans="2:70" outlineLevel="1">
      <c r="C9" s="1" t="s">
        <v>395</v>
      </c>
      <c r="D9" s="865"/>
      <c r="E9" s="865"/>
      <c r="F9" s="865"/>
      <c r="G9" s="866"/>
      <c r="H9" s="865"/>
      <c r="I9" s="865"/>
      <c r="J9" s="865"/>
      <c r="K9" s="865"/>
      <c r="L9" s="865"/>
      <c r="M9" s="157"/>
      <c r="N9" s="869"/>
      <c r="O9" s="869"/>
      <c r="P9" s="869"/>
      <c r="Q9" s="866"/>
      <c r="R9" s="865"/>
      <c r="S9" s="865"/>
      <c r="T9" s="865"/>
      <c r="U9" s="865"/>
      <c r="V9" s="865"/>
      <c r="X9" s="865"/>
      <c r="Y9" s="865"/>
      <c r="Z9" s="865"/>
      <c r="AA9" s="866"/>
      <c r="AB9" s="865"/>
      <c r="AC9" s="865"/>
      <c r="AD9" s="865"/>
      <c r="AE9" s="865"/>
      <c r="AF9" s="865"/>
      <c r="AH9" s="158">
        <v>0</v>
      </c>
      <c r="AI9" s="158">
        <v>0</v>
      </c>
      <c r="AJ9" s="158">
        <v>0</v>
      </c>
      <c r="AK9" s="264">
        <v>0</v>
      </c>
      <c r="AL9" s="158">
        <v>0</v>
      </c>
      <c r="AM9" s="158">
        <v>0</v>
      </c>
      <c r="AN9" s="158">
        <v>0</v>
      </c>
      <c r="AO9" s="158">
        <v>0</v>
      </c>
      <c r="AP9" s="157">
        <f t="shared" ref="AP9" si="20">SUM(AK9:AO9)</f>
        <v>0</v>
      </c>
      <c r="AR9" s="163"/>
      <c r="AS9" s="163"/>
      <c r="AT9" s="163"/>
      <c r="AU9" s="284"/>
      <c r="AV9" s="163"/>
      <c r="AW9" s="163"/>
      <c r="AX9" s="163"/>
      <c r="AY9" s="163"/>
      <c r="AZ9" s="158">
        <f t="shared" ref="AZ9" si="21">SUM(AU9:AY9)</f>
        <v>0</v>
      </c>
      <c r="BB9" s="157">
        <f t="shared" si="19"/>
        <v>0</v>
      </c>
      <c r="BC9" s="157">
        <f t="shared" si="11"/>
        <v>0</v>
      </c>
      <c r="BD9" s="157">
        <f t="shared" si="12"/>
        <v>0</v>
      </c>
      <c r="BE9" s="263">
        <f t="shared" si="13"/>
        <v>0</v>
      </c>
      <c r="BF9" s="157">
        <f t="shared" si="14"/>
        <v>0</v>
      </c>
      <c r="BG9" s="157">
        <f t="shared" si="15"/>
        <v>0</v>
      </c>
      <c r="BH9" s="157">
        <f t="shared" si="16"/>
        <v>0</v>
      </c>
      <c r="BI9" s="157">
        <f t="shared" si="17"/>
        <v>0</v>
      </c>
      <c r="BJ9" s="158">
        <f t="shared" ref="BJ9" si="22">SUM(BE9:BI9)</f>
        <v>0</v>
      </c>
      <c r="BL9" s="281">
        <f t="shared" ref="BL9" si="23">BE9*$BL$2/Thousands</f>
        <v>0</v>
      </c>
      <c r="BM9" s="281">
        <f t="shared" ref="BM9" si="24">BF9*$BL$2/Thousands</f>
        <v>0</v>
      </c>
      <c r="BN9" s="281">
        <f t="shared" ref="BN9" si="25">BG9*$BL$2/Thousands</f>
        <v>0</v>
      </c>
      <c r="BO9" s="281">
        <f t="shared" ref="BO9" si="26">BH9*$BL$2/Thousands</f>
        <v>0</v>
      </c>
      <c r="BP9" s="281">
        <f t="shared" ref="BP9" si="27">BI9*$BL$2/Thousands</f>
        <v>0</v>
      </c>
      <c r="BQ9" s="285">
        <f t="shared" si="10"/>
        <v>0</v>
      </c>
      <c r="BR9" s="274"/>
    </row>
    <row r="10" spans="2:70">
      <c r="B10" s="247" t="s">
        <v>492</v>
      </c>
      <c r="D10" s="865"/>
      <c r="E10" s="865"/>
      <c r="F10" s="865"/>
      <c r="G10" s="866"/>
      <c r="H10" s="865"/>
      <c r="I10" s="865"/>
      <c r="J10" s="865"/>
      <c r="K10" s="865"/>
      <c r="L10" s="865"/>
      <c r="M10" s="157"/>
      <c r="N10" s="865"/>
      <c r="O10" s="865"/>
      <c r="P10" s="865"/>
      <c r="Q10" s="866"/>
      <c r="R10" s="865"/>
      <c r="S10" s="865"/>
      <c r="T10" s="865"/>
      <c r="U10" s="865"/>
      <c r="V10" s="865"/>
      <c r="X10" s="865"/>
      <c r="Y10" s="865"/>
      <c r="Z10" s="865"/>
      <c r="AA10" s="866"/>
      <c r="AB10" s="865"/>
      <c r="AC10" s="865"/>
      <c r="AD10" s="865"/>
      <c r="AE10" s="865"/>
      <c r="AF10" s="865"/>
      <c r="AH10" s="157">
        <v>0</v>
      </c>
      <c r="AI10" s="157">
        <v>0</v>
      </c>
      <c r="AJ10" s="157">
        <v>0</v>
      </c>
      <c r="AK10" s="263">
        <v>0</v>
      </c>
      <c r="AL10" s="157">
        <v>0</v>
      </c>
      <c r="AM10" s="157">
        <v>0</v>
      </c>
      <c r="AN10" s="157">
        <v>0</v>
      </c>
      <c r="AO10" s="157">
        <v>0</v>
      </c>
      <c r="AP10" s="157">
        <f t="shared" si="0"/>
        <v>0</v>
      </c>
      <c r="AR10" s="157">
        <f>SUBTOTAL(9,AR11:AR13)</f>
        <v>0</v>
      </c>
      <c r="AS10" s="157">
        <f t="shared" ref="AS10:AT10" si="28">SUBTOTAL(9,AS11:AS13)</f>
        <v>0</v>
      </c>
      <c r="AT10" s="157">
        <f t="shared" si="28"/>
        <v>0</v>
      </c>
      <c r="AU10" s="263">
        <f t="shared" ref="AU10" si="29">SUBTOTAL(9,AU11:AU13)</f>
        <v>0</v>
      </c>
      <c r="AV10" s="157">
        <f t="shared" ref="AV10" si="30">SUBTOTAL(9,AV11:AV13)</f>
        <v>0</v>
      </c>
      <c r="AW10" s="157">
        <f t="shared" ref="AW10" si="31">SUBTOTAL(9,AW11:AW13)</f>
        <v>0</v>
      </c>
      <c r="AX10" s="157">
        <f t="shared" ref="AX10" si="32">SUBTOTAL(9,AX11:AX13)</f>
        <v>0</v>
      </c>
      <c r="AY10" s="157">
        <f t="shared" ref="AY10" si="33">SUBTOTAL(9,AY11:AY13)</f>
        <v>0</v>
      </c>
      <c r="AZ10" s="157">
        <f t="shared" si="2"/>
        <v>0</v>
      </c>
      <c r="BB10" s="157">
        <f>SUBTOTAL(9,BB11:BB13)</f>
        <v>0</v>
      </c>
      <c r="BC10" s="157">
        <f t="shared" ref="BC10" si="34">SUBTOTAL(9,BC11:BC13)</f>
        <v>0</v>
      </c>
      <c r="BD10" s="157">
        <f t="shared" ref="BD10" si="35">SUBTOTAL(9,BD11:BD13)</f>
        <v>0</v>
      </c>
      <c r="BE10" s="263">
        <f t="shared" ref="BE10" si="36">SUBTOTAL(9,BE11:BE13)</f>
        <v>0</v>
      </c>
      <c r="BF10" s="157">
        <f t="shared" ref="BF10" si="37">SUBTOTAL(9,BF11:BF13)</f>
        <v>0</v>
      </c>
      <c r="BG10" s="157">
        <f t="shared" ref="BG10" si="38">SUBTOTAL(9,BG11:BG13)</f>
        <v>0</v>
      </c>
      <c r="BH10" s="157">
        <f t="shared" ref="BH10" si="39">SUBTOTAL(9,BH11:BH13)</f>
        <v>0</v>
      </c>
      <c r="BI10" s="157">
        <f t="shared" ref="BI10" si="40">SUBTOTAL(9,BI11:BI13)</f>
        <v>0</v>
      </c>
      <c r="BJ10" s="157">
        <f t="shared" si="4"/>
        <v>0</v>
      </c>
      <c r="BL10" s="281">
        <f t="shared" si="18"/>
        <v>0</v>
      </c>
      <c r="BM10" s="281">
        <f t="shared" si="18"/>
        <v>0</v>
      </c>
      <c r="BN10" s="281">
        <f t="shared" si="18"/>
        <v>0</v>
      </c>
      <c r="BO10" s="281">
        <f t="shared" si="18"/>
        <v>0</v>
      </c>
      <c r="BP10" s="281">
        <f t="shared" si="18"/>
        <v>0</v>
      </c>
      <c r="BQ10" s="285">
        <f t="shared" si="10"/>
        <v>0</v>
      </c>
      <c r="BR10" s="274"/>
    </row>
    <row r="11" spans="2:70" outlineLevel="1">
      <c r="C11" s="1" t="s">
        <v>44</v>
      </c>
      <c r="D11" s="865"/>
      <c r="E11" s="865"/>
      <c r="F11" s="865"/>
      <c r="G11" s="866"/>
      <c r="H11" s="865"/>
      <c r="I11" s="865"/>
      <c r="J11" s="865"/>
      <c r="K11" s="865"/>
      <c r="L11" s="865"/>
      <c r="M11" s="157"/>
      <c r="N11" s="869"/>
      <c r="O11" s="869"/>
      <c r="P11" s="869"/>
      <c r="Q11" s="872"/>
      <c r="R11" s="869"/>
      <c r="S11" s="869"/>
      <c r="T11" s="869"/>
      <c r="U11" s="869"/>
      <c r="V11" s="865"/>
      <c r="X11" s="865"/>
      <c r="Y11" s="865"/>
      <c r="Z11" s="865"/>
      <c r="AA11" s="866"/>
      <c r="AB11" s="865"/>
      <c r="AC11" s="865"/>
      <c r="AD11" s="865"/>
      <c r="AE11" s="865"/>
      <c r="AF11" s="865"/>
      <c r="AH11" s="158">
        <v>0</v>
      </c>
      <c r="AI11" s="158">
        <v>0</v>
      </c>
      <c r="AJ11" s="158">
        <v>0</v>
      </c>
      <c r="AK11" s="264">
        <v>0</v>
      </c>
      <c r="AL11" s="158">
        <v>0</v>
      </c>
      <c r="AM11" s="158">
        <v>0</v>
      </c>
      <c r="AN11" s="158">
        <v>0</v>
      </c>
      <c r="AO11" s="158">
        <v>0</v>
      </c>
      <c r="AP11" s="157">
        <f t="shared" si="0"/>
        <v>0</v>
      </c>
      <c r="AR11" s="157">
        <f>AH11*AusNet_Overheads!H$20</f>
        <v>0</v>
      </c>
      <c r="AS11" s="157">
        <f>AI11*AusNet_Overheads!I$20</f>
        <v>0</v>
      </c>
      <c r="AT11" s="157">
        <f>AJ11*AusNet_Overheads!J$20</f>
        <v>0</v>
      </c>
      <c r="AU11" s="263">
        <f>AK11*AusNet_Overheads!K$20</f>
        <v>0</v>
      </c>
      <c r="AV11" s="157">
        <f>AL11*AusNet_Overheads!L$20</f>
        <v>0</v>
      </c>
      <c r="AW11" s="157">
        <f>AM11*AusNet_Overheads!M$20</f>
        <v>0</v>
      </c>
      <c r="AX11" s="157">
        <f>AN11*AusNet_Overheads!N$20</f>
        <v>0</v>
      </c>
      <c r="AY11" s="157">
        <f>AO11*AusNet_Overheads!O$20</f>
        <v>0</v>
      </c>
      <c r="AZ11" s="158">
        <f t="shared" si="2"/>
        <v>0</v>
      </c>
      <c r="BB11" s="157">
        <f t="shared" ref="BB11:BB13" si="41">AR11+AH11</f>
        <v>0</v>
      </c>
      <c r="BC11" s="157">
        <f t="shared" ref="BC11:BC13" si="42">AS11+AI11</f>
        <v>0</v>
      </c>
      <c r="BD11" s="157">
        <f t="shared" ref="BD11:BD13" si="43">AT11+AJ11</f>
        <v>0</v>
      </c>
      <c r="BE11" s="263">
        <f t="shared" ref="BE11:BE13" si="44">AU11+AK11</f>
        <v>0</v>
      </c>
      <c r="BF11" s="157">
        <f t="shared" ref="BF11:BF13" si="45">AV11+AL11</f>
        <v>0</v>
      </c>
      <c r="BG11" s="157">
        <f t="shared" ref="BG11:BG13" si="46">AW11+AM11</f>
        <v>0</v>
      </c>
      <c r="BH11" s="157">
        <f t="shared" ref="BH11:BH13" si="47">AX11+AN11</f>
        <v>0</v>
      </c>
      <c r="BI11" s="157">
        <f t="shared" ref="BI11:BI13" si="48">AY11+AO11</f>
        <v>0</v>
      </c>
      <c r="BJ11" s="158">
        <f t="shared" si="4"/>
        <v>0</v>
      </c>
      <c r="BL11" s="281">
        <f t="shared" ref="BL11:BP14" si="49">BE11*$BL$2/Thousands</f>
        <v>0</v>
      </c>
      <c r="BM11" s="281">
        <f t="shared" si="49"/>
        <v>0</v>
      </c>
      <c r="BN11" s="281">
        <f t="shared" si="49"/>
        <v>0</v>
      </c>
      <c r="BO11" s="281">
        <f t="shared" si="49"/>
        <v>0</v>
      </c>
      <c r="BP11" s="281">
        <f t="shared" si="49"/>
        <v>0</v>
      </c>
      <c r="BQ11" s="285">
        <f t="shared" si="10"/>
        <v>0</v>
      </c>
      <c r="BR11" s="274"/>
    </row>
    <row r="12" spans="2:70" outlineLevel="1">
      <c r="C12" s="1" t="s">
        <v>45</v>
      </c>
      <c r="D12" s="865"/>
      <c r="E12" s="865"/>
      <c r="F12" s="865"/>
      <c r="G12" s="866"/>
      <c r="H12" s="865"/>
      <c r="I12" s="865"/>
      <c r="J12" s="865"/>
      <c r="K12" s="865"/>
      <c r="L12" s="865"/>
      <c r="M12" s="157"/>
      <c r="N12" s="869"/>
      <c r="O12" s="869"/>
      <c r="P12" s="869"/>
      <c r="Q12" s="872"/>
      <c r="R12" s="869"/>
      <c r="S12" s="869"/>
      <c r="T12" s="869"/>
      <c r="U12" s="869"/>
      <c r="V12" s="865"/>
      <c r="X12" s="865"/>
      <c r="Y12" s="865"/>
      <c r="Z12" s="865"/>
      <c r="AA12" s="866"/>
      <c r="AB12" s="865"/>
      <c r="AC12" s="865"/>
      <c r="AD12" s="865"/>
      <c r="AE12" s="865"/>
      <c r="AF12" s="865"/>
      <c r="AH12" s="158">
        <v>0</v>
      </c>
      <c r="AI12" s="158">
        <v>0</v>
      </c>
      <c r="AJ12" s="158">
        <v>0</v>
      </c>
      <c r="AK12" s="264">
        <v>0</v>
      </c>
      <c r="AL12" s="158">
        <v>0</v>
      </c>
      <c r="AM12" s="158">
        <v>0</v>
      </c>
      <c r="AN12" s="158">
        <v>0</v>
      </c>
      <c r="AO12" s="158">
        <v>0</v>
      </c>
      <c r="AP12" s="157">
        <f t="shared" si="0"/>
        <v>0</v>
      </c>
      <c r="AR12" s="157">
        <f>AH12*AusNet_Overheads!H$20</f>
        <v>0</v>
      </c>
      <c r="AS12" s="157">
        <f>AI12*AusNet_Overheads!I$20</f>
        <v>0</v>
      </c>
      <c r="AT12" s="157">
        <f>AJ12*AusNet_Overheads!J$20</f>
        <v>0</v>
      </c>
      <c r="AU12" s="263">
        <f>AK12*AusNet_Overheads!K$20</f>
        <v>0</v>
      </c>
      <c r="AV12" s="157">
        <f>AL12*AusNet_Overheads!L$20</f>
        <v>0</v>
      </c>
      <c r="AW12" s="157">
        <f>AM12*AusNet_Overheads!M$20</f>
        <v>0</v>
      </c>
      <c r="AX12" s="157">
        <f>AN12*AusNet_Overheads!N$20</f>
        <v>0</v>
      </c>
      <c r="AY12" s="157">
        <f>AO12*AusNet_Overheads!O$20</f>
        <v>0</v>
      </c>
      <c r="AZ12" s="158">
        <f t="shared" si="2"/>
        <v>0</v>
      </c>
      <c r="BB12" s="157">
        <f t="shared" si="41"/>
        <v>0</v>
      </c>
      <c r="BC12" s="157">
        <f t="shared" si="42"/>
        <v>0</v>
      </c>
      <c r="BD12" s="157">
        <f t="shared" si="43"/>
        <v>0</v>
      </c>
      <c r="BE12" s="263">
        <f t="shared" si="44"/>
        <v>0</v>
      </c>
      <c r="BF12" s="157">
        <f t="shared" si="45"/>
        <v>0</v>
      </c>
      <c r="BG12" s="157">
        <f t="shared" si="46"/>
        <v>0</v>
      </c>
      <c r="BH12" s="157">
        <f t="shared" si="47"/>
        <v>0</v>
      </c>
      <c r="BI12" s="157">
        <f t="shared" si="48"/>
        <v>0</v>
      </c>
      <c r="BJ12" s="158">
        <f t="shared" si="4"/>
        <v>0</v>
      </c>
      <c r="BL12" s="281">
        <f t="shared" si="49"/>
        <v>0</v>
      </c>
      <c r="BM12" s="281">
        <f t="shared" si="49"/>
        <v>0</v>
      </c>
      <c r="BN12" s="281">
        <f t="shared" si="49"/>
        <v>0</v>
      </c>
      <c r="BO12" s="281">
        <f t="shared" si="49"/>
        <v>0</v>
      </c>
      <c r="BP12" s="281">
        <f t="shared" si="49"/>
        <v>0</v>
      </c>
      <c r="BQ12" s="285">
        <f t="shared" si="10"/>
        <v>0</v>
      </c>
      <c r="BR12" s="274"/>
    </row>
    <row r="13" spans="2:70" outlineLevel="1">
      <c r="C13" s="1" t="s">
        <v>48</v>
      </c>
      <c r="D13" s="865"/>
      <c r="E13" s="865"/>
      <c r="F13" s="865"/>
      <c r="G13" s="866"/>
      <c r="H13" s="865"/>
      <c r="I13" s="865"/>
      <c r="J13" s="865"/>
      <c r="K13" s="865"/>
      <c r="L13" s="865"/>
      <c r="M13" s="157"/>
      <c r="N13" s="869"/>
      <c r="O13" s="869"/>
      <c r="P13" s="869"/>
      <c r="Q13" s="872"/>
      <c r="R13" s="869"/>
      <c r="S13" s="869"/>
      <c r="T13" s="869"/>
      <c r="U13" s="869"/>
      <c r="V13" s="865"/>
      <c r="X13" s="865"/>
      <c r="Y13" s="865"/>
      <c r="Z13" s="865"/>
      <c r="AA13" s="866"/>
      <c r="AB13" s="865"/>
      <c r="AC13" s="865"/>
      <c r="AD13" s="865"/>
      <c r="AE13" s="865"/>
      <c r="AF13" s="865"/>
      <c r="AH13" s="158">
        <v>0</v>
      </c>
      <c r="AI13" s="158">
        <v>0</v>
      </c>
      <c r="AJ13" s="158">
        <v>0</v>
      </c>
      <c r="AK13" s="264">
        <v>0</v>
      </c>
      <c r="AL13" s="158">
        <v>0</v>
      </c>
      <c r="AM13" s="158">
        <v>0</v>
      </c>
      <c r="AN13" s="158">
        <v>0</v>
      </c>
      <c r="AO13" s="158">
        <v>0</v>
      </c>
      <c r="AP13" s="157">
        <f t="shared" si="0"/>
        <v>0</v>
      </c>
      <c r="AR13" s="157">
        <f>AH13*AusNet_Overheads!H$20</f>
        <v>0</v>
      </c>
      <c r="AS13" s="157">
        <f>AI13*AusNet_Overheads!I$20</f>
        <v>0</v>
      </c>
      <c r="AT13" s="157">
        <f>AJ13*AusNet_Overheads!J$20</f>
        <v>0</v>
      </c>
      <c r="AU13" s="263">
        <f>AK13*AusNet_Overheads!K$20</f>
        <v>0</v>
      </c>
      <c r="AV13" s="157">
        <f>AL13*AusNet_Overheads!L$20</f>
        <v>0</v>
      </c>
      <c r="AW13" s="157">
        <f>AM13*AusNet_Overheads!M$20</f>
        <v>0</v>
      </c>
      <c r="AX13" s="157">
        <f>AN13*AusNet_Overheads!N$20</f>
        <v>0</v>
      </c>
      <c r="AY13" s="157">
        <f>AO13*AusNet_Overheads!O$20</f>
        <v>0</v>
      </c>
      <c r="AZ13" s="158">
        <f t="shared" si="2"/>
        <v>0</v>
      </c>
      <c r="BB13" s="157">
        <f t="shared" si="41"/>
        <v>0</v>
      </c>
      <c r="BC13" s="157">
        <f t="shared" si="42"/>
        <v>0</v>
      </c>
      <c r="BD13" s="157">
        <f t="shared" si="43"/>
        <v>0</v>
      </c>
      <c r="BE13" s="263">
        <f t="shared" si="44"/>
        <v>0</v>
      </c>
      <c r="BF13" s="157">
        <f t="shared" si="45"/>
        <v>0</v>
      </c>
      <c r="BG13" s="157">
        <f t="shared" si="46"/>
        <v>0</v>
      </c>
      <c r="BH13" s="157">
        <f t="shared" si="47"/>
        <v>0</v>
      </c>
      <c r="BI13" s="157">
        <f t="shared" si="48"/>
        <v>0</v>
      </c>
      <c r="BJ13" s="158">
        <f t="shared" si="4"/>
        <v>0</v>
      </c>
      <c r="BL13" s="281">
        <f t="shared" si="49"/>
        <v>0</v>
      </c>
      <c r="BM13" s="281">
        <f t="shared" si="49"/>
        <v>0</v>
      </c>
      <c r="BN13" s="281">
        <f t="shared" si="49"/>
        <v>0</v>
      </c>
      <c r="BO13" s="281">
        <f t="shared" si="49"/>
        <v>0</v>
      </c>
      <c r="BP13" s="281">
        <f t="shared" si="49"/>
        <v>0</v>
      </c>
      <c r="BQ13" s="285">
        <f t="shared" si="10"/>
        <v>0</v>
      </c>
      <c r="BR13" s="274"/>
    </row>
    <row r="14" spans="2:70">
      <c r="B14" s="247" t="s">
        <v>26</v>
      </c>
      <c r="D14" s="865"/>
      <c r="E14" s="865"/>
      <c r="F14" s="865"/>
      <c r="G14" s="866"/>
      <c r="H14" s="865"/>
      <c r="I14" s="865"/>
      <c r="J14" s="865"/>
      <c r="K14" s="865"/>
      <c r="L14" s="865"/>
      <c r="N14" s="865"/>
      <c r="O14" s="865"/>
      <c r="P14" s="865"/>
      <c r="Q14" s="866"/>
      <c r="R14" s="865"/>
      <c r="S14" s="865"/>
      <c r="T14" s="865"/>
      <c r="U14" s="865"/>
      <c r="V14" s="865"/>
      <c r="X14" s="865"/>
      <c r="Y14" s="865"/>
      <c r="Z14" s="865"/>
      <c r="AA14" s="866"/>
      <c r="AB14" s="865"/>
      <c r="AC14" s="865"/>
      <c r="AD14" s="865"/>
      <c r="AE14" s="865"/>
      <c r="AF14" s="865"/>
      <c r="AH14" s="157">
        <v>0</v>
      </c>
      <c r="AI14" s="157">
        <v>0</v>
      </c>
      <c r="AJ14" s="157">
        <v>0</v>
      </c>
      <c r="AK14" s="263">
        <v>69200.546851055115</v>
      </c>
      <c r="AL14" s="157">
        <v>107290.29398211329</v>
      </c>
      <c r="AM14" s="157">
        <v>107314.55248371096</v>
      </c>
      <c r="AN14" s="157">
        <v>107915.62125604192</v>
      </c>
      <c r="AO14" s="157">
        <v>108546.9998977801</v>
      </c>
      <c r="AP14" s="157">
        <f t="shared" si="0"/>
        <v>500268.01447070146</v>
      </c>
      <c r="AR14" s="157">
        <f>SUBTOTAL(9,AR15:AR16)</f>
        <v>0</v>
      </c>
      <c r="AS14" s="157">
        <f t="shared" ref="AS14:AT14" si="50">SUBTOTAL(9,AS15:AS16)</f>
        <v>0</v>
      </c>
      <c r="AT14" s="157">
        <f t="shared" si="50"/>
        <v>0</v>
      </c>
      <c r="AU14" s="263">
        <f t="shared" ref="AU14" si="51">SUBTOTAL(9,AU15:AU16)</f>
        <v>4557.8532364697094</v>
      </c>
      <c r="AV14" s="157">
        <f t="shared" ref="AV14" si="52">SUBTOTAL(9,AV15:AV16)</f>
        <v>6009.5905997422378</v>
      </c>
      <c r="AW14" s="157">
        <f t="shared" ref="AW14" si="53">SUBTOTAL(9,AW15:AW16)</f>
        <v>6898.7819590823465</v>
      </c>
      <c r="AX14" s="157">
        <f t="shared" ref="AX14" si="54">SUBTOTAL(9,AX15:AX16)</f>
        <v>7429.8545825077681</v>
      </c>
      <c r="AY14" s="157">
        <f t="shared" ref="AY14" si="55">SUBTOTAL(9,AY15:AY16)</f>
        <v>7702.5248680026998</v>
      </c>
      <c r="AZ14" s="157">
        <f t="shared" si="2"/>
        <v>32598.60524580476</v>
      </c>
      <c r="BB14" s="157">
        <f>SUBTOTAL(9,BB15:BB16)</f>
        <v>0</v>
      </c>
      <c r="BC14" s="157">
        <f t="shared" ref="BC14" si="56">SUBTOTAL(9,BC15:BC16)</f>
        <v>0</v>
      </c>
      <c r="BD14" s="157">
        <f t="shared" ref="BD14" si="57">SUBTOTAL(9,BD15:BD16)</f>
        <v>0</v>
      </c>
      <c r="BE14" s="263">
        <f t="shared" ref="BE14" si="58">SUBTOTAL(9,BE15:BE16)</f>
        <v>73758.400087524831</v>
      </c>
      <c r="BF14" s="157">
        <f t="shared" ref="BF14" si="59">SUBTOTAL(9,BF15:BF16)</f>
        <v>113299.88458185553</v>
      </c>
      <c r="BG14" s="157">
        <f t="shared" ref="BG14" si="60">SUBTOTAL(9,BG15:BG16)</f>
        <v>114213.3344427933</v>
      </c>
      <c r="BH14" s="157">
        <f t="shared" ref="BH14" si="61">SUBTOTAL(9,BH15:BH16)</f>
        <v>115345.4758385497</v>
      </c>
      <c r="BI14" s="157">
        <f t="shared" ref="BI14" si="62">SUBTOTAL(9,BI15:BI16)</f>
        <v>116249.5247657828</v>
      </c>
      <c r="BJ14" s="157">
        <f t="shared" si="4"/>
        <v>532866.6197165061</v>
      </c>
      <c r="BL14" s="281">
        <f t="shared" si="49"/>
        <v>78.167980645159417</v>
      </c>
      <c r="BM14" s="281">
        <f t="shared" si="49"/>
        <v>120.07341773389707</v>
      </c>
      <c r="BN14" s="281">
        <f t="shared" si="49"/>
        <v>121.04147738493856</v>
      </c>
      <c r="BO14" s="281">
        <f t="shared" si="49"/>
        <v>122.24130285032358</v>
      </c>
      <c r="BP14" s="281">
        <f t="shared" si="49"/>
        <v>123.19939954117341</v>
      </c>
      <c r="BQ14" s="285">
        <f t="shared" si="10"/>
        <v>564.72357815549196</v>
      </c>
    </row>
    <row r="15" spans="2:70" outlineLevel="1">
      <c r="C15" s="1" t="s">
        <v>44</v>
      </c>
      <c r="D15" s="865"/>
      <c r="E15" s="865"/>
      <c r="F15" s="865"/>
      <c r="G15" s="866"/>
      <c r="H15" s="865"/>
      <c r="I15" s="865"/>
      <c r="J15" s="865"/>
      <c r="K15" s="865"/>
      <c r="L15" s="865"/>
      <c r="M15" s="157"/>
      <c r="N15" s="869"/>
      <c r="O15" s="869"/>
      <c r="P15" s="869"/>
      <c r="Q15" s="872"/>
      <c r="R15" s="869"/>
      <c r="S15" s="869"/>
      <c r="T15" s="869"/>
      <c r="U15" s="869"/>
      <c r="V15" s="865"/>
      <c r="X15" s="865"/>
      <c r="Y15" s="865"/>
      <c r="Z15" s="865"/>
      <c r="AA15" s="866"/>
      <c r="AB15" s="865"/>
      <c r="AC15" s="865"/>
      <c r="AD15" s="865"/>
      <c r="AE15" s="865"/>
      <c r="AF15" s="865"/>
      <c r="AH15" s="158">
        <v>0</v>
      </c>
      <c r="AI15" s="158">
        <v>0</v>
      </c>
      <c r="AJ15" s="158">
        <v>0</v>
      </c>
      <c r="AK15" s="264">
        <v>16429.034914362579</v>
      </c>
      <c r="AL15" s="158">
        <v>16555.250606240839</v>
      </c>
      <c r="AM15" s="158">
        <v>16580.859886778362</v>
      </c>
      <c r="AN15" s="158">
        <v>16618.553772494266</v>
      </c>
      <c r="AO15" s="158">
        <v>16667.518078447029</v>
      </c>
      <c r="AP15" s="157">
        <f t="shared" si="0"/>
        <v>82851.217258323071</v>
      </c>
      <c r="AR15" s="515"/>
      <c r="AS15" s="515"/>
      <c r="AT15" s="515"/>
      <c r="AU15" s="516">
        <f>AusNet_Overheads!K46*AusNet_Overheads!K$21</f>
        <v>1524.1932019644626</v>
      </c>
      <c r="AV15" s="515">
        <f>AusNet_Overheads!L46*AusNet_Overheads!L$21</f>
        <v>1370.0341902128644</v>
      </c>
      <c r="AW15" s="515">
        <f>AusNet_Overheads!M46*AusNet_Overheads!M$21</f>
        <v>1578.4322155330556</v>
      </c>
      <c r="AX15" s="515">
        <f>AusNet_Overheads!N46*AusNet_Overheads!N$21</f>
        <v>1698.2517637206167</v>
      </c>
      <c r="AY15" s="515">
        <f>AusNet_Overheads!O46*AusNet_Overheads!O$21</f>
        <v>1756.9262718013213</v>
      </c>
      <c r="AZ15" s="158">
        <f t="shared" si="2"/>
        <v>7927.8376432323203</v>
      </c>
      <c r="BB15" s="157">
        <f t="shared" ref="BB15:BB17" si="63">AR15+AH15</f>
        <v>0</v>
      </c>
      <c r="BC15" s="157">
        <f t="shared" ref="BC15:BC17" si="64">AS15+AI15</f>
        <v>0</v>
      </c>
      <c r="BD15" s="157">
        <f t="shared" ref="BD15:BD17" si="65">AT15+AJ15</f>
        <v>0</v>
      </c>
      <c r="BE15" s="263">
        <f t="shared" ref="BE15:BE17" si="66">AU15+AK15</f>
        <v>17953.228116327042</v>
      </c>
      <c r="BF15" s="157">
        <f t="shared" ref="BF15:BF17" si="67">AV15+AL15</f>
        <v>17925.284796453703</v>
      </c>
      <c r="BG15" s="157">
        <f t="shared" ref="BG15:BG17" si="68">AW15+AM15</f>
        <v>18159.292102311418</v>
      </c>
      <c r="BH15" s="157">
        <f t="shared" ref="BH15:BH17" si="69">AX15+AN15</f>
        <v>18316.805536214884</v>
      </c>
      <c r="BI15" s="157">
        <f t="shared" ref="BI15:BI17" si="70">AY15+AO15</f>
        <v>18424.444350248348</v>
      </c>
      <c r="BJ15" s="158">
        <f t="shared" si="4"/>
        <v>90779.054901555399</v>
      </c>
      <c r="BL15" s="281">
        <f t="shared" ref="BL15:BP16" si="71">BE15*$BL$2/Thousands</f>
        <v>19.026545942562322</v>
      </c>
      <c r="BM15" s="281">
        <f t="shared" si="71"/>
        <v>18.996932056083921</v>
      </c>
      <c r="BN15" s="281">
        <f t="shared" si="71"/>
        <v>19.244929281259708</v>
      </c>
      <c r="BO15" s="281">
        <f t="shared" si="71"/>
        <v>19.411859516163233</v>
      </c>
      <c r="BP15" s="281">
        <f t="shared" si="71"/>
        <v>19.525933421264909</v>
      </c>
      <c r="BQ15" s="285">
        <f t="shared" si="10"/>
        <v>96.2062002173341</v>
      </c>
      <c r="BR15" s="274"/>
    </row>
    <row r="16" spans="2:70" outlineLevel="1">
      <c r="C16" s="1" t="s">
        <v>45</v>
      </c>
      <c r="D16" s="865"/>
      <c r="E16" s="865"/>
      <c r="F16" s="865"/>
      <c r="G16" s="866"/>
      <c r="H16" s="865"/>
      <c r="I16" s="865"/>
      <c r="J16" s="865"/>
      <c r="K16" s="865"/>
      <c r="L16" s="865"/>
      <c r="M16" s="157"/>
      <c r="N16" s="869"/>
      <c r="O16" s="869"/>
      <c r="P16" s="869"/>
      <c r="Q16" s="872"/>
      <c r="R16" s="869"/>
      <c r="S16" s="869"/>
      <c r="T16" s="869"/>
      <c r="U16" s="869"/>
      <c r="V16" s="865"/>
      <c r="X16" s="865"/>
      <c r="Y16" s="865"/>
      <c r="Z16" s="865"/>
      <c r="AA16" s="866"/>
      <c r="AB16" s="865"/>
      <c r="AC16" s="865"/>
      <c r="AD16" s="865"/>
      <c r="AE16" s="865"/>
      <c r="AF16" s="865"/>
      <c r="AH16" s="158">
        <v>0</v>
      </c>
      <c r="AI16" s="158">
        <v>0</v>
      </c>
      <c r="AJ16" s="158">
        <v>0</v>
      </c>
      <c r="AK16" s="264">
        <v>52771.511936692543</v>
      </c>
      <c r="AL16" s="158">
        <v>90735.043375872454</v>
      </c>
      <c r="AM16" s="158">
        <v>90733.692596932597</v>
      </c>
      <c r="AN16" s="158">
        <v>91297.067483547653</v>
      </c>
      <c r="AO16" s="158">
        <v>91879.481819333072</v>
      </c>
      <c r="AP16" s="157">
        <f t="shared" si="0"/>
        <v>417416.79721237835</v>
      </c>
      <c r="AR16" s="515"/>
      <c r="AS16" s="515"/>
      <c r="AT16" s="515"/>
      <c r="AU16" s="516">
        <f>AusNet_Overheads!K47*AusNet_Overheads!K$21</f>
        <v>3033.660034505247</v>
      </c>
      <c r="AV16" s="515">
        <f>AusNet_Overheads!L47*AusNet_Overheads!L$21</f>
        <v>4639.556409529373</v>
      </c>
      <c r="AW16" s="515">
        <f>AusNet_Overheads!M47*AusNet_Overheads!M$21</f>
        <v>5320.3497435492909</v>
      </c>
      <c r="AX16" s="515">
        <f>AusNet_Overheads!N47*AusNet_Overheads!N$21</f>
        <v>5731.6028187871516</v>
      </c>
      <c r="AY16" s="515">
        <f>AusNet_Overheads!O47*AusNet_Overheads!O$21</f>
        <v>5945.5985962013783</v>
      </c>
      <c r="AZ16" s="158">
        <f t="shared" si="2"/>
        <v>24670.767602572443</v>
      </c>
      <c r="BB16" s="157">
        <f t="shared" si="63"/>
        <v>0</v>
      </c>
      <c r="BC16" s="157">
        <f t="shared" si="64"/>
        <v>0</v>
      </c>
      <c r="BD16" s="157">
        <f t="shared" si="65"/>
        <v>0</v>
      </c>
      <c r="BE16" s="263">
        <f t="shared" si="66"/>
        <v>55805.171971197793</v>
      </c>
      <c r="BF16" s="157">
        <f t="shared" si="67"/>
        <v>95374.599785401821</v>
      </c>
      <c r="BG16" s="157">
        <f t="shared" si="68"/>
        <v>96054.042340481887</v>
      </c>
      <c r="BH16" s="157">
        <f t="shared" si="69"/>
        <v>97028.670302334809</v>
      </c>
      <c r="BI16" s="157">
        <f t="shared" si="70"/>
        <v>97825.080415534452</v>
      </c>
      <c r="BJ16" s="158">
        <f t="shared" si="4"/>
        <v>442087.56481495075</v>
      </c>
      <c r="BL16" s="281">
        <f t="shared" si="71"/>
        <v>59.141434702597103</v>
      </c>
      <c r="BM16" s="281">
        <f t="shared" si="71"/>
        <v>101.07648567781315</v>
      </c>
      <c r="BN16" s="281">
        <f t="shared" si="71"/>
        <v>101.79654810367886</v>
      </c>
      <c r="BO16" s="281">
        <f t="shared" si="71"/>
        <v>102.82944333416035</v>
      </c>
      <c r="BP16" s="281">
        <f t="shared" si="71"/>
        <v>103.6734661199085</v>
      </c>
      <c r="BQ16" s="285">
        <f t="shared" si="10"/>
        <v>468.51737793815795</v>
      </c>
      <c r="BR16" s="274"/>
    </row>
    <row r="17" spans="2:70" outlineLevel="1">
      <c r="C17" s="1" t="s">
        <v>48</v>
      </c>
      <c r="D17" s="865"/>
      <c r="E17" s="865"/>
      <c r="F17" s="865"/>
      <c r="G17" s="866"/>
      <c r="H17" s="865"/>
      <c r="I17" s="865"/>
      <c r="J17" s="865"/>
      <c r="K17" s="865"/>
      <c r="L17" s="865"/>
      <c r="M17" s="157"/>
      <c r="N17" s="869"/>
      <c r="O17" s="869"/>
      <c r="P17" s="869"/>
      <c r="Q17" s="872"/>
      <c r="R17" s="869"/>
      <c r="S17" s="869"/>
      <c r="T17" s="869"/>
      <c r="U17" s="869"/>
      <c r="V17" s="865"/>
      <c r="X17" s="865"/>
      <c r="Y17" s="865"/>
      <c r="Z17" s="865"/>
      <c r="AA17" s="866"/>
      <c r="AB17" s="865"/>
      <c r="AC17" s="865"/>
      <c r="AD17" s="865"/>
      <c r="AE17" s="865"/>
      <c r="AF17" s="865"/>
      <c r="AH17" s="158">
        <v>0</v>
      </c>
      <c r="AI17" s="158">
        <v>0</v>
      </c>
      <c r="AJ17" s="158">
        <v>0</v>
      </c>
      <c r="AK17" s="264">
        <v>0</v>
      </c>
      <c r="AL17" s="158">
        <v>0</v>
      </c>
      <c r="AM17" s="158">
        <v>0</v>
      </c>
      <c r="AN17" s="158">
        <v>0</v>
      </c>
      <c r="AO17" s="158">
        <v>0</v>
      </c>
      <c r="AP17" s="157">
        <f t="shared" ref="AP17" si="72">SUM(AK17:AO17)</f>
        <v>0</v>
      </c>
      <c r="AR17" s="157">
        <v>0</v>
      </c>
      <c r="AS17" s="157">
        <v>0</v>
      </c>
      <c r="AT17" s="157">
        <v>0</v>
      </c>
      <c r="AU17" s="263">
        <v>0</v>
      </c>
      <c r="AV17" s="157">
        <v>0</v>
      </c>
      <c r="AW17" s="157">
        <v>0</v>
      </c>
      <c r="AX17" s="157">
        <v>0</v>
      </c>
      <c r="AY17" s="157">
        <v>0</v>
      </c>
      <c r="AZ17" s="158">
        <f t="shared" ref="AZ17" si="73">SUM(AU17:AY17)</f>
        <v>0</v>
      </c>
      <c r="BB17" s="157">
        <f t="shared" si="63"/>
        <v>0</v>
      </c>
      <c r="BC17" s="157">
        <f t="shared" si="64"/>
        <v>0</v>
      </c>
      <c r="BD17" s="157">
        <f t="shared" si="65"/>
        <v>0</v>
      </c>
      <c r="BE17" s="263">
        <f t="shared" si="66"/>
        <v>0</v>
      </c>
      <c r="BF17" s="157">
        <f t="shared" si="67"/>
        <v>0</v>
      </c>
      <c r="BG17" s="157">
        <f t="shared" si="68"/>
        <v>0</v>
      </c>
      <c r="BH17" s="157">
        <f t="shared" si="69"/>
        <v>0</v>
      </c>
      <c r="BI17" s="157">
        <f t="shared" si="70"/>
        <v>0</v>
      </c>
      <c r="BJ17" s="158">
        <f t="shared" ref="BJ17" si="74">SUM(BE17:BI17)</f>
        <v>0</v>
      </c>
      <c r="BL17" s="281">
        <f t="shared" ref="BL17:BL18" si="75">BE17*$BL$2/Thousands</f>
        <v>0</v>
      </c>
      <c r="BM17" s="281">
        <f t="shared" ref="BM17:BM18" si="76">BF17*$BL$2/Thousands</f>
        <v>0</v>
      </c>
      <c r="BN17" s="281">
        <f t="shared" ref="BN17:BN18" si="77">BG17*$BL$2/Thousands</f>
        <v>0</v>
      </c>
      <c r="BO17" s="281">
        <f t="shared" ref="BO17:BO18" si="78">BH17*$BL$2/Thousands</f>
        <v>0</v>
      </c>
      <c r="BP17" s="281">
        <f t="shared" ref="BP17:BP18" si="79">BI17*$BL$2/Thousands</f>
        <v>0</v>
      </c>
      <c r="BQ17" s="285">
        <f t="shared" si="10"/>
        <v>0</v>
      </c>
      <c r="BR17" s="274"/>
    </row>
    <row r="18" spans="2:70">
      <c r="B18" s="247" t="s">
        <v>150</v>
      </c>
      <c r="D18" s="865"/>
      <c r="E18" s="865"/>
      <c r="F18" s="865"/>
      <c r="G18" s="866"/>
      <c r="H18" s="865"/>
      <c r="I18" s="865"/>
      <c r="J18" s="865"/>
      <c r="K18" s="865"/>
      <c r="L18" s="865"/>
      <c r="N18" s="865"/>
      <c r="O18" s="865"/>
      <c r="P18" s="865"/>
      <c r="Q18" s="866"/>
      <c r="R18" s="865"/>
      <c r="S18" s="865"/>
      <c r="T18" s="865"/>
      <c r="U18" s="865"/>
      <c r="V18" s="865"/>
      <c r="X18" s="865"/>
      <c r="Y18" s="865"/>
      <c r="Z18" s="865"/>
      <c r="AA18" s="866"/>
      <c r="AB18" s="865"/>
      <c r="AC18" s="865"/>
      <c r="AD18" s="865"/>
      <c r="AE18" s="865"/>
      <c r="AF18" s="865"/>
      <c r="AH18" s="157">
        <v>0</v>
      </c>
      <c r="AI18" s="157">
        <v>1072.5630793214652</v>
      </c>
      <c r="AJ18" s="157">
        <v>9400.3978834787686</v>
      </c>
      <c r="AK18" s="263">
        <v>114185.79785839436</v>
      </c>
      <c r="AL18" s="157">
        <v>119795.33750016117</v>
      </c>
      <c r="AM18" s="157">
        <v>119220.92569041601</v>
      </c>
      <c r="AN18" s="157">
        <v>99653.313776571769</v>
      </c>
      <c r="AO18" s="157">
        <v>81307.679949960788</v>
      </c>
      <c r="AP18" s="361">
        <f t="shared" ref="AP18:AP32" si="80">SUM(AK18:AO18)</f>
        <v>534163.05477550416</v>
      </c>
      <c r="AR18" s="157">
        <f>SUBTOTAL(9,AR19:AR21)</f>
        <v>0</v>
      </c>
      <c r="AS18" s="157">
        <f t="shared" ref="AS18:AT18" si="81">SUBTOTAL(9,AS19:AS21)</f>
        <v>88.266994222259385</v>
      </c>
      <c r="AT18" s="157">
        <f t="shared" si="81"/>
        <v>911.23352737278276</v>
      </c>
      <c r="AU18" s="263">
        <f t="shared" ref="AU18" si="82">SUBTOTAL(9,AU19:AU21)</f>
        <v>11606.887767991477</v>
      </c>
      <c r="AV18" s="157">
        <f t="shared" ref="AV18" si="83">SUBTOTAL(9,AV19:AV21)</f>
        <v>11573.836247031133</v>
      </c>
      <c r="AW18" s="157">
        <f t="shared" ref="AW18" si="84">SUBTOTAL(9,AW19:AW21)</f>
        <v>13932.266466583915</v>
      </c>
      <c r="AX18" s="157">
        <f t="shared" ref="AX18" si="85">SUBTOTAL(9,AX19:AX21)</f>
        <v>12917.010565496606</v>
      </c>
      <c r="AY18" s="157">
        <f t="shared" ref="AY18" si="86">SUBTOTAL(9,AY19:AY21)</f>
        <v>11061.422904954326</v>
      </c>
      <c r="AZ18" s="157">
        <f t="shared" ref="AZ18:AZ33" si="87">SUM(AU18:AY18)</f>
        <v>61091.423952057456</v>
      </c>
      <c r="BB18" s="157">
        <f>SUBTOTAL(9,BB19:BB21)</f>
        <v>0</v>
      </c>
      <c r="BC18" s="157">
        <f t="shared" ref="BC18" si="88">SUBTOTAL(9,BC19:BC21)</f>
        <v>1160.8300735437247</v>
      </c>
      <c r="BD18" s="157">
        <f t="shared" ref="BD18" si="89">SUBTOTAL(9,BD19:BD21)</f>
        <v>10311.631410851551</v>
      </c>
      <c r="BE18" s="368">
        <f t="shared" ref="BE18" si="90">SUBTOTAL(9,BE19:BE21)</f>
        <v>125792.68562638582</v>
      </c>
      <c r="BF18" s="361">
        <f t="shared" ref="BF18" si="91">SUBTOTAL(9,BF19:BF21)</f>
        <v>131369.17374719231</v>
      </c>
      <c r="BG18" s="361">
        <f t="shared" ref="BG18" si="92">SUBTOTAL(9,BG19:BG21)</f>
        <v>133153.19215699992</v>
      </c>
      <c r="BH18" s="361">
        <f t="shared" ref="BH18" si="93">SUBTOTAL(9,BH19:BH21)</f>
        <v>112570.32434206839</v>
      </c>
      <c r="BI18" s="361">
        <f t="shared" ref="BI18" si="94">SUBTOTAL(9,BI19:BI21)</f>
        <v>92369.102854915109</v>
      </c>
      <c r="BJ18" s="157">
        <f t="shared" ref="BJ18:BJ33" si="95">SUM(BE18:BI18)</f>
        <v>595254.47872756154</v>
      </c>
      <c r="BL18" s="281">
        <f t="shared" si="75"/>
        <v>133.31308981319748</v>
      </c>
      <c r="BM18" s="281">
        <f t="shared" si="76"/>
        <v>139.22296333238856</v>
      </c>
      <c r="BN18" s="281">
        <f t="shared" si="77"/>
        <v>141.11363770117867</v>
      </c>
      <c r="BO18" s="281">
        <f t="shared" si="78"/>
        <v>119.30024138197665</v>
      </c>
      <c r="BP18" s="281">
        <f t="shared" si="79"/>
        <v>97.891307777904956</v>
      </c>
      <c r="BQ18" s="285">
        <f t="shared" si="10"/>
        <v>630.84124000664633</v>
      </c>
    </row>
    <row r="19" spans="2:70" outlineLevel="1">
      <c r="B19" s="247"/>
      <c r="C19" s="1" t="s">
        <v>44</v>
      </c>
      <c r="D19" s="865"/>
      <c r="E19" s="865"/>
      <c r="F19" s="865"/>
      <c r="G19" s="866"/>
      <c r="H19" s="865"/>
      <c r="I19" s="865"/>
      <c r="J19" s="865"/>
      <c r="K19" s="865"/>
      <c r="L19" s="865"/>
      <c r="M19" s="157"/>
      <c r="N19" s="865"/>
      <c r="O19" s="865"/>
      <c r="P19" s="865"/>
      <c r="Q19" s="866"/>
      <c r="R19" s="865"/>
      <c r="S19" s="865"/>
      <c r="T19" s="865"/>
      <c r="U19" s="865"/>
      <c r="V19" s="865"/>
      <c r="X19" s="865"/>
      <c r="Y19" s="865"/>
      <c r="Z19" s="865"/>
      <c r="AA19" s="866"/>
      <c r="AB19" s="865"/>
      <c r="AC19" s="865"/>
      <c r="AD19" s="865"/>
      <c r="AE19" s="865"/>
      <c r="AF19" s="865"/>
      <c r="AH19" s="158">
        <v>0</v>
      </c>
      <c r="AI19" s="158">
        <v>1072.5630793214652</v>
      </c>
      <c r="AJ19" s="158">
        <v>2545.2800908559402</v>
      </c>
      <c r="AK19" s="264">
        <v>22360.888195627511</v>
      </c>
      <c r="AL19" s="158">
        <v>31054.377020509935</v>
      </c>
      <c r="AM19" s="158">
        <v>31238.545257449103</v>
      </c>
      <c r="AN19" s="158">
        <v>16152.691655551478</v>
      </c>
      <c r="AO19" s="158">
        <v>5245.0844038292435</v>
      </c>
      <c r="AP19" s="157">
        <f t="shared" si="80"/>
        <v>106051.58653296727</v>
      </c>
      <c r="AR19" s="157">
        <f>AH19*AusNet_Overheads!H$20</f>
        <v>0</v>
      </c>
      <c r="AS19" s="157">
        <f>AI19*AusNet_Overheads!I$20</f>
        <v>88.266994222259385</v>
      </c>
      <c r="AT19" s="157">
        <f>AJ19*AusNet_Overheads!J$20</f>
        <v>246.72833895878296</v>
      </c>
      <c r="AU19" s="263">
        <f>AK19*AusNet_Overheads!K$20</f>
        <v>2272.9649794199327</v>
      </c>
      <c r="AV19" s="157">
        <f>AL19*AusNet_Overheads!L$20</f>
        <v>3000.2693083815966</v>
      </c>
      <c r="AW19" s="157">
        <f>AM19*AusNet_Overheads!M$20</f>
        <v>3650.5649829072672</v>
      </c>
      <c r="AX19" s="157">
        <f>AN19*AusNet_Overheads!N$20</f>
        <v>2093.7034692469915</v>
      </c>
      <c r="AY19" s="157">
        <f>AO19*AusNet_Overheads!O$20</f>
        <v>713.56232029547004</v>
      </c>
      <c r="AZ19" s="158">
        <f t="shared" si="87"/>
        <v>11731.06506025126</v>
      </c>
      <c r="BB19" s="157">
        <f t="shared" ref="BB19:BB21" si="96">AR19+AH19</f>
        <v>0</v>
      </c>
      <c r="BC19" s="157">
        <f t="shared" ref="BC19:BC21" si="97">AS19+AI19</f>
        <v>1160.8300735437247</v>
      </c>
      <c r="BD19" s="157">
        <f t="shared" ref="BD19:BD21" si="98">AT19+AJ19</f>
        <v>2792.0084298147231</v>
      </c>
      <c r="BE19" s="263">
        <f t="shared" ref="BE19:BE21" si="99">AU19+AK19</f>
        <v>24633.853175047443</v>
      </c>
      <c r="BF19" s="157">
        <f t="shared" ref="BF19:BF21" si="100">AV19+AL19</f>
        <v>34054.646328891533</v>
      </c>
      <c r="BG19" s="157">
        <f t="shared" ref="BG19:BG21" si="101">AW19+AM19</f>
        <v>34889.110240356371</v>
      </c>
      <c r="BH19" s="157">
        <f t="shared" ref="BH19:BH21" si="102">AX19+AN19</f>
        <v>18246.39512479847</v>
      </c>
      <c r="BI19" s="157">
        <f t="shared" ref="BI19:BI21" si="103">AY19+AO19</f>
        <v>5958.6467241247137</v>
      </c>
      <c r="BJ19" s="158">
        <f t="shared" si="95"/>
        <v>117782.65159321853</v>
      </c>
      <c r="BL19" s="281">
        <f t="shared" ref="BL19:BP22" si="104">BE19*$BL$2/Thousands</f>
        <v>26.106566247611589</v>
      </c>
      <c r="BM19" s="281">
        <f t="shared" si="104"/>
        <v>36.090573168015048</v>
      </c>
      <c r="BN19" s="281">
        <f t="shared" si="104"/>
        <v>36.974924764620518</v>
      </c>
      <c r="BO19" s="281">
        <f t="shared" si="104"/>
        <v>19.33723968072368</v>
      </c>
      <c r="BP19" s="281">
        <f t="shared" si="104"/>
        <v>6.3148791358003225</v>
      </c>
      <c r="BQ19" s="285">
        <f t="shared" si="10"/>
        <v>124.82418299677117</v>
      </c>
      <c r="BR19" s="274"/>
    </row>
    <row r="20" spans="2:70" outlineLevel="1">
      <c r="B20" s="247"/>
      <c r="C20" s="1" t="s">
        <v>45</v>
      </c>
      <c r="D20" s="865"/>
      <c r="E20" s="865"/>
      <c r="F20" s="865"/>
      <c r="G20" s="866"/>
      <c r="H20" s="865"/>
      <c r="I20" s="865"/>
      <c r="J20" s="865"/>
      <c r="K20" s="865"/>
      <c r="L20" s="865"/>
      <c r="M20" s="157"/>
      <c r="N20" s="865"/>
      <c r="O20" s="865"/>
      <c r="P20" s="865"/>
      <c r="Q20" s="866"/>
      <c r="R20" s="865"/>
      <c r="S20" s="865"/>
      <c r="T20" s="865"/>
      <c r="U20" s="865"/>
      <c r="V20" s="865"/>
      <c r="X20" s="865"/>
      <c r="Y20" s="865"/>
      <c r="Z20" s="865"/>
      <c r="AA20" s="866"/>
      <c r="AB20" s="865"/>
      <c r="AC20" s="865"/>
      <c r="AD20" s="865"/>
      <c r="AE20" s="865"/>
      <c r="AF20" s="865"/>
      <c r="AH20" s="158">
        <v>0</v>
      </c>
      <c r="AI20" s="158">
        <v>0</v>
      </c>
      <c r="AJ20" s="158">
        <v>0</v>
      </c>
      <c r="AK20" s="264">
        <v>74060.104336274366</v>
      </c>
      <c r="AL20" s="158">
        <v>76118.619713862528</v>
      </c>
      <c r="AM20" s="158">
        <v>76053.032678297895</v>
      </c>
      <c r="AN20" s="158">
        <v>72066.414127903903</v>
      </c>
      <c r="AO20" s="158">
        <v>68340.226443614592</v>
      </c>
      <c r="AP20" s="157">
        <f t="shared" si="80"/>
        <v>366638.39729995327</v>
      </c>
      <c r="AR20" s="157">
        <f>AH20*AusNet_Overheads!H$20</f>
        <v>0</v>
      </c>
      <c r="AS20" s="157">
        <f>AI20*AusNet_Overheads!I$20</f>
        <v>0</v>
      </c>
      <c r="AT20" s="157">
        <f>AJ20*AusNet_Overheads!J$20</f>
        <v>0</v>
      </c>
      <c r="AU20" s="263">
        <f>AK20*AusNet_Overheads!K$20</f>
        <v>7528.1456646903089</v>
      </c>
      <c r="AV20" s="157">
        <f>AL20*AusNet_Overheads!L$20</f>
        <v>7354.0795351663437</v>
      </c>
      <c r="AW20" s="157">
        <f>AM20*AusNet_Overheads!M$20</f>
        <v>8887.6269893871431</v>
      </c>
      <c r="AX20" s="157">
        <f>AN20*AusNet_Overheads!N$20</f>
        <v>9341.2110187793533</v>
      </c>
      <c r="AY20" s="157">
        <f>AO20*AusNet_Overheads!O$20</f>
        <v>9297.2785175815152</v>
      </c>
      <c r="AZ20" s="158">
        <f t="shared" si="87"/>
        <v>42408.341725604667</v>
      </c>
      <c r="BB20" s="157">
        <f t="shared" si="96"/>
        <v>0</v>
      </c>
      <c r="BC20" s="157">
        <f t="shared" si="97"/>
        <v>0</v>
      </c>
      <c r="BD20" s="157">
        <f t="shared" si="98"/>
        <v>0</v>
      </c>
      <c r="BE20" s="263">
        <f t="shared" si="99"/>
        <v>81588.250000964676</v>
      </c>
      <c r="BF20" s="157">
        <f t="shared" si="100"/>
        <v>83472.699249028869</v>
      </c>
      <c r="BG20" s="157">
        <f t="shared" si="101"/>
        <v>84940.659667685046</v>
      </c>
      <c r="BH20" s="157">
        <f t="shared" si="102"/>
        <v>81407.625146683262</v>
      </c>
      <c r="BI20" s="157">
        <f t="shared" si="103"/>
        <v>77637.5049611961</v>
      </c>
      <c r="BJ20" s="158">
        <f t="shared" si="95"/>
        <v>409046.73902555794</v>
      </c>
      <c r="BL20" s="281">
        <f t="shared" si="104"/>
        <v>86.465931194005279</v>
      </c>
      <c r="BM20" s="281">
        <f t="shared" si="104"/>
        <v>88.463040569678711</v>
      </c>
      <c r="BN20" s="281">
        <f t="shared" si="104"/>
        <v>90.018761700522276</v>
      </c>
      <c r="BO20" s="281">
        <f t="shared" si="104"/>
        <v>86.274507842946292</v>
      </c>
      <c r="BP20" s="281">
        <f t="shared" si="104"/>
        <v>82.278994364625447</v>
      </c>
      <c r="BQ20" s="285">
        <f t="shared" si="10"/>
        <v>433.50123567177798</v>
      </c>
      <c r="BR20" s="274"/>
    </row>
    <row r="21" spans="2:70" outlineLevel="1">
      <c r="B21" s="247"/>
      <c r="C21" s="1" t="s">
        <v>48</v>
      </c>
      <c r="D21" s="865"/>
      <c r="E21" s="865"/>
      <c r="F21" s="865"/>
      <c r="G21" s="866"/>
      <c r="H21" s="865"/>
      <c r="I21" s="865"/>
      <c r="J21" s="865"/>
      <c r="K21" s="865"/>
      <c r="L21" s="865"/>
      <c r="M21" s="157"/>
      <c r="N21" s="865"/>
      <c r="O21" s="865"/>
      <c r="P21" s="865"/>
      <c r="Q21" s="866"/>
      <c r="R21" s="865"/>
      <c r="S21" s="865"/>
      <c r="T21" s="865"/>
      <c r="U21" s="865"/>
      <c r="V21" s="865"/>
      <c r="X21" s="865"/>
      <c r="Y21" s="865"/>
      <c r="Z21" s="865"/>
      <c r="AA21" s="866"/>
      <c r="AB21" s="865"/>
      <c r="AC21" s="865"/>
      <c r="AD21" s="865"/>
      <c r="AE21" s="865"/>
      <c r="AF21" s="865"/>
      <c r="AH21" s="158">
        <v>0</v>
      </c>
      <c r="AI21" s="158">
        <v>0</v>
      </c>
      <c r="AJ21" s="158">
        <v>6855.1177926228283</v>
      </c>
      <c r="AK21" s="264">
        <v>17764.805326492475</v>
      </c>
      <c r="AL21" s="158">
        <v>12622.340765788715</v>
      </c>
      <c r="AM21" s="158">
        <v>11929.347754669012</v>
      </c>
      <c r="AN21" s="158">
        <v>11434.207993116392</v>
      </c>
      <c r="AO21" s="158">
        <v>7722.3691025169574</v>
      </c>
      <c r="AP21" s="157">
        <f t="shared" si="80"/>
        <v>61473.070942583552</v>
      </c>
      <c r="AR21" s="157">
        <f>AH21*AusNet_Overheads!H$20</f>
        <v>0</v>
      </c>
      <c r="AS21" s="157">
        <f>AI21*AusNet_Overheads!I$20</f>
        <v>0</v>
      </c>
      <c r="AT21" s="157">
        <f>AJ21*AusNet_Overheads!J$20</f>
        <v>664.5051884139998</v>
      </c>
      <c r="AU21" s="263">
        <f>AK21*AusNet_Overheads!K$20</f>
        <v>1805.7771238812338</v>
      </c>
      <c r="AV21" s="157">
        <f>AL21*AusNet_Overheads!L$20</f>
        <v>1219.4874034831912</v>
      </c>
      <c r="AW21" s="157">
        <f>AM21*AusNet_Overheads!M$20</f>
        <v>1394.0744942895035</v>
      </c>
      <c r="AX21" s="157">
        <f>AN21*AusNet_Overheads!N$20</f>
        <v>1482.0960774702614</v>
      </c>
      <c r="AY21" s="157">
        <f>AO21*AusNet_Overheads!O$20</f>
        <v>1050.5820670773405</v>
      </c>
      <c r="AZ21" s="158">
        <f t="shared" si="87"/>
        <v>6952.0171662015309</v>
      </c>
      <c r="BB21" s="157">
        <f t="shared" si="96"/>
        <v>0</v>
      </c>
      <c r="BC21" s="157">
        <f t="shared" si="97"/>
        <v>0</v>
      </c>
      <c r="BD21" s="157">
        <f t="shared" si="98"/>
        <v>7519.6229810368277</v>
      </c>
      <c r="BE21" s="263">
        <f t="shared" si="99"/>
        <v>19570.582450373709</v>
      </c>
      <c r="BF21" s="157">
        <f t="shared" si="100"/>
        <v>13841.828169271907</v>
      </c>
      <c r="BG21" s="157">
        <f t="shared" si="101"/>
        <v>13323.422248958515</v>
      </c>
      <c r="BH21" s="157">
        <f t="shared" si="102"/>
        <v>12916.304070586653</v>
      </c>
      <c r="BI21" s="157">
        <f t="shared" si="103"/>
        <v>8772.9511695942983</v>
      </c>
      <c r="BJ21" s="158">
        <f t="shared" si="95"/>
        <v>68425.088108785072</v>
      </c>
      <c r="BL21" s="281">
        <f t="shared" si="104"/>
        <v>20.740592371580622</v>
      </c>
      <c r="BM21" s="281">
        <f t="shared" si="104"/>
        <v>14.669349594694795</v>
      </c>
      <c r="BN21" s="281">
        <f t="shared" si="104"/>
        <v>14.119951236035886</v>
      </c>
      <c r="BO21" s="281">
        <f t="shared" si="104"/>
        <v>13.688493858306693</v>
      </c>
      <c r="BP21" s="281">
        <f t="shared" si="104"/>
        <v>9.2974342774791676</v>
      </c>
      <c r="BQ21" s="285">
        <f t="shared" si="10"/>
        <v>72.515821338097169</v>
      </c>
      <c r="BR21" s="274"/>
    </row>
    <row r="22" spans="2:70">
      <c r="B22" s="247" t="s">
        <v>551</v>
      </c>
      <c r="D22" s="865"/>
      <c r="E22" s="865"/>
      <c r="F22" s="865"/>
      <c r="G22" s="866"/>
      <c r="H22" s="865"/>
      <c r="I22" s="865"/>
      <c r="J22" s="865"/>
      <c r="K22" s="865"/>
      <c r="L22" s="865"/>
      <c r="N22" s="865"/>
      <c r="O22" s="865"/>
      <c r="P22" s="865"/>
      <c r="Q22" s="866"/>
      <c r="R22" s="865"/>
      <c r="S22" s="865"/>
      <c r="T22" s="865"/>
      <c r="U22" s="865"/>
      <c r="V22" s="865"/>
      <c r="X22" s="865"/>
      <c r="Y22" s="865"/>
      <c r="Z22" s="865"/>
      <c r="AA22" s="866"/>
      <c r="AB22" s="865"/>
      <c r="AC22" s="865"/>
      <c r="AD22" s="865"/>
      <c r="AE22" s="865"/>
      <c r="AF22" s="865"/>
      <c r="AH22" s="157">
        <v>0</v>
      </c>
      <c r="AI22" s="157">
        <v>0</v>
      </c>
      <c r="AJ22" s="157">
        <v>0</v>
      </c>
      <c r="AK22" s="263">
        <v>34487.668377188216</v>
      </c>
      <c r="AL22" s="157">
        <v>39736.574135925337</v>
      </c>
      <c r="AM22" s="157">
        <v>17662.634508273008</v>
      </c>
      <c r="AN22" s="157">
        <v>18500.009981818508</v>
      </c>
      <c r="AO22" s="157">
        <v>28047.043302100101</v>
      </c>
      <c r="AP22" s="157">
        <f t="shared" si="80"/>
        <v>138433.93030530517</v>
      </c>
      <c r="AR22" s="157">
        <f t="shared" ref="AR22:AY22" si="105">SUBTOTAL(9,AR23:AR26)</f>
        <v>0</v>
      </c>
      <c r="AS22" s="157">
        <f t="shared" si="105"/>
        <v>0</v>
      </c>
      <c r="AT22" s="157">
        <f t="shared" si="105"/>
        <v>0</v>
      </c>
      <c r="AU22" s="263">
        <f t="shared" si="105"/>
        <v>3414.6353455968197</v>
      </c>
      <c r="AV22" s="157">
        <f t="shared" si="105"/>
        <v>3839.0859916947411</v>
      </c>
      <c r="AW22" s="157">
        <f t="shared" si="105"/>
        <v>2064.0716304295725</v>
      </c>
      <c r="AX22" s="157">
        <f t="shared" si="105"/>
        <v>2397.9616466414218</v>
      </c>
      <c r="AY22" s="157">
        <f t="shared" si="105"/>
        <v>3815.6322673212053</v>
      </c>
      <c r="AZ22" s="157">
        <f t="shared" si="87"/>
        <v>15531.38688168376</v>
      </c>
      <c r="BB22" s="361">
        <f t="shared" ref="BB22:BI22" si="106">SUBTOTAL(9,BB23:BB26)</f>
        <v>0</v>
      </c>
      <c r="BC22" s="361">
        <f t="shared" si="106"/>
        <v>0</v>
      </c>
      <c r="BD22" s="361">
        <f t="shared" si="106"/>
        <v>0</v>
      </c>
      <c r="BE22" s="368">
        <f t="shared" si="106"/>
        <v>37902.303722785036</v>
      </c>
      <c r="BF22" s="361">
        <f t="shared" si="106"/>
        <v>43575.660127620074</v>
      </c>
      <c r="BG22" s="157">
        <f t="shared" si="106"/>
        <v>19726.706138702575</v>
      </c>
      <c r="BH22" s="157">
        <f t="shared" si="106"/>
        <v>20897.971628459927</v>
      </c>
      <c r="BI22" s="157">
        <f t="shared" si="106"/>
        <v>31862.675569421302</v>
      </c>
      <c r="BJ22" s="157">
        <f t="shared" si="95"/>
        <v>153965.31718698892</v>
      </c>
      <c r="BL22" s="281">
        <f t="shared" si="104"/>
        <v>40.168259348005037</v>
      </c>
      <c r="BM22" s="281">
        <f t="shared" si="104"/>
        <v>46.180792335705291</v>
      </c>
      <c r="BN22" s="281">
        <f t="shared" si="104"/>
        <v>20.906049776202469</v>
      </c>
      <c r="BO22" s="281">
        <f t="shared" si="104"/>
        <v>22.147338334862255</v>
      </c>
      <c r="BP22" s="281">
        <f t="shared" si="104"/>
        <v>33.767557380013919</v>
      </c>
      <c r="BQ22" s="285">
        <f t="shared" si="10"/>
        <v>163.16999717478896</v>
      </c>
    </row>
    <row r="23" spans="2:70" outlineLevel="1">
      <c r="B23" s="247"/>
      <c r="C23" s="1" t="s">
        <v>44</v>
      </c>
      <c r="D23" s="865"/>
      <c r="E23" s="865"/>
      <c r="F23" s="865"/>
      <c r="G23" s="866"/>
      <c r="H23" s="865"/>
      <c r="I23" s="865"/>
      <c r="J23" s="865"/>
      <c r="K23" s="865"/>
      <c r="L23" s="865"/>
      <c r="M23" s="157"/>
      <c r="N23" s="865"/>
      <c r="O23" s="865"/>
      <c r="P23" s="865"/>
      <c r="Q23" s="866"/>
      <c r="R23" s="865"/>
      <c r="S23" s="865"/>
      <c r="T23" s="865"/>
      <c r="U23" s="865"/>
      <c r="V23" s="865"/>
      <c r="X23" s="865"/>
      <c r="Y23" s="865"/>
      <c r="Z23" s="865"/>
      <c r="AA23" s="866"/>
      <c r="AB23" s="865"/>
      <c r="AC23" s="865"/>
      <c r="AD23" s="865"/>
      <c r="AE23" s="865"/>
      <c r="AF23" s="865"/>
      <c r="AH23" s="158">
        <v>0</v>
      </c>
      <c r="AI23" s="158">
        <v>0</v>
      </c>
      <c r="AJ23" s="158">
        <v>0</v>
      </c>
      <c r="AK23" s="264">
        <v>18314.638173424944</v>
      </c>
      <c r="AL23" s="158">
        <v>22139.787495794597</v>
      </c>
      <c r="AM23" s="158">
        <v>5574.0627501509707</v>
      </c>
      <c r="AN23" s="158">
        <v>2480.6863820068866</v>
      </c>
      <c r="AO23" s="158">
        <v>2071.6395376072687</v>
      </c>
      <c r="AP23" s="157">
        <f t="shared" si="80"/>
        <v>50580.814338984674</v>
      </c>
      <c r="AR23" s="157">
        <f>AH23*AusNet_Overheads!H$20</f>
        <v>0</v>
      </c>
      <c r="AS23" s="157">
        <f>AI23*AusNet_Overheads!I$20</f>
        <v>0</v>
      </c>
      <c r="AT23" s="157">
        <f>AJ23*AusNet_Overheads!J$20</f>
        <v>0</v>
      </c>
      <c r="AU23" s="263">
        <f>AK23*AusNet_Overheads!K$20</f>
        <v>1861.667158064073</v>
      </c>
      <c r="AV23" s="157">
        <f>AL23*AusNet_Overheads!L$20</f>
        <v>2139.0004015811496</v>
      </c>
      <c r="AW23" s="157">
        <f>AM23*AusNet_Overheads!M$20</f>
        <v>651.39007340223827</v>
      </c>
      <c r="AX23" s="157">
        <f>AN23*AusNet_Overheads!N$20</f>
        <v>321.54527523197868</v>
      </c>
      <c r="AY23" s="157">
        <f>AO23*AusNet_Overheads!O$20</f>
        <v>281.83415202845276</v>
      </c>
      <c r="AZ23" s="158">
        <f t="shared" si="87"/>
        <v>5255.4370603078924</v>
      </c>
      <c r="BB23" s="157">
        <f t="shared" ref="BB23:BB26" si="107">AR23+AH23</f>
        <v>0</v>
      </c>
      <c r="BC23" s="157">
        <f t="shared" ref="BC23:BC26" si="108">AS23+AI23</f>
        <v>0</v>
      </c>
      <c r="BD23" s="157">
        <f t="shared" ref="BD23:BD26" si="109">AT23+AJ23</f>
        <v>0</v>
      </c>
      <c r="BE23" s="263">
        <f t="shared" ref="BE23:BE26" si="110">AU23+AK23</f>
        <v>20176.305331489017</v>
      </c>
      <c r="BF23" s="157">
        <f t="shared" ref="BF23:BF26" si="111">AV23+AL23</f>
        <v>24278.787897375747</v>
      </c>
      <c r="BG23" s="157">
        <f t="shared" ref="BG23:BG26" si="112">AW23+AM23</f>
        <v>6225.4528235532089</v>
      </c>
      <c r="BH23" s="157">
        <f t="shared" ref="BH23:BH26" si="113">AX23+AN23</f>
        <v>2802.2316572388654</v>
      </c>
      <c r="BI23" s="157">
        <f t="shared" ref="BI23:BI26" si="114">AY23+AO23</f>
        <v>2353.4736896357217</v>
      </c>
      <c r="BJ23" s="158">
        <f t="shared" si="95"/>
        <v>55836.251399292552</v>
      </c>
      <c r="BL23" s="281">
        <f t="shared" ref="BL23:BP27" si="115">BE23*$BL$2/Thousands</f>
        <v>21.382527858130846</v>
      </c>
      <c r="BM23" s="281">
        <f t="shared" si="115"/>
        <v>25.730273707102654</v>
      </c>
      <c r="BN23" s="281">
        <f t="shared" si="115"/>
        <v>6.5976360013422655</v>
      </c>
      <c r="BO23" s="281">
        <f t="shared" si="115"/>
        <v>2.9697605925070616</v>
      </c>
      <c r="BP23" s="281">
        <f t="shared" si="115"/>
        <v>2.4941740276637625</v>
      </c>
      <c r="BQ23" s="285">
        <f t="shared" si="10"/>
        <v>59.174372186746588</v>
      </c>
      <c r="BR23" s="274"/>
    </row>
    <row r="24" spans="2:70" outlineLevel="1">
      <c r="B24" s="247"/>
      <c r="C24" s="1" t="s">
        <v>45</v>
      </c>
      <c r="D24" s="865"/>
      <c r="E24" s="865"/>
      <c r="F24" s="865"/>
      <c r="G24" s="866"/>
      <c r="H24" s="865"/>
      <c r="I24" s="865"/>
      <c r="J24" s="865"/>
      <c r="K24" s="865"/>
      <c r="L24" s="865"/>
      <c r="M24" s="157"/>
      <c r="N24" s="865"/>
      <c r="O24" s="865"/>
      <c r="P24" s="865"/>
      <c r="Q24" s="866"/>
      <c r="R24" s="865"/>
      <c r="S24" s="865"/>
      <c r="T24" s="865"/>
      <c r="U24" s="865"/>
      <c r="V24" s="865"/>
      <c r="X24" s="865"/>
      <c r="Y24" s="865"/>
      <c r="Z24" s="865"/>
      <c r="AA24" s="866"/>
      <c r="AB24" s="865"/>
      <c r="AC24" s="865"/>
      <c r="AD24" s="865"/>
      <c r="AE24" s="865"/>
      <c r="AF24" s="865"/>
      <c r="AH24" s="158">
        <v>0</v>
      </c>
      <c r="AI24" s="158">
        <v>0</v>
      </c>
      <c r="AJ24" s="158">
        <v>0</v>
      </c>
      <c r="AK24" s="264">
        <v>9271.5657340056496</v>
      </c>
      <c r="AL24" s="158">
        <v>11354.034881906118</v>
      </c>
      <c r="AM24" s="158">
        <v>10665.038582391839</v>
      </c>
      <c r="AN24" s="158">
        <v>14945.163255946953</v>
      </c>
      <c r="AO24" s="158">
        <v>25168.076744439291</v>
      </c>
      <c r="AP24" s="157">
        <f t="shared" si="80"/>
        <v>71403.879198689858</v>
      </c>
      <c r="AR24" s="157">
        <f>AH24*AusNet_Overheads!H$20</f>
        <v>0</v>
      </c>
      <c r="AS24" s="157">
        <f>AI24*AusNet_Overheads!I$20</f>
        <v>0</v>
      </c>
      <c r="AT24" s="157">
        <f>AJ24*AusNet_Overheads!J$20</f>
        <v>0</v>
      </c>
      <c r="AU24" s="263">
        <f>AK24*AusNet_Overheads!K$20</f>
        <v>942.44665209253822</v>
      </c>
      <c r="AV24" s="157">
        <f>AL24*AusNet_Overheads!L$20</f>
        <v>1096.9520451168148</v>
      </c>
      <c r="AW24" s="157">
        <f>AM24*AusNet_Overheads!M$20</f>
        <v>1246.3261675397832</v>
      </c>
      <c r="AX24" s="157">
        <f>AN24*AusNet_Overheads!N$20</f>
        <v>1937.1842677801974</v>
      </c>
      <c r="AY24" s="157">
        <f>AO24*AusNet_Overheads!O$20</f>
        <v>3423.9661093013797</v>
      </c>
      <c r="AZ24" s="158">
        <f t="shared" si="87"/>
        <v>8646.875241830714</v>
      </c>
      <c r="BB24" s="157">
        <f t="shared" si="107"/>
        <v>0</v>
      </c>
      <c r="BC24" s="157">
        <f t="shared" si="108"/>
        <v>0</v>
      </c>
      <c r="BD24" s="157">
        <f t="shared" si="109"/>
        <v>0</v>
      </c>
      <c r="BE24" s="263">
        <f t="shared" si="110"/>
        <v>10214.012386098188</v>
      </c>
      <c r="BF24" s="157">
        <f t="shared" si="111"/>
        <v>12450.986927022934</v>
      </c>
      <c r="BG24" s="157">
        <f t="shared" si="112"/>
        <v>11911.364749931621</v>
      </c>
      <c r="BH24" s="157">
        <f t="shared" si="113"/>
        <v>16882.347523727149</v>
      </c>
      <c r="BI24" s="157">
        <f t="shared" si="114"/>
        <v>28592.04285374067</v>
      </c>
      <c r="BJ24" s="158">
        <f t="shared" si="95"/>
        <v>80050.75444052057</v>
      </c>
      <c r="BL24" s="281">
        <f t="shared" si="115"/>
        <v>10.824648061217655</v>
      </c>
      <c r="BM24" s="281">
        <f t="shared" si="115"/>
        <v>13.195358141848796</v>
      </c>
      <c r="BN24" s="281">
        <f t="shared" si="115"/>
        <v>12.623475131310082</v>
      </c>
      <c r="BO24" s="281">
        <f t="shared" si="115"/>
        <v>17.891643703138836</v>
      </c>
      <c r="BP24" s="281">
        <f t="shared" si="115"/>
        <v>30.301392787054017</v>
      </c>
      <c r="BQ24" s="285">
        <f t="shared" si="10"/>
        <v>84.836517824569384</v>
      </c>
      <c r="BR24" s="274"/>
    </row>
    <row r="25" spans="2:70" outlineLevel="1">
      <c r="B25" s="247"/>
      <c r="C25" s="1" t="s">
        <v>48</v>
      </c>
      <c r="D25" s="865"/>
      <c r="E25" s="865"/>
      <c r="F25" s="865"/>
      <c r="G25" s="866"/>
      <c r="H25" s="865"/>
      <c r="I25" s="865"/>
      <c r="J25" s="865"/>
      <c r="K25" s="865"/>
      <c r="L25" s="865"/>
      <c r="M25" s="157"/>
      <c r="N25" s="865"/>
      <c r="O25" s="865"/>
      <c r="P25" s="865"/>
      <c r="Q25" s="866"/>
      <c r="R25" s="865"/>
      <c r="S25" s="865"/>
      <c r="T25" s="865"/>
      <c r="U25" s="865"/>
      <c r="V25" s="865"/>
      <c r="X25" s="865"/>
      <c r="Y25" s="865"/>
      <c r="Z25" s="865"/>
      <c r="AA25" s="866"/>
      <c r="AB25" s="865"/>
      <c r="AC25" s="865"/>
      <c r="AD25" s="865"/>
      <c r="AE25" s="865"/>
      <c r="AF25" s="865"/>
      <c r="AH25" s="158">
        <v>0</v>
      </c>
      <c r="AI25" s="158">
        <v>0</v>
      </c>
      <c r="AJ25" s="158">
        <v>0</v>
      </c>
      <c r="AK25" s="264">
        <v>6006.1654792786658</v>
      </c>
      <c r="AL25" s="158">
        <v>6242.7517582246219</v>
      </c>
      <c r="AM25" s="158">
        <v>1423.533175730196</v>
      </c>
      <c r="AN25" s="158">
        <v>1074.1603438646655</v>
      </c>
      <c r="AO25" s="158">
        <v>807.32702005353974</v>
      </c>
      <c r="AP25" s="157">
        <f t="shared" si="80"/>
        <v>15553.937777151687</v>
      </c>
      <c r="AR25" s="157">
        <f>AH25*AusNet_Overheads!H$20</f>
        <v>0</v>
      </c>
      <c r="AS25" s="157">
        <f>AI25*AusNet_Overheads!I$20</f>
        <v>0</v>
      </c>
      <c r="AT25" s="157">
        <f>AJ25*AusNet_Overheads!J$20</f>
        <v>0</v>
      </c>
      <c r="AU25" s="263">
        <f>AK25*AusNet_Overheads!K$20</f>
        <v>610.52153544020859</v>
      </c>
      <c r="AV25" s="157">
        <f>AL25*AusNet_Overheads!L$20</f>
        <v>603.13354499677621</v>
      </c>
      <c r="AW25" s="157">
        <f>AM25*AusNet_Overheads!M$20</f>
        <v>166.35538948755089</v>
      </c>
      <c r="AX25" s="157">
        <f>AN25*AusNet_Overheads!N$20</f>
        <v>139.23210362924542</v>
      </c>
      <c r="AY25" s="157">
        <f>AO25*AusNet_Overheads!O$20</f>
        <v>109.83200599137315</v>
      </c>
      <c r="AZ25" s="158">
        <f t="shared" si="87"/>
        <v>1629.0745795451542</v>
      </c>
      <c r="BB25" s="157">
        <f t="shared" si="107"/>
        <v>0</v>
      </c>
      <c r="BC25" s="157">
        <f t="shared" si="108"/>
        <v>0</v>
      </c>
      <c r="BD25" s="157">
        <f t="shared" si="109"/>
        <v>0</v>
      </c>
      <c r="BE25" s="263">
        <f t="shared" si="110"/>
        <v>6616.6870147188747</v>
      </c>
      <c r="BF25" s="157">
        <f t="shared" si="111"/>
        <v>6845.8853032213983</v>
      </c>
      <c r="BG25" s="157">
        <f t="shared" si="112"/>
        <v>1589.8885652177469</v>
      </c>
      <c r="BH25" s="157">
        <f t="shared" si="113"/>
        <v>1213.3924474939108</v>
      </c>
      <c r="BI25" s="157">
        <f t="shared" si="114"/>
        <v>917.15902604491293</v>
      </c>
      <c r="BJ25" s="158">
        <f t="shared" si="95"/>
        <v>17183.012356696843</v>
      </c>
      <c r="BL25" s="281">
        <f t="shared" si="115"/>
        <v>7.0122597817723245</v>
      </c>
      <c r="BM25" s="281">
        <f t="shared" si="115"/>
        <v>7.2551604867538462</v>
      </c>
      <c r="BN25" s="281">
        <f t="shared" si="115"/>
        <v>1.6849386435501197</v>
      </c>
      <c r="BO25" s="281">
        <f t="shared" si="115"/>
        <v>1.2859340392163536</v>
      </c>
      <c r="BP25" s="281">
        <f t="shared" si="115"/>
        <v>0.97199056529613859</v>
      </c>
      <c r="BQ25" s="285">
        <f t="shared" si="10"/>
        <v>18.210283516588781</v>
      </c>
      <c r="BR25" s="274"/>
    </row>
    <row r="26" spans="2:70" outlineLevel="1">
      <c r="B26" s="247"/>
      <c r="C26" s="1" t="s">
        <v>395</v>
      </c>
      <c r="D26" s="865"/>
      <c r="E26" s="865"/>
      <c r="F26" s="865"/>
      <c r="G26" s="866"/>
      <c r="H26" s="865"/>
      <c r="I26" s="865"/>
      <c r="J26" s="865"/>
      <c r="K26" s="865"/>
      <c r="L26" s="865"/>
      <c r="M26" s="157"/>
      <c r="N26" s="865"/>
      <c r="O26" s="865"/>
      <c r="P26" s="865"/>
      <c r="Q26" s="866"/>
      <c r="R26" s="865"/>
      <c r="S26" s="865"/>
      <c r="T26" s="865"/>
      <c r="U26" s="865"/>
      <c r="V26" s="865"/>
      <c r="X26" s="865"/>
      <c r="Y26" s="865"/>
      <c r="Z26" s="865"/>
      <c r="AA26" s="866"/>
      <c r="AB26" s="865"/>
      <c r="AC26" s="865"/>
      <c r="AD26" s="865"/>
      <c r="AE26" s="865"/>
      <c r="AF26" s="865"/>
      <c r="AH26" s="158">
        <v>0</v>
      </c>
      <c r="AI26" s="158">
        <v>0</v>
      </c>
      <c r="AJ26" s="158">
        <v>0</v>
      </c>
      <c r="AK26" s="264">
        <v>895.29899047895879</v>
      </c>
      <c r="AL26" s="158">
        <v>0</v>
      </c>
      <c r="AM26" s="158">
        <v>0</v>
      </c>
      <c r="AN26" s="158">
        <v>0</v>
      </c>
      <c r="AO26" s="158">
        <v>0</v>
      </c>
      <c r="AP26" s="361">
        <f t="shared" ref="AP26" si="116">SUM(AK26:AO26)</f>
        <v>895.29899047895879</v>
      </c>
      <c r="AR26" s="163"/>
      <c r="AS26" s="163"/>
      <c r="AT26" s="163"/>
      <c r="AU26" s="284"/>
      <c r="AV26" s="163"/>
      <c r="AW26" s="163"/>
      <c r="AX26" s="163"/>
      <c r="AY26" s="163"/>
      <c r="AZ26" s="158">
        <f t="shared" ref="AZ26" si="117">SUM(AU26:AY26)</f>
        <v>0</v>
      </c>
      <c r="BB26" s="157">
        <f t="shared" si="107"/>
        <v>0</v>
      </c>
      <c r="BC26" s="157">
        <f t="shared" si="108"/>
        <v>0</v>
      </c>
      <c r="BD26" s="157">
        <f t="shared" si="109"/>
        <v>0</v>
      </c>
      <c r="BE26" s="263">
        <f t="shared" si="110"/>
        <v>895.29899047895879</v>
      </c>
      <c r="BF26" s="157">
        <f t="shared" si="111"/>
        <v>0</v>
      </c>
      <c r="BG26" s="157">
        <f t="shared" si="112"/>
        <v>0</v>
      </c>
      <c r="BH26" s="157">
        <f t="shared" si="113"/>
        <v>0</v>
      </c>
      <c r="BI26" s="157">
        <f t="shared" si="114"/>
        <v>0</v>
      </c>
      <c r="BJ26" s="158">
        <f t="shared" ref="BJ26" si="118">SUM(BE26:BI26)</f>
        <v>895.29899047895879</v>
      </c>
      <c r="BL26" s="365">
        <f t="shared" ref="BL26" si="119">BE26*$BL$2/Thousands</f>
        <v>0.94882364688421106</v>
      </c>
      <c r="BM26" s="365">
        <f t="shared" ref="BM26" si="120">BF26*$BL$2/Thousands</f>
        <v>0</v>
      </c>
      <c r="BN26" s="365">
        <f t="shared" ref="BN26" si="121">BG26*$BL$2/Thousands</f>
        <v>0</v>
      </c>
      <c r="BO26" s="365">
        <f t="shared" ref="BO26" si="122">BH26*$BL$2/Thousands</f>
        <v>0</v>
      </c>
      <c r="BP26" s="365">
        <f t="shared" ref="BP26" si="123">BI26*$BL$2/Thousands</f>
        <v>0</v>
      </c>
      <c r="BQ26" s="285">
        <f t="shared" si="10"/>
        <v>0.94882364688421106</v>
      </c>
      <c r="BR26" s="274"/>
    </row>
    <row r="27" spans="2:70">
      <c r="B27" s="247" t="s">
        <v>552</v>
      </c>
      <c r="D27" s="865"/>
      <c r="E27" s="865"/>
      <c r="F27" s="865"/>
      <c r="G27" s="866"/>
      <c r="H27" s="865"/>
      <c r="I27" s="865"/>
      <c r="J27" s="865"/>
      <c r="K27" s="865"/>
      <c r="L27" s="865"/>
      <c r="N27" s="865"/>
      <c r="O27" s="865"/>
      <c r="P27" s="865"/>
      <c r="Q27" s="866"/>
      <c r="R27" s="865"/>
      <c r="S27" s="865"/>
      <c r="T27" s="865"/>
      <c r="U27" s="865"/>
      <c r="V27" s="865"/>
      <c r="X27" s="865"/>
      <c r="Y27" s="865"/>
      <c r="Z27" s="865"/>
      <c r="AA27" s="866"/>
      <c r="AB27" s="865"/>
      <c r="AC27" s="865"/>
      <c r="AD27" s="865"/>
      <c r="AE27" s="865"/>
      <c r="AF27" s="865"/>
      <c r="AH27" s="157">
        <v>0</v>
      </c>
      <c r="AI27" s="157">
        <v>0</v>
      </c>
      <c r="AJ27" s="157">
        <v>1894.175044261621</v>
      </c>
      <c r="AK27" s="263">
        <v>46052.23505332222</v>
      </c>
      <c r="AL27" s="157">
        <v>28935.941717255402</v>
      </c>
      <c r="AM27" s="157">
        <v>0</v>
      </c>
      <c r="AN27" s="157">
        <v>0</v>
      </c>
      <c r="AO27" s="157">
        <v>0</v>
      </c>
      <c r="AP27" s="157">
        <f t="shared" si="80"/>
        <v>74988.176770577615</v>
      </c>
      <c r="AR27" s="157">
        <f t="shared" ref="AR27:AY27" si="124">SUBTOTAL(9,AR28:AR32)</f>
        <v>0</v>
      </c>
      <c r="AS27" s="157">
        <f t="shared" si="124"/>
        <v>0</v>
      </c>
      <c r="AT27" s="157">
        <f t="shared" si="124"/>
        <v>183.61305855760935</v>
      </c>
      <c r="AU27" s="263">
        <f t="shared" si="124"/>
        <v>4615.9988538707048</v>
      </c>
      <c r="AV27" s="157">
        <f t="shared" si="124"/>
        <v>2795.6000465268544</v>
      </c>
      <c r="AW27" s="157">
        <f t="shared" si="124"/>
        <v>0</v>
      </c>
      <c r="AX27" s="157">
        <f t="shared" si="124"/>
        <v>0</v>
      </c>
      <c r="AY27" s="157">
        <f t="shared" si="124"/>
        <v>0</v>
      </c>
      <c r="AZ27" s="157">
        <f t="shared" si="87"/>
        <v>7411.5989003975592</v>
      </c>
      <c r="BB27" s="361">
        <f t="shared" ref="BB27:BI27" si="125">SUBTOTAL(9,BB28:BB32)</f>
        <v>0</v>
      </c>
      <c r="BC27" s="361">
        <f t="shared" si="125"/>
        <v>0</v>
      </c>
      <c r="BD27" s="361">
        <f t="shared" si="125"/>
        <v>2077.7881028192305</v>
      </c>
      <c r="BE27" s="368">
        <f t="shared" si="125"/>
        <v>50668.233907192931</v>
      </c>
      <c r="BF27" s="361">
        <f t="shared" si="125"/>
        <v>31731.541763782254</v>
      </c>
      <c r="BG27" s="157">
        <f t="shared" si="125"/>
        <v>0</v>
      </c>
      <c r="BH27" s="157">
        <f t="shared" si="125"/>
        <v>0</v>
      </c>
      <c r="BI27" s="157">
        <f t="shared" si="125"/>
        <v>0</v>
      </c>
      <c r="BJ27" s="157">
        <f t="shared" si="95"/>
        <v>82399.775670975185</v>
      </c>
      <c r="BL27" s="281">
        <f t="shared" si="115"/>
        <v>53.697389350663961</v>
      </c>
      <c r="BM27" s="281">
        <f t="shared" si="115"/>
        <v>33.628583856063351</v>
      </c>
      <c r="BN27" s="281">
        <f t="shared" si="115"/>
        <v>0</v>
      </c>
      <c r="BO27" s="281">
        <f t="shared" si="115"/>
        <v>0</v>
      </c>
      <c r="BP27" s="281">
        <f t="shared" si="115"/>
        <v>0</v>
      </c>
      <c r="BQ27" s="285">
        <f t="shared" si="10"/>
        <v>87.325973206727312</v>
      </c>
    </row>
    <row r="28" spans="2:70" outlineLevel="1">
      <c r="C28" s="1" t="s">
        <v>44</v>
      </c>
      <c r="D28" s="865"/>
      <c r="E28" s="865"/>
      <c r="F28" s="865"/>
      <c r="G28" s="866"/>
      <c r="H28" s="865"/>
      <c r="I28" s="865"/>
      <c r="J28" s="865"/>
      <c r="K28" s="865"/>
      <c r="L28" s="865"/>
      <c r="M28" s="157"/>
      <c r="N28" s="867"/>
      <c r="O28" s="867"/>
      <c r="P28" s="867"/>
      <c r="Q28" s="868"/>
      <c r="R28" s="867"/>
      <c r="S28" s="867"/>
      <c r="T28" s="867"/>
      <c r="U28" s="867"/>
      <c r="V28" s="865"/>
      <c r="X28" s="865"/>
      <c r="Y28" s="865"/>
      <c r="Z28" s="865"/>
      <c r="AA28" s="866"/>
      <c r="AB28" s="865"/>
      <c r="AC28" s="865"/>
      <c r="AD28" s="865"/>
      <c r="AE28" s="865"/>
      <c r="AF28" s="865"/>
      <c r="AH28" s="158">
        <v>0</v>
      </c>
      <c r="AI28" s="158">
        <v>0</v>
      </c>
      <c r="AJ28" s="158">
        <v>1017.2717727793053</v>
      </c>
      <c r="AK28" s="264">
        <v>19890.838341232928</v>
      </c>
      <c r="AL28" s="158">
        <v>13552.400675561763</v>
      </c>
      <c r="AM28" s="158">
        <v>0</v>
      </c>
      <c r="AN28" s="158">
        <v>0</v>
      </c>
      <c r="AO28" s="158">
        <v>0</v>
      </c>
      <c r="AP28" s="157">
        <f t="shared" si="80"/>
        <v>33443.239016794687</v>
      </c>
      <c r="AR28" s="157">
        <f>AH28*AusNet_Overheads!H$20</f>
        <v>0</v>
      </c>
      <c r="AS28" s="158">
        <f>AI28*AusNet_Overheads!I$20</f>
        <v>0</v>
      </c>
      <c r="AT28" s="158">
        <f>AJ28*AusNet_Overheads!J$20</f>
        <v>98.609884102417311</v>
      </c>
      <c r="AU28" s="264">
        <f>AK28*AusNet_Overheads!K$20</f>
        <v>2021.8865442816527</v>
      </c>
      <c r="AV28" s="158">
        <f>AL28*AusNet_Overheads!L$20</f>
        <v>1309.3436643383127</v>
      </c>
      <c r="AW28" s="158">
        <f>AM28*AusNet_Overheads!M$20</f>
        <v>0</v>
      </c>
      <c r="AX28" s="158">
        <f>AN28*AusNet_Overheads!N$20</f>
        <v>0</v>
      </c>
      <c r="AY28" s="158">
        <f>AO28*AusNet_Overheads!O$20</f>
        <v>0</v>
      </c>
      <c r="AZ28" s="158">
        <f t="shared" si="87"/>
        <v>3331.2302086199652</v>
      </c>
      <c r="BB28" s="157">
        <f t="shared" ref="BB28:BB32" si="126">AR28+AH28</f>
        <v>0</v>
      </c>
      <c r="BC28" s="157">
        <f t="shared" ref="BC28:BC32" si="127">AS28+AI28</f>
        <v>0</v>
      </c>
      <c r="BD28" s="157">
        <f t="shared" ref="BD28:BD32" si="128">AT28+AJ28</f>
        <v>1115.8816568817226</v>
      </c>
      <c r="BE28" s="263">
        <f t="shared" ref="BE28:BE32" si="129">AU28+AK28</f>
        <v>21912.724885514581</v>
      </c>
      <c r="BF28" s="157">
        <f t="shared" ref="BF28:BF32" si="130">AV28+AL28</f>
        <v>14861.744339900075</v>
      </c>
      <c r="BG28" s="157">
        <f t="shared" ref="BG28:BG32" si="131">AW28+AM28</f>
        <v>0</v>
      </c>
      <c r="BH28" s="157">
        <f t="shared" ref="BH28:BH32" si="132">AX28+AN28</f>
        <v>0</v>
      </c>
      <c r="BI28" s="157">
        <f t="shared" ref="BI28:BI32" si="133">AY28+AO28</f>
        <v>0</v>
      </c>
      <c r="BJ28" s="158">
        <f t="shared" si="95"/>
        <v>36774.469225414658</v>
      </c>
      <c r="BL28" s="281">
        <f t="shared" ref="BL28:BP33" si="134">BE28*$BL$2/Thousands</f>
        <v>23.222757715745448</v>
      </c>
      <c r="BM28" s="281">
        <f t="shared" si="134"/>
        <v>15.750240549362235</v>
      </c>
      <c r="BN28" s="281">
        <f t="shared" si="134"/>
        <v>0</v>
      </c>
      <c r="BO28" s="281">
        <f t="shared" si="134"/>
        <v>0</v>
      </c>
      <c r="BP28" s="281">
        <f t="shared" si="134"/>
        <v>0</v>
      </c>
      <c r="BQ28" s="285">
        <f t="shared" si="10"/>
        <v>38.972998265107684</v>
      </c>
      <c r="BR28" s="274"/>
    </row>
    <row r="29" spans="2:70" outlineLevel="1">
      <c r="C29" s="1" t="s">
        <v>45</v>
      </c>
      <c r="D29" s="865"/>
      <c r="E29" s="865"/>
      <c r="F29" s="865"/>
      <c r="G29" s="866"/>
      <c r="H29" s="865"/>
      <c r="I29" s="865"/>
      <c r="J29" s="865"/>
      <c r="K29" s="865"/>
      <c r="L29" s="865"/>
      <c r="M29" s="157"/>
      <c r="N29" s="867"/>
      <c r="O29" s="867"/>
      <c r="P29" s="867"/>
      <c r="Q29" s="868"/>
      <c r="R29" s="867"/>
      <c r="S29" s="867"/>
      <c r="T29" s="867"/>
      <c r="U29" s="867"/>
      <c r="V29" s="865"/>
      <c r="X29" s="865"/>
      <c r="Y29" s="865"/>
      <c r="Z29" s="865"/>
      <c r="AA29" s="866"/>
      <c r="AB29" s="865"/>
      <c r="AC29" s="865"/>
      <c r="AD29" s="865"/>
      <c r="AE29" s="865"/>
      <c r="AF29" s="865"/>
      <c r="AH29" s="158">
        <v>0</v>
      </c>
      <c r="AI29" s="158">
        <v>0</v>
      </c>
      <c r="AJ29" s="158">
        <v>593.26473605369074</v>
      </c>
      <c r="AK29" s="264">
        <v>18555.327897138577</v>
      </c>
      <c r="AL29" s="158">
        <v>11325.436829186328</v>
      </c>
      <c r="AM29" s="158">
        <v>0</v>
      </c>
      <c r="AN29" s="158">
        <v>0</v>
      </c>
      <c r="AO29" s="158">
        <v>0</v>
      </c>
      <c r="AP29" s="157">
        <f t="shared" si="80"/>
        <v>29880.764726324905</v>
      </c>
      <c r="AR29" s="158">
        <f>AH29*AusNet_Overheads!H$20</f>
        <v>0</v>
      </c>
      <c r="AS29" s="158">
        <f>AI29*AusNet_Overheads!I$20</f>
        <v>0</v>
      </c>
      <c r="AT29" s="158">
        <f>AJ29*AusNet_Overheads!J$20</f>
        <v>57.508493236248938</v>
      </c>
      <c r="AU29" s="264">
        <f>AK29*AusNet_Overheads!K$20</f>
        <v>1886.1330606758629</v>
      </c>
      <c r="AV29" s="158">
        <f>AL29*AusNet_Overheads!L$20</f>
        <v>1094.1890896790678</v>
      </c>
      <c r="AW29" s="158">
        <f>AM29*AusNet_Overheads!M$20</f>
        <v>0</v>
      </c>
      <c r="AX29" s="158">
        <f>AN29*AusNet_Overheads!N$20</f>
        <v>0</v>
      </c>
      <c r="AY29" s="158">
        <f>AO29*AusNet_Overheads!O$20</f>
        <v>0</v>
      </c>
      <c r="AZ29" s="158">
        <f t="shared" si="87"/>
        <v>2980.3221503549307</v>
      </c>
      <c r="BB29" s="157">
        <f t="shared" si="126"/>
        <v>0</v>
      </c>
      <c r="BC29" s="157">
        <f t="shared" si="127"/>
        <v>0</v>
      </c>
      <c r="BD29" s="157">
        <f t="shared" si="128"/>
        <v>650.77322928993965</v>
      </c>
      <c r="BE29" s="263">
        <f t="shared" si="129"/>
        <v>20441.460957814441</v>
      </c>
      <c r="BF29" s="157">
        <f t="shared" si="130"/>
        <v>12419.625918865397</v>
      </c>
      <c r="BG29" s="157">
        <f t="shared" si="131"/>
        <v>0</v>
      </c>
      <c r="BH29" s="157">
        <f t="shared" si="132"/>
        <v>0</v>
      </c>
      <c r="BI29" s="157">
        <f t="shared" si="133"/>
        <v>0</v>
      </c>
      <c r="BJ29" s="158">
        <f t="shared" si="95"/>
        <v>32861.086876679838</v>
      </c>
      <c r="BL29" s="281">
        <f t="shared" si="134"/>
        <v>21.6635355784985</v>
      </c>
      <c r="BM29" s="281">
        <f t="shared" si="134"/>
        <v>13.162122243622125</v>
      </c>
      <c r="BN29" s="281">
        <f t="shared" si="134"/>
        <v>0</v>
      </c>
      <c r="BO29" s="281">
        <f t="shared" si="134"/>
        <v>0</v>
      </c>
      <c r="BP29" s="281">
        <f t="shared" si="134"/>
        <v>0</v>
      </c>
      <c r="BQ29" s="285">
        <f t="shared" si="10"/>
        <v>34.825657822120625</v>
      </c>
      <c r="BR29" s="274"/>
    </row>
    <row r="30" spans="2:70" outlineLevel="1">
      <c r="C30" s="1" t="s">
        <v>48</v>
      </c>
      <c r="D30" s="865"/>
      <c r="E30" s="865"/>
      <c r="F30" s="865"/>
      <c r="G30" s="866"/>
      <c r="H30" s="865"/>
      <c r="I30" s="865"/>
      <c r="J30" s="865"/>
      <c r="K30" s="865"/>
      <c r="L30" s="865"/>
      <c r="M30" s="157"/>
      <c r="N30" s="867"/>
      <c r="O30" s="867"/>
      <c r="P30" s="867"/>
      <c r="Q30" s="868"/>
      <c r="R30" s="867"/>
      <c r="S30" s="867"/>
      <c r="T30" s="867"/>
      <c r="U30" s="867"/>
      <c r="V30" s="865"/>
      <c r="X30" s="865"/>
      <c r="Y30" s="865"/>
      <c r="Z30" s="865"/>
      <c r="AA30" s="866"/>
      <c r="AB30" s="865"/>
      <c r="AC30" s="865"/>
      <c r="AD30" s="865"/>
      <c r="AE30" s="865"/>
      <c r="AF30" s="865"/>
      <c r="AH30" s="158">
        <v>0</v>
      </c>
      <c r="AI30" s="158">
        <v>0</v>
      </c>
      <c r="AJ30" s="158">
        <v>283.63853542862512</v>
      </c>
      <c r="AK30" s="264">
        <v>6964.9312563593885</v>
      </c>
      <c r="AL30" s="158">
        <v>4058.1042125073104</v>
      </c>
      <c r="AM30" s="158">
        <v>0</v>
      </c>
      <c r="AN30" s="158">
        <v>0</v>
      </c>
      <c r="AO30" s="158">
        <v>0</v>
      </c>
      <c r="AP30" s="157">
        <f t="shared" si="80"/>
        <v>11023.035468866699</v>
      </c>
      <c r="AR30" s="158">
        <f>AH30*AusNet_Overheads!H$20</f>
        <v>0</v>
      </c>
      <c r="AS30" s="158">
        <f>AI30*AusNet_Overheads!I$20</f>
        <v>0</v>
      </c>
      <c r="AT30" s="158">
        <f>AJ30*AusNet_Overheads!J$20</f>
        <v>27.494681218943093</v>
      </c>
      <c r="AU30" s="264">
        <f>AK30*AusNet_Overheads!K$20</f>
        <v>707.97924891318917</v>
      </c>
      <c r="AV30" s="158">
        <f>AL30*AusNet_Overheads!L$20</f>
        <v>392.06729250947387</v>
      </c>
      <c r="AW30" s="158">
        <f>AM30*AusNet_Overheads!M$20</f>
        <v>0</v>
      </c>
      <c r="AX30" s="158">
        <f>AN30*AusNet_Overheads!N$20</f>
        <v>0</v>
      </c>
      <c r="AY30" s="158">
        <f>AO30*AusNet_Overheads!O$20</f>
        <v>0</v>
      </c>
      <c r="AZ30" s="158">
        <f t="shared" si="87"/>
        <v>1100.046541422663</v>
      </c>
      <c r="BB30" s="157">
        <f t="shared" si="126"/>
        <v>0</v>
      </c>
      <c r="BC30" s="157">
        <f t="shared" si="127"/>
        <v>0</v>
      </c>
      <c r="BD30" s="157">
        <f t="shared" si="128"/>
        <v>311.13321664756819</v>
      </c>
      <c r="BE30" s="263">
        <f t="shared" si="129"/>
        <v>7672.9105052725772</v>
      </c>
      <c r="BF30" s="157">
        <f t="shared" si="130"/>
        <v>4450.1715050167841</v>
      </c>
      <c r="BG30" s="157">
        <f t="shared" si="131"/>
        <v>0</v>
      </c>
      <c r="BH30" s="157">
        <f t="shared" si="132"/>
        <v>0</v>
      </c>
      <c r="BI30" s="157">
        <f t="shared" si="133"/>
        <v>0</v>
      </c>
      <c r="BJ30" s="158">
        <f t="shared" si="95"/>
        <v>12123.082010289361</v>
      </c>
      <c r="BL30" s="281">
        <f t="shared" si="134"/>
        <v>8.1316286572982577</v>
      </c>
      <c r="BM30" s="281">
        <f t="shared" si="134"/>
        <v>4.7162210630789918</v>
      </c>
      <c r="BN30" s="281">
        <f t="shared" si="134"/>
        <v>0</v>
      </c>
      <c r="BO30" s="281">
        <f t="shared" si="134"/>
        <v>0</v>
      </c>
      <c r="BP30" s="281">
        <f t="shared" si="134"/>
        <v>0</v>
      </c>
      <c r="BQ30" s="285">
        <f t="shared" si="10"/>
        <v>12.847849720377249</v>
      </c>
      <c r="BR30" s="274"/>
    </row>
    <row r="31" spans="2:70" s="54" customFormat="1" outlineLevel="1">
      <c r="C31" s="54" t="s">
        <v>50</v>
      </c>
      <c r="D31" s="913"/>
      <c r="E31" s="913"/>
      <c r="F31" s="913"/>
      <c r="G31" s="914"/>
      <c r="H31" s="913"/>
      <c r="I31" s="913"/>
      <c r="J31" s="913"/>
      <c r="K31" s="913"/>
      <c r="L31" s="913"/>
      <c r="M31" s="275"/>
      <c r="N31" s="917"/>
      <c r="O31" s="917"/>
      <c r="P31" s="917"/>
      <c r="Q31" s="918"/>
      <c r="R31" s="917"/>
      <c r="S31" s="917"/>
      <c r="T31" s="917"/>
      <c r="U31" s="917"/>
      <c r="V31" s="913"/>
      <c r="X31" s="913"/>
      <c r="Y31" s="913"/>
      <c r="Z31" s="913"/>
      <c r="AA31" s="914"/>
      <c r="AB31" s="913"/>
      <c r="AC31" s="913"/>
      <c r="AD31" s="913"/>
      <c r="AE31" s="913"/>
      <c r="AF31" s="865"/>
      <c r="AH31" s="277">
        <v>0</v>
      </c>
      <c r="AI31" s="277">
        <v>0</v>
      </c>
      <c r="AJ31" s="277">
        <v>0</v>
      </c>
      <c r="AK31" s="278">
        <v>0</v>
      </c>
      <c r="AL31" s="277">
        <v>0</v>
      </c>
      <c r="AM31" s="277">
        <v>0</v>
      </c>
      <c r="AN31" s="277">
        <v>0</v>
      </c>
      <c r="AO31" s="277">
        <v>0</v>
      </c>
      <c r="AP31" s="157">
        <f t="shared" si="80"/>
        <v>0</v>
      </c>
      <c r="AR31" s="282"/>
      <c r="AS31" s="282"/>
      <c r="AT31" s="282"/>
      <c r="AU31" s="283"/>
      <c r="AV31" s="282"/>
      <c r="AW31" s="282"/>
      <c r="AX31" s="282"/>
      <c r="AY31" s="282"/>
      <c r="AZ31" s="277">
        <f t="shared" si="87"/>
        <v>0</v>
      </c>
      <c r="BB31" s="275">
        <f t="shared" si="126"/>
        <v>0</v>
      </c>
      <c r="BC31" s="275">
        <f t="shared" si="127"/>
        <v>0</v>
      </c>
      <c r="BD31" s="275">
        <f t="shared" si="128"/>
        <v>0</v>
      </c>
      <c r="BE31" s="276">
        <f t="shared" si="129"/>
        <v>0</v>
      </c>
      <c r="BF31" s="275">
        <f t="shared" si="130"/>
        <v>0</v>
      </c>
      <c r="BG31" s="275">
        <f t="shared" si="131"/>
        <v>0</v>
      </c>
      <c r="BH31" s="275">
        <f t="shared" si="132"/>
        <v>0</v>
      </c>
      <c r="BI31" s="275">
        <f t="shared" si="133"/>
        <v>0</v>
      </c>
      <c r="BJ31" s="277">
        <f t="shared" si="95"/>
        <v>0</v>
      </c>
      <c r="BL31" s="313">
        <f t="shared" si="134"/>
        <v>0</v>
      </c>
      <c r="BM31" s="313">
        <f t="shared" si="134"/>
        <v>0</v>
      </c>
      <c r="BN31" s="313">
        <f t="shared" si="134"/>
        <v>0</v>
      </c>
      <c r="BO31" s="313">
        <f t="shared" si="134"/>
        <v>0</v>
      </c>
      <c r="BP31" s="313">
        <f t="shared" si="134"/>
        <v>0</v>
      </c>
      <c r="BQ31" s="356">
        <f t="shared" si="10"/>
        <v>0</v>
      </c>
      <c r="BR31" s="279"/>
    </row>
    <row r="32" spans="2:70" s="54" customFormat="1" outlineLevel="1">
      <c r="C32" s="1" t="s">
        <v>395</v>
      </c>
      <c r="D32" s="913"/>
      <c r="E32" s="913"/>
      <c r="F32" s="913"/>
      <c r="G32" s="914"/>
      <c r="H32" s="913"/>
      <c r="I32" s="913"/>
      <c r="J32" s="913"/>
      <c r="K32" s="913"/>
      <c r="L32" s="913"/>
      <c r="M32" s="275"/>
      <c r="N32" s="917"/>
      <c r="O32" s="917"/>
      <c r="P32" s="917"/>
      <c r="Q32" s="918"/>
      <c r="R32" s="917"/>
      <c r="S32" s="917"/>
      <c r="T32" s="917"/>
      <c r="U32" s="917"/>
      <c r="V32" s="913"/>
      <c r="X32" s="913"/>
      <c r="Y32" s="913"/>
      <c r="Z32" s="913"/>
      <c r="AA32" s="914"/>
      <c r="AB32" s="913"/>
      <c r="AC32" s="913"/>
      <c r="AD32" s="913"/>
      <c r="AE32" s="913"/>
      <c r="AF32" s="865"/>
      <c r="AH32" s="277">
        <v>0</v>
      </c>
      <c r="AI32" s="277">
        <v>0</v>
      </c>
      <c r="AJ32" s="277">
        <v>0</v>
      </c>
      <c r="AK32" s="278">
        <v>641.13755859133198</v>
      </c>
      <c r="AL32" s="277">
        <v>0</v>
      </c>
      <c r="AM32" s="277">
        <v>0</v>
      </c>
      <c r="AN32" s="277">
        <v>0</v>
      </c>
      <c r="AO32" s="277">
        <v>0</v>
      </c>
      <c r="AP32" s="361">
        <f t="shared" si="80"/>
        <v>641.13755859133198</v>
      </c>
      <c r="AR32" s="282"/>
      <c r="AS32" s="282"/>
      <c r="AT32" s="282"/>
      <c r="AU32" s="283"/>
      <c r="AV32" s="282"/>
      <c r="AW32" s="282"/>
      <c r="AX32" s="282"/>
      <c r="AY32" s="282"/>
      <c r="AZ32" s="277">
        <f t="shared" si="87"/>
        <v>0</v>
      </c>
      <c r="BB32" s="275">
        <f t="shared" si="126"/>
        <v>0</v>
      </c>
      <c r="BC32" s="275">
        <f t="shared" si="127"/>
        <v>0</v>
      </c>
      <c r="BD32" s="275">
        <f t="shared" si="128"/>
        <v>0</v>
      </c>
      <c r="BE32" s="276">
        <f t="shared" si="129"/>
        <v>641.13755859133198</v>
      </c>
      <c r="BF32" s="275">
        <f t="shared" si="130"/>
        <v>0</v>
      </c>
      <c r="BG32" s="275">
        <f t="shared" si="131"/>
        <v>0</v>
      </c>
      <c r="BH32" s="275">
        <f t="shared" si="132"/>
        <v>0</v>
      </c>
      <c r="BI32" s="275">
        <f t="shared" si="133"/>
        <v>0</v>
      </c>
      <c r="BJ32" s="277">
        <f t="shared" ref="BJ32" si="135">SUM(BE32:BI32)</f>
        <v>641.13755859133198</v>
      </c>
      <c r="BL32" s="370">
        <f t="shared" ref="BL32" si="136">BE32*$BL$2/Thousands</f>
        <v>0.67946739912175069</v>
      </c>
      <c r="BM32" s="370">
        <f t="shared" ref="BM32" si="137">BF32*$BL$2/Thousands</f>
        <v>0</v>
      </c>
      <c r="BN32" s="370">
        <f t="shared" ref="BN32" si="138">BG32*$BL$2/Thousands</f>
        <v>0</v>
      </c>
      <c r="BO32" s="370">
        <f t="shared" ref="BO32" si="139">BH32*$BL$2/Thousands</f>
        <v>0</v>
      </c>
      <c r="BP32" s="370">
        <f t="shared" ref="BP32" si="140">BI32*$BL$2/Thousands</f>
        <v>0</v>
      </c>
      <c r="BQ32" s="520">
        <f t="shared" si="10"/>
        <v>0.67946739912175069</v>
      </c>
      <c r="BR32" s="279"/>
    </row>
    <row r="33" spans="2:73">
      <c r="B33" s="247" t="s">
        <v>500</v>
      </c>
      <c r="D33" s="865"/>
      <c r="E33" s="865"/>
      <c r="F33" s="865"/>
      <c r="G33" s="866"/>
      <c r="H33" s="865"/>
      <c r="I33" s="865"/>
      <c r="J33" s="865"/>
      <c r="K33" s="865"/>
      <c r="L33" s="865"/>
      <c r="M33" s="201"/>
      <c r="N33" s="865"/>
      <c r="O33" s="865"/>
      <c r="P33" s="865"/>
      <c r="Q33" s="866"/>
      <c r="R33" s="865"/>
      <c r="S33" s="865"/>
      <c r="T33" s="865"/>
      <c r="U33" s="865"/>
      <c r="V33" s="865"/>
      <c r="W33" s="2"/>
      <c r="X33" s="865"/>
      <c r="Y33" s="865"/>
      <c r="Z33" s="865"/>
      <c r="AA33" s="866"/>
      <c r="AB33" s="865"/>
      <c r="AC33" s="865"/>
      <c r="AD33" s="865"/>
      <c r="AE33" s="865"/>
      <c r="AF33" s="865"/>
      <c r="AG33" s="2"/>
      <c r="AH33" s="157">
        <v>0</v>
      </c>
      <c r="AI33" s="157">
        <v>0</v>
      </c>
      <c r="AJ33" s="157">
        <v>22484.094867446507</v>
      </c>
      <c r="AK33" s="263">
        <v>50430.115832619929</v>
      </c>
      <c r="AL33" s="157">
        <v>33944.665725981598</v>
      </c>
      <c r="AM33" s="157">
        <v>37962.149560668637</v>
      </c>
      <c r="AN33" s="157">
        <v>33286.597186593062</v>
      </c>
      <c r="AO33" s="157">
        <v>38019.104832822726</v>
      </c>
      <c r="AP33" s="157">
        <f>SUM(AK33:AO33)</f>
        <v>193642.63313868595</v>
      </c>
      <c r="AQ33" s="2"/>
      <c r="AR33" s="157">
        <f>SUBTOTAL(9,AR34:AR38)</f>
        <v>0</v>
      </c>
      <c r="AS33" s="157">
        <f t="shared" ref="AS33:AT33" si="141">SUBTOTAL(9,AS34:AS38)</f>
        <v>0</v>
      </c>
      <c r="AT33" s="157">
        <f t="shared" si="141"/>
        <v>550.08529117591445</v>
      </c>
      <c r="AU33" s="263">
        <f t="shared" ref="AU33" si="142">SUBTOTAL(9,AU34:AU38)</f>
        <v>2532.8759933027263</v>
      </c>
      <c r="AV33" s="157">
        <f t="shared" ref="AV33" si="143">SUBTOTAL(9,AV34:AV38)</f>
        <v>2468.8505143943421</v>
      </c>
      <c r="AW33" s="157">
        <f t="shared" ref="AW33" si="144">SUBTOTAL(9,AW34:AW38)</f>
        <v>2481.1858027143085</v>
      </c>
      <c r="AX33" s="157">
        <f t="shared" ref="AX33" si="145">SUBTOTAL(9,AX34:AX38)</f>
        <v>2475.6385745397188</v>
      </c>
      <c r="AY33" s="157">
        <f t="shared" ref="AY33" si="146">SUBTOTAL(9,AY34:AY38)</f>
        <v>2477.5710128328878</v>
      </c>
      <c r="AZ33" s="157">
        <f t="shared" si="87"/>
        <v>12436.121897783984</v>
      </c>
      <c r="BB33" s="157">
        <f>SUBTOTAL(9,BB34:BB38)</f>
        <v>0</v>
      </c>
      <c r="BC33" s="157">
        <f t="shared" ref="BC33" si="147">SUBTOTAL(9,BC34:BC38)</f>
        <v>0</v>
      </c>
      <c r="BD33" s="157">
        <f t="shared" ref="BD33" si="148">SUBTOTAL(9,BD34:BD38)</f>
        <v>23034.180158622421</v>
      </c>
      <c r="BE33" s="263">
        <f t="shared" ref="BE33" si="149">SUBTOTAL(9,BE34:BE38)</f>
        <v>52962.991825922654</v>
      </c>
      <c r="BF33" s="157">
        <f t="shared" ref="BF33" si="150">SUBTOTAL(9,BF34:BF38)</f>
        <v>36413.516240375939</v>
      </c>
      <c r="BG33" s="157">
        <f t="shared" ref="BG33" si="151">SUBTOTAL(9,BG34:BG38)</f>
        <v>40443.335363382947</v>
      </c>
      <c r="BH33" s="157">
        <f t="shared" ref="BH33" si="152">SUBTOTAL(9,BH34:BH38)</f>
        <v>35762.235761132782</v>
      </c>
      <c r="BI33" s="157">
        <f t="shared" ref="BI33" si="153">SUBTOTAL(9,BI34:BI38)</f>
        <v>40496.675845655613</v>
      </c>
      <c r="BJ33" s="157">
        <f t="shared" si="95"/>
        <v>206078.75503646993</v>
      </c>
      <c r="BL33" s="281">
        <f t="shared" si="134"/>
        <v>56.129337337113441</v>
      </c>
      <c r="BM33" s="281">
        <f t="shared" si="134"/>
        <v>38.590466025866618</v>
      </c>
      <c r="BN33" s="281">
        <f t="shared" si="134"/>
        <v>42.861204312446993</v>
      </c>
      <c r="BO33" s="281">
        <f t="shared" si="134"/>
        <v>37.900249320574233</v>
      </c>
      <c r="BP33" s="313">
        <f t="shared" si="134"/>
        <v>42.917733708162537</v>
      </c>
      <c r="BQ33" s="285">
        <f t="shared" si="10"/>
        <v>218.39899070416382</v>
      </c>
    </row>
    <row r="34" spans="2:73" outlineLevel="1">
      <c r="C34" s="1" t="s">
        <v>496</v>
      </c>
      <c r="D34" s="865"/>
      <c r="E34" s="865"/>
      <c r="F34" s="865"/>
      <c r="G34" s="866"/>
      <c r="H34" s="865"/>
      <c r="I34" s="865"/>
      <c r="J34" s="865"/>
      <c r="K34" s="865"/>
      <c r="L34" s="865"/>
      <c r="M34" s="201"/>
      <c r="N34" s="919"/>
      <c r="O34" s="919"/>
      <c r="P34" s="919"/>
      <c r="Q34" s="920"/>
      <c r="R34" s="919"/>
      <c r="S34" s="919"/>
      <c r="T34" s="919"/>
      <c r="U34" s="919"/>
      <c r="V34" s="865"/>
      <c r="W34" s="2"/>
      <c r="X34" s="915"/>
      <c r="Y34" s="915"/>
      <c r="Z34" s="915"/>
      <c r="AA34" s="916"/>
      <c r="AB34" s="915"/>
      <c r="AC34" s="915"/>
      <c r="AD34" s="915"/>
      <c r="AE34" s="915"/>
      <c r="AF34" s="865"/>
      <c r="AG34" s="2"/>
      <c r="AH34" s="158">
        <v>0</v>
      </c>
      <c r="AI34" s="158">
        <v>0</v>
      </c>
      <c r="AJ34" s="158">
        <v>0</v>
      </c>
      <c r="AK34" s="264">
        <v>33661.583149808976</v>
      </c>
      <c r="AL34" s="158">
        <v>25587.114034607795</v>
      </c>
      <c r="AM34" s="158">
        <v>32727.772938926886</v>
      </c>
      <c r="AN34" s="158">
        <v>25219.149352965109</v>
      </c>
      <c r="AO34" s="158">
        <v>23983.194453243501</v>
      </c>
      <c r="AP34" s="157">
        <f t="shared" ref="AP34:AP40" si="154">SUM(AK34:AO34)</f>
        <v>141178.81392955227</v>
      </c>
      <c r="AQ34" s="2"/>
      <c r="AR34" s="158">
        <f>AH34*AusNet_Overheads!H$22</f>
        <v>0</v>
      </c>
      <c r="AS34" s="158">
        <f>AI34*AusNet_Overheads!I$22</f>
        <v>0</v>
      </c>
      <c r="AT34" s="158">
        <f>AJ34*AusNet_Overheads!J$22</f>
        <v>0</v>
      </c>
      <c r="AU34" s="264">
        <f>AK34*AusNet_Overheads!K$22</f>
        <v>2001.6623253662137</v>
      </c>
      <c r="AV34" s="158">
        <f>AL34*AusNet_Overheads!L$22</f>
        <v>2202.1451946660791</v>
      </c>
      <c r="AW34" s="158">
        <f>AM34*AusNet_Overheads!M$22</f>
        <v>2423.873571268341</v>
      </c>
      <c r="AX34" s="158">
        <f>AN34*AusNet_Overheads!N$22</f>
        <v>2475.5094018324266</v>
      </c>
      <c r="AY34" s="158">
        <f>AO34*AusNet_Overheads!O$22</f>
        <v>2399.3501231494074</v>
      </c>
      <c r="AZ34" s="157">
        <f t="shared" ref="AZ34:AZ40" si="155">SUM(AU34:AY34)</f>
        <v>11502.540616282469</v>
      </c>
      <c r="BB34" s="157">
        <f t="shared" ref="BB34:BB38" si="156">AR34+AH34</f>
        <v>0</v>
      </c>
      <c r="BC34" s="157">
        <f t="shared" ref="BC34:BC38" si="157">AS34+AI34</f>
        <v>0</v>
      </c>
      <c r="BD34" s="157">
        <f t="shared" ref="BD34:BD38" si="158">AT34+AJ34</f>
        <v>0</v>
      </c>
      <c r="BE34" s="263">
        <f t="shared" ref="BE34:BE38" si="159">AU34+AK34</f>
        <v>35663.245475175187</v>
      </c>
      <c r="BF34" s="157">
        <f t="shared" ref="BF34:BF38" si="160">AV34+AL34</f>
        <v>27789.259229273874</v>
      </c>
      <c r="BG34" s="157">
        <f t="shared" ref="BG34:BG38" si="161">AW34+AM34</f>
        <v>35151.646510195227</v>
      </c>
      <c r="BH34" s="157">
        <f t="shared" ref="BH34:BH38" si="162">AX34+AN34</f>
        <v>27694.658754797536</v>
      </c>
      <c r="BI34" s="157">
        <f t="shared" ref="BI34:BI38" si="163">AY34+AO34</f>
        <v>26382.544576392909</v>
      </c>
      <c r="BJ34" s="157">
        <f t="shared" ref="BJ34:BJ39" si="164">SUM(BE34:BI34)</f>
        <v>152681.35454583474</v>
      </c>
      <c r="BL34" s="281">
        <f t="shared" ref="BL34:BP39" si="165">BE34*$BL$2/Thousands</f>
        <v>37.795340988131962</v>
      </c>
      <c r="BM34" s="281">
        <f t="shared" si="165"/>
        <v>29.450615455318143</v>
      </c>
      <c r="BN34" s="281">
        <f t="shared" si="165"/>
        <v>37.253156532596286</v>
      </c>
      <c r="BO34" s="281">
        <f t="shared" si="165"/>
        <v>29.350359375344688</v>
      </c>
      <c r="BP34" s="313">
        <f t="shared" si="165"/>
        <v>27.959801614058328</v>
      </c>
      <c r="BQ34" s="285">
        <f t="shared" si="10"/>
        <v>161.80927396544939</v>
      </c>
      <c r="BR34" s="274"/>
      <c r="BU34" s="274"/>
    </row>
    <row r="35" spans="2:73" outlineLevel="1">
      <c r="C35" s="1" t="s">
        <v>517</v>
      </c>
      <c r="D35" s="865"/>
      <c r="E35" s="865"/>
      <c r="F35" s="865"/>
      <c r="G35" s="866"/>
      <c r="H35" s="865"/>
      <c r="I35" s="865"/>
      <c r="J35" s="865"/>
      <c r="K35" s="865"/>
      <c r="L35" s="865"/>
      <c r="M35" s="201"/>
      <c r="N35" s="919"/>
      <c r="O35" s="919"/>
      <c r="P35" s="919"/>
      <c r="Q35" s="920"/>
      <c r="R35" s="919"/>
      <c r="S35" s="919"/>
      <c r="T35" s="919"/>
      <c r="U35" s="919"/>
      <c r="V35" s="865"/>
      <c r="W35" s="2"/>
      <c r="X35" s="915"/>
      <c r="Y35" s="915"/>
      <c r="Z35" s="915"/>
      <c r="AA35" s="916"/>
      <c r="AB35" s="915"/>
      <c r="AC35" s="915"/>
      <c r="AD35" s="915"/>
      <c r="AE35" s="915"/>
      <c r="AF35" s="865"/>
      <c r="AG35" s="2"/>
      <c r="AH35" s="158">
        <v>0</v>
      </c>
      <c r="AI35" s="158">
        <v>0</v>
      </c>
      <c r="AJ35" s="158">
        <v>18531.039377659272</v>
      </c>
      <c r="AK35" s="264">
        <v>8933.3214833268266</v>
      </c>
      <c r="AL35" s="158">
        <v>3098.8962244873151</v>
      </c>
      <c r="AM35" s="158">
        <v>773.84469207498591</v>
      </c>
      <c r="AN35" s="158">
        <v>1.3159415977631168</v>
      </c>
      <c r="AO35" s="158">
        <v>781.87288694747872</v>
      </c>
      <c r="AP35" s="157">
        <f t="shared" si="154"/>
        <v>13589.251228434368</v>
      </c>
      <c r="AQ35" s="2"/>
      <c r="AR35" s="158">
        <f>AH35*AusNet_Overheads!H$22</f>
        <v>0</v>
      </c>
      <c r="AS35" s="158">
        <f>AI35*AusNet_Overheads!I$22</f>
        <v>0</v>
      </c>
      <c r="AT35" s="158">
        <f>AJ35*AusNet_Overheads!J$22</f>
        <v>550.08529117591445</v>
      </c>
      <c r="AU35" s="264">
        <f>AK35*AusNet_Overheads!K$22</f>
        <v>531.21366793651248</v>
      </c>
      <c r="AV35" s="158">
        <f>AL35*AusNet_Overheads!L$22</f>
        <v>266.70531972826296</v>
      </c>
      <c r="AW35" s="158">
        <f>AM35*AusNet_Overheads!M$22</f>
        <v>57.312231445967385</v>
      </c>
      <c r="AX35" s="158">
        <f>AN35*AusNet_Overheads!N$22</f>
        <v>0.12917270729204711</v>
      </c>
      <c r="AY35" s="158">
        <f>AO35*AusNet_Overheads!O$22</f>
        <v>78.220889683480266</v>
      </c>
      <c r="AZ35" s="157">
        <f t="shared" ref="AZ35" si="166">SUM(AU35:AY35)</f>
        <v>933.58128150151515</v>
      </c>
      <c r="BB35" s="157">
        <f t="shared" si="156"/>
        <v>0</v>
      </c>
      <c r="BC35" s="157">
        <f t="shared" si="157"/>
        <v>0</v>
      </c>
      <c r="BD35" s="157">
        <f t="shared" si="158"/>
        <v>19081.124668835186</v>
      </c>
      <c r="BE35" s="263">
        <f t="shared" si="159"/>
        <v>9464.5351512633388</v>
      </c>
      <c r="BF35" s="157">
        <f t="shared" si="160"/>
        <v>3365.6015442155781</v>
      </c>
      <c r="BG35" s="157">
        <f t="shared" si="161"/>
        <v>831.15692352095334</v>
      </c>
      <c r="BH35" s="157">
        <f t="shared" si="162"/>
        <v>1.445114305055164</v>
      </c>
      <c r="BI35" s="157">
        <f t="shared" si="163"/>
        <v>860.09377663095893</v>
      </c>
      <c r="BJ35" s="157">
        <f t="shared" si="164"/>
        <v>14522.832509935884</v>
      </c>
      <c r="BL35" s="281">
        <f t="shared" ref="BL35" si="167">BE35*$BL$2/Thousands</f>
        <v>10.030363994358307</v>
      </c>
      <c r="BM35" s="281">
        <f t="shared" ref="BM35" si="168">BF35*$BL$2/Thousands</f>
        <v>3.5668110487127898</v>
      </c>
      <c r="BN35" s="281">
        <f t="shared" ref="BN35" si="169">BG35*$BL$2/Thousands</f>
        <v>0.88084690331921733</v>
      </c>
      <c r="BO35" s="281">
        <f t="shared" ref="BO35" si="170">BH35*$BL$2/Thousands</f>
        <v>1.5315091825954736E-3</v>
      </c>
      <c r="BP35" s="313">
        <f t="shared" ref="BP35" si="171">BI35*$BL$2/Thousands</f>
        <v>0.91151372053801039</v>
      </c>
      <c r="BQ35" s="285">
        <f t="shared" si="10"/>
        <v>15.391067176110919</v>
      </c>
      <c r="BR35" s="274"/>
      <c r="BU35" s="158"/>
    </row>
    <row r="36" spans="2:73" outlineLevel="1">
      <c r="C36" s="1" t="s">
        <v>307</v>
      </c>
      <c r="D36" s="865"/>
      <c r="E36" s="865"/>
      <c r="F36" s="865"/>
      <c r="G36" s="866"/>
      <c r="H36" s="865"/>
      <c r="I36" s="865"/>
      <c r="J36" s="865"/>
      <c r="K36" s="865"/>
      <c r="L36" s="865"/>
      <c r="M36" s="201"/>
      <c r="N36" s="919"/>
      <c r="O36" s="919"/>
      <c r="P36" s="919"/>
      <c r="Q36" s="920"/>
      <c r="R36" s="919"/>
      <c r="S36" s="919"/>
      <c r="T36" s="919"/>
      <c r="U36" s="919"/>
      <c r="V36" s="865"/>
      <c r="W36" s="2"/>
      <c r="X36" s="915"/>
      <c r="Y36" s="915"/>
      <c r="Z36" s="915"/>
      <c r="AA36" s="916"/>
      <c r="AB36" s="915"/>
      <c r="AC36" s="915"/>
      <c r="AD36" s="915"/>
      <c r="AE36" s="915"/>
      <c r="AF36" s="865"/>
      <c r="AG36" s="2"/>
      <c r="AH36" s="158">
        <v>0</v>
      </c>
      <c r="AI36" s="158">
        <v>0</v>
      </c>
      <c r="AJ36" s="158">
        <v>3800.8375912214274</v>
      </c>
      <c r="AK36" s="264">
        <v>6595.0833360016713</v>
      </c>
      <c r="AL36" s="158">
        <v>5258.655466886491</v>
      </c>
      <c r="AM36" s="158">
        <v>4460.531929666764</v>
      </c>
      <c r="AN36" s="158">
        <v>8066.131892030191</v>
      </c>
      <c r="AO36" s="158">
        <v>8652.3881421328842</v>
      </c>
      <c r="AP36" s="157">
        <f t="shared" si="154"/>
        <v>33032.790766717997</v>
      </c>
      <c r="AQ36" s="2"/>
      <c r="AR36" s="163"/>
      <c r="AS36" s="163"/>
      <c r="AT36" s="163"/>
      <c r="AU36" s="284"/>
      <c r="AV36" s="163"/>
      <c r="AW36" s="163"/>
      <c r="AX36" s="163"/>
      <c r="AY36" s="163"/>
      <c r="AZ36" s="157">
        <f t="shared" si="155"/>
        <v>0</v>
      </c>
      <c r="BB36" s="157">
        <f t="shared" si="156"/>
        <v>0</v>
      </c>
      <c r="BC36" s="157">
        <f t="shared" si="157"/>
        <v>0</v>
      </c>
      <c r="BD36" s="157">
        <f t="shared" si="158"/>
        <v>3800.8375912214274</v>
      </c>
      <c r="BE36" s="263">
        <f t="shared" si="159"/>
        <v>6595.0833360016713</v>
      </c>
      <c r="BF36" s="157">
        <f t="shared" si="160"/>
        <v>5258.655466886491</v>
      </c>
      <c r="BG36" s="157">
        <f t="shared" si="161"/>
        <v>4460.531929666764</v>
      </c>
      <c r="BH36" s="157">
        <f t="shared" si="162"/>
        <v>8066.131892030191</v>
      </c>
      <c r="BI36" s="157">
        <f t="shared" si="163"/>
        <v>8652.3881421328842</v>
      </c>
      <c r="BJ36" s="157">
        <f t="shared" si="164"/>
        <v>33032.790766717997</v>
      </c>
      <c r="BL36" s="281">
        <f t="shared" si="165"/>
        <v>6.9893645462760734</v>
      </c>
      <c r="BM36" s="281">
        <f t="shared" si="165"/>
        <v>5.5730395218356916</v>
      </c>
      <c r="BN36" s="281">
        <f t="shared" si="165"/>
        <v>4.7272008765314828</v>
      </c>
      <c r="BO36" s="281">
        <f t="shared" si="165"/>
        <v>8.5483584360469518</v>
      </c>
      <c r="BP36" s="313">
        <f t="shared" si="165"/>
        <v>9.1696634963079049</v>
      </c>
      <c r="BQ36" s="285">
        <f t="shared" si="10"/>
        <v>35.007626876998103</v>
      </c>
      <c r="BR36" s="274"/>
    </row>
    <row r="37" spans="2:73" outlineLevel="1">
      <c r="C37" s="1" t="s">
        <v>587</v>
      </c>
      <c r="D37" s="865"/>
      <c r="E37" s="865"/>
      <c r="F37" s="865"/>
      <c r="G37" s="866"/>
      <c r="H37" s="865"/>
      <c r="I37" s="865"/>
      <c r="J37" s="865"/>
      <c r="K37" s="865"/>
      <c r="L37" s="865"/>
      <c r="M37" s="201"/>
      <c r="N37" s="919"/>
      <c r="O37" s="919"/>
      <c r="P37" s="919"/>
      <c r="Q37" s="920"/>
      <c r="R37" s="919"/>
      <c r="S37" s="919"/>
      <c r="T37" s="919"/>
      <c r="U37" s="919"/>
      <c r="V37" s="865"/>
      <c r="W37" s="2"/>
      <c r="X37" s="915"/>
      <c r="Y37" s="915"/>
      <c r="Z37" s="915"/>
      <c r="AA37" s="916"/>
      <c r="AB37" s="915"/>
      <c r="AC37" s="915"/>
      <c r="AD37" s="915"/>
      <c r="AE37" s="915"/>
      <c r="AF37" s="865"/>
      <c r="AG37" s="2"/>
      <c r="AH37" s="158">
        <v>0</v>
      </c>
      <c r="AI37" s="158">
        <v>0</v>
      </c>
      <c r="AJ37" s="158">
        <v>152.21789856580605</v>
      </c>
      <c r="AK37" s="264">
        <v>1240.1278634824585</v>
      </c>
      <c r="AL37" s="158">
        <v>0</v>
      </c>
      <c r="AM37" s="158">
        <v>0</v>
      </c>
      <c r="AN37" s="158">
        <v>0</v>
      </c>
      <c r="AO37" s="158">
        <v>4601.6493504988603</v>
      </c>
      <c r="AP37" s="157">
        <f t="shared" ref="AP37" si="172">SUM(AK37:AO37)</f>
        <v>5841.7772139813187</v>
      </c>
      <c r="AQ37" s="2"/>
      <c r="AR37" s="163"/>
      <c r="AS37" s="163"/>
      <c r="AT37" s="163"/>
      <c r="AU37" s="284"/>
      <c r="AV37" s="163"/>
      <c r="AW37" s="163"/>
      <c r="AX37" s="163"/>
      <c r="AY37" s="163"/>
      <c r="AZ37" s="157"/>
      <c r="BB37" s="157">
        <f t="shared" si="156"/>
        <v>0</v>
      </c>
      <c r="BC37" s="157">
        <f t="shared" si="157"/>
        <v>0</v>
      </c>
      <c r="BD37" s="157">
        <f t="shared" si="158"/>
        <v>152.21789856580605</v>
      </c>
      <c r="BE37" s="263">
        <f t="shared" si="159"/>
        <v>1240.1278634824585</v>
      </c>
      <c r="BF37" s="157">
        <f t="shared" si="160"/>
        <v>0</v>
      </c>
      <c r="BG37" s="157">
        <f t="shared" si="161"/>
        <v>0</v>
      </c>
      <c r="BH37" s="157">
        <f t="shared" si="162"/>
        <v>0</v>
      </c>
      <c r="BI37" s="157">
        <f t="shared" si="163"/>
        <v>4601.6493504988603</v>
      </c>
      <c r="BJ37" s="157">
        <f t="shared" ref="BJ37" si="173">SUM(BE37:BI37)</f>
        <v>5841.7772139813187</v>
      </c>
      <c r="BL37" s="281">
        <f t="shared" ref="BL37" si="174">BE37*$BL$2/Thousands</f>
        <v>1.3142678083470987</v>
      </c>
      <c r="BM37" s="281">
        <f t="shared" ref="BM37" si="175">BF37*$BL$2/Thousands</f>
        <v>0</v>
      </c>
      <c r="BN37" s="281">
        <f t="shared" ref="BN37" si="176">BG37*$BL$2/Thousands</f>
        <v>0</v>
      </c>
      <c r="BO37" s="281">
        <f t="shared" ref="BO37" si="177">BH37*$BL$2/Thousands</f>
        <v>0</v>
      </c>
      <c r="BP37" s="313">
        <f>BI37*$BL$2/Thousands</f>
        <v>4.8767548772582945</v>
      </c>
      <c r="BQ37" s="285">
        <f t="shared" si="10"/>
        <v>6.1910226856053931</v>
      </c>
      <c r="BR37" s="274"/>
    </row>
    <row r="38" spans="2:73" outlineLevel="1">
      <c r="C38" s="1" t="s">
        <v>395</v>
      </c>
      <c r="D38" s="865"/>
      <c r="E38" s="865"/>
      <c r="F38" s="865"/>
      <c r="G38" s="866"/>
      <c r="H38" s="865"/>
      <c r="I38" s="865"/>
      <c r="J38" s="865"/>
      <c r="K38" s="865"/>
      <c r="L38" s="865"/>
      <c r="M38" s="201"/>
      <c r="N38" s="919"/>
      <c r="O38" s="919"/>
      <c r="P38" s="919"/>
      <c r="Q38" s="920"/>
      <c r="R38" s="919"/>
      <c r="S38" s="919"/>
      <c r="T38" s="919"/>
      <c r="U38" s="919"/>
      <c r="V38" s="865"/>
      <c r="W38" s="2"/>
      <c r="X38" s="915"/>
      <c r="Y38" s="915"/>
      <c r="Z38" s="915"/>
      <c r="AA38" s="916"/>
      <c r="AB38" s="915"/>
      <c r="AC38" s="915"/>
      <c r="AD38" s="915"/>
      <c r="AE38" s="915"/>
      <c r="AF38" s="865"/>
      <c r="AG38" s="2"/>
      <c r="AH38" s="158">
        <v>0</v>
      </c>
      <c r="AI38" s="158">
        <v>0</v>
      </c>
      <c r="AJ38" s="158">
        <v>0</v>
      </c>
      <c r="AK38" s="264">
        <v>0</v>
      </c>
      <c r="AL38" s="158">
        <v>0</v>
      </c>
      <c r="AM38" s="158">
        <v>0</v>
      </c>
      <c r="AN38" s="158">
        <v>0</v>
      </c>
      <c r="AO38" s="158">
        <v>0</v>
      </c>
      <c r="AP38" s="157">
        <f t="shared" si="154"/>
        <v>0</v>
      </c>
      <c r="AQ38" s="2"/>
      <c r="AR38" s="163"/>
      <c r="AS38" s="163"/>
      <c r="AT38" s="163"/>
      <c r="AU38" s="284"/>
      <c r="AV38" s="163"/>
      <c r="AW38" s="163"/>
      <c r="AX38" s="163"/>
      <c r="AY38" s="163"/>
      <c r="AZ38" s="157">
        <f t="shared" si="155"/>
        <v>0</v>
      </c>
      <c r="BB38" s="157">
        <f t="shared" si="156"/>
        <v>0</v>
      </c>
      <c r="BC38" s="157">
        <f t="shared" si="157"/>
        <v>0</v>
      </c>
      <c r="BD38" s="157">
        <f t="shared" si="158"/>
        <v>0</v>
      </c>
      <c r="BE38" s="263">
        <f t="shared" si="159"/>
        <v>0</v>
      </c>
      <c r="BF38" s="157">
        <f t="shared" si="160"/>
        <v>0</v>
      </c>
      <c r="BG38" s="157">
        <f t="shared" si="161"/>
        <v>0</v>
      </c>
      <c r="BH38" s="157">
        <f t="shared" si="162"/>
        <v>0</v>
      </c>
      <c r="BI38" s="157">
        <f t="shared" si="163"/>
        <v>0</v>
      </c>
      <c r="BJ38" s="157">
        <f t="shared" si="164"/>
        <v>0</v>
      </c>
      <c r="BL38" s="281">
        <f t="shared" si="165"/>
        <v>0</v>
      </c>
      <c r="BM38" s="281">
        <f t="shared" si="165"/>
        <v>0</v>
      </c>
      <c r="BN38" s="281">
        <f t="shared" si="165"/>
        <v>0</v>
      </c>
      <c r="BO38" s="281">
        <f t="shared" si="165"/>
        <v>0</v>
      </c>
      <c r="BP38" s="313">
        <f t="shared" si="165"/>
        <v>0</v>
      </c>
      <c r="BQ38" s="285">
        <f t="shared" si="10"/>
        <v>0</v>
      </c>
      <c r="BR38" s="274"/>
    </row>
    <row r="39" spans="2:73">
      <c r="B39" s="247" t="s">
        <v>453</v>
      </c>
      <c r="D39" s="865"/>
      <c r="E39" s="865"/>
      <c r="F39" s="865"/>
      <c r="G39" s="866"/>
      <c r="H39" s="865"/>
      <c r="I39" s="865"/>
      <c r="J39" s="865"/>
      <c r="K39" s="865"/>
      <c r="L39" s="865"/>
      <c r="M39" s="201"/>
      <c r="N39" s="865"/>
      <c r="O39" s="865"/>
      <c r="P39" s="865"/>
      <c r="Q39" s="866"/>
      <c r="R39" s="865"/>
      <c r="S39" s="865"/>
      <c r="T39" s="865"/>
      <c r="U39" s="865"/>
      <c r="V39" s="865"/>
      <c r="W39" s="2"/>
      <c r="X39" s="865"/>
      <c r="Y39" s="865"/>
      <c r="Z39" s="865"/>
      <c r="AA39" s="866"/>
      <c r="AB39" s="865"/>
      <c r="AC39" s="865"/>
      <c r="AD39" s="865"/>
      <c r="AE39" s="865"/>
      <c r="AF39" s="865"/>
      <c r="AG39" s="2"/>
      <c r="AH39" s="157">
        <v>0</v>
      </c>
      <c r="AI39" s="157">
        <v>0</v>
      </c>
      <c r="AJ39" s="157">
        <v>0</v>
      </c>
      <c r="AK39" s="263">
        <v>1200.584700005099</v>
      </c>
      <c r="AL39" s="157">
        <v>1200.8397126243672</v>
      </c>
      <c r="AM39" s="157">
        <v>1201.1761497031989</v>
      </c>
      <c r="AN39" s="157">
        <v>1201.6927115159051</v>
      </c>
      <c r="AO39" s="157">
        <v>1202.3793358395164</v>
      </c>
      <c r="AP39" s="157">
        <f t="shared" si="154"/>
        <v>6006.6726096880866</v>
      </c>
      <c r="AQ39" s="2"/>
      <c r="AR39" s="157">
        <f>SUBTOTAL(9,AR40)</f>
        <v>0</v>
      </c>
      <c r="AS39" s="157">
        <f t="shared" ref="AS39" si="178">SUBTOTAL(9,AS40)</f>
        <v>0</v>
      </c>
      <c r="AT39" s="157"/>
      <c r="AU39" s="263">
        <f t="shared" ref="AU39" si="179">SUBTOTAL(9,AU40)</f>
        <v>0</v>
      </c>
      <c r="AV39" s="157">
        <f t="shared" ref="AV39" si="180">SUBTOTAL(9,AV40)</f>
        <v>0</v>
      </c>
      <c r="AW39" s="157">
        <f t="shared" ref="AW39" si="181">SUBTOTAL(9,AW40)</f>
        <v>0</v>
      </c>
      <c r="AX39" s="157">
        <f t="shared" ref="AX39" si="182">SUBTOTAL(9,AX40)</f>
        <v>0</v>
      </c>
      <c r="AY39" s="157">
        <f t="shared" ref="AY39" si="183">SUBTOTAL(9,AY40)</f>
        <v>0</v>
      </c>
      <c r="AZ39" s="157">
        <f t="shared" si="155"/>
        <v>0</v>
      </c>
      <c r="BB39" s="157">
        <f>SUBTOTAL(9,BB40)</f>
        <v>0</v>
      </c>
      <c r="BC39" s="157">
        <f t="shared" ref="BC39:BD39" si="184">SUBTOTAL(9,BC40)</f>
        <v>0</v>
      </c>
      <c r="BD39" s="157">
        <f t="shared" si="184"/>
        <v>0</v>
      </c>
      <c r="BE39" s="263">
        <f t="shared" ref="BE39" si="185">SUBTOTAL(9,BE40)</f>
        <v>1200.584700005099</v>
      </c>
      <c r="BF39" s="157">
        <f t="shared" ref="BF39" si="186">SUBTOTAL(9,BF40)</f>
        <v>1200.8397126243672</v>
      </c>
      <c r="BG39" s="157">
        <f t="shared" ref="BG39" si="187">SUBTOTAL(9,BG40)</f>
        <v>1201.1761497031989</v>
      </c>
      <c r="BH39" s="157">
        <f t="shared" ref="BH39" si="188">SUBTOTAL(9,BH40)</f>
        <v>1201.6927115159051</v>
      </c>
      <c r="BI39" s="157">
        <f t="shared" ref="BI39" si="189">SUBTOTAL(9,BI40)</f>
        <v>1202.3793358395164</v>
      </c>
      <c r="BJ39" s="157">
        <f t="shared" si="164"/>
        <v>6006.6726096880866</v>
      </c>
      <c r="BL39" s="281">
        <f t="shared" si="165"/>
        <v>1.2723605918988206</v>
      </c>
      <c r="BM39" s="281">
        <f t="shared" si="165"/>
        <v>1.2726308502214465</v>
      </c>
      <c r="BN39" s="281">
        <f t="shared" si="165"/>
        <v>1.2729874008927629</v>
      </c>
      <c r="BO39" s="281">
        <f t="shared" si="165"/>
        <v>1.2735348448954762</v>
      </c>
      <c r="BP39" s="313">
        <f t="shared" si="165"/>
        <v>1.2742625184455378</v>
      </c>
      <c r="BQ39" s="285">
        <f t="shared" si="10"/>
        <v>6.3657762063540435</v>
      </c>
      <c r="BR39" s="274"/>
    </row>
    <row r="40" spans="2:73" outlineLevel="1">
      <c r="C40" s="1" t="s">
        <v>307</v>
      </c>
      <c r="D40" s="865"/>
      <c r="E40" s="865"/>
      <c r="F40" s="865"/>
      <c r="G40" s="866"/>
      <c r="H40" s="865"/>
      <c r="I40" s="865"/>
      <c r="J40" s="865"/>
      <c r="K40" s="865"/>
      <c r="L40" s="865"/>
      <c r="M40" s="201"/>
      <c r="N40" s="919"/>
      <c r="O40" s="919"/>
      <c r="P40" s="919"/>
      <c r="Q40" s="920"/>
      <c r="R40" s="919"/>
      <c r="S40" s="919"/>
      <c r="T40" s="919"/>
      <c r="U40" s="919"/>
      <c r="V40" s="865"/>
      <c r="W40" s="2"/>
      <c r="X40" s="915"/>
      <c r="Y40" s="915"/>
      <c r="Z40" s="915"/>
      <c r="AA40" s="915"/>
      <c r="AB40" s="915"/>
      <c r="AC40" s="915"/>
      <c r="AD40" s="915"/>
      <c r="AE40" s="915"/>
      <c r="AF40" s="865"/>
      <c r="AG40" s="2"/>
      <c r="AH40" s="158">
        <v>0</v>
      </c>
      <c r="AI40" s="158">
        <v>0</v>
      </c>
      <c r="AJ40" s="158">
        <v>0</v>
      </c>
      <c r="AK40" s="264">
        <v>1200.584700005099</v>
      </c>
      <c r="AL40" s="158">
        <v>1200.8397126243672</v>
      </c>
      <c r="AM40" s="158">
        <v>1201.1761497031989</v>
      </c>
      <c r="AN40" s="158">
        <v>1201.6927115159051</v>
      </c>
      <c r="AO40" s="158">
        <v>1202.3793358395164</v>
      </c>
      <c r="AP40" s="157">
        <f t="shared" si="154"/>
        <v>6006.6726096880866</v>
      </c>
      <c r="AQ40" s="2"/>
      <c r="AU40" s="41"/>
      <c r="AZ40" s="157">
        <f t="shared" si="155"/>
        <v>0</v>
      </c>
      <c r="BB40" s="361">
        <f t="shared" ref="BB40:BI40" si="190">AR40+AH40</f>
        <v>0</v>
      </c>
      <c r="BC40" s="361">
        <f t="shared" si="190"/>
        <v>0</v>
      </c>
      <c r="BD40" s="361">
        <f t="shared" si="190"/>
        <v>0</v>
      </c>
      <c r="BE40" s="368">
        <f t="shared" si="190"/>
        <v>1200.584700005099</v>
      </c>
      <c r="BF40" s="361">
        <f t="shared" si="190"/>
        <v>1200.8397126243672</v>
      </c>
      <c r="BG40" s="157">
        <f t="shared" si="190"/>
        <v>1201.1761497031989</v>
      </c>
      <c r="BH40" s="157">
        <f t="shared" si="190"/>
        <v>1201.6927115159051</v>
      </c>
      <c r="BI40" s="157">
        <f t="shared" si="190"/>
        <v>1202.3793358395164</v>
      </c>
      <c r="BJ40" s="157">
        <f t="shared" ref="BJ40" si="191">SUM(BE40:BI40)</f>
        <v>6006.6726096880866</v>
      </c>
      <c r="BL40" s="274">
        <f t="shared" ref="BL40" si="192">BE40*$BL$2/Thousands</f>
        <v>1.2723605918988206</v>
      </c>
      <c r="BM40" s="274">
        <f t="shared" ref="BM40" si="193">BF40*$BL$2/Thousands</f>
        <v>1.2726308502214465</v>
      </c>
      <c r="BN40" s="274">
        <f t="shared" ref="BN40" si="194">BG40*$BL$2/Thousands</f>
        <v>1.2729874008927629</v>
      </c>
      <c r="BO40" s="274">
        <f t="shared" ref="BO40" si="195">BH40*$BL$2/Thousands</f>
        <v>1.2735348448954762</v>
      </c>
      <c r="BP40" s="279">
        <f t="shared" ref="BP40" si="196">BI40*$BL$2/Thousands</f>
        <v>1.2742625184455378</v>
      </c>
      <c r="BQ40" s="285">
        <f t="shared" si="10"/>
        <v>6.3657762063540435</v>
      </c>
      <c r="BR40" s="274"/>
    </row>
    <row r="41" spans="2:73">
      <c r="G41" s="38"/>
      <c r="L41" s="201"/>
      <c r="M41" s="201"/>
      <c r="N41" s="2"/>
      <c r="O41" s="2"/>
      <c r="P41" s="2"/>
      <c r="Q41" s="280"/>
      <c r="R41" s="2"/>
      <c r="S41" s="2"/>
      <c r="T41" s="2"/>
      <c r="U41" s="2"/>
      <c r="V41" s="2"/>
      <c r="W41" s="2"/>
      <c r="X41" s="159"/>
      <c r="Y41" s="159"/>
      <c r="Z41" s="159"/>
      <c r="AA41" s="159"/>
      <c r="AB41" s="159"/>
      <c r="AC41" s="159"/>
      <c r="AD41" s="159"/>
      <c r="AE41" s="159"/>
      <c r="AF41" s="2"/>
      <c r="AG41" s="2"/>
      <c r="AH41" s="2"/>
      <c r="AI41" s="2"/>
      <c r="AJ41" s="2"/>
      <c r="AK41" s="280"/>
      <c r="AL41" s="2"/>
      <c r="AM41" s="2"/>
      <c r="AN41" s="2"/>
      <c r="AO41" s="2"/>
      <c r="AP41" s="2"/>
      <c r="AQ41" s="2"/>
      <c r="BP41" s="279"/>
    </row>
    <row r="42" spans="2:73">
      <c r="B42" s="2" t="s">
        <v>483</v>
      </c>
      <c r="D42" s="223">
        <f>CP_Yr_4</f>
        <v>43800</v>
      </c>
      <c r="E42" s="223">
        <f>CP_Yr_5</f>
        <v>44166</v>
      </c>
      <c r="F42" s="223">
        <f>Stub</f>
        <v>44377</v>
      </c>
      <c r="G42" s="335">
        <f>Yr_1</f>
        <v>44742</v>
      </c>
      <c r="H42" s="223">
        <f>Yr_2</f>
        <v>45107</v>
      </c>
      <c r="I42" s="223">
        <f>Yr_3</f>
        <v>45473</v>
      </c>
      <c r="J42" s="223">
        <f>Yr_4</f>
        <v>45838</v>
      </c>
      <c r="K42" s="223">
        <f>Yr_5</f>
        <v>46203</v>
      </c>
      <c r="L42" s="262" t="str">
        <f>NReg_Period</f>
        <v>2022-26</v>
      </c>
      <c r="M42" s="262"/>
      <c r="N42" s="223">
        <f>CP_Yr_4</f>
        <v>43800</v>
      </c>
      <c r="O42" s="223">
        <f>CP_Yr_5</f>
        <v>44166</v>
      </c>
      <c r="P42" s="223">
        <f>Stub</f>
        <v>44377</v>
      </c>
      <c r="Q42" s="335">
        <f>Yr_1</f>
        <v>44742</v>
      </c>
      <c r="R42" s="223">
        <f>Yr_2</f>
        <v>45107</v>
      </c>
      <c r="S42" s="223">
        <f>Yr_3</f>
        <v>45473</v>
      </c>
      <c r="T42" s="223">
        <f>Yr_4</f>
        <v>45838</v>
      </c>
      <c r="U42" s="223">
        <f>Yr_5</f>
        <v>46203</v>
      </c>
      <c r="V42" s="262" t="str">
        <f>NReg_Period</f>
        <v>2022-26</v>
      </c>
      <c r="X42" s="223">
        <f>CP_Yr_4</f>
        <v>43800</v>
      </c>
      <c r="Y42" s="223">
        <f>CP_Yr_5</f>
        <v>44166</v>
      </c>
      <c r="Z42" s="223">
        <f>Stub</f>
        <v>44377</v>
      </c>
      <c r="AA42" s="335">
        <f>Yr_1</f>
        <v>44742</v>
      </c>
      <c r="AB42" s="223">
        <f>Yr_2</f>
        <v>45107</v>
      </c>
      <c r="AC42" s="223">
        <f>Yr_3</f>
        <v>45473</v>
      </c>
      <c r="AD42" s="223">
        <f>Yr_4</f>
        <v>45838</v>
      </c>
      <c r="AE42" s="223">
        <f>Yr_5</f>
        <v>46203</v>
      </c>
      <c r="AF42" s="358" t="str">
        <f>NReg_Period</f>
        <v>2022-26</v>
      </c>
      <c r="AH42" s="223">
        <f>CP_Yr_4</f>
        <v>43800</v>
      </c>
      <c r="AI42" s="223">
        <f>CP_Yr_5</f>
        <v>44166</v>
      </c>
      <c r="AJ42" s="223">
        <f>Stub</f>
        <v>44377</v>
      </c>
      <c r="AK42" s="335">
        <f>Yr_1</f>
        <v>44742</v>
      </c>
      <c r="AL42" s="223">
        <f>Yr_2</f>
        <v>45107</v>
      </c>
      <c r="AM42" s="223">
        <f>Yr_3</f>
        <v>45473</v>
      </c>
      <c r="AN42" s="223">
        <f>Yr_4</f>
        <v>45838</v>
      </c>
      <c r="AO42" s="223">
        <f>Yr_5</f>
        <v>46203</v>
      </c>
      <c r="AP42" s="262" t="str">
        <f>NReg_Period</f>
        <v>2022-26</v>
      </c>
      <c r="AR42" s="223">
        <f>CP_Yr_4</f>
        <v>43800</v>
      </c>
      <c r="AS42" s="223">
        <f>CP_Yr_5</f>
        <v>44166</v>
      </c>
      <c r="AT42" s="223">
        <f>Stub</f>
        <v>44377</v>
      </c>
      <c r="AU42" s="335">
        <f>Yr_1</f>
        <v>44742</v>
      </c>
      <c r="AV42" s="223">
        <f>Yr_2</f>
        <v>45107</v>
      </c>
      <c r="AW42" s="223">
        <f>Yr_3</f>
        <v>45473</v>
      </c>
      <c r="AX42" s="223">
        <f>Yr_4</f>
        <v>45838</v>
      </c>
      <c r="AY42" s="223">
        <f>Yr_5</f>
        <v>46203</v>
      </c>
      <c r="AZ42" s="262" t="str">
        <f>NReg_Period</f>
        <v>2022-26</v>
      </c>
      <c r="BB42" s="223">
        <f>CP_Yr_4</f>
        <v>43800</v>
      </c>
      <c r="BC42" s="223">
        <f>CP_Yr_5</f>
        <v>44166</v>
      </c>
      <c r="BD42" s="223">
        <f>Stub</f>
        <v>44377</v>
      </c>
      <c r="BE42" s="335">
        <f>Yr_1</f>
        <v>44742</v>
      </c>
      <c r="BF42" s="223">
        <f>Yr_2</f>
        <v>45107</v>
      </c>
      <c r="BG42" s="223">
        <f>Yr_3</f>
        <v>45473</v>
      </c>
      <c r="BH42" s="223">
        <f>Yr_4</f>
        <v>45838</v>
      </c>
      <c r="BI42" s="223">
        <f>Yr_5</f>
        <v>46203</v>
      </c>
      <c r="BJ42" s="262" t="str">
        <f>NReg_Period</f>
        <v>2022-26</v>
      </c>
      <c r="BL42" s="336">
        <f>Yr_1</f>
        <v>44742</v>
      </c>
      <c r="BM42" s="223">
        <f>Yr_2</f>
        <v>45107</v>
      </c>
      <c r="BN42" s="223">
        <f>Yr_3</f>
        <v>45473</v>
      </c>
      <c r="BO42" s="223">
        <f>Yr_4</f>
        <v>45838</v>
      </c>
      <c r="BP42" s="223">
        <f>Yr_5</f>
        <v>46203</v>
      </c>
      <c r="BQ42" s="262" t="str">
        <f>NReg_Period</f>
        <v>2022-26</v>
      </c>
    </row>
    <row r="43" spans="2:73" outlineLevel="1">
      <c r="C43" s="1" t="s">
        <v>44</v>
      </c>
      <c r="D43" s="865"/>
      <c r="E43" s="865"/>
      <c r="F43" s="865"/>
      <c r="G43" s="866"/>
      <c r="H43" s="865"/>
      <c r="I43" s="865"/>
      <c r="J43" s="865"/>
      <c r="K43" s="865"/>
      <c r="L43" s="865"/>
      <c r="M43" s="157"/>
      <c r="N43" s="865"/>
      <c r="O43" s="865"/>
      <c r="P43" s="865"/>
      <c r="Q43" s="866"/>
      <c r="R43" s="865"/>
      <c r="S43" s="865"/>
      <c r="T43" s="865"/>
      <c r="U43" s="865"/>
      <c r="V43" s="865"/>
      <c r="X43" s="865"/>
      <c r="Y43" s="865"/>
      <c r="Z43" s="865"/>
      <c r="AA43" s="866"/>
      <c r="AB43" s="865"/>
      <c r="AC43" s="865"/>
      <c r="AD43" s="865"/>
      <c r="AE43" s="865"/>
      <c r="AF43" s="865"/>
      <c r="AH43" s="157">
        <f t="shared" ref="AH43:AO45" si="197">SUMIFS(AH$6:AH$30,$C$6:$C$30,$C43)</f>
        <v>0</v>
      </c>
      <c r="AI43" s="157">
        <f t="shared" si="197"/>
        <v>1072.5630793214652</v>
      </c>
      <c r="AJ43" s="157">
        <f t="shared" si="197"/>
        <v>3562.5518636352454</v>
      </c>
      <c r="AK43" s="263">
        <f t="shared" si="197"/>
        <v>79129.872681878391</v>
      </c>
      <c r="AL43" s="157">
        <f t="shared" si="197"/>
        <v>86945.084527876534</v>
      </c>
      <c r="AM43" s="157">
        <f t="shared" si="197"/>
        <v>55696.394135249051</v>
      </c>
      <c r="AN43" s="157">
        <f t="shared" si="197"/>
        <v>35807.527306562959</v>
      </c>
      <c r="AO43" s="157">
        <f t="shared" si="197"/>
        <v>24255.556312501074</v>
      </c>
      <c r="AP43" s="157">
        <f>SUM(AK43:AO43)</f>
        <v>281834.434964068</v>
      </c>
      <c r="AR43" s="157">
        <f t="shared" ref="AR43:AY45" si="198">SUMIFS(AR$6:AR$30,$C$6:$C$30,$C43)</f>
        <v>0</v>
      </c>
      <c r="AS43" s="157">
        <f t="shared" si="198"/>
        <v>88.266994222259385</v>
      </c>
      <c r="AT43" s="157">
        <f t="shared" si="198"/>
        <v>345.33822306120027</v>
      </c>
      <c r="AU43" s="263">
        <f t="shared" si="198"/>
        <v>7897.6792271627874</v>
      </c>
      <c r="AV43" s="157">
        <f t="shared" si="198"/>
        <v>8170.636185792474</v>
      </c>
      <c r="AW43" s="157">
        <f t="shared" si="198"/>
        <v>6149.5093395910844</v>
      </c>
      <c r="AX43" s="157">
        <f t="shared" si="198"/>
        <v>4185.5165067308217</v>
      </c>
      <c r="AY43" s="157">
        <f t="shared" si="198"/>
        <v>2789.2334287327503</v>
      </c>
      <c r="AZ43" s="157">
        <f>SUM(AU43:AY43)</f>
        <v>29192.574688009918</v>
      </c>
      <c r="BB43" s="157">
        <f t="shared" ref="BB43:BI45" si="199">SUMIFS(BB$6:BB$30,$C$6:$C$30,$C43)</f>
        <v>0</v>
      </c>
      <c r="BC43" s="157">
        <f t="shared" si="199"/>
        <v>1160.8300735437247</v>
      </c>
      <c r="BD43" s="157">
        <f t="shared" si="199"/>
        <v>3907.8900866964459</v>
      </c>
      <c r="BE43" s="263">
        <f t="shared" si="199"/>
        <v>87027.551909041184</v>
      </c>
      <c r="BF43" s="157">
        <f t="shared" si="199"/>
        <v>95115.720713669027</v>
      </c>
      <c r="BG43" s="157">
        <f t="shared" si="199"/>
        <v>61845.903474840132</v>
      </c>
      <c r="BH43" s="157">
        <f t="shared" si="199"/>
        <v>39993.043813293785</v>
      </c>
      <c r="BI43" s="157">
        <f t="shared" si="199"/>
        <v>27044.789741233821</v>
      </c>
      <c r="BJ43" s="157">
        <f>SUM(BE43:BI43)</f>
        <v>311027.00965207792</v>
      </c>
      <c r="BL43" s="269">
        <f t="shared" ref="BL43:BP45" si="200">SUMIFS(BL$6:BL$30,$C$6:$C$30,$C43)</f>
        <v>92.230416944362744</v>
      </c>
      <c r="BM43" s="157">
        <f t="shared" si="200"/>
        <v>100.80212975028985</v>
      </c>
      <c r="BN43" s="157">
        <f t="shared" si="200"/>
        <v>65.543305983685045</v>
      </c>
      <c r="BO43" s="157">
        <f t="shared" si="200"/>
        <v>42.38399248124837</v>
      </c>
      <c r="BP43" s="157">
        <f t="shared" si="200"/>
        <v>28.661638518956028</v>
      </c>
      <c r="BQ43" s="157">
        <f>SUM(BL43:BP43)</f>
        <v>329.62148367854201</v>
      </c>
    </row>
    <row r="44" spans="2:73" outlineLevel="1">
      <c r="C44" s="1" t="s">
        <v>45</v>
      </c>
      <c r="D44" s="865"/>
      <c r="E44" s="865"/>
      <c r="F44" s="865"/>
      <c r="G44" s="866"/>
      <c r="H44" s="865"/>
      <c r="I44" s="865"/>
      <c r="J44" s="865"/>
      <c r="K44" s="865"/>
      <c r="L44" s="865"/>
      <c r="M44" s="157"/>
      <c r="N44" s="865"/>
      <c r="O44" s="865"/>
      <c r="P44" s="865"/>
      <c r="Q44" s="866"/>
      <c r="R44" s="865"/>
      <c r="S44" s="865"/>
      <c r="T44" s="865"/>
      <c r="U44" s="865"/>
      <c r="V44" s="865"/>
      <c r="X44" s="865"/>
      <c r="Y44" s="865"/>
      <c r="Z44" s="865"/>
      <c r="AA44" s="866"/>
      <c r="AB44" s="865"/>
      <c r="AC44" s="865"/>
      <c r="AD44" s="865"/>
      <c r="AE44" s="865"/>
      <c r="AF44" s="865"/>
      <c r="AH44" s="157">
        <f t="shared" si="197"/>
        <v>0</v>
      </c>
      <c r="AI44" s="157">
        <f t="shared" si="197"/>
        <v>0</v>
      </c>
      <c r="AJ44" s="157">
        <f t="shared" si="197"/>
        <v>593.26473605369074</v>
      </c>
      <c r="AK44" s="263">
        <f t="shared" si="197"/>
        <v>168699.00897926636</v>
      </c>
      <c r="AL44" s="157">
        <f t="shared" si="197"/>
        <v>204381.3660098181</v>
      </c>
      <c r="AM44" s="157">
        <f t="shared" si="197"/>
        <v>191314.42884173227</v>
      </c>
      <c r="AN44" s="157">
        <f t="shared" si="197"/>
        <v>190722.13110205543</v>
      </c>
      <c r="AO44" s="157">
        <f t="shared" si="197"/>
        <v>197781.75578154757</v>
      </c>
      <c r="AP44" s="157">
        <f>SUM(AK44:AO44)</f>
        <v>952898.69071441959</v>
      </c>
      <c r="AR44" s="157">
        <f t="shared" si="198"/>
        <v>0</v>
      </c>
      <c r="AS44" s="157">
        <f t="shared" si="198"/>
        <v>0</v>
      </c>
      <c r="AT44" s="157">
        <f t="shared" si="198"/>
        <v>57.508493236248938</v>
      </c>
      <c r="AU44" s="263">
        <f t="shared" si="198"/>
        <v>14817.590020841981</v>
      </c>
      <c r="AV44" s="157">
        <f t="shared" si="198"/>
        <v>15619.315352491447</v>
      </c>
      <c r="AW44" s="157">
        <f t="shared" si="198"/>
        <v>17074.306615236237</v>
      </c>
      <c r="AX44" s="157">
        <f t="shared" si="198"/>
        <v>18619.027717821133</v>
      </c>
      <c r="AY44" s="157">
        <f t="shared" si="198"/>
        <v>20352.968719335146</v>
      </c>
      <c r="AZ44" s="157">
        <f>SUM(AU44:AY44)</f>
        <v>86483.208425725941</v>
      </c>
      <c r="BB44" s="157">
        <f t="shared" si="199"/>
        <v>0</v>
      </c>
      <c r="BC44" s="157">
        <f t="shared" si="199"/>
        <v>0</v>
      </c>
      <c r="BD44" s="157">
        <f t="shared" si="199"/>
        <v>650.77322928993965</v>
      </c>
      <c r="BE44" s="263">
        <f t="shared" si="199"/>
        <v>183516.59900010837</v>
      </c>
      <c r="BF44" s="157">
        <f t="shared" si="199"/>
        <v>220000.68136230952</v>
      </c>
      <c r="BG44" s="157">
        <f t="shared" si="199"/>
        <v>208388.73545696851</v>
      </c>
      <c r="BH44" s="157">
        <f t="shared" si="199"/>
        <v>209341.15881987661</v>
      </c>
      <c r="BI44" s="157">
        <f t="shared" si="199"/>
        <v>218134.72450088273</v>
      </c>
      <c r="BJ44" s="157">
        <f>SUM(BE44:BI44)</f>
        <v>1039381.8991401459</v>
      </c>
      <c r="BL44" s="269">
        <f t="shared" si="200"/>
        <v>194.48797617198079</v>
      </c>
      <c r="BM44" s="157">
        <f t="shared" si="200"/>
        <v>233.15322705270449</v>
      </c>
      <c r="BN44" s="157">
        <f t="shared" si="200"/>
        <v>220.84707125615469</v>
      </c>
      <c r="BO44" s="157">
        <f t="shared" si="200"/>
        <v>221.85643440542921</v>
      </c>
      <c r="BP44" s="157">
        <f t="shared" si="200"/>
        <v>231.17571561460889</v>
      </c>
      <c r="BQ44" s="157">
        <f>SUM(BL44:BP44)</f>
        <v>1101.5204245008781</v>
      </c>
    </row>
    <row r="45" spans="2:73" outlineLevel="1">
      <c r="C45" s="1" t="s">
        <v>48</v>
      </c>
      <c r="D45" s="874"/>
      <c r="E45" s="874"/>
      <c r="F45" s="874"/>
      <c r="G45" s="875"/>
      <c r="H45" s="874"/>
      <c r="I45" s="874"/>
      <c r="J45" s="874"/>
      <c r="K45" s="874"/>
      <c r="L45" s="874"/>
      <c r="M45" s="269"/>
      <c r="N45" s="874"/>
      <c r="O45" s="874"/>
      <c r="P45" s="874"/>
      <c r="Q45" s="875"/>
      <c r="R45" s="874"/>
      <c r="S45" s="874"/>
      <c r="T45" s="874"/>
      <c r="U45" s="874"/>
      <c r="V45" s="874"/>
      <c r="X45" s="874"/>
      <c r="Y45" s="874"/>
      <c r="Z45" s="874"/>
      <c r="AA45" s="875"/>
      <c r="AB45" s="874"/>
      <c r="AC45" s="874"/>
      <c r="AD45" s="874"/>
      <c r="AE45" s="874"/>
      <c r="AF45" s="874"/>
      <c r="AH45" s="220">
        <f t="shared" si="197"/>
        <v>0</v>
      </c>
      <c r="AI45" s="220">
        <f t="shared" si="197"/>
        <v>0</v>
      </c>
      <c r="AJ45" s="220">
        <f t="shared" si="197"/>
        <v>7138.7563280514532</v>
      </c>
      <c r="AK45" s="266">
        <f t="shared" si="197"/>
        <v>31114.610522418076</v>
      </c>
      <c r="AL45" s="220">
        <f t="shared" si="197"/>
        <v>22923.196736520647</v>
      </c>
      <c r="AM45" s="220">
        <f t="shared" si="197"/>
        <v>13352.880930399208</v>
      </c>
      <c r="AN45" s="220">
        <f t="shared" si="197"/>
        <v>12508.368336981057</v>
      </c>
      <c r="AO45" s="220">
        <f t="shared" si="197"/>
        <v>8529.6961225704963</v>
      </c>
      <c r="AP45" s="220">
        <f>SUM(AK45:AO45)</f>
        <v>88428.752648889495</v>
      </c>
      <c r="AR45" s="220">
        <f t="shared" si="198"/>
        <v>0</v>
      </c>
      <c r="AS45" s="220">
        <f t="shared" si="198"/>
        <v>0</v>
      </c>
      <c r="AT45" s="220">
        <f t="shared" si="198"/>
        <v>691.99986963294293</v>
      </c>
      <c r="AU45" s="266">
        <f t="shared" si="198"/>
        <v>3162.7732962582595</v>
      </c>
      <c r="AV45" s="220">
        <f t="shared" si="198"/>
        <v>2214.6882409894415</v>
      </c>
      <c r="AW45" s="220">
        <f t="shared" si="198"/>
        <v>1560.4298837770543</v>
      </c>
      <c r="AX45" s="220">
        <f t="shared" si="198"/>
        <v>1621.3281810995068</v>
      </c>
      <c r="AY45" s="220">
        <f t="shared" si="198"/>
        <v>1160.4140730687136</v>
      </c>
      <c r="AZ45" s="220">
        <f>SUM(AU45:AY45)</f>
        <v>9719.6336751929757</v>
      </c>
      <c r="BB45" s="220">
        <f t="shared" si="199"/>
        <v>0</v>
      </c>
      <c r="BC45" s="220">
        <f t="shared" si="199"/>
        <v>0</v>
      </c>
      <c r="BD45" s="220">
        <f t="shared" si="199"/>
        <v>7830.7561976843963</v>
      </c>
      <c r="BE45" s="266">
        <f t="shared" si="199"/>
        <v>34277.383818676339</v>
      </c>
      <c r="BF45" s="220">
        <f t="shared" si="199"/>
        <v>25137.88497751009</v>
      </c>
      <c r="BG45" s="220">
        <f t="shared" si="199"/>
        <v>14913.310814176262</v>
      </c>
      <c r="BH45" s="220">
        <f t="shared" si="199"/>
        <v>14129.696518080564</v>
      </c>
      <c r="BI45" s="220">
        <f t="shared" si="199"/>
        <v>9690.1101956392122</v>
      </c>
      <c r="BJ45" s="220">
        <f>SUM(BE45:BI45)</f>
        <v>98148.386324082458</v>
      </c>
      <c r="BL45" s="269">
        <f t="shared" si="200"/>
        <v>36.326626821155436</v>
      </c>
      <c r="BM45" s="220">
        <f t="shared" si="200"/>
        <v>26.640731144527635</v>
      </c>
      <c r="BN45" s="220">
        <f t="shared" si="200"/>
        <v>15.804889879586007</v>
      </c>
      <c r="BO45" s="220">
        <f t="shared" si="200"/>
        <v>14.974427897523046</v>
      </c>
      <c r="BP45" s="220">
        <f t="shared" si="200"/>
        <v>10.269424842775306</v>
      </c>
      <c r="BQ45" s="220">
        <f>SUM(BL45:BP45)</f>
        <v>104.01610058556743</v>
      </c>
    </row>
    <row r="46" spans="2:73">
      <c r="C46" s="1" t="s">
        <v>367</v>
      </c>
      <c r="D46" s="876"/>
      <c r="E46" s="876"/>
      <c r="F46" s="876"/>
      <c r="G46" s="877"/>
      <c r="H46" s="876"/>
      <c r="I46" s="876"/>
      <c r="J46" s="876"/>
      <c r="K46" s="876"/>
      <c r="L46" s="876"/>
      <c r="M46" s="158"/>
      <c r="N46" s="876"/>
      <c r="O46" s="876"/>
      <c r="P46" s="876"/>
      <c r="Q46" s="877"/>
      <c r="R46" s="876"/>
      <c r="S46" s="876"/>
      <c r="T46" s="876"/>
      <c r="U46" s="876"/>
      <c r="V46" s="876"/>
      <c r="X46" s="876"/>
      <c r="Y46" s="876"/>
      <c r="Z46" s="876"/>
      <c r="AA46" s="877"/>
      <c r="AB46" s="876"/>
      <c r="AC46" s="876"/>
      <c r="AD46" s="876"/>
      <c r="AE46" s="876"/>
      <c r="AF46" s="876"/>
      <c r="AH46" s="158">
        <f t="shared" ref="AH46:AP46" si="201">SUM(AH43:AH45)</f>
        <v>0</v>
      </c>
      <c r="AI46" s="158">
        <f t="shared" si="201"/>
        <v>1072.5630793214652</v>
      </c>
      <c r="AJ46" s="158">
        <f t="shared" ref="AJ46" si="202">SUM(AJ43:AJ45)</f>
        <v>11294.57292774039</v>
      </c>
      <c r="AK46" s="264">
        <f t="shared" si="201"/>
        <v>278943.49218356283</v>
      </c>
      <c r="AL46" s="158">
        <f t="shared" si="201"/>
        <v>314249.64727421524</v>
      </c>
      <c r="AM46" s="158">
        <f t="shared" si="201"/>
        <v>260363.70390738052</v>
      </c>
      <c r="AN46" s="158">
        <f t="shared" si="201"/>
        <v>239038.02674559943</v>
      </c>
      <c r="AO46" s="158">
        <f t="shared" si="201"/>
        <v>230567.00821661914</v>
      </c>
      <c r="AP46" s="158">
        <f t="shared" si="201"/>
        <v>1323161.8783273771</v>
      </c>
      <c r="AR46" s="158">
        <f t="shared" ref="AR46:AZ46" si="203">SUM(AR43:AR45)</f>
        <v>0</v>
      </c>
      <c r="AS46" s="158">
        <f t="shared" si="203"/>
        <v>88.266994222259385</v>
      </c>
      <c r="AT46" s="158">
        <f t="shared" ref="AT46" si="204">SUM(AT43:AT45)</f>
        <v>1094.8465859303922</v>
      </c>
      <c r="AU46" s="264">
        <f t="shared" si="203"/>
        <v>25878.042544263029</v>
      </c>
      <c r="AV46" s="158">
        <f t="shared" si="203"/>
        <v>26004.639779273362</v>
      </c>
      <c r="AW46" s="158">
        <f t="shared" si="203"/>
        <v>24784.245838604376</v>
      </c>
      <c r="AX46" s="158">
        <f t="shared" si="203"/>
        <v>24425.872405651462</v>
      </c>
      <c r="AY46" s="158">
        <f t="shared" si="203"/>
        <v>24302.61622113661</v>
      </c>
      <c r="AZ46" s="158">
        <f t="shared" si="203"/>
        <v>125395.41678892884</v>
      </c>
      <c r="BB46" s="158">
        <f t="shared" ref="BB46:BJ46" si="205">SUM(BB43:BB45)</f>
        <v>0</v>
      </c>
      <c r="BC46" s="158">
        <f t="shared" si="205"/>
        <v>1160.8300735437247</v>
      </c>
      <c r="BD46" s="158">
        <f t="shared" ref="BD46" si="206">SUM(BD43:BD45)</f>
        <v>12389.419513670782</v>
      </c>
      <c r="BE46" s="264">
        <f t="shared" si="205"/>
        <v>304821.5347278259</v>
      </c>
      <c r="BF46" s="158">
        <f t="shared" si="205"/>
        <v>340254.28705348866</v>
      </c>
      <c r="BG46" s="158">
        <f t="shared" si="205"/>
        <v>285147.94974598492</v>
      </c>
      <c r="BH46" s="158">
        <f t="shared" si="205"/>
        <v>263463.89915125095</v>
      </c>
      <c r="BI46" s="158">
        <f t="shared" si="205"/>
        <v>254869.62443775576</v>
      </c>
      <c r="BJ46" s="158">
        <f t="shared" si="205"/>
        <v>1448557.2951163063</v>
      </c>
      <c r="BL46" s="415">
        <f t="shared" ref="BL46:BQ46" si="207">SUM(BL43:BL45)</f>
        <v>323.04501993749898</v>
      </c>
      <c r="BM46" s="158">
        <f t="shared" si="207"/>
        <v>360.59608794752199</v>
      </c>
      <c r="BN46" s="158">
        <f t="shared" si="207"/>
        <v>302.19526711942575</v>
      </c>
      <c r="BO46" s="158">
        <f t="shared" si="207"/>
        <v>279.21485478420067</v>
      </c>
      <c r="BP46" s="158">
        <f t="shared" si="207"/>
        <v>270.10677897634025</v>
      </c>
      <c r="BQ46" s="158">
        <f t="shared" si="207"/>
        <v>1535.1580087649877</v>
      </c>
    </row>
    <row r="47" spans="2:73">
      <c r="D47" s="360" t="b">
        <f>D46=SUM(Reg_Forecast!D31:D33)</f>
        <v>1</v>
      </c>
      <c r="E47" s="1" t="b">
        <f>E46=SUM(Reg_Forecast!E31:E33)</f>
        <v>1</v>
      </c>
      <c r="F47" s="1" t="b">
        <f>F46=SUM(Reg_Forecast!F31:F33)</f>
        <v>1</v>
      </c>
      <c r="G47" s="38" t="b">
        <f>G46=SUM(Reg_Forecast!G31:G33)</f>
        <v>1</v>
      </c>
      <c r="H47" s="1" t="b">
        <f>H46=SUM(Reg_Forecast!H31:H33)</f>
        <v>1</v>
      </c>
      <c r="I47" s="1" t="b">
        <f>I46=SUM(Reg_Forecast!I31:I33)</f>
        <v>1</v>
      </c>
      <c r="J47" s="1" t="b">
        <f>J46=SUM(Reg_Forecast!J31:J33)</f>
        <v>1</v>
      </c>
      <c r="K47" s="1" t="b">
        <f>K46=SUM(Reg_Forecast!K31:K33)</f>
        <v>1</v>
      </c>
      <c r="L47" s="1" t="b">
        <f>L46=SUM(Reg_Forecast!L31:L33)</f>
        <v>1</v>
      </c>
      <c r="Q47" s="38"/>
      <c r="AR47" s="158"/>
      <c r="AS47" s="158"/>
      <c r="AT47" s="158"/>
      <c r="AU47" s="158"/>
      <c r="AV47" s="158"/>
      <c r="AW47" s="158"/>
      <c r="AX47" s="158"/>
      <c r="AY47" s="158"/>
      <c r="AZ47" s="158"/>
      <c r="BB47" s="158"/>
      <c r="BC47" s="158"/>
      <c r="BD47" s="158"/>
      <c r="BE47" s="158"/>
      <c r="BF47" s="158"/>
      <c r="BG47" s="158"/>
      <c r="BH47" s="158"/>
      <c r="BI47" s="158"/>
      <c r="BJ47" s="158"/>
      <c r="BL47" s="359" t="b">
        <f>BL46=SUM(RFM_PTRM!O9:O11)</f>
        <v>1</v>
      </c>
      <c r="BM47" s="158" t="b">
        <f>BM46=SUM(RFM_PTRM!P9:P11)</f>
        <v>1</v>
      </c>
      <c r="BN47" s="158" t="b">
        <f>BN46=SUM(RFM_PTRM!Q9:Q11)</f>
        <v>1</v>
      </c>
      <c r="BO47" s="158" t="b">
        <f>BO46=SUM(RFM_PTRM!R9:R11)</f>
        <v>1</v>
      </c>
      <c r="BP47" s="158" t="b">
        <f>BP46=SUM(RFM_PTRM!S9:S11)</f>
        <v>1</v>
      </c>
    </row>
    <row r="49" spans="2:69">
      <c r="B49" s="2" t="s">
        <v>499</v>
      </c>
      <c r="D49" s="865"/>
      <c r="E49" s="865"/>
      <c r="F49" s="865"/>
      <c r="G49" s="865"/>
      <c r="H49" s="865"/>
      <c r="I49" s="865"/>
      <c r="J49" s="865"/>
      <c r="K49" s="865"/>
      <c r="L49" s="865"/>
      <c r="N49" s="865"/>
      <c r="O49" s="865"/>
      <c r="P49" s="865"/>
      <c r="Q49" s="865"/>
      <c r="R49" s="865"/>
      <c r="S49" s="865"/>
      <c r="T49" s="865"/>
      <c r="U49" s="865"/>
      <c r="V49" s="865"/>
      <c r="X49" s="157">
        <f t="shared" ref="X49:AE49" si="208">SUM(X34:X38)+X9+X26+X31+X40+X32</f>
        <v>0</v>
      </c>
      <c r="Y49" s="157">
        <f t="shared" si="208"/>
        <v>0</v>
      </c>
      <c r="Z49" s="157">
        <f t="shared" si="208"/>
        <v>0</v>
      </c>
      <c r="AA49" s="157">
        <f t="shared" si="208"/>
        <v>0</v>
      </c>
      <c r="AB49" s="157">
        <f t="shared" si="208"/>
        <v>0</v>
      </c>
      <c r="AC49" s="157">
        <f t="shared" si="208"/>
        <v>0</v>
      </c>
      <c r="AD49" s="157">
        <f t="shared" si="208"/>
        <v>0</v>
      </c>
      <c r="AE49" s="157">
        <f t="shared" si="208"/>
        <v>0</v>
      </c>
      <c r="AF49" s="157">
        <f t="shared" ref="AF49" si="209">SUM(AA49:AE49)</f>
        <v>0</v>
      </c>
      <c r="AH49" s="157">
        <f t="shared" ref="AH49:AO49" si="210">SUM(AH34:AH38)+AH9+AH26+AH31+AH40+AH32</f>
        <v>0</v>
      </c>
      <c r="AI49" s="157">
        <f t="shared" si="210"/>
        <v>0</v>
      </c>
      <c r="AJ49" s="157">
        <f t="shared" si="210"/>
        <v>22484.094867446507</v>
      </c>
      <c r="AK49" s="157">
        <f t="shared" si="210"/>
        <v>53167.13708169532</v>
      </c>
      <c r="AL49" s="157">
        <f t="shared" si="210"/>
        <v>35145.505438605964</v>
      </c>
      <c r="AM49" s="157">
        <f t="shared" si="210"/>
        <v>39163.325710371835</v>
      </c>
      <c r="AN49" s="157">
        <f t="shared" si="210"/>
        <v>34488.289898108967</v>
      </c>
      <c r="AO49" s="157">
        <f t="shared" si="210"/>
        <v>39221.484168662246</v>
      </c>
      <c r="AP49" s="361">
        <f t="shared" ref="AP49" si="211">SUM(AK49:AO49)</f>
        <v>201185.74229744435</v>
      </c>
      <c r="AR49" s="157">
        <f t="shared" ref="AR49:AY49" si="212">SUM(AR34:AR38)+AR9+AR26+AR31+AR40+AR32</f>
        <v>0</v>
      </c>
      <c r="AS49" s="157">
        <f t="shared" si="212"/>
        <v>0</v>
      </c>
      <c r="AT49" s="157">
        <f t="shared" si="212"/>
        <v>550.08529117591445</v>
      </c>
      <c r="AU49" s="157">
        <f t="shared" si="212"/>
        <v>2532.8759933027263</v>
      </c>
      <c r="AV49" s="157">
        <f t="shared" si="212"/>
        <v>2468.8505143943421</v>
      </c>
      <c r="AW49" s="157">
        <f t="shared" si="212"/>
        <v>2481.1858027143085</v>
      </c>
      <c r="AX49" s="157">
        <f t="shared" si="212"/>
        <v>2475.6385745397188</v>
      </c>
      <c r="AY49" s="157">
        <f t="shared" si="212"/>
        <v>2477.5710128328878</v>
      </c>
      <c r="AZ49" s="157">
        <f t="shared" ref="AZ49" si="213">SUM(AU49:AY49)</f>
        <v>12436.121897783984</v>
      </c>
      <c r="BB49" s="157">
        <f t="shared" ref="BB49:BI49" si="214">SUM(BB34:BB38)+BB9+BB26+BB31+BB40+BB32</f>
        <v>0</v>
      </c>
      <c r="BC49" s="157">
        <f t="shared" si="214"/>
        <v>0</v>
      </c>
      <c r="BD49" s="157">
        <f t="shared" si="214"/>
        <v>23034.180158622421</v>
      </c>
      <c r="BE49" s="157">
        <f t="shared" si="214"/>
        <v>55700.013074998045</v>
      </c>
      <c r="BF49" s="157">
        <f t="shared" si="214"/>
        <v>37614.355953000304</v>
      </c>
      <c r="BG49" s="157">
        <f t="shared" si="214"/>
        <v>41644.511513086145</v>
      </c>
      <c r="BH49" s="157">
        <f t="shared" si="214"/>
        <v>36963.928472648688</v>
      </c>
      <c r="BI49" s="157">
        <f t="shared" si="214"/>
        <v>41699.055181495132</v>
      </c>
      <c r="BJ49" s="157">
        <f t="shared" ref="BJ49" si="215">SUM(BE49:BI49)</f>
        <v>213621.86419522832</v>
      </c>
      <c r="BL49" s="361">
        <f t="shared" ref="BL49:BP49" si="216">SUM(BL34:BL38)+BL9+BL26+BL31+BL40+BL32</f>
        <v>59.029988975018213</v>
      </c>
      <c r="BM49" s="361">
        <f t="shared" si="216"/>
        <v>39.863096876088072</v>
      </c>
      <c r="BN49" s="361">
        <f t="shared" si="216"/>
        <v>44.134191713339746</v>
      </c>
      <c r="BO49" s="361">
        <f t="shared" si="216"/>
        <v>39.173784165469712</v>
      </c>
      <c r="BP49" s="361">
        <f t="shared" si="216"/>
        <v>44.191996226608076</v>
      </c>
      <c r="BQ49" s="158">
        <f>SUM(BL49:BP49)</f>
        <v>226.39305795652382</v>
      </c>
    </row>
    <row r="50" spans="2:69">
      <c r="D50" s="1" t="b">
        <f>D49=Reg_Forecast!D34</f>
        <v>1</v>
      </c>
      <c r="E50" s="1" t="b">
        <f>E49=Reg_Forecast!E34</f>
        <v>1</v>
      </c>
      <c r="F50" s="1" t="b">
        <f>F49=Reg_Forecast!F34</f>
        <v>1</v>
      </c>
      <c r="G50" s="1" t="b">
        <f>G49=Reg_Forecast!G34</f>
        <v>1</v>
      </c>
      <c r="H50" s="1" t="b">
        <f>H49=Reg_Forecast!H34</f>
        <v>1</v>
      </c>
      <c r="I50" s="1" t="b">
        <f>I49=Reg_Forecast!I34</f>
        <v>1</v>
      </c>
      <c r="J50" s="1" t="b">
        <f>J49=Reg_Forecast!J34</f>
        <v>1</v>
      </c>
      <c r="K50" s="1" t="b">
        <f>K49=Reg_Forecast!K34</f>
        <v>1</v>
      </c>
      <c r="L50" s="1" t="b">
        <f>L49=Reg_Forecast!L34</f>
        <v>1</v>
      </c>
      <c r="BE50" s="39"/>
      <c r="BF50" s="39"/>
      <c r="BG50" s="39"/>
      <c r="BH50" s="39"/>
      <c r="BI50" s="39"/>
      <c r="BL50" s="39"/>
      <c r="BM50" s="39"/>
      <c r="BN50" s="39"/>
      <c r="BO50" s="39"/>
      <c r="BP50" s="39"/>
    </row>
    <row r="51" spans="2:69">
      <c r="B51" s="2" t="s">
        <v>504</v>
      </c>
      <c r="D51" s="876"/>
      <c r="E51" s="876"/>
      <c r="F51" s="876"/>
      <c r="G51" s="876"/>
      <c r="H51" s="876"/>
      <c r="I51" s="876"/>
      <c r="J51" s="876"/>
      <c r="K51" s="876"/>
      <c r="L51" s="876"/>
      <c r="N51" s="876"/>
      <c r="O51" s="876"/>
      <c r="P51" s="876"/>
      <c r="Q51" s="876"/>
      <c r="R51" s="876"/>
      <c r="S51" s="876"/>
      <c r="T51" s="876"/>
      <c r="U51" s="876"/>
      <c r="V51" s="876"/>
      <c r="X51" s="876"/>
      <c r="Y51" s="876"/>
      <c r="Z51" s="876"/>
      <c r="AA51" s="876"/>
      <c r="AB51" s="876"/>
      <c r="AC51" s="876"/>
      <c r="AD51" s="876"/>
      <c r="AE51" s="876"/>
      <c r="AF51" s="876"/>
      <c r="AH51" s="158">
        <f t="shared" ref="AH51:AP51" si="217">AH46+AH49</f>
        <v>0</v>
      </c>
      <c r="AI51" s="158">
        <f t="shared" si="217"/>
        <v>1072.5630793214652</v>
      </c>
      <c r="AJ51" s="158">
        <f t="shared" ref="AJ51" si="218">AJ46+AJ49</f>
        <v>33778.667795186899</v>
      </c>
      <c r="AK51" s="158">
        <f t="shared" si="217"/>
        <v>332110.62926525815</v>
      </c>
      <c r="AL51" s="158">
        <f t="shared" si="217"/>
        <v>349395.1527128212</v>
      </c>
      <c r="AM51" s="158">
        <f t="shared" si="217"/>
        <v>299527.02961775236</v>
      </c>
      <c r="AN51" s="158">
        <f t="shared" si="217"/>
        <v>273526.31664370839</v>
      </c>
      <c r="AO51" s="158">
        <f t="shared" si="217"/>
        <v>269788.49238528137</v>
      </c>
      <c r="AP51" s="359">
        <f t="shared" si="217"/>
        <v>1524347.6206248214</v>
      </c>
      <c r="AR51" s="158">
        <f t="shared" ref="AR51:AS51" si="219">AR46+AR49</f>
        <v>0</v>
      </c>
      <c r="AS51" s="158">
        <f t="shared" si="219"/>
        <v>88.266994222259385</v>
      </c>
      <c r="AT51" s="158">
        <f t="shared" ref="AT51" si="220">AT46+AT49</f>
        <v>1644.9318771063067</v>
      </c>
      <c r="AU51" s="158">
        <f>AU46+AU49</f>
        <v>28410.918537565754</v>
      </c>
      <c r="AV51" s="158">
        <f t="shared" ref="AV51:AZ51" si="221">AV46+AV49</f>
        <v>28473.490293667703</v>
      </c>
      <c r="AW51" s="158">
        <f t="shared" si="221"/>
        <v>27265.431641318686</v>
      </c>
      <c r="AX51" s="158">
        <f t="shared" si="221"/>
        <v>26901.510980191182</v>
      </c>
      <c r="AY51" s="158">
        <f t="shared" si="221"/>
        <v>26780.187233969496</v>
      </c>
      <c r="AZ51" s="158">
        <f t="shared" si="221"/>
        <v>137831.53868671283</v>
      </c>
      <c r="BB51" s="158">
        <f t="shared" ref="BB51:BJ51" si="222">BB46+BB49</f>
        <v>0</v>
      </c>
      <c r="BC51" s="158">
        <f t="shared" si="222"/>
        <v>1160.8300735437247</v>
      </c>
      <c r="BD51" s="158">
        <f t="shared" ref="BD51" si="223">BD46+BD49</f>
        <v>35423.599672293203</v>
      </c>
      <c r="BE51" s="158">
        <f t="shared" si="222"/>
        <v>360521.54780282394</v>
      </c>
      <c r="BF51" s="158">
        <f t="shared" si="222"/>
        <v>377868.64300648897</v>
      </c>
      <c r="BG51" s="158">
        <f t="shared" si="222"/>
        <v>326792.46125907107</v>
      </c>
      <c r="BH51" s="158">
        <f t="shared" si="222"/>
        <v>300427.82762389962</v>
      </c>
      <c r="BI51" s="158">
        <f t="shared" si="222"/>
        <v>296568.67961925088</v>
      </c>
      <c r="BJ51" s="359">
        <f t="shared" si="222"/>
        <v>1662179.1593115346</v>
      </c>
      <c r="BL51" s="281">
        <f t="shared" ref="BL51:BP51" si="224">BL46+BL49</f>
        <v>382.07500891251721</v>
      </c>
      <c r="BM51" s="281">
        <f t="shared" si="224"/>
        <v>400.45918482361009</v>
      </c>
      <c r="BN51" s="281">
        <f t="shared" si="224"/>
        <v>346.32945883276551</v>
      </c>
      <c r="BO51" s="281">
        <f t="shared" si="224"/>
        <v>318.38863894967039</v>
      </c>
      <c r="BP51" s="281">
        <f t="shared" si="224"/>
        <v>314.29877520294832</v>
      </c>
      <c r="BQ51" s="365">
        <f>SUM(BL51:BP51)</f>
        <v>1761.5510667215115</v>
      </c>
    </row>
    <row r="52" spans="2:69">
      <c r="AR52" s="1" t="b">
        <f>AR51=AusNet_Overheads!H17</f>
        <v>0</v>
      </c>
      <c r="AS52" s="1" t="b">
        <f>AS51=AusNet_Overheads!I17</f>
        <v>0</v>
      </c>
      <c r="AT52" s="1" t="b">
        <f>AT51=AusNet_Overheads!J17</f>
        <v>0</v>
      </c>
      <c r="AU52" s="1" t="b">
        <f>AU51=AusNet_Overheads!K17</f>
        <v>1</v>
      </c>
      <c r="AV52" s="1" t="b">
        <f>AV51=AusNet_Overheads!L17</f>
        <v>1</v>
      </c>
      <c r="AW52" s="1" t="b">
        <f>AW51=AusNet_Overheads!M17</f>
        <v>1</v>
      </c>
      <c r="AX52" s="1" t="b">
        <f>AX51=AusNet_Overheads!N17</f>
        <v>1</v>
      </c>
      <c r="AY52" s="1" t="b">
        <f>AY51=AusNet_Overheads!O17</f>
        <v>1</v>
      </c>
      <c r="BQ52" s="362" t="b">
        <f>BQ51=RFM_PTRM!T17</f>
        <v>1</v>
      </c>
    </row>
    <row r="53" spans="2:69">
      <c r="AH53" s="158"/>
      <c r="AI53" s="158"/>
      <c r="AJ53" s="158"/>
      <c r="AP53" s="158"/>
      <c r="BB53" s="158"/>
      <c r="BC53" s="158"/>
      <c r="BD53" s="158"/>
      <c r="BL53" s="108">
        <f>BL51/(BE51/10^3)-1</f>
        <v>5.9784113435242592E-2</v>
      </c>
    </row>
    <row r="54" spans="2:69">
      <c r="AI54" s="158"/>
      <c r="AJ54" s="158"/>
      <c r="AP54" s="158"/>
    </row>
    <row r="55" spans="2:69">
      <c r="AI55" s="274"/>
      <c r="AJ55" s="274"/>
    </row>
  </sheetData>
  <mergeCells count="2">
    <mergeCell ref="BL3:BQ3"/>
    <mergeCell ref="H1:I1"/>
  </mergeCells>
  <hyperlinks>
    <hyperlink ref="B2" location="Contents!A1" display="Table of Contents" xr:uid="{00000000-0004-0000-1B00-000000000000}"/>
  </hyperlinks>
  <pageMargins left="0.7" right="0.7" top="0.75" bottom="0.75" header="0.3" footer="0.3"/>
  <pageSetup paperSize="9" orientation="portrait" r:id="rId1"/>
  <ignoredErrors>
    <ignoredError sqref="AZ17 BJ17 AP17"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H52"/>
  <sheetViews>
    <sheetView zoomScale="80" zoomScaleNormal="80" workbookViewId="0">
      <selection activeCell="Q7" sqref="Q7:Q9"/>
    </sheetView>
  </sheetViews>
  <sheetFormatPr defaultColWidth="9.140625" defaultRowHeight="15" outlineLevelCol="1"/>
  <cols>
    <col min="1" max="1" width="3.5703125" style="1" customWidth="1"/>
    <col min="2" max="2" width="3.140625" style="1" customWidth="1"/>
    <col min="3" max="3" width="50.7109375" style="1" customWidth="1"/>
    <col min="4" max="4" width="12.7109375" style="1" hidden="1" customWidth="1" outlineLevel="1"/>
    <col min="5" max="5" width="10.42578125" style="1" hidden="1" customWidth="1" outlineLevel="1"/>
    <col min="6" max="6" width="9.5703125" style="1" customWidth="1" collapsed="1"/>
    <col min="7" max="7" width="8.85546875" style="1" customWidth="1"/>
    <col min="8" max="8" width="9.5703125" style="1" bestFit="1" customWidth="1"/>
    <col min="9" max="9" width="9" style="1" customWidth="1"/>
    <col min="10" max="11" width="9" style="1" bestFit="1" customWidth="1"/>
    <col min="12" max="12" width="9.5703125" style="1" bestFit="1" customWidth="1"/>
    <col min="13" max="13" width="3.7109375" style="1" customWidth="1"/>
    <col min="14" max="14" width="9.85546875" style="1" hidden="1" customWidth="1" outlineLevel="1"/>
    <col min="15" max="15" width="7.7109375" style="1" hidden="1" customWidth="1" outlineLevel="1"/>
    <col min="16" max="16" width="9.140625" style="1" collapsed="1"/>
    <col min="17" max="20" width="9.140625" style="1"/>
    <col min="21" max="21" width="11" style="1" customWidth="1"/>
    <col min="22" max="22" width="9.7109375" style="1" customWidth="1"/>
    <col min="23" max="23" width="5.42578125" style="1" customWidth="1"/>
    <col min="24" max="25" width="7.7109375" style="1" hidden="1" customWidth="1" outlineLevel="1"/>
    <col min="26" max="26" width="8.85546875" style="1" customWidth="1" collapsed="1"/>
    <col min="27" max="31" width="9.5703125" style="1" customWidth="1"/>
    <col min="32" max="32" width="10.85546875" style="1" customWidth="1"/>
    <col min="33" max="16384" width="9.140625" style="1"/>
  </cols>
  <sheetData>
    <row r="1" spans="2:34" ht="18.75">
      <c r="B1" s="10" t="s">
        <v>489</v>
      </c>
      <c r="I1" s="969" t="s">
        <v>737</v>
      </c>
      <c r="J1" s="969"/>
    </row>
    <row r="2" spans="2:34">
      <c r="B2" s="25" t="s">
        <v>6</v>
      </c>
    </row>
    <row r="3" spans="2:34">
      <c r="B3" s="2" t="s">
        <v>602</v>
      </c>
      <c r="D3" s="974" t="str">
        <f>Lookups!$C$20</f>
        <v>Environment, safety &amp; legal</v>
      </c>
      <c r="E3" s="974"/>
      <c r="F3" s="974"/>
      <c r="G3" s="974"/>
      <c r="H3" s="974"/>
      <c r="I3" s="974"/>
      <c r="J3" s="974"/>
      <c r="K3" s="974"/>
      <c r="L3" s="974"/>
      <c r="N3" s="975" t="str">
        <f>Lookups!$C$20</f>
        <v>Environment, safety &amp; legal</v>
      </c>
      <c r="O3" s="975"/>
      <c r="P3" s="975"/>
      <c r="Q3" s="975"/>
      <c r="R3" s="975"/>
      <c r="S3" s="975"/>
      <c r="T3" s="975"/>
      <c r="U3" s="975"/>
      <c r="V3" s="975"/>
      <c r="X3" s="972" t="s">
        <v>493</v>
      </c>
      <c r="Y3" s="972"/>
      <c r="Z3" s="972"/>
      <c r="AA3" s="972"/>
      <c r="AB3" s="972"/>
      <c r="AC3" s="972"/>
      <c r="AD3" s="972"/>
      <c r="AE3" s="972"/>
      <c r="AF3" s="972"/>
    </row>
    <row r="4" spans="2:34">
      <c r="B4" s="1" t="s">
        <v>608</v>
      </c>
      <c r="D4" s="973" t="str">
        <f>Lookups!I5</f>
        <v>Replacement</v>
      </c>
      <c r="E4" s="973"/>
      <c r="F4" s="973"/>
      <c r="G4" s="973"/>
      <c r="H4" s="973"/>
      <c r="I4" s="973"/>
      <c r="J4" s="973"/>
      <c r="K4" s="973"/>
      <c r="L4" s="973"/>
      <c r="N4" s="976" t="str">
        <f>Lookups!I7</f>
        <v>Augmentation</v>
      </c>
      <c r="O4" s="976"/>
      <c r="P4" s="976"/>
      <c r="Q4" s="976"/>
      <c r="R4" s="976"/>
      <c r="S4" s="976"/>
      <c r="T4" s="976"/>
      <c r="U4" s="976"/>
      <c r="V4" s="976"/>
      <c r="X4" s="431"/>
      <c r="Y4" s="431"/>
      <c r="Z4" s="431"/>
      <c r="AA4" s="431"/>
      <c r="AB4" s="431"/>
      <c r="AC4" s="431"/>
      <c r="AD4" s="431"/>
      <c r="AE4" s="431"/>
      <c r="AF4" s="431"/>
    </row>
    <row r="5" spans="2:34">
      <c r="B5" s="2" t="s">
        <v>451</v>
      </c>
      <c r="D5" s="2"/>
      <c r="L5" s="297" t="s">
        <v>137</v>
      </c>
      <c r="N5" s="2"/>
      <c r="V5" s="297" t="s">
        <v>137</v>
      </c>
      <c r="X5" s="2"/>
      <c r="AF5" s="297" t="s">
        <v>137</v>
      </c>
      <c r="AH5" s="2"/>
    </row>
    <row r="6" spans="2:34">
      <c r="B6" s="247" t="s">
        <v>449</v>
      </c>
      <c r="D6" s="223">
        <f>CP_Yr_4</f>
        <v>43800</v>
      </c>
      <c r="E6" s="223">
        <f>CP_Yr_5</f>
        <v>44166</v>
      </c>
      <c r="F6" s="223">
        <f>Stub</f>
        <v>44377</v>
      </c>
      <c r="G6" s="335">
        <f>Yr_1</f>
        <v>44742</v>
      </c>
      <c r="H6" s="223">
        <f>Yr_2</f>
        <v>45107</v>
      </c>
      <c r="I6" s="223">
        <f>Yr_3</f>
        <v>45473</v>
      </c>
      <c r="J6" s="223">
        <f>Yr_4</f>
        <v>45838</v>
      </c>
      <c r="K6" s="223">
        <f>Yr_5</f>
        <v>46203</v>
      </c>
      <c r="L6" s="297" t="str">
        <f>NReg_Period</f>
        <v>2022-26</v>
      </c>
      <c r="N6" s="223">
        <f>CP_Yr_4</f>
        <v>43800</v>
      </c>
      <c r="O6" s="223">
        <f>CP_Yr_5</f>
        <v>44166</v>
      </c>
      <c r="P6" s="223">
        <f>Stub</f>
        <v>44377</v>
      </c>
      <c r="Q6" s="335">
        <f>Yr_1</f>
        <v>44742</v>
      </c>
      <c r="R6" s="223">
        <f>Yr_2</f>
        <v>45107</v>
      </c>
      <c r="S6" s="223">
        <f>Yr_3</f>
        <v>45473</v>
      </c>
      <c r="T6" s="223">
        <f>Yr_4</f>
        <v>45838</v>
      </c>
      <c r="U6" s="223">
        <f>Yr_5</f>
        <v>46203</v>
      </c>
      <c r="V6" s="297" t="str">
        <f>NReg_Period</f>
        <v>2022-26</v>
      </c>
      <c r="X6" s="223">
        <f>CP_Yr_4</f>
        <v>43800</v>
      </c>
      <c r="Y6" s="223">
        <f>CP_Yr_5</f>
        <v>44166</v>
      </c>
      <c r="Z6" s="223">
        <f>Stub</f>
        <v>44377</v>
      </c>
      <c r="AA6" s="335">
        <f>Yr_1</f>
        <v>44742</v>
      </c>
      <c r="AB6" s="223">
        <f>Yr_2</f>
        <v>45107</v>
      </c>
      <c r="AC6" s="223">
        <f>Yr_3</f>
        <v>45473</v>
      </c>
      <c r="AD6" s="223">
        <f>Yr_4</f>
        <v>45838</v>
      </c>
      <c r="AE6" s="223">
        <f>Yr_5</f>
        <v>46203</v>
      </c>
      <c r="AF6" s="297" t="str">
        <f>NReg_Period</f>
        <v>2022-26</v>
      </c>
    </row>
    <row r="7" spans="2:34">
      <c r="C7" s="1" t="s">
        <v>44</v>
      </c>
      <c r="D7" s="216">
        <f>SUMIFS(Augmentation!CQ$6:CQ$37,Augmentation!$E$6:$E$37,$C7,Augmentation!$F$6:$F$37,$D$3,Augmentation!$G$6:$G$37,$D$4)</f>
        <v>0</v>
      </c>
      <c r="E7" s="216">
        <f>SUMIFS(Augmentation!CR$6:CR$37,Augmentation!$E$6:$E$37,$C7,Augmentation!$F$6:$F$37,$D$3,Augmentation!$G$6:$G$37,$D$4)</f>
        <v>0</v>
      </c>
      <c r="F7" s="683">
        <v>0</v>
      </c>
      <c r="G7" s="684">
        <v>0</v>
      </c>
      <c r="H7" s="683">
        <v>0</v>
      </c>
      <c r="I7" s="683">
        <v>0</v>
      </c>
      <c r="J7" s="683">
        <v>0</v>
      </c>
      <c r="K7" s="683">
        <v>0</v>
      </c>
      <c r="L7" s="694">
        <f t="shared" ref="L7:L8" si="0">SUM(G7:K7)</f>
        <v>0</v>
      </c>
      <c r="N7" s="157">
        <f>SUMIFS(Augmentation!CQ$6:CQ$37,Augmentation!$E$6:$E$37,$C7,Augmentation!$F$6:$F$37,$N$3,Augmentation!$G$6:$G$37,$N$4)</f>
        <v>0</v>
      </c>
      <c r="O7" s="157">
        <f>SUMIFS(Augmentation!CR$6:CR$37,Augmentation!$E$6:$E$37,$C7,Augmentation!$F$6:$F$37,$N$3,Augmentation!$G$6:$G$37,$N$4)</f>
        <v>0</v>
      </c>
      <c r="P7" s="680">
        <v>0</v>
      </c>
      <c r="Q7" s="681">
        <v>17490.484942438237</v>
      </c>
      <c r="R7" s="680">
        <v>21314.983565464099</v>
      </c>
      <c r="S7" s="680">
        <v>4748.4003549058716</v>
      </c>
      <c r="T7" s="680">
        <v>1653.70590911716</v>
      </c>
      <c r="U7" s="680">
        <v>1242.9070494718387</v>
      </c>
      <c r="V7" s="682">
        <f t="shared" ref="V7:V18" si="1">SUM(Q7:U7)</f>
        <v>46450.481821397203</v>
      </c>
      <c r="X7" s="157">
        <f>Capex_by_Driver!D6-D7-N7</f>
        <v>0</v>
      </c>
      <c r="Y7" s="157">
        <f>Capex_by_Driver!E6-E7-O7</f>
        <v>0</v>
      </c>
      <c r="Z7" s="865"/>
      <c r="AA7" s="866"/>
      <c r="AB7" s="865"/>
      <c r="AC7" s="865"/>
      <c r="AD7" s="865"/>
      <c r="AE7" s="865"/>
      <c r="AF7" s="865"/>
    </row>
    <row r="8" spans="2:34">
      <c r="C8" s="1" t="s">
        <v>45</v>
      </c>
      <c r="D8" s="216">
        <f>SUMIFS(Augmentation!CQ$6:CQ$37,Augmentation!$E$6:$E$37,$C8,Augmentation!$F$6:$F$37,$D$3,Augmentation!$G$6:$G$37,$D$4)</f>
        <v>0</v>
      </c>
      <c r="E8" s="216">
        <f>SUMIFS(Augmentation!CR$6:CR$37,Augmentation!$E$6:$E$37,$C8,Augmentation!$F$6:$F$37,$D$3,Augmentation!$G$6:$G$37,$D$4)</f>
        <v>0</v>
      </c>
      <c r="F8" s="683">
        <v>0</v>
      </c>
      <c r="G8" s="684">
        <v>0</v>
      </c>
      <c r="H8" s="683">
        <v>0</v>
      </c>
      <c r="I8" s="683">
        <v>0</v>
      </c>
      <c r="J8" s="683">
        <v>0</v>
      </c>
      <c r="K8" s="683">
        <v>0</v>
      </c>
      <c r="L8" s="694">
        <f t="shared" si="0"/>
        <v>0</v>
      </c>
      <c r="N8" s="157">
        <f>SUMIFS(Augmentation!CQ$6:CQ$37,Augmentation!$E$6:$E$37,$C8,Augmentation!$F$6:$F$37,$N$3,Augmentation!$G$6:$G$37,$N$4)</f>
        <v>0</v>
      </c>
      <c r="O8" s="157">
        <f>SUMIFS(Augmentation!CR$6:CR$37,Augmentation!$E$6:$E$37,$C8,Augmentation!$F$6:$F$37,$N$3,Augmentation!$G$6:$G$37,$N$4)</f>
        <v>0</v>
      </c>
      <c r="P8" s="680">
        <v>0</v>
      </c>
      <c r="Q8" s="681">
        <v>1664.5370412330742</v>
      </c>
      <c r="R8" s="680">
        <v>2887.4941866607146</v>
      </c>
      <c r="S8" s="680">
        <v>178.9457263135844</v>
      </c>
      <c r="T8" s="680">
        <v>0</v>
      </c>
      <c r="U8" s="680">
        <v>0</v>
      </c>
      <c r="V8" s="682">
        <f t="shared" si="1"/>
        <v>4730.9769542073736</v>
      </c>
      <c r="X8" s="157">
        <f>Capex_by_Driver!D7-D8-N8</f>
        <v>0</v>
      </c>
      <c r="Y8" s="157">
        <f>Capex_by_Driver!E7-E8-O8</f>
        <v>0</v>
      </c>
      <c r="Z8" s="865"/>
      <c r="AA8" s="866"/>
      <c r="AB8" s="865"/>
      <c r="AC8" s="865"/>
      <c r="AD8" s="865"/>
      <c r="AE8" s="865"/>
      <c r="AF8" s="865"/>
    </row>
    <row r="9" spans="2:34" ht="15" customHeight="1">
      <c r="C9" s="1" t="s">
        <v>48</v>
      </c>
      <c r="D9" s="216">
        <f>SUMIFS(Augmentation!CQ$6:CQ$37,Augmentation!$E$6:$E$37,$C9,Augmentation!$F$6:$F$37,$D$3,Augmentation!$G$6:$G$37,$D$4)</f>
        <v>0</v>
      </c>
      <c r="E9" s="216">
        <f>SUMIFS(Augmentation!CR$6:CR$37,Augmentation!$E$6:$E$37,$C9,Augmentation!$F$6:$F$37,$D$3,Augmentation!$G$6:$G$37,$D$4)</f>
        <v>0</v>
      </c>
      <c r="F9" s="683">
        <v>0</v>
      </c>
      <c r="G9" s="684">
        <v>0</v>
      </c>
      <c r="H9" s="683">
        <v>0</v>
      </c>
      <c r="I9" s="683">
        <v>0</v>
      </c>
      <c r="J9" s="683">
        <v>0</v>
      </c>
      <c r="K9" s="683">
        <v>0</v>
      </c>
      <c r="L9" s="694">
        <f>SUM(G9:K9)</f>
        <v>0</v>
      </c>
      <c r="N9" s="157">
        <f>SUMIFS(Augmentation!CQ$6:CQ$37,Augmentation!$E$6:$E$37,$C9,Augmentation!$F$6:$F$37,$N$3,Augmentation!$G$6:$G$37,$N$4)</f>
        <v>0</v>
      </c>
      <c r="O9" s="157">
        <f>SUMIFS(Augmentation!CR$6:CR$37,Augmentation!$E$6:$E$37,$C9,Augmentation!$F$6:$F$37,$N$3,Augmentation!$G$6:$G$37,$N$4)</f>
        <v>0</v>
      </c>
      <c r="P9" s="680">
        <v>0</v>
      </c>
      <c r="Q9" s="681">
        <v>6006.1654792786658</v>
      </c>
      <c r="R9" s="680">
        <v>6242.7517582246219</v>
      </c>
      <c r="S9" s="680">
        <v>1423.533175730196</v>
      </c>
      <c r="T9" s="680">
        <v>1074.1603438646655</v>
      </c>
      <c r="U9" s="680">
        <v>807.32702005353974</v>
      </c>
      <c r="V9" s="682">
        <f t="shared" si="1"/>
        <v>15553.937777151687</v>
      </c>
      <c r="X9" s="157">
        <f>Capex_by_Driver!D8-D9-N9</f>
        <v>0</v>
      </c>
      <c r="Y9" s="157">
        <f>Capex_by_Driver!E8-E9-O9</f>
        <v>0</v>
      </c>
      <c r="Z9" s="865"/>
      <c r="AA9" s="866"/>
      <c r="AB9" s="865"/>
      <c r="AC9" s="865"/>
      <c r="AD9" s="865"/>
      <c r="AE9" s="865"/>
      <c r="AF9" s="865"/>
    </row>
    <row r="10" spans="2:34" ht="15" customHeight="1">
      <c r="C10" s="1" t="s">
        <v>395</v>
      </c>
      <c r="D10" s="216">
        <f>SUMIFS(Augmentation!CQ$6:CQ$37,Augmentation!$E$6:$E$37,$C10,Augmentation!$F$6:$F$37,$D$3,Augmentation!$G$6:$G$37,$D$4)</f>
        <v>0</v>
      </c>
      <c r="E10" s="216">
        <f>SUMIFS(Augmentation!CR$6:CR$37,Augmentation!$E$6:$E$37,$C10,Augmentation!$F$6:$F$37,$D$3,Augmentation!$G$6:$G$37,$D$4)</f>
        <v>0</v>
      </c>
      <c r="F10" s="683">
        <v>0</v>
      </c>
      <c r="G10" s="684">
        <v>0</v>
      </c>
      <c r="H10" s="683">
        <v>0</v>
      </c>
      <c r="I10" s="683">
        <v>0</v>
      </c>
      <c r="J10" s="683">
        <v>0</v>
      </c>
      <c r="K10" s="683">
        <v>0</v>
      </c>
      <c r="L10" s="694">
        <f>SUM(G10:K10)</f>
        <v>0</v>
      </c>
      <c r="N10" s="157">
        <f>SUMIFS(Augmentation!CQ$6:CQ$37,Augmentation!$E$6:$E$37,$C10,Augmentation!$F$6:$F$37,$N$3,Augmentation!$G$6:$G$37,"Non-network")</f>
        <v>0</v>
      </c>
      <c r="O10" s="157">
        <f>SUMIFS(Augmentation!CR$6:CR$37,Augmentation!$E$6:$E$37,$C10,Augmentation!$F$6:$F$37,$N$3,Augmentation!$G$6:$G$37,"Non-network")</f>
        <v>0</v>
      </c>
      <c r="P10" s="680">
        <v>0</v>
      </c>
      <c r="Q10" s="681">
        <v>895.29899047895879</v>
      </c>
      <c r="R10" s="680">
        <v>0</v>
      </c>
      <c r="S10" s="680">
        <v>0</v>
      </c>
      <c r="T10" s="680">
        <v>0</v>
      </c>
      <c r="U10" s="680">
        <v>0</v>
      </c>
      <c r="V10" s="682">
        <f t="shared" ref="V10" si="2">SUM(Q10:U10)</f>
        <v>895.29899047895879</v>
      </c>
      <c r="X10" s="157">
        <f>Capex_by_Driver!D9-D10-N10</f>
        <v>0</v>
      </c>
      <c r="Y10" s="157">
        <f>Capex_by_Driver!E9-E10-O10</f>
        <v>0</v>
      </c>
      <c r="Z10" s="865"/>
      <c r="AA10" s="866"/>
      <c r="AB10" s="865"/>
      <c r="AC10" s="865"/>
      <c r="AD10" s="865"/>
      <c r="AE10" s="865"/>
      <c r="AF10" s="865"/>
    </row>
    <row r="11" spans="2:34" ht="15" customHeight="1">
      <c r="B11" s="247" t="s">
        <v>492</v>
      </c>
      <c r="D11" s="216"/>
      <c r="E11" s="216"/>
      <c r="F11" s="683"/>
      <c r="G11" s="684"/>
      <c r="H11" s="683"/>
      <c r="I11" s="683"/>
      <c r="J11" s="683"/>
      <c r="K11" s="683"/>
      <c r="L11" s="694"/>
      <c r="N11" s="216"/>
      <c r="O11" s="216"/>
      <c r="P11" s="683"/>
      <c r="Q11" s="684"/>
      <c r="R11" s="683"/>
      <c r="S11" s="683"/>
      <c r="T11" s="683"/>
      <c r="U11" s="683"/>
      <c r="V11" s="682"/>
      <c r="X11" s="157"/>
      <c r="Y11" s="157"/>
      <c r="Z11" s="865"/>
      <c r="AA11" s="866"/>
      <c r="AB11" s="865"/>
      <c r="AC11" s="865"/>
      <c r="AD11" s="865"/>
      <c r="AE11" s="865"/>
      <c r="AF11" s="865"/>
    </row>
    <row r="12" spans="2:34" ht="15" customHeight="1">
      <c r="C12" s="1" t="s">
        <v>44</v>
      </c>
      <c r="D12" s="216"/>
      <c r="E12" s="216"/>
      <c r="F12" s="683"/>
      <c r="G12" s="684"/>
      <c r="H12" s="683"/>
      <c r="I12" s="683"/>
      <c r="J12" s="683"/>
      <c r="K12" s="683"/>
      <c r="L12" s="694">
        <f t="shared" ref="L12:L18" si="3">SUM(G12:K12)</f>
        <v>0</v>
      </c>
      <c r="N12" s="216"/>
      <c r="O12" s="216"/>
      <c r="P12" s="683"/>
      <c r="Q12" s="684"/>
      <c r="R12" s="683"/>
      <c r="S12" s="683"/>
      <c r="T12" s="683"/>
      <c r="U12" s="683"/>
      <c r="V12" s="682">
        <f t="shared" si="1"/>
        <v>0</v>
      </c>
      <c r="X12" s="157">
        <f>Capex_by_Driver!D11-D12-N12</f>
        <v>0</v>
      </c>
      <c r="Y12" s="157">
        <f>Capex_by_Driver!E11-E12-O12</f>
        <v>0</v>
      </c>
      <c r="Z12" s="865"/>
      <c r="AA12" s="866"/>
      <c r="AB12" s="865"/>
      <c r="AC12" s="865"/>
      <c r="AD12" s="865"/>
      <c r="AE12" s="865"/>
      <c r="AF12" s="865"/>
    </row>
    <row r="13" spans="2:34" ht="15" customHeight="1">
      <c r="C13" s="1" t="s">
        <v>45</v>
      </c>
      <c r="D13" s="216"/>
      <c r="E13" s="216"/>
      <c r="F13" s="683"/>
      <c r="G13" s="684"/>
      <c r="H13" s="683"/>
      <c r="I13" s="683"/>
      <c r="J13" s="683"/>
      <c r="K13" s="683"/>
      <c r="L13" s="694">
        <f t="shared" si="3"/>
        <v>0</v>
      </c>
      <c r="N13" s="216"/>
      <c r="O13" s="216"/>
      <c r="P13" s="683"/>
      <c r="Q13" s="684"/>
      <c r="R13" s="683"/>
      <c r="S13" s="683"/>
      <c r="T13" s="683"/>
      <c r="U13" s="683"/>
      <c r="V13" s="682">
        <f t="shared" si="1"/>
        <v>0</v>
      </c>
      <c r="X13" s="157">
        <f>Capex_by_Driver!D12-D13-N13</f>
        <v>0</v>
      </c>
      <c r="Y13" s="157">
        <f>Capex_by_Driver!E12-E13-O13</f>
        <v>0</v>
      </c>
      <c r="Z13" s="865"/>
      <c r="AA13" s="866"/>
      <c r="AB13" s="865"/>
      <c r="AC13" s="865"/>
      <c r="AD13" s="865"/>
      <c r="AE13" s="865"/>
      <c r="AF13" s="865"/>
    </row>
    <row r="14" spans="2:34" ht="15" customHeight="1">
      <c r="C14" s="1" t="s">
        <v>48</v>
      </c>
      <c r="D14" s="216"/>
      <c r="E14" s="216"/>
      <c r="F14" s="683"/>
      <c r="G14" s="684"/>
      <c r="H14" s="683"/>
      <c r="I14" s="683"/>
      <c r="J14" s="683"/>
      <c r="K14" s="683"/>
      <c r="L14" s="694">
        <f t="shared" si="3"/>
        <v>0</v>
      </c>
      <c r="N14" s="216"/>
      <c r="O14" s="216"/>
      <c r="P14" s="683"/>
      <c r="Q14" s="684"/>
      <c r="R14" s="683"/>
      <c r="S14" s="683"/>
      <c r="T14" s="683"/>
      <c r="U14" s="683"/>
      <c r="V14" s="682">
        <f t="shared" si="1"/>
        <v>0</v>
      </c>
      <c r="X14" s="157">
        <f>Capex_by_Driver!D13-D14-N14</f>
        <v>0</v>
      </c>
      <c r="Y14" s="157">
        <f>Capex_by_Driver!E13-E14-O14</f>
        <v>0</v>
      </c>
      <c r="Z14" s="865"/>
      <c r="AA14" s="866"/>
      <c r="AB14" s="865"/>
      <c r="AC14" s="865"/>
      <c r="AD14" s="865"/>
      <c r="AE14" s="865"/>
      <c r="AF14" s="865"/>
    </row>
    <row r="15" spans="2:34">
      <c r="B15" s="247" t="s">
        <v>26</v>
      </c>
      <c r="F15" s="129"/>
      <c r="G15" s="685"/>
      <c r="H15" s="129"/>
      <c r="I15" s="129"/>
      <c r="J15" s="129"/>
      <c r="K15" s="129"/>
      <c r="L15" s="129"/>
      <c r="P15" s="129"/>
      <c r="Q15" s="685"/>
      <c r="R15" s="129"/>
      <c r="S15" s="129"/>
      <c r="T15" s="129"/>
      <c r="U15" s="129"/>
      <c r="V15" s="129"/>
      <c r="Z15" s="867"/>
      <c r="AA15" s="868"/>
      <c r="AB15" s="867"/>
      <c r="AC15" s="867"/>
      <c r="AD15" s="867"/>
      <c r="AE15" s="867"/>
      <c r="AF15" s="867"/>
    </row>
    <row r="16" spans="2:34">
      <c r="C16" s="1" t="s">
        <v>44</v>
      </c>
      <c r="F16" s="129"/>
      <c r="G16" s="685"/>
      <c r="H16" s="129"/>
      <c r="I16" s="129"/>
      <c r="J16" s="129"/>
      <c r="K16" s="129"/>
      <c r="L16" s="694">
        <f t="shared" si="3"/>
        <v>0</v>
      </c>
      <c r="P16" s="129"/>
      <c r="Q16" s="685"/>
      <c r="R16" s="129"/>
      <c r="S16" s="129"/>
      <c r="T16" s="129"/>
      <c r="U16" s="129"/>
      <c r="V16" s="682">
        <f t="shared" si="1"/>
        <v>0</v>
      </c>
      <c r="X16" s="39">
        <f>Capex_by_Driver!D15-D16-N16</f>
        <v>0</v>
      </c>
      <c r="Y16" s="39">
        <f>Capex_by_Driver!E15-E16-O16</f>
        <v>0</v>
      </c>
      <c r="Z16" s="869"/>
      <c r="AA16" s="870"/>
      <c r="AB16" s="871"/>
      <c r="AC16" s="871"/>
      <c r="AD16" s="871"/>
      <c r="AE16" s="871"/>
      <c r="AF16" s="865"/>
    </row>
    <row r="17" spans="2:33">
      <c r="C17" s="1" t="s">
        <v>45</v>
      </c>
      <c r="F17" s="129"/>
      <c r="G17" s="685"/>
      <c r="H17" s="129"/>
      <c r="I17" s="129"/>
      <c r="J17" s="129"/>
      <c r="K17" s="129"/>
      <c r="L17" s="694">
        <f t="shared" si="3"/>
        <v>0</v>
      </c>
      <c r="P17" s="129"/>
      <c r="Q17" s="685"/>
      <c r="R17" s="129"/>
      <c r="S17" s="129"/>
      <c r="T17" s="129"/>
      <c r="U17" s="129"/>
      <c r="V17" s="682">
        <f t="shared" si="1"/>
        <v>0</v>
      </c>
      <c r="X17" s="39">
        <f>Capex_by_Driver!D16-D17-N17</f>
        <v>0</v>
      </c>
      <c r="Y17" s="39">
        <f>Capex_by_Driver!E16-E17-O17</f>
        <v>0</v>
      </c>
      <c r="Z17" s="869"/>
      <c r="AA17" s="870"/>
      <c r="AB17" s="871"/>
      <c r="AC17" s="871"/>
      <c r="AD17" s="871"/>
      <c r="AE17" s="871"/>
      <c r="AF17" s="865"/>
    </row>
    <row r="18" spans="2:33">
      <c r="C18" s="1" t="s">
        <v>48</v>
      </c>
      <c r="F18" s="129"/>
      <c r="G18" s="685"/>
      <c r="H18" s="129"/>
      <c r="I18" s="129"/>
      <c r="J18" s="129"/>
      <c r="K18" s="129"/>
      <c r="L18" s="694">
        <f t="shared" si="3"/>
        <v>0</v>
      </c>
      <c r="P18" s="129"/>
      <c r="Q18" s="685"/>
      <c r="R18" s="129"/>
      <c r="S18" s="129"/>
      <c r="T18" s="129"/>
      <c r="U18" s="129"/>
      <c r="V18" s="682">
        <f t="shared" si="1"/>
        <v>0</v>
      </c>
      <c r="X18" s="216">
        <f>Capex_by_Driver!D17-D18-N18</f>
        <v>0</v>
      </c>
      <c r="Y18" s="216">
        <f>Capex_by_Driver!E17-E18-O18</f>
        <v>0</v>
      </c>
      <c r="Z18" s="869"/>
      <c r="AA18" s="872"/>
      <c r="AB18" s="869"/>
      <c r="AC18" s="869"/>
      <c r="AD18" s="869"/>
      <c r="AE18" s="869"/>
      <c r="AF18" s="865"/>
    </row>
    <row r="19" spans="2:33">
      <c r="B19" s="247" t="s">
        <v>150</v>
      </c>
      <c r="F19" s="129"/>
      <c r="G19" s="685"/>
      <c r="H19" s="129"/>
      <c r="I19" s="129"/>
      <c r="J19" s="129"/>
      <c r="K19" s="129"/>
      <c r="L19" s="129"/>
      <c r="P19" s="129"/>
      <c r="Q19" s="685"/>
      <c r="R19" s="129"/>
      <c r="S19" s="129"/>
      <c r="T19" s="129"/>
      <c r="U19" s="129"/>
      <c r="V19" s="129"/>
      <c r="Z19" s="867"/>
      <c r="AA19" s="868"/>
      <c r="AB19" s="867"/>
      <c r="AC19" s="867"/>
      <c r="AD19" s="867"/>
      <c r="AE19" s="867"/>
      <c r="AF19" s="867"/>
    </row>
    <row r="20" spans="2:33">
      <c r="B20" s="247"/>
      <c r="C20" s="1" t="s">
        <v>44</v>
      </c>
      <c r="D20" s="157">
        <f>SUMIFS(Major_Rebuilds!CQ$6:CQ$36,Major_Rebuilds!$E$6:$E$36,$C20,Major_Rebuilds!$F$6:$F$36,$D$3,Major_Rebuilds!$G$6:$G$36,$D$4)+SUMIFS(Stations!DF$7:DF$38,Stations!$E$7:$E$38,$C20,Stations!$F$7:$F$38,$D$3,Stations!$G$7:$G$38,$D$4)+SUMIFS(Lines!DF$7:DF$37,Lines!$E$7:$E$37,$C20,Lines!$F$7:$F$37,$D$3,Lines!$G$7:$G$37,$D$4)+SUMIFS('PC&amp;A'!CQ$6:CQ$36,'PC&amp;A'!$E$6:$E$36,$C20,'PC&amp;A'!$F$6:$F$36,$D$3,'PC&amp;A'!$G$6:$G$36,$D$4)+SUMIFS('SCADA&amp;Comms'!CQ$6:CQ$36,'SCADA&amp;Comms'!$E$6:$E$36,$C20,'SCADA&amp;Comms'!$F$6:$F$36,$D$3,'SCADA&amp;Comms'!$G$6:$G$36,$D$4)</f>
        <v>0</v>
      </c>
      <c r="E20" s="157">
        <f>SUMIFS(Major_Rebuilds!CR$6:CR$36,Major_Rebuilds!$E$6:$E$36,$C20,Major_Rebuilds!$F$6:$F$36,$D$3,Major_Rebuilds!$G$6:$G$36,$D$4)+SUMIFS(Stations!DG$7:DG$38,Stations!$E$7:$E$38,$C20,Stations!$F$7:$F$38,$D$3,Stations!$G$7:$G$38,$D$4)+SUMIFS(Lines!DG$7:DG$37,Lines!$E$7:$E$37,$C20,Lines!$F$7:$F$37,$D$3,Lines!$G$7:$G$37,$D$4)+SUMIFS('PC&amp;A'!CR$6:CR$36,'PC&amp;A'!$E$6:$E$36,$C20,'PC&amp;A'!$F$6:$F$36,$D$3,'PC&amp;A'!$G$6:$G$36,$D$4)+SUMIFS('SCADA&amp;Comms'!CR$6:CR$36,'SCADA&amp;Comms'!$E$6:$E$36,$C20,'SCADA&amp;Comms'!$F$6:$F$36,$D$3,'SCADA&amp;Comms'!$G$6:$G$36,$D$4)</f>
        <v>0</v>
      </c>
      <c r="F20" s="680">
        <v>0</v>
      </c>
      <c r="G20" s="681">
        <v>0</v>
      </c>
      <c r="H20" s="680">
        <v>0</v>
      </c>
      <c r="I20" s="680">
        <v>0</v>
      </c>
      <c r="J20" s="680">
        <v>0</v>
      </c>
      <c r="K20" s="680">
        <v>0</v>
      </c>
      <c r="L20" s="682">
        <f t="shared" ref="L20:L30" si="4">SUM(G20:K20)</f>
        <v>0</v>
      </c>
      <c r="N20" s="157">
        <f>SUMIFS(Major_Rebuilds!CQ$6:CQ$36,Major_Rebuilds!$E$6:$E$36,$C20,Major_Rebuilds!$F$6:$F$36,$N$3,Major_Rebuilds!$G$6:$G$36,$N$4)+SUMIFS(Stations!DF$7:DF$38,Stations!$E$7:$E$38,$C20,Stations!$F$7:$F$38,$N$3,Stations!$G$7:$G$38,$N$4)+SUMIFS(Lines!DF$7:DF$37,Lines!$E$7:$E$37,$C20,Lines!$F$7:$F$37,$N$3,Lines!$G$7:$G$37,$N$4)+SUMIFS('PC&amp;A'!CQ$6:CQ$36,'PC&amp;A'!$E$6:$E$36,$C20,'PC&amp;A'!$F$6:$F$36,$N$3,'PC&amp;A'!$G$6:$G$36,$N$4)+SUMIFS('SCADA&amp;Comms'!CQ$6:CQ$36,'SCADA&amp;Comms'!$E$6:$E$36,$C20,'SCADA&amp;Comms'!$F$6:$F$36,$N$3,'SCADA&amp;Comms'!$G$6:$G$36,$N$4)</f>
        <v>0</v>
      </c>
      <c r="O20" s="157">
        <f>SUMIFS(Major_Rebuilds!CR$6:CR$36,Major_Rebuilds!$E$6:$E$36,$C20,Major_Rebuilds!$F$6:$F$36,$N$3,Major_Rebuilds!$G$6:$G$36,$N$4)+SUMIFS(Stations!DG$7:DG$38,Stations!$E$7:$E$38,$C20,Stations!$F$7:$F$38,$N$3,Stations!$G$7:$G$38,$N$4)+SUMIFS(Lines!DG$7:DG$37,Lines!$E$7:$E$37,$C20,Lines!$F$7:$F$37,$N$3,Lines!$G$7:$G$37,$N$4)+SUMIFS('PC&amp;A'!CR$6:CR$36,'PC&amp;A'!$E$6:$E$36,$C20,'PC&amp;A'!$F$6:$F$36,$N$3,'PC&amp;A'!$G$6:$G$36,$N$4)+SUMIFS('SCADA&amp;Comms'!CR$6:CR$36,'SCADA&amp;Comms'!$E$6:$E$36,$C20,'SCADA&amp;Comms'!$F$6:$F$36,$N$3,'SCADA&amp;Comms'!$G$6:$G$36,$N$4)</f>
        <v>0</v>
      </c>
      <c r="P20" s="680">
        <v>0</v>
      </c>
      <c r="Q20" s="681">
        <v>0</v>
      </c>
      <c r="R20" s="680">
        <v>0</v>
      </c>
      <c r="S20" s="680">
        <v>0</v>
      </c>
      <c r="T20" s="680">
        <v>0</v>
      </c>
      <c r="U20" s="680">
        <v>0</v>
      </c>
      <c r="V20" s="682">
        <f t="shared" ref="V20:V22" si="5">SUM(Q20:U20)</f>
        <v>0</v>
      </c>
      <c r="X20" s="157">
        <f>Capex_by_Driver!D19-D20-N20</f>
        <v>0</v>
      </c>
      <c r="Y20" s="157">
        <f>Capex_by_Driver!E19-E20-O20</f>
        <v>0</v>
      </c>
      <c r="Z20" s="865"/>
      <c r="AA20" s="866"/>
      <c r="AB20" s="865"/>
      <c r="AC20" s="865"/>
      <c r="AD20" s="865"/>
      <c r="AE20" s="865"/>
      <c r="AF20" s="865"/>
    </row>
    <row r="21" spans="2:33">
      <c r="B21" s="247"/>
      <c r="C21" s="1" t="s">
        <v>45</v>
      </c>
      <c r="D21" s="157">
        <f>SUMIFS(Major_Rebuilds!CQ$6:CQ$36,Major_Rebuilds!$E$6:$E$36,$C21,Major_Rebuilds!$F$6:$F$36,$D$3,Major_Rebuilds!$G$6:$G$36,$D$4)+SUMIFS(Stations!DF$7:DF$38,Stations!$E$7:$E$38,$C21,Stations!$F$7:$F$38,$D$3,Stations!$G$7:$G$38,$D$4)+SUMIFS(Lines!DF$7:DF$37,Lines!$E$7:$E$37,$C21,Lines!$F$7:$F$37,$D$3,Lines!$G$7:$G$37,$D$4)+SUMIFS('PC&amp;A'!CQ$6:CQ$36,'PC&amp;A'!$E$6:$E$36,$C21,'PC&amp;A'!$F$6:$F$36,$D$3,'PC&amp;A'!$G$6:$G$36,$D$4)+SUMIFS('SCADA&amp;Comms'!CQ$6:CQ$36,'SCADA&amp;Comms'!$E$6:$E$36,$C21,'SCADA&amp;Comms'!$F$6:$F$36,$D$3,'SCADA&amp;Comms'!$G$6:$G$36,$D$4)</f>
        <v>0</v>
      </c>
      <c r="E21" s="157">
        <f>SUMIFS(Major_Rebuilds!CR$6:CR$36,Major_Rebuilds!$E$6:$E$36,$C21,Major_Rebuilds!$F$6:$F$36,$D$3,Major_Rebuilds!$G$6:$G$36,$D$4)+SUMIFS(Stations!DG$7:DG$38,Stations!$E$7:$E$38,$C21,Stations!$F$7:$F$38,$D$3,Stations!$G$7:$G$38,$D$4)+SUMIFS(Lines!DG$7:DG$37,Lines!$E$7:$E$37,$C21,Lines!$F$7:$F$37,$D$3,Lines!$G$7:$G$37,$D$4)+SUMIFS('PC&amp;A'!CR$6:CR$36,'PC&amp;A'!$E$6:$E$36,$C21,'PC&amp;A'!$F$6:$F$36,$D$3,'PC&amp;A'!$G$6:$G$36,$D$4)+SUMIFS('SCADA&amp;Comms'!CR$6:CR$36,'SCADA&amp;Comms'!$E$6:$E$36,$C21,'SCADA&amp;Comms'!$F$6:$F$36,$D$3,'SCADA&amp;Comms'!$G$6:$G$36,$D$4)</f>
        <v>0</v>
      </c>
      <c r="F21" s="680">
        <v>0</v>
      </c>
      <c r="G21" s="681">
        <v>0</v>
      </c>
      <c r="H21" s="680">
        <v>0</v>
      </c>
      <c r="I21" s="680">
        <v>0</v>
      </c>
      <c r="J21" s="680">
        <v>0</v>
      </c>
      <c r="K21" s="680">
        <v>0</v>
      </c>
      <c r="L21" s="682">
        <f t="shared" si="4"/>
        <v>0</v>
      </c>
      <c r="N21" s="157">
        <f>SUMIFS(Major_Rebuilds!CQ$6:CQ$36,Major_Rebuilds!$E$6:$E$36,$C21,Major_Rebuilds!$F$6:$F$36,$N$3,Major_Rebuilds!$G$6:$G$36,$N$4)+SUMIFS(Stations!DF$7:DF$38,Stations!$E$7:$E$38,$C21,Stations!$F$7:$F$38,$N$3,Stations!$G$7:$G$38,$N$4)+SUMIFS(Lines!DF$7:DF$37,Lines!$E$7:$E$37,$C21,Lines!$F$7:$F$37,$N$3,Lines!$G$7:$G$37,$N$4)+SUMIFS('PC&amp;A'!CQ$6:CQ$36,'PC&amp;A'!$E$6:$E$36,$C21,'PC&amp;A'!$F$6:$F$36,$N$3,'PC&amp;A'!$G$6:$G$36,$N$4)+SUMIFS('SCADA&amp;Comms'!CQ$6:CQ$36,'SCADA&amp;Comms'!$E$6:$E$36,$C21,'SCADA&amp;Comms'!$F$6:$F$36,$N$3,'SCADA&amp;Comms'!$G$6:$G$36,$N$4)</f>
        <v>0</v>
      </c>
      <c r="O21" s="157">
        <f>SUMIFS(Major_Rebuilds!CR$6:CR$36,Major_Rebuilds!$E$6:$E$36,$C21,Major_Rebuilds!$F$6:$F$36,$N$3,Major_Rebuilds!$G$6:$G$36,$N$4)+SUMIFS(Stations!DG$7:DG$38,Stations!$E$7:$E$38,$C21,Stations!$F$7:$F$38,$N$3,Stations!$G$7:$G$38,$N$4)+SUMIFS(Lines!DG$7:DG$37,Lines!$E$7:$E$37,$C21,Lines!$F$7:$F$37,$N$3,Lines!$G$7:$G$37,$N$4)+SUMIFS('PC&amp;A'!CR$6:CR$36,'PC&amp;A'!$E$6:$E$36,$C21,'PC&amp;A'!$F$6:$F$36,$N$3,'PC&amp;A'!$G$6:$G$36,$N$4)+SUMIFS('SCADA&amp;Comms'!CR$6:CR$36,'SCADA&amp;Comms'!$E$6:$E$36,$C21,'SCADA&amp;Comms'!$F$6:$F$36,$N$3,'SCADA&amp;Comms'!$G$6:$G$36,$N$4)</f>
        <v>0</v>
      </c>
      <c r="P21" s="680">
        <v>0</v>
      </c>
      <c r="Q21" s="681">
        <v>0</v>
      </c>
      <c r="R21" s="680">
        <v>0</v>
      </c>
      <c r="S21" s="680">
        <v>0</v>
      </c>
      <c r="T21" s="680">
        <v>0</v>
      </c>
      <c r="U21" s="680">
        <v>0</v>
      </c>
      <c r="V21" s="682">
        <f t="shared" si="5"/>
        <v>0</v>
      </c>
      <c r="X21" s="157">
        <f>Capex_by_Driver!D20-D21-N21</f>
        <v>0</v>
      </c>
      <c r="Y21" s="157">
        <f>Capex_by_Driver!E20-E21-O21</f>
        <v>0</v>
      </c>
      <c r="Z21" s="865"/>
      <c r="AA21" s="866"/>
      <c r="AB21" s="865"/>
      <c r="AC21" s="865"/>
      <c r="AD21" s="865"/>
      <c r="AE21" s="865"/>
      <c r="AF21" s="865"/>
    </row>
    <row r="22" spans="2:33">
      <c r="B22" s="247"/>
      <c r="C22" s="1" t="s">
        <v>48</v>
      </c>
      <c r="D22" s="157">
        <f>SUMIFS(Major_Rebuilds!CQ$6:CQ$36,Major_Rebuilds!$E$6:$E$36,$C22,Major_Rebuilds!$F$6:$F$36,$D$3,Major_Rebuilds!$G$6:$G$36,$D$4)+SUMIFS(Stations!DF$7:DF$38,Stations!$E$7:$E$38,$C22,Stations!$F$7:$F$38,$D$3,Stations!$G$7:$G$38,$D$4)+SUMIFS(Lines!DF$7:DF$37,Lines!$E$7:$E$37,$C22,Lines!$F$7:$F$37,$D$3,Lines!$G$7:$G$37,$D$4)+SUMIFS('PC&amp;A'!CQ$6:CQ$36,'PC&amp;A'!$E$6:$E$36,$C22,'PC&amp;A'!$F$6:$F$36,$D$3,'PC&amp;A'!$G$6:$G$36,$D$4)+SUMIFS('SCADA&amp;Comms'!CQ$6:CQ$36,'SCADA&amp;Comms'!$E$6:$E$36,$C22,'SCADA&amp;Comms'!$F$6:$F$36,$D$3,'SCADA&amp;Comms'!$G$6:$G$36,$D$4)</f>
        <v>0</v>
      </c>
      <c r="E22" s="157">
        <f>SUMIFS(Major_Rebuilds!CR$6:CR$36,Major_Rebuilds!$E$6:$E$36,$C22,Major_Rebuilds!$F$6:$F$36,$D$3,Major_Rebuilds!$G$6:$G$36,$D$4)+SUMIFS(Stations!DG$7:DG$38,Stations!$E$7:$E$38,$C22,Stations!$F$7:$F$38,$D$3,Stations!$G$7:$G$38,$D$4)+SUMIFS(Lines!DG$7:DG$37,Lines!$E$7:$E$37,$C22,Lines!$F$7:$F$37,$D$3,Lines!$G$7:$G$37,$D$4)+SUMIFS('PC&amp;A'!CR$6:CR$36,'PC&amp;A'!$E$6:$E$36,$C22,'PC&amp;A'!$F$6:$F$36,$D$3,'PC&amp;A'!$G$6:$G$36,$D$4)+SUMIFS('SCADA&amp;Comms'!CR$6:CR$36,'SCADA&amp;Comms'!$E$6:$E$36,$C22,'SCADA&amp;Comms'!$F$6:$F$36,$D$3,'SCADA&amp;Comms'!$G$6:$G$36,$D$4)</f>
        <v>0</v>
      </c>
      <c r="F22" s="680">
        <v>0</v>
      </c>
      <c r="G22" s="681">
        <v>0</v>
      </c>
      <c r="H22" s="680">
        <v>0</v>
      </c>
      <c r="I22" s="680">
        <v>0</v>
      </c>
      <c r="J22" s="680">
        <v>0</v>
      </c>
      <c r="K22" s="680">
        <v>0</v>
      </c>
      <c r="L22" s="682">
        <f t="shared" si="4"/>
        <v>0</v>
      </c>
      <c r="N22" s="157">
        <f>SUMIFS(Major_Rebuilds!CQ$6:CQ$36,Major_Rebuilds!$E$6:$E$36,$C22,Major_Rebuilds!$F$6:$F$36,$N$3,Major_Rebuilds!$G$6:$G$36,$N$4)+SUMIFS(Stations!DF$7:DF$38,Stations!$E$7:$E$38,$C22,Stations!$F$7:$F$38,$N$3,Stations!$G$7:$G$38,$N$4)+SUMIFS(Lines!DF$7:DF$37,Lines!$E$7:$E$37,$C22,Lines!$F$7:$F$37,$N$3,Lines!$G$7:$G$37,$N$4)+SUMIFS('PC&amp;A'!CQ$6:CQ$36,'PC&amp;A'!$E$6:$E$36,$C22,'PC&amp;A'!$F$6:$F$36,$N$3,'PC&amp;A'!$G$6:$G$36,$N$4)+SUMIFS('SCADA&amp;Comms'!CQ$6:CQ$36,'SCADA&amp;Comms'!$E$6:$E$36,$C22,'SCADA&amp;Comms'!$F$6:$F$36,$N$3,'SCADA&amp;Comms'!$G$6:$G$36,$N$4)</f>
        <v>0</v>
      </c>
      <c r="O22" s="157">
        <f>SUMIFS(Major_Rebuilds!CR$6:CR$36,Major_Rebuilds!$E$6:$E$36,$C22,Major_Rebuilds!$F$6:$F$36,$N$3,Major_Rebuilds!$G$6:$G$36,$N$4)+SUMIFS(Stations!DG$7:DG$38,Stations!$E$7:$E$38,$C22,Stations!$F$7:$F$38,$N$3,Stations!$G$7:$G$38,$N$4)+SUMIFS(Lines!DG$7:DG$37,Lines!$E$7:$E$37,$C22,Lines!$F$7:$F$37,$N$3,Lines!$G$7:$G$37,$N$4)+SUMIFS('PC&amp;A'!CR$6:CR$36,'PC&amp;A'!$E$6:$E$36,$C22,'PC&amp;A'!$F$6:$F$36,$N$3,'PC&amp;A'!$G$6:$G$36,$N$4)+SUMIFS('SCADA&amp;Comms'!CR$6:CR$36,'SCADA&amp;Comms'!$E$6:$E$36,$C22,'SCADA&amp;Comms'!$F$6:$F$36,$N$3,'SCADA&amp;Comms'!$G$6:$G$36,$N$4)</f>
        <v>0</v>
      </c>
      <c r="P22" s="680">
        <v>0</v>
      </c>
      <c r="Q22" s="681">
        <v>0</v>
      </c>
      <c r="R22" s="680">
        <v>0</v>
      </c>
      <c r="S22" s="680">
        <v>0</v>
      </c>
      <c r="T22" s="680">
        <v>0</v>
      </c>
      <c r="U22" s="680">
        <v>0</v>
      </c>
      <c r="V22" s="682">
        <f t="shared" si="5"/>
        <v>0</v>
      </c>
      <c r="X22" s="157">
        <f>Capex_by_Driver!D21-D22-N22</f>
        <v>0</v>
      </c>
      <c r="Y22" s="157">
        <f>Capex_by_Driver!E21-E22-O22</f>
        <v>0</v>
      </c>
      <c r="Z22" s="865"/>
      <c r="AA22" s="866"/>
      <c r="AB22" s="865"/>
      <c r="AC22" s="865"/>
      <c r="AD22" s="865"/>
      <c r="AE22" s="865"/>
      <c r="AF22" s="865"/>
    </row>
    <row r="23" spans="2:33">
      <c r="B23" s="247" t="s">
        <v>485</v>
      </c>
      <c r="F23" s="129"/>
      <c r="G23" s="685"/>
      <c r="H23" s="129"/>
      <c r="I23" s="129"/>
      <c r="J23" s="129"/>
      <c r="K23" s="129"/>
      <c r="L23" s="129"/>
      <c r="P23" s="129"/>
      <c r="Q23" s="685"/>
      <c r="R23" s="129"/>
      <c r="S23" s="129"/>
      <c r="T23" s="129"/>
      <c r="U23" s="129"/>
      <c r="V23" s="129"/>
      <c r="Z23" s="867"/>
      <c r="AA23" s="868"/>
      <c r="AB23" s="867"/>
      <c r="AC23" s="867"/>
      <c r="AD23" s="867"/>
      <c r="AE23" s="867"/>
      <c r="AF23" s="867"/>
    </row>
    <row r="24" spans="2:33">
      <c r="B24" s="247"/>
      <c r="C24" s="1" t="s">
        <v>44</v>
      </c>
      <c r="D24" s="157">
        <f>SUMIFS(ESL_1!DF$7:DF$37,ESL_1!$E$7:$E$37,$C24,ESL_1!$G$7:$G$37,$D$4)+SUMIFS(ESL_2!CQ$6:CQ$36,ESL_2!$E$6:$E$36,$C24,ESL_2!$G$6:$G$36,$D$4)+SUMIFS(ESL_2!CQ$42:CQ$44,ESL_2!$E$42:$E$44,$C24,ESL_2!$G$42:$G$44,$D$4)</f>
        <v>0</v>
      </c>
      <c r="E24" s="157">
        <f>SUMIFS(ESL_1!DG$7:DG$37,ESL_1!$E$7:$E$37,$C24,ESL_1!$G$7:$G$37,$D$4)+SUMIFS(ESL_2!CR$6:CR$36,ESL_2!$E$6:$E$36,$C24,ESL_2!$G$6:$G$36,$D$4)+SUMIFS(ESL_2!CR$42:CR$44,ESL_2!$E$42:$E$44,$C24,ESL_2!$G$42:$G$44,$D$4)</f>
        <v>0</v>
      </c>
      <c r="F24" s="680">
        <v>0</v>
      </c>
      <c r="G24" s="681">
        <v>0</v>
      </c>
      <c r="H24" s="680">
        <v>0</v>
      </c>
      <c r="I24" s="680">
        <v>0</v>
      </c>
      <c r="J24" s="680">
        <v>0</v>
      </c>
      <c r="K24" s="680">
        <v>0</v>
      </c>
      <c r="L24" s="682">
        <f t="shared" si="4"/>
        <v>0</v>
      </c>
      <c r="N24" s="157">
        <f>SUMIFS(ESL_1!DF$7:DF$37,ESL_1!$E$7:$E$37,$C24,ESL_1!$G$7:$G$37,$N$4)+SUMIFS(ESL_2!CQ$6:CQ$36,ESL_2!$E$6:$E$36,$C24,ESL_2!$G$6:$G$36,$N$4)+SUMIFS(ESL_2!CQ$42:CQ$44,ESL_2!$E$42:$E$44,$C24,ESL_2!$G$42:$G$44,$N$4)</f>
        <v>0</v>
      </c>
      <c r="O24" s="157">
        <f>SUMIFS(ESL_1!DG$7:DG$37,ESL_1!$E$7:$E$37,$C24,ESL_1!$G$7:$G$37,$N$4)+SUMIFS(ESL_2!CR$6:CR$36,ESL_2!$E$6:$E$36,$C24,ESL_2!$G$6:$G$36,$N$4)+SUMIFS(ESL_2!CR$42:CR$44,ESL_2!$E$42:$E$44,$C24,ESL_2!$G$42:$G$44,$N$4)</f>
        <v>0</v>
      </c>
      <c r="P24" s="680">
        <v>0</v>
      </c>
      <c r="Q24" s="681">
        <v>824.15323098670535</v>
      </c>
      <c r="R24" s="680">
        <v>824.8039303304962</v>
      </c>
      <c r="S24" s="680">
        <v>825.66239524509922</v>
      </c>
      <c r="T24" s="680">
        <v>826.98047288972646</v>
      </c>
      <c r="U24" s="680">
        <v>828.73248813543012</v>
      </c>
      <c r="V24" s="682">
        <f t="shared" ref="V24:V26" si="6">SUM(Q24:U24)</f>
        <v>4130.332517587457</v>
      </c>
      <c r="X24" s="157">
        <f>Capex_by_Driver!D23-D24-N24</f>
        <v>0</v>
      </c>
      <c r="Y24" s="157">
        <f>Capex_by_Driver!E23-E24-O24</f>
        <v>0</v>
      </c>
      <c r="Z24" s="865"/>
      <c r="AA24" s="866"/>
      <c r="AB24" s="865"/>
      <c r="AC24" s="865"/>
      <c r="AD24" s="865"/>
      <c r="AE24" s="865"/>
      <c r="AF24" s="865"/>
    </row>
    <row r="25" spans="2:33">
      <c r="B25" s="247"/>
      <c r="C25" s="1" t="s">
        <v>45</v>
      </c>
      <c r="D25" s="157">
        <f>SUMIFS(ESL_1!DF$7:DF$37,ESL_1!$E$7:$E$37,$C25,ESL_1!$G$7:$G$37,$D$4)+SUMIFS(ESL_2!CQ$6:CQ$36,ESL_2!$E$6:$E$36,$C25,ESL_2!$G$6:$G$36,$D$4)+SUMIFS(ESL_2!CQ$42:CQ$44,ESL_2!$E$42:$E$44,$C25,ESL_2!$G$42:$G$44,$D$4)</f>
        <v>0</v>
      </c>
      <c r="E25" s="157">
        <f>SUMIFS(ESL_1!DG$7:DG$37,ESL_1!$E$7:$E$37,$C25,ESL_1!$G$7:$G$37,$D$4)+SUMIFS(ESL_2!CR$6:CR$36,ESL_2!$E$6:$E$36,$C25,ESL_2!$G$6:$G$36,$D$4)+SUMIFS(ESL_2!CR$42:CR$44,ESL_2!$E$42:$E$44,$C25,ESL_2!$G$42:$G$44,$D$4)</f>
        <v>0</v>
      </c>
      <c r="F25" s="680">
        <v>0</v>
      </c>
      <c r="G25" s="681">
        <v>7607.0286927725756</v>
      </c>
      <c r="H25" s="680">
        <v>8466.5406952454032</v>
      </c>
      <c r="I25" s="680">
        <v>10486.092856078254</v>
      </c>
      <c r="J25" s="680">
        <v>14945.163255946953</v>
      </c>
      <c r="K25" s="680">
        <v>25168.076744439291</v>
      </c>
      <c r="L25" s="682">
        <f t="shared" si="4"/>
        <v>66672.90224448248</v>
      </c>
      <c r="N25" s="157">
        <f>SUMIFS(ESL_1!DF$7:DF$37,ESL_1!$E$7:$E$37,$C25,ESL_1!$G$7:$G$37,$N$4)+SUMIFS(ESL_2!CQ$6:CQ$36,ESL_2!$E$6:$E$36,$C25,ESL_2!$G$6:$G$36,$N$4)+SUMIFS(ESL_2!CQ$42:CQ$44,ESL_2!$E$42:$E$44,$C25,ESL_2!$G$42:$G$44,$N$4)</f>
        <v>0</v>
      </c>
      <c r="O25" s="157">
        <f>SUMIFS(ESL_1!DG$7:DG$37,ESL_1!$E$7:$E$37,$C25,ESL_1!$G$7:$G$37,$N$4)+SUMIFS(ESL_2!CR$6:CR$36,ESL_2!$E$6:$E$36,$C25,ESL_2!$G$6:$G$36,$N$4)+SUMIFS(ESL_2!CR$42:CR$44,ESL_2!$E$42:$E$44,$C25,ESL_2!$G$42:$G$44,$N$4)</f>
        <v>0</v>
      </c>
      <c r="P25" s="680">
        <v>0</v>
      </c>
      <c r="Q25" s="681">
        <v>0</v>
      </c>
      <c r="R25" s="680">
        <v>0</v>
      </c>
      <c r="S25" s="680">
        <v>0</v>
      </c>
      <c r="T25" s="680">
        <v>0</v>
      </c>
      <c r="U25" s="680">
        <v>0</v>
      </c>
      <c r="V25" s="682">
        <f t="shared" si="6"/>
        <v>0</v>
      </c>
      <c r="X25" s="157">
        <f>Capex_by_Driver!D24-D25-N25</f>
        <v>0</v>
      </c>
      <c r="Y25" s="157">
        <f>Capex_by_Driver!E24-E25-O25</f>
        <v>0</v>
      </c>
      <c r="Z25" s="865"/>
      <c r="AA25" s="866"/>
      <c r="AB25" s="865"/>
      <c r="AC25" s="865"/>
      <c r="AD25" s="865"/>
      <c r="AE25" s="865"/>
      <c r="AF25" s="865"/>
    </row>
    <row r="26" spans="2:33">
      <c r="B26" s="247"/>
      <c r="C26" s="1" t="s">
        <v>48</v>
      </c>
      <c r="D26" s="157">
        <f>SUMIFS(ESL_1!DF$7:DF$37,ESL_1!$E$7:$E$37,$C26,ESL_1!$G$7:$G$37,$D$4)+SUMIFS(ESL_2!CQ$6:CQ$36,ESL_2!$E$6:$E$36,$C26,ESL_2!$G$6:$G$36,$D$4)+SUMIFS(ESL_2!CQ$42:CQ$44,ESL_2!$E$42:$E$44,$C26,ESL_2!$G$42:$G$44,$D$4)</f>
        <v>0</v>
      </c>
      <c r="E26" s="157">
        <f>SUMIFS(ESL_1!DG$7:DG$37,ESL_1!$E$7:$E$37,$C26,ESL_1!$G$7:$G$37,$D$4)+SUMIFS(ESL_2!CR$6:CR$36,ESL_2!$E$6:$E$36,$C26,ESL_2!$G$6:$G$36,$D$4)+SUMIFS(ESL_2!CR$42:CR$44,ESL_2!$E$42:$E$44,$C26,ESL_2!$G$42:$G$44,$D$4)</f>
        <v>0</v>
      </c>
      <c r="F26" s="680">
        <v>0</v>
      </c>
      <c r="G26" s="681">
        <v>0</v>
      </c>
      <c r="H26" s="680">
        <v>0</v>
      </c>
      <c r="I26" s="680">
        <v>0</v>
      </c>
      <c r="J26" s="680">
        <v>0</v>
      </c>
      <c r="K26" s="680">
        <v>0</v>
      </c>
      <c r="L26" s="682">
        <f t="shared" si="4"/>
        <v>0</v>
      </c>
      <c r="N26" s="157">
        <f>SUMIFS(ESL_1!DF$7:DF$37,ESL_1!$E$7:$E$37,$C26,ESL_1!$G$7:$G$37,$N$4)+SUMIFS(ESL_2!CQ$6:CQ$36,ESL_2!$E$6:$E$36,$C26,ESL_2!$G$6:$G$36,$N$4)+SUMIFS(ESL_2!CQ$42:CQ$44,ESL_2!$E$42:$E$44,$C26,ESL_2!$G$42:$G$44,$N$4)</f>
        <v>0</v>
      </c>
      <c r="O26" s="157">
        <f>SUMIFS(ESL_1!DG$7:DG$37,ESL_1!$E$7:$E$37,$C26,ESL_1!$G$7:$G$37,$N$4)+SUMIFS(ESL_2!CR$6:CR$36,ESL_2!$E$6:$E$36,$C26,ESL_2!$G$6:$G$36,$N$4)+SUMIFS(ESL_2!CR$42:CR$44,ESL_2!$E$42:$E$44,$C26,ESL_2!$G$42:$G$44,$N$4)</f>
        <v>0</v>
      </c>
      <c r="P26" s="680">
        <v>0</v>
      </c>
      <c r="Q26" s="681">
        <v>0</v>
      </c>
      <c r="R26" s="680">
        <v>0</v>
      </c>
      <c r="S26" s="680">
        <v>0</v>
      </c>
      <c r="T26" s="680">
        <v>0</v>
      </c>
      <c r="U26" s="680">
        <v>0</v>
      </c>
      <c r="V26" s="682">
        <f t="shared" si="6"/>
        <v>0</v>
      </c>
      <c r="X26" s="157">
        <f>Capex_by_Driver!D25-D26-N26</f>
        <v>0</v>
      </c>
      <c r="Y26" s="157">
        <f>Capex_by_Driver!E25-E26-O26</f>
        <v>0</v>
      </c>
      <c r="Z26" s="865"/>
      <c r="AA26" s="866"/>
      <c r="AB26" s="865"/>
      <c r="AC26" s="865"/>
      <c r="AD26" s="865"/>
      <c r="AE26" s="865"/>
      <c r="AF26" s="865"/>
    </row>
    <row r="27" spans="2:33">
      <c r="B27" s="247" t="s">
        <v>486</v>
      </c>
      <c r="F27" s="129"/>
      <c r="G27" s="685"/>
      <c r="H27" s="129"/>
      <c r="I27" s="129"/>
      <c r="J27" s="129"/>
      <c r="K27" s="129"/>
      <c r="L27" s="129"/>
      <c r="P27" s="129"/>
      <c r="Q27" s="685"/>
      <c r="R27" s="129"/>
      <c r="S27" s="129"/>
      <c r="T27" s="129"/>
      <c r="U27" s="129"/>
      <c r="V27" s="129"/>
      <c r="Z27" s="867"/>
      <c r="AA27" s="868"/>
      <c r="AB27" s="867"/>
      <c r="AC27" s="867"/>
      <c r="AD27" s="867"/>
      <c r="AE27" s="867"/>
      <c r="AF27" s="867"/>
    </row>
    <row r="28" spans="2:33">
      <c r="C28" s="1" t="s">
        <v>44</v>
      </c>
      <c r="D28" s="157">
        <f>SUMIFS(REFCL!CQ$6:CQ$47,REFCL!$E$6:$E$47,$C28,REFCL!$G$6:$G$47,$D$4)</f>
        <v>0</v>
      </c>
      <c r="E28" s="158">
        <f>SUMIFS(REFCL!CR$6:CR$47,REFCL!$E$6:$E$47,$C28,REFCL!$G$6:$G$47,$D$4)</f>
        <v>0</v>
      </c>
      <c r="F28" s="682">
        <v>0</v>
      </c>
      <c r="G28" s="686">
        <v>0</v>
      </c>
      <c r="H28" s="682">
        <v>0</v>
      </c>
      <c r="I28" s="682">
        <v>0</v>
      </c>
      <c r="J28" s="682">
        <v>0</v>
      </c>
      <c r="K28" s="682">
        <v>0</v>
      </c>
      <c r="L28" s="682">
        <f t="shared" si="4"/>
        <v>0</v>
      </c>
      <c r="N28" s="157">
        <f>SUMIFS(REFCL!CQ$6:CQ$47,REFCL!$E$6:$E$47,$C28,REFCL!$G$6:$G$47,$N$4)</f>
        <v>0</v>
      </c>
      <c r="O28" s="158">
        <f>SUMIFS(REFCL!CR$6:CR$47,REFCL!$E$6:$E$47,$C28,REFCL!$G$6:$G$47,$N$4)</f>
        <v>0</v>
      </c>
      <c r="P28" s="682">
        <v>1017.2717727793053</v>
      </c>
      <c r="Q28" s="686">
        <v>19890.838341232928</v>
      </c>
      <c r="R28" s="682">
        <v>13552.400675561763</v>
      </c>
      <c r="S28" s="682">
        <v>0</v>
      </c>
      <c r="T28" s="682">
        <v>0</v>
      </c>
      <c r="U28" s="682">
        <v>0</v>
      </c>
      <c r="V28" s="682">
        <f t="shared" ref="V28:V30" si="7">SUM(Q28:U28)</f>
        <v>33443.239016794687</v>
      </c>
      <c r="X28" s="157">
        <f>Capex_by_Driver!D28-D28-N28</f>
        <v>0</v>
      </c>
      <c r="Y28" s="157">
        <f>Capex_by_Driver!E28-E28-O28</f>
        <v>0</v>
      </c>
      <c r="Z28" s="865"/>
      <c r="AA28" s="866"/>
      <c r="AB28" s="865"/>
      <c r="AC28" s="865"/>
      <c r="AD28" s="865"/>
      <c r="AE28" s="865"/>
      <c r="AF28" s="865"/>
    </row>
    <row r="29" spans="2:33">
      <c r="C29" s="1" t="s">
        <v>45</v>
      </c>
      <c r="D29" s="158">
        <f>SUMIFS(REFCL!CQ$6:CQ$47,REFCL!$E$6:$E$47,$C29,REFCL!$G$6:$G$47,$D$4)</f>
        <v>0</v>
      </c>
      <c r="E29" s="158">
        <f>SUMIFS(REFCL!CR$6:CR$47,REFCL!$E$6:$E$47,$C29,REFCL!$G$6:$G$47,$D$4)</f>
        <v>0</v>
      </c>
      <c r="F29" s="682">
        <v>132.85723798104254</v>
      </c>
      <c r="G29" s="686">
        <v>9789.4937425610497</v>
      </c>
      <c r="H29" s="682">
        <v>4801.9215690546189</v>
      </c>
      <c r="I29" s="682">
        <v>0</v>
      </c>
      <c r="J29" s="682">
        <v>0</v>
      </c>
      <c r="K29" s="682">
        <v>0</v>
      </c>
      <c r="L29" s="682">
        <f t="shared" si="4"/>
        <v>14591.415311615669</v>
      </c>
      <c r="N29" s="158">
        <f>SUMIFS(REFCL!CQ$6:CQ$47,REFCL!$E$6:$E$47,$C29,REFCL!$G$6:$G$47,$N$4)</f>
        <v>0</v>
      </c>
      <c r="O29" s="158">
        <f>SUMIFS(REFCL!CR$6:CR$47,REFCL!$E$6:$E$47,$C29,REFCL!$G$6:$G$47,$N$4)</f>
        <v>0</v>
      </c>
      <c r="P29" s="682">
        <v>460.40749807264814</v>
      </c>
      <c r="Q29" s="686">
        <v>8765.8341545775329</v>
      </c>
      <c r="R29" s="682">
        <v>6523.5152601317095</v>
      </c>
      <c r="S29" s="682">
        <v>0</v>
      </c>
      <c r="T29" s="682">
        <v>0</v>
      </c>
      <c r="U29" s="682">
        <v>0</v>
      </c>
      <c r="V29" s="682">
        <f t="shared" si="7"/>
        <v>15289.349414709242</v>
      </c>
      <c r="X29" s="157">
        <f>Capex_by_Driver!D29-D29-N29</f>
        <v>0</v>
      </c>
      <c r="Y29" s="157">
        <f>Capex_by_Driver!E29-E29-O29</f>
        <v>0</v>
      </c>
      <c r="Z29" s="865"/>
      <c r="AA29" s="866"/>
      <c r="AB29" s="865"/>
      <c r="AC29" s="865"/>
      <c r="AD29" s="865"/>
      <c r="AE29" s="865"/>
      <c r="AF29" s="865"/>
    </row>
    <row r="30" spans="2:33">
      <c r="C30" s="1" t="s">
        <v>48</v>
      </c>
      <c r="D30" s="158">
        <f>SUMIFS(REFCL!CQ$6:CQ$47,REFCL!$E$6:$E$47,$C30,REFCL!$G$6:$G$47,$D$4)</f>
        <v>0</v>
      </c>
      <c r="E30" s="158">
        <f>SUMIFS(REFCL!CR$6:CR$47,REFCL!$E$6:$E$47,$C30,REFCL!$G$6:$G$47,$D$4)</f>
        <v>0</v>
      </c>
      <c r="F30" s="682">
        <v>0</v>
      </c>
      <c r="G30" s="686">
        <v>84.3966527632507</v>
      </c>
      <c r="H30" s="682">
        <v>31.919475319327052</v>
      </c>
      <c r="I30" s="682">
        <v>0</v>
      </c>
      <c r="J30" s="682">
        <v>0</v>
      </c>
      <c r="K30" s="682">
        <v>0</v>
      </c>
      <c r="L30" s="682">
        <f t="shared" si="4"/>
        <v>116.31612808257775</v>
      </c>
      <c r="N30" s="158">
        <f>SUMIFS(REFCL!CQ$6:CQ$47,REFCL!$E$6:$E$47,$C30,REFCL!$G$6:$G$47,$N$4)</f>
        <v>0</v>
      </c>
      <c r="O30" s="158">
        <f>SUMIFS(REFCL!CR$6:CR$47,REFCL!$E$6:$E$47,$C30,REFCL!$G$6:$G$47,$N$4)</f>
        <v>0</v>
      </c>
      <c r="P30" s="682">
        <v>283.63853542862512</v>
      </c>
      <c r="Q30" s="686">
        <v>6880.5346035961375</v>
      </c>
      <c r="R30" s="682">
        <v>4026.184737187983</v>
      </c>
      <c r="S30" s="682">
        <v>0</v>
      </c>
      <c r="T30" s="682">
        <v>0</v>
      </c>
      <c r="U30" s="682">
        <v>0</v>
      </c>
      <c r="V30" s="682">
        <f t="shared" si="7"/>
        <v>10906.719340784121</v>
      </c>
      <c r="X30" s="157">
        <f>Capex_by_Driver!D30-D30-N30</f>
        <v>0</v>
      </c>
      <c r="Y30" s="157">
        <f>Capex_by_Driver!E30-E30-O30</f>
        <v>0</v>
      </c>
      <c r="Z30" s="865"/>
      <c r="AA30" s="866"/>
      <c r="AB30" s="865"/>
      <c r="AC30" s="865"/>
      <c r="AD30" s="865"/>
      <c r="AE30" s="865"/>
      <c r="AF30" s="865"/>
    </row>
    <row r="31" spans="2:33">
      <c r="F31" s="129"/>
      <c r="G31" s="129"/>
      <c r="H31" s="129"/>
      <c r="I31" s="129"/>
      <c r="J31" s="129"/>
      <c r="K31" s="129"/>
      <c r="L31" s="129"/>
      <c r="P31" s="129"/>
      <c r="Q31" s="129"/>
      <c r="R31" s="129"/>
      <c r="S31" s="129"/>
      <c r="T31" s="129"/>
      <c r="U31" s="129"/>
      <c r="V31" s="129"/>
      <c r="AF31" s="201"/>
      <c r="AG31" s="2"/>
    </row>
    <row r="32" spans="2:33">
      <c r="B32" s="2" t="s">
        <v>484</v>
      </c>
      <c r="D32" s="223">
        <f>CP_Yr_4</f>
        <v>43800</v>
      </c>
      <c r="E32" s="223">
        <f>CP_Yr_5</f>
        <v>44166</v>
      </c>
      <c r="F32" s="687">
        <f>Stub</f>
        <v>44377</v>
      </c>
      <c r="G32" s="688">
        <f>Yr_1</f>
        <v>44742</v>
      </c>
      <c r="H32" s="687">
        <f>Yr_2</f>
        <v>45107</v>
      </c>
      <c r="I32" s="687">
        <f>Yr_3</f>
        <v>45473</v>
      </c>
      <c r="J32" s="687">
        <f>Yr_4</f>
        <v>45838</v>
      </c>
      <c r="K32" s="687">
        <f>Yr_5</f>
        <v>46203</v>
      </c>
      <c r="L32" s="689" t="str">
        <f>NReg_Period</f>
        <v>2022-26</v>
      </c>
      <c r="N32" s="223">
        <f>CP_Yr_4</f>
        <v>43800</v>
      </c>
      <c r="O32" s="223">
        <f>CP_Yr_5</f>
        <v>44166</v>
      </c>
      <c r="P32" s="687">
        <f>Stub</f>
        <v>44377</v>
      </c>
      <c r="Q32" s="688">
        <f>Yr_1</f>
        <v>44742</v>
      </c>
      <c r="R32" s="687">
        <f>Yr_2</f>
        <v>45107</v>
      </c>
      <c r="S32" s="687">
        <f>Yr_3</f>
        <v>45473</v>
      </c>
      <c r="T32" s="687">
        <f>Yr_4</f>
        <v>45838</v>
      </c>
      <c r="U32" s="687">
        <f>Yr_5</f>
        <v>46203</v>
      </c>
      <c r="V32" s="689" t="str">
        <f>NReg_Period</f>
        <v>2022-26</v>
      </c>
      <c r="X32" s="223">
        <f>CP_Yr_4</f>
        <v>43800</v>
      </c>
      <c r="Y32" s="223">
        <f>CP_Yr_5</f>
        <v>44166</v>
      </c>
      <c r="Z32" s="223">
        <f>Stub</f>
        <v>44377</v>
      </c>
      <c r="AA32" s="335">
        <f>Yr_1</f>
        <v>44742</v>
      </c>
      <c r="AB32" s="223">
        <f>Yr_2</f>
        <v>45107</v>
      </c>
      <c r="AC32" s="223">
        <f>Yr_3</f>
        <v>45473</v>
      </c>
      <c r="AD32" s="223">
        <f>Yr_4</f>
        <v>45838</v>
      </c>
      <c r="AE32" s="223">
        <f>Yr_5</f>
        <v>46203</v>
      </c>
      <c r="AF32" s="297" t="str">
        <f>NReg_Period</f>
        <v>2022-26</v>
      </c>
    </row>
    <row r="33" spans="2:32">
      <c r="C33" s="1" t="s">
        <v>44</v>
      </c>
      <c r="D33" s="157">
        <f t="shared" ref="D33:K36" si="8">SUMIFS(D$7:D$30,$C$7:$C$30,$C33)</f>
        <v>0</v>
      </c>
      <c r="E33" s="157">
        <f t="shared" si="8"/>
        <v>0</v>
      </c>
      <c r="F33" s="680">
        <f t="shared" si="8"/>
        <v>0</v>
      </c>
      <c r="G33" s="681">
        <f t="shared" si="8"/>
        <v>0</v>
      </c>
      <c r="H33" s="680">
        <f t="shared" si="8"/>
        <v>0</v>
      </c>
      <c r="I33" s="680">
        <f t="shared" si="8"/>
        <v>0</v>
      </c>
      <c r="J33" s="680">
        <f t="shared" si="8"/>
        <v>0</v>
      </c>
      <c r="K33" s="680">
        <f t="shared" si="8"/>
        <v>0</v>
      </c>
      <c r="L33" s="680">
        <f t="shared" ref="L33:L35" si="9">SUM(G33:K33)</f>
        <v>0</v>
      </c>
      <c r="N33" s="157">
        <f t="shared" ref="N33:U36" si="10">SUMIFS(N$7:N$30,$C$7:$C$30,$C33)</f>
        <v>0</v>
      </c>
      <c r="O33" s="157">
        <f t="shared" si="10"/>
        <v>0</v>
      </c>
      <c r="P33" s="680">
        <f t="shared" si="10"/>
        <v>1017.2717727793053</v>
      </c>
      <c r="Q33" s="681">
        <f t="shared" si="10"/>
        <v>38205.476514657872</v>
      </c>
      <c r="R33" s="680">
        <f t="shared" si="10"/>
        <v>35692.188171356363</v>
      </c>
      <c r="S33" s="680">
        <f t="shared" si="10"/>
        <v>5574.0627501509707</v>
      </c>
      <c r="T33" s="680">
        <f t="shared" si="10"/>
        <v>2480.6863820068866</v>
      </c>
      <c r="U33" s="680">
        <f t="shared" si="10"/>
        <v>2071.6395376072687</v>
      </c>
      <c r="V33" s="680">
        <f t="shared" ref="V33:V35" si="11">SUM(Q33:U33)</f>
        <v>84024.053355779353</v>
      </c>
      <c r="X33" s="157">
        <f t="shared" ref="X33:AE36" si="12">SUMIFS(X$7:X$30,$C$7:$C$30,$C33)</f>
        <v>0</v>
      </c>
      <c r="Y33" s="157">
        <f t="shared" si="12"/>
        <v>0</v>
      </c>
      <c r="Z33" s="865">
        <f t="shared" si="12"/>
        <v>0</v>
      </c>
      <c r="AA33" s="866">
        <f t="shared" si="12"/>
        <v>0</v>
      </c>
      <c r="AB33" s="865">
        <f t="shared" si="12"/>
        <v>0</v>
      </c>
      <c r="AC33" s="865">
        <f t="shared" si="12"/>
        <v>0</v>
      </c>
      <c r="AD33" s="865">
        <f t="shared" si="12"/>
        <v>0</v>
      </c>
      <c r="AE33" s="865">
        <f t="shared" si="12"/>
        <v>0</v>
      </c>
      <c r="AF33" s="865">
        <f t="shared" ref="AF33:AF35" si="13">SUM(AA33:AE33)</f>
        <v>0</v>
      </c>
    </row>
    <row r="34" spans="2:32">
      <c r="C34" s="1" t="s">
        <v>45</v>
      </c>
      <c r="D34" s="157">
        <f t="shared" si="8"/>
        <v>0</v>
      </c>
      <c r="E34" s="157">
        <f t="shared" si="8"/>
        <v>0</v>
      </c>
      <c r="F34" s="680">
        <f t="shared" si="8"/>
        <v>132.85723798104254</v>
      </c>
      <c r="G34" s="681">
        <f t="shared" si="8"/>
        <v>17396.522435333623</v>
      </c>
      <c r="H34" s="680">
        <f t="shared" si="8"/>
        <v>13268.462264300022</v>
      </c>
      <c r="I34" s="680">
        <f t="shared" si="8"/>
        <v>10486.092856078254</v>
      </c>
      <c r="J34" s="680">
        <f t="shared" si="8"/>
        <v>14945.163255946953</v>
      </c>
      <c r="K34" s="680">
        <f t="shared" si="8"/>
        <v>25168.076744439291</v>
      </c>
      <c r="L34" s="680">
        <f t="shared" si="9"/>
        <v>81264.317556098133</v>
      </c>
      <c r="N34" s="157">
        <f t="shared" si="10"/>
        <v>0</v>
      </c>
      <c r="O34" s="157">
        <f t="shared" si="10"/>
        <v>0</v>
      </c>
      <c r="P34" s="680">
        <f t="shared" si="10"/>
        <v>460.40749807264814</v>
      </c>
      <c r="Q34" s="681">
        <f t="shared" si="10"/>
        <v>10430.371195810607</v>
      </c>
      <c r="R34" s="680">
        <f t="shared" si="10"/>
        <v>9411.0094467924246</v>
      </c>
      <c r="S34" s="680">
        <f t="shared" si="10"/>
        <v>178.9457263135844</v>
      </c>
      <c r="T34" s="680">
        <f t="shared" si="10"/>
        <v>0</v>
      </c>
      <c r="U34" s="680">
        <f t="shared" si="10"/>
        <v>0</v>
      </c>
      <c r="V34" s="680">
        <f t="shared" si="11"/>
        <v>20020.326368916616</v>
      </c>
      <c r="X34" s="157">
        <f t="shared" si="12"/>
        <v>0</v>
      </c>
      <c r="Y34" s="157">
        <f t="shared" si="12"/>
        <v>0</v>
      </c>
      <c r="Z34" s="865">
        <f t="shared" si="12"/>
        <v>0</v>
      </c>
      <c r="AA34" s="866">
        <f t="shared" si="12"/>
        <v>0</v>
      </c>
      <c r="AB34" s="865">
        <f t="shared" si="12"/>
        <v>0</v>
      </c>
      <c r="AC34" s="865">
        <f t="shared" si="12"/>
        <v>0</v>
      </c>
      <c r="AD34" s="865">
        <f t="shared" si="12"/>
        <v>0</v>
      </c>
      <c r="AE34" s="865">
        <f t="shared" si="12"/>
        <v>0</v>
      </c>
      <c r="AF34" s="865">
        <f t="shared" si="13"/>
        <v>0</v>
      </c>
    </row>
    <row r="35" spans="2:32">
      <c r="C35" s="1" t="s">
        <v>48</v>
      </c>
      <c r="D35" s="269">
        <f t="shared" si="8"/>
        <v>0</v>
      </c>
      <c r="E35" s="269">
        <f t="shared" si="8"/>
        <v>0</v>
      </c>
      <c r="F35" s="690">
        <f t="shared" si="8"/>
        <v>0</v>
      </c>
      <c r="G35" s="681">
        <f t="shared" si="8"/>
        <v>84.3966527632507</v>
      </c>
      <c r="H35" s="690">
        <f t="shared" si="8"/>
        <v>31.919475319327052</v>
      </c>
      <c r="I35" s="690">
        <f t="shared" si="8"/>
        <v>0</v>
      </c>
      <c r="J35" s="690">
        <f t="shared" si="8"/>
        <v>0</v>
      </c>
      <c r="K35" s="690">
        <f t="shared" si="8"/>
        <v>0</v>
      </c>
      <c r="L35" s="690">
        <f t="shared" si="9"/>
        <v>116.31612808257775</v>
      </c>
      <c r="M35" s="41"/>
      <c r="N35" s="269">
        <f t="shared" si="10"/>
        <v>0</v>
      </c>
      <c r="O35" s="269">
        <f t="shared" si="10"/>
        <v>0</v>
      </c>
      <c r="P35" s="690">
        <f t="shared" si="10"/>
        <v>283.63853542862512</v>
      </c>
      <c r="Q35" s="681">
        <f t="shared" si="10"/>
        <v>12886.700082874802</v>
      </c>
      <c r="R35" s="690">
        <f t="shared" si="10"/>
        <v>10268.936495412605</v>
      </c>
      <c r="S35" s="690">
        <f t="shared" si="10"/>
        <v>1423.533175730196</v>
      </c>
      <c r="T35" s="690">
        <f t="shared" si="10"/>
        <v>1074.1603438646655</v>
      </c>
      <c r="U35" s="690">
        <f t="shared" si="10"/>
        <v>807.32702005353974</v>
      </c>
      <c r="V35" s="690">
        <f t="shared" si="11"/>
        <v>26460.657117935811</v>
      </c>
      <c r="W35" s="41"/>
      <c r="X35" s="269">
        <f t="shared" si="12"/>
        <v>0</v>
      </c>
      <c r="Y35" s="269">
        <f t="shared" si="12"/>
        <v>0</v>
      </c>
      <c r="Z35" s="873">
        <f t="shared" si="12"/>
        <v>0</v>
      </c>
      <c r="AA35" s="866">
        <f t="shared" si="12"/>
        <v>0</v>
      </c>
      <c r="AB35" s="873">
        <f t="shared" si="12"/>
        <v>0</v>
      </c>
      <c r="AC35" s="873">
        <f t="shared" si="12"/>
        <v>0</v>
      </c>
      <c r="AD35" s="873">
        <f t="shared" si="12"/>
        <v>0</v>
      </c>
      <c r="AE35" s="873">
        <f t="shared" si="12"/>
        <v>0</v>
      </c>
      <c r="AF35" s="873">
        <f t="shared" si="13"/>
        <v>0</v>
      </c>
    </row>
    <row r="36" spans="2:32">
      <c r="C36" s="1" t="s">
        <v>395</v>
      </c>
      <c r="D36" s="220">
        <f t="shared" si="8"/>
        <v>0</v>
      </c>
      <c r="E36" s="220">
        <f t="shared" si="8"/>
        <v>0</v>
      </c>
      <c r="F36" s="691">
        <f t="shared" si="8"/>
        <v>0</v>
      </c>
      <c r="G36" s="692">
        <f t="shared" si="8"/>
        <v>0</v>
      </c>
      <c r="H36" s="691">
        <f t="shared" si="8"/>
        <v>0</v>
      </c>
      <c r="I36" s="691">
        <f t="shared" si="8"/>
        <v>0</v>
      </c>
      <c r="J36" s="691">
        <f t="shared" si="8"/>
        <v>0</v>
      </c>
      <c r="K36" s="691">
        <f t="shared" si="8"/>
        <v>0</v>
      </c>
      <c r="L36" s="691">
        <f t="shared" ref="L36" si="14">SUM(G36:K36)</f>
        <v>0</v>
      </c>
      <c r="N36" s="220">
        <f t="shared" si="10"/>
        <v>0</v>
      </c>
      <c r="O36" s="220">
        <f t="shared" si="10"/>
        <v>0</v>
      </c>
      <c r="P36" s="691">
        <f t="shared" si="10"/>
        <v>0</v>
      </c>
      <c r="Q36" s="692">
        <f t="shared" si="10"/>
        <v>895.29899047895879</v>
      </c>
      <c r="R36" s="691">
        <f t="shared" si="10"/>
        <v>0</v>
      </c>
      <c r="S36" s="691">
        <f t="shared" si="10"/>
        <v>0</v>
      </c>
      <c r="T36" s="691">
        <f t="shared" si="10"/>
        <v>0</v>
      </c>
      <c r="U36" s="691">
        <f t="shared" si="10"/>
        <v>0</v>
      </c>
      <c r="V36" s="691">
        <f t="shared" ref="V36" si="15">SUM(Q36:U36)</f>
        <v>895.29899047895879</v>
      </c>
      <c r="X36" s="220">
        <f t="shared" si="12"/>
        <v>0</v>
      </c>
      <c r="Y36" s="220">
        <f t="shared" si="12"/>
        <v>0</v>
      </c>
      <c r="Z36" s="874">
        <f t="shared" si="12"/>
        <v>0</v>
      </c>
      <c r="AA36" s="875">
        <f t="shared" si="12"/>
        <v>0</v>
      </c>
      <c r="AB36" s="874">
        <f t="shared" si="12"/>
        <v>0</v>
      </c>
      <c r="AC36" s="874">
        <f t="shared" si="12"/>
        <v>0</v>
      </c>
      <c r="AD36" s="874">
        <f t="shared" si="12"/>
        <v>0</v>
      </c>
      <c r="AE36" s="874">
        <f t="shared" si="12"/>
        <v>0</v>
      </c>
      <c r="AF36" s="874">
        <f t="shared" ref="AF36" si="16">SUM(AA36:AE36)</f>
        <v>0</v>
      </c>
    </row>
    <row r="37" spans="2:32">
      <c r="C37" s="2" t="s">
        <v>483</v>
      </c>
      <c r="D37" s="158">
        <f>SUM(D33:D36)</f>
        <v>0</v>
      </c>
      <c r="E37" s="158">
        <f t="shared" ref="E37:L37" si="17">SUM(E33:E36)</f>
        <v>0</v>
      </c>
      <c r="F37" s="682">
        <f t="shared" si="17"/>
        <v>132.85723798104254</v>
      </c>
      <c r="G37" s="686">
        <f t="shared" si="17"/>
        <v>17480.919088096874</v>
      </c>
      <c r="H37" s="682">
        <f t="shared" si="17"/>
        <v>13300.38173961935</v>
      </c>
      <c r="I37" s="682">
        <f t="shared" si="17"/>
        <v>10486.092856078254</v>
      </c>
      <c r="J37" s="682">
        <f t="shared" si="17"/>
        <v>14945.163255946953</v>
      </c>
      <c r="K37" s="682">
        <f t="shared" si="17"/>
        <v>25168.076744439291</v>
      </c>
      <c r="L37" s="693">
        <f t="shared" si="17"/>
        <v>81380.633684180706</v>
      </c>
      <c r="N37" s="158">
        <f t="shared" ref="N37:V37" si="18">SUM(N33:N36)</f>
        <v>0</v>
      </c>
      <c r="O37" s="158">
        <f t="shared" si="18"/>
        <v>0</v>
      </c>
      <c r="P37" s="682">
        <f t="shared" si="18"/>
        <v>1761.3178062805785</v>
      </c>
      <c r="Q37" s="686">
        <f t="shared" si="18"/>
        <v>62417.846783822242</v>
      </c>
      <c r="R37" s="682">
        <f t="shared" si="18"/>
        <v>55372.134113561391</v>
      </c>
      <c r="S37" s="682">
        <f t="shared" si="18"/>
        <v>7176.5416521947518</v>
      </c>
      <c r="T37" s="682">
        <f t="shared" si="18"/>
        <v>3554.8467258715518</v>
      </c>
      <c r="U37" s="682">
        <f t="shared" si="18"/>
        <v>2878.9665576608086</v>
      </c>
      <c r="V37" s="693">
        <f t="shared" si="18"/>
        <v>131400.33583311076</v>
      </c>
      <c r="X37" s="158">
        <f t="shared" ref="X37:AF37" si="19">SUM(X33:X36)</f>
        <v>0</v>
      </c>
      <c r="Y37" s="158">
        <f t="shared" si="19"/>
        <v>0</v>
      </c>
      <c r="Z37" s="876">
        <f t="shared" si="19"/>
        <v>0</v>
      </c>
      <c r="AA37" s="877">
        <f t="shared" si="19"/>
        <v>0</v>
      </c>
      <c r="AB37" s="876">
        <f t="shared" si="19"/>
        <v>0</v>
      </c>
      <c r="AC37" s="876">
        <f t="shared" si="19"/>
        <v>0</v>
      </c>
      <c r="AD37" s="876">
        <f t="shared" si="19"/>
        <v>0</v>
      </c>
      <c r="AE37" s="876">
        <f t="shared" si="19"/>
        <v>0</v>
      </c>
      <c r="AF37" s="878">
        <f t="shared" si="19"/>
        <v>0</v>
      </c>
    </row>
    <row r="38" spans="2:32">
      <c r="F38" s="129"/>
      <c r="G38" s="129"/>
      <c r="H38" s="129"/>
      <c r="I38" s="129"/>
      <c r="J38" s="129"/>
      <c r="K38" s="129"/>
      <c r="L38" s="129"/>
      <c r="AA38" s="38"/>
    </row>
    <row r="39" spans="2:32">
      <c r="F39" s="129"/>
      <c r="G39" s="129"/>
      <c r="H39" s="129"/>
      <c r="I39" s="129"/>
      <c r="J39" s="129"/>
      <c r="K39" s="129"/>
      <c r="L39" s="129"/>
    </row>
    <row r="40" spans="2:32">
      <c r="B40" s="2" t="s">
        <v>512</v>
      </c>
      <c r="F40" s="129"/>
      <c r="G40" s="129"/>
      <c r="H40" s="129"/>
      <c r="I40" s="129"/>
      <c r="J40" s="129"/>
      <c r="K40" s="129"/>
      <c r="L40" s="129"/>
    </row>
    <row r="41" spans="2:32">
      <c r="B41" s="247" t="s">
        <v>513</v>
      </c>
      <c r="D41" s="223">
        <f>CP_Yr_4</f>
        <v>43800</v>
      </c>
      <c r="E41" s="223">
        <f>CP_Yr_5</f>
        <v>44166</v>
      </c>
      <c r="F41" s="687">
        <f>Stub</f>
        <v>44377</v>
      </c>
      <c r="G41" s="688">
        <f>Yr_1</f>
        <v>44742</v>
      </c>
      <c r="H41" s="687">
        <f>Yr_2</f>
        <v>45107</v>
      </c>
      <c r="I41" s="687">
        <f>Yr_3</f>
        <v>45473</v>
      </c>
      <c r="J41" s="687">
        <f>Yr_4</f>
        <v>45838</v>
      </c>
      <c r="K41" s="687">
        <f>Yr_5</f>
        <v>46203</v>
      </c>
      <c r="L41" s="689" t="str">
        <f>NReg_Period</f>
        <v>2022-26</v>
      </c>
    </row>
    <row r="42" spans="2:32">
      <c r="B42" s="247"/>
      <c r="C42" s="1" t="s">
        <v>49</v>
      </c>
      <c r="D42" s="223"/>
      <c r="E42" s="223"/>
      <c r="F42" s="839">
        <f>'Capex_2016-2026'!J102*Thousands/Escalators!$P$14</f>
        <v>1188.6435340148018</v>
      </c>
      <c r="G42" s="688"/>
      <c r="H42" s="687"/>
      <c r="I42" s="687"/>
      <c r="J42" s="687"/>
      <c r="K42" s="687"/>
      <c r="L42" s="689"/>
    </row>
    <row r="43" spans="2:32">
      <c r="C43" s="54" t="s">
        <v>50</v>
      </c>
      <c r="D43" s="157">
        <f>Capex_by_Driver!D31</f>
        <v>0</v>
      </c>
      <c r="E43" s="157">
        <f>Capex_by_Driver!E31</f>
        <v>0</v>
      </c>
      <c r="F43" s="680">
        <v>0</v>
      </c>
      <c r="G43" s="681">
        <v>0</v>
      </c>
      <c r="H43" s="680">
        <v>0</v>
      </c>
      <c r="I43" s="680">
        <v>0</v>
      </c>
      <c r="J43" s="680">
        <v>0</v>
      </c>
      <c r="K43" s="680">
        <v>0</v>
      </c>
      <c r="L43" s="680">
        <f t="shared" ref="L43:L44" si="20">SUM(G43:K43)</f>
        <v>0</v>
      </c>
    </row>
    <row r="44" spans="2:32">
      <c r="C44" s="1" t="s">
        <v>395</v>
      </c>
      <c r="D44" s="220">
        <f>Capex_by_Driver!D32</f>
        <v>0</v>
      </c>
      <c r="E44" s="220">
        <f>Capex_by_Driver!E32</f>
        <v>0</v>
      </c>
      <c r="F44" s="691">
        <v>0</v>
      </c>
      <c r="G44" s="692">
        <v>641.13755859133198</v>
      </c>
      <c r="H44" s="691">
        <v>0</v>
      </c>
      <c r="I44" s="691">
        <v>0</v>
      </c>
      <c r="J44" s="691">
        <v>0</v>
      </c>
      <c r="K44" s="691">
        <v>0</v>
      </c>
      <c r="L44" s="691">
        <f t="shared" si="20"/>
        <v>641.13755859133198</v>
      </c>
    </row>
    <row r="45" spans="2:32">
      <c r="C45" s="1" t="s">
        <v>146</v>
      </c>
      <c r="D45" s="158">
        <f t="shared" ref="D45:E45" si="21">SUM(D43:D44)</f>
        <v>0</v>
      </c>
      <c r="E45" s="158">
        <f t="shared" si="21"/>
        <v>0</v>
      </c>
      <c r="F45" s="682">
        <f>SUM(F42:F44)</f>
        <v>1188.6435340148018</v>
      </c>
      <c r="G45" s="686">
        <f t="shared" ref="G45:L45" si="22">SUM(G42:G44)</f>
        <v>641.13755859133198</v>
      </c>
      <c r="H45" s="682">
        <f t="shared" si="22"/>
        <v>0</v>
      </c>
      <c r="I45" s="682">
        <f t="shared" si="22"/>
        <v>0</v>
      </c>
      <c r="J45" s="682">
        <f t="shared" si="22"/>
        <v>0</v>
      </c>
      <c r="K45" s="682">
        <f t="shared" si="22"/>
        <v>0</v>
      </c>
      <c r="L45" s="682">
        <f t="shared" si="22"/>
        <v>641.13755859133198</v>
      </c>
    </row>
    <row r="46" spans="2:32">
      <c r="B46" s="54"/>
      <c r="F46" s="129"/>
      <c r="G46" s="129"/>
      <c r="H46" s="129"/>
      <c r="I46" s="129"/>
      <c r="J46" s="129"/>
      <c r="K46" s="129"/>
      <c r="L46" s="129"/>
    </row>
    <row r="47" spans="2:32">
      <c r="B47" s="2" t="s">
        <v>669</v>
      </c>
      <c r="F47" s="129"/>
      <c r="G47" s="129"/>
      <c r="H47" s="129"/>
      <c r="I47" s="129"/>
      <c r="J47" s="129"/>
      <c r="K47" s="129"/>
      <c r="L47" s="129"/>
    </row>
    <row r="48" spans="2:32">
      <c r="B48" s="2"/>
      <c r="D48" s="223">
        <f>CP_Yr_4</f>
        <v>43800</v>
      </c>
      <c r="E48" s="223">
        <f>CP_Yr_5</f>
        <v>44166</v>
      </c>
      <c r="F48" s="687">
        <f>Stub</f>
        <v>44377</v>
      </c>
      <c r="G48" s="688">
        <f>Yr_1</f>
        <v>44742</v>
      </c>
      <c r="H48" s="687">
        <f>Yr_2</f>
        <v>45107</v>
      </c>
      <c r="I48" s="687">
        <f>Yr_3</f>
        <v>45473</v>
      </c>
      <c r="J48" s="687">
        <f>Yr_4</f>
        <v>45838</v>
      </c>
      <c r="K48" s="687">
        <f>Yr_5</f>
        <v>46203</v>
      </c>
      <c r="L48" s="689" t="str">
        <f>NReg_Period</f>
        <v>2022-26</v>
      </c>
    </row>
    <row r="49" spans="3:12">
      <c r="C49" s="2" t="s">
        <v>602</v>
      </c>
      <c r="D49" s="158">
        <f t="shared" ref="D49:E49" si="23">D37+N37+D45</f>
        <v>0</v>
      </c>
      <c r="E49" s="158">
        <f t="shared" si="23"/>
        <v>0</v>
      </c>
      <c r="F49" s="682">
        <f>F37+P37+F45</f>
        <v>3082.8185782764231</v>
      </c>
      <c r="G49" s="686">
        <f t="shared" ref="G49:K49" si="24">G37+Q37+G45</f>
        <v>80539.903430510443</v>
      </c>
      <c r="H49" s="682">
        <f t="shared" si="24"/>
        <v>68672.515853180739</v>
      </c>
      <c r="I49" s="682">
        <f t="shared" si="24"/>
        <v>17662.634508273004</v>
      </c>
      <c r="J49" s="682">
        <f t="shared" si="24"/>
        <v>18500.009981818504</v>
      </c>
      <c r="K49" s="682">
        <f t="shared" si="24"/>
        <v>28047.043302100101</v>
      </c>
      <c r="L49" s="693">
        <f t="shared" ref="L49" si="25">SUM(G49:K49)</f>
        <v>213422.10707588278</v>
      </c>
    </row>
    <row r="50" spans="3:12">
      <c r="D50" s="1" t="b">
        <f>ROUND(D49,5)=ROUND(SUM(Capex_by_Driver!AH22,Capex_by_Driver!AH27),5)</f>
        <v>1</v>
      </c>
      <c r="E50" s="1" t="b">
        <f>ROUND(E49,5)=ROUND(SUM(Capex_by_Driver!AI22,Capex_by_Driver!AI27),5)</f>
        <v>1</v>
      </c>
      <c r="F50" s="129" t="b">
        <f>ROUND(F49,5)=(ROUND(SUM(Capex_by_Driver!AJ22,Capex_by_Driver!AJ27,'Capex_2016-2026'!J102*Thousands/Escalators!$P$14),5))</f>
        <v>1</v>
      </c>
      <c r="G50" s="129" t="b">
        <f>ROUND(G49,5)=ROUND(SUM(Capex_by_Driver!AK22,Capex_by_Driver!AK27),5)</f>
        <v>1</v>
      </c>
      <c r="H50" s="129" t="b">
        <f>ROUND(H49,5)=ROUND(SUM(Capex_by_Driver!AL22,Capex_by_Driver!AL27),5)</f>
        <v>1</v>
      </c>
      <c r="I50" s="129" t="b">
        <f>ROUND(I49,5)=ROUND(SUM(Capex_by_Driver!AM22,Capex_by_Driver!AM27),5)</f>
        <v>1</v>
      </c>
      <c r="J50" s="129" t="b">
        <f>ROUND(J49,5)=ROUND(SUM(Capex_by_Driver!AN22,Capex_by_Driver!AN27),5)</f>
        <v>1</v>
      </c>
      <c r="K50" s="129" t="b">
        <f>ROUND(K49,5)=ROUND(SUM(Capex_by_Driver!AO22,Capex_by_Driver!AO27),5)</f>
        <v>1</v>
      </c>
      <c r="L50" s="129" t="b">
        <f>ROUND(L49,5)=ROUND(SUM(Capex_by_Driver!AP22,Capex_by_Driver!AP27),5)</f>
        <v>1</v>
      </c>
    </row>
    <row r="51" spans="3:12">
      <c r="F51" s="129"/>
      <c r="G51" s="129"/>
      <c r="H51" s="129"/>
      <c r="I51" s="129"/>
      <c r="J51" s="129"/>
      <c r="K51" s="129"/>
      <c r="L51" s="129"/>
    </row>
    <row r="52" spans="3:12">
      <c r="C52" s="2" t="s">
        <v>604</v>
      </c>
      <c r="D52" s="158">
        <f>D49*Escalators!$M$17</f>
        <v>0</v>
      </c>
      <c r="E52" s="158">
        <f>E49*Escalators!$M$17</f>
        <v>0</v>
      </c>
      <c r="F52" s="682">
        <f>F49*Escalators!$M$17</f>
        <v>3267.1221538603741</v>
      </c>
      <c r="G52" s="686">
        <f>G49*Escalators!$M$17</f>
        <v>85354.910153263569</v>
      </c>
      <c r="H52" s="682">
        <f>H49*Escalators!$M$17</f>
        <v>72778.041330830791</v>
      </c>
      <c r="I52" s="682">
        <f>I49*Escalators!$M$17</f>
        <v>18718.579453280829</v>
      </c>
      <c r="J52" s="682">
        <f>J49*Escalators!$M$17</f>
        <v>19606.016677124662</v>
      </c>
      <c r="K52" s="682">
        <f>K49*Escalators!$M$17</f>
        <v>29723.810920396016</v>
      </c>
      <c r="L52" s="693">
        <f t="shared" ref="L52" si="26">SUM(G52:K52)</f>
        <v>226181.35853489587</v>
      </c>
    </row>
  </sheetData>
  <mergeCells count="6">
    <mergeCell ref="X3:AF3"/>
    <mergeCell ref="I1:J1"/>
    <mergeCell ref="D4:L4"/>
    <mergeCell ref="D3:L3"/>
    <mergeCell ref="N3:V3"/>
    <mergeCell ref="N4:V4"/>
  </mergeCells>
  <hyperlinks>
    <hyperlink ref="B2" location="Contents!A1" display="Table of Contents"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B1:AC139"/>
  <sheetViews>
    <sheetView zoomScale="85" zoomScaleNormal="85" zoomScalePageLayoutView="125" workbookViewId="0">
      <pane ySplit="2" topLeftCell="A3" activePane="bottomLeft" state="frozen"/>
      <selection activeCell="M14" sqref="M14"/>
      <selection pane="bottomLeft" activeCell="A28" sqref="A28"/>
    </sheetView>
  </sheetViews>
  <sheetFormatPr defaultColWidth="8.85546875" defaultRowHeight="15" outlineLevelCol="1"/>
  <cols>
    <col min="1" max="1" width="4.42578125" style="1" customWidth="1"/>
    <col min="2" max="2" width="47.5703125" style="1" customWidth="1"/>
    <col min="3" max="6" width="10" style="1" hidden="1" customWidth="1" outlineLevel="1"/>
    <col min="7" max="7" width="9" style="1" hidden="1" customWidth="1" outlineLevel="1"/>
    <col min="8" max="8" width="11.140625" style="1" customWidth="1" collapsed="1"/>
    <col min="9" max="9" width="9.42578125" style="1" customWidth="1"/>
    <col min="10" max="10" width="10" style="1" customWidth="1"/>
    <col min="11" max="12" width="9.42578125" style="1" customWidth="1"/>
    <col min="13" max="13" width="9.28515625" style="1" customWidth="1"/>
    <col min="14" max="15" width="9.7109375" style="1" customWidth="1"/>
    <col min="16" max="16" width="7.42578125" style="1" customWidth="1"/>
    <col min="17" max="17" width="5.28515625" style="1" customWidth="1"/>
    <col min="18" max="18" width="41.28515625" style="1" customWidth="1"/>
    <col min="19" max="19" width="11.7109375" style="1" customWidth="1"/>
    <col min="20" max="20" width="9.5703125" style="1" customWidth="1"/>
    <col min="21" max="21" width="11.28515625" style="1" bestFit="1" customWidth="1"/>
    <col min="22" max="25" width="8.85546875" style="1"/>
    <col min="26" max="26" width="8.85546875" style="1" customWidth="1"/>
    <col min="27" max="16384" width="8.85546875" style="1"/>
  </cols>
  <sheetData>
    <row r="1" spans="2:29" ht="18.75">
      <c r="B1" s="10" t="s">
        <v>742</v>
      </c>
      <c r="C1" s="10"/>
      <c r="D1" s="10"/>
      <c r="E1" s="10"/>
      <c r="F1" s="10"/>
      <c r="J1" s="969" t="s">
        <v>737</v>
      </c>
      <c r="K1" s="969"/>
    </row>
    <row r="2" spans="2:29">
      <c r="B2" s="25" t="s">
        <v>6</v>
      </c>
      <c r="C2" s="25"/>
      <c r="D2" s="25"/>
      <c r="E2" s="25"/>
      <c r="F2" s="25"/>
    </row>
    <row r="3" spans="2:29">
      <c r="I3" s="54"/>
    </row>
    <row r="4" spans="2:29">
      <c r="H4" s="85"/>
    </row>
    <row r="5" spans="2:29">
      <c r="B5" s="2" t="s">
        <v>304</v>
      </c>
      <c r="C5" s="36" t="s">
        <v>285</v>
      </c>
      <c r="D5" s="36" t="s">
        <v>285</v>
      </c>
      <c r="E5" s="36" t="s">
        <v>285</v>
      </c>
      <c r="F5" s="36" t="s">
        <v>285</v>
      </c>
      <c r="G5" s="36" t="s">
        <v>285</v>
      </c>
      <c r="H5" s="86" t="s">
        <v>285</v>
      </c>
      <c r="I5" s="322" t="s">
        <v>285</v>
      </c>
      <c r="J5" s="322" t="s">
        <v>285</v>
      </c>
      <c r="K5" s="322" t="s">
        <v>285</v>
      </c>
      <c r="L5" s="322" t="s">
        <v>285</v>
      </c>
      <c r="N5" s="395" t="s">
        <v>639</v>
      </c>
    </row>
    <row r="6" spans="2:29">
      <c r="B6" s="1" t="s">
        <v>668</v>
      </c>
      <c r="C6" s="36">
        <v>2009</v>
      </c>
      <c r="D6" s="36">
        <v>2010</v>
      </c>
      <c r="E6" s="36">
        <v>2011</v>
      </c>
      <c r="F6" s="36">
        <v>2012</v>
      </c>
      <c r="G6" s="36">
        <v>2013</v>
      </c>
      <c r="H6" s="86">
        <v>2014</v>
      </c>
      <c r="I6" s="322">
        <v>2015</v>
      </c>
      <c r="J6" s="322">
        <v>2016</v>
      </c>
      <c r="K6" s="322">
        <v>2017</v>
      </c>
      <c r="L6" s="322">
        <v>2018</v>
      </c>
      <c r="N6" s="395" t="s">
        <v>640</v>
      </c>
      <c r="S6" s="322" t="s">
        <v>548</v>
      </c>
      <c r="T6" s="322" t="s">
        <v>548</v>
      </c>
      <c r="U6" s="322" t="s">
        <v>548</v>
      </c>
      <c r="V6" s="861" t="s">
        <v>548</v>
      </c>
      <c r="W6" s="322" t="s">
        <v>549</v>
      </c>
      <c r="X6" s="352" t="s">
        <v>549</v>
      </c>
      <c r="Y6" s="322" t="s">
        <v>549</v>
      </c>
      <c r="Z6" s="322" t="s">
        <v>549</v>
      </c>
      <c r="AA6" s="322" t="s">
        <v>549</v>
      </c>
      <c r="AB6" s="322" t="s">
        <v>549</v>
      </c>
      <c r="AC6" s="322" t="s">
        <v>549</v>
      </c>
    </row>
    <row r="7" spans="2:29">
      <c r="B7" s="1" t="s">
        <v>667</v>
      </c>
      <c r="G7" s="36"/>
      <c r="H7" s="86"/>
      <c r="R7" s="353" t="s">
        <v>593</v>
      </c>
      <c r="S7" s="322" t="s">
        <v>545</v>
      </c>
      <c r="T7" s="322" t="s">
        <v>546</v>
      </c>
      <c r="U7" s="322" t="s">
        <v>547</v>
      </c>
      <c r="V7" s="322" t="s">
        <v>400</v>
      </c>
      <c r="W7" s="322" t="s">
        <v>401</v>
      </c>
      <c r="X7" s="352" t="s">
        <v>605</v>
      </c>
      <c r="Y7" s="322" t="s">
        <v>398</v>
      </c>
      <c r="Z7" s="352" t="s">
        <v>399</v>
      </c>
      <c r="AA7" s="352" t="s">
        <v>590</v>
      </c>
      <c r="AB7" s="352" t="s">
        <v>591</v>
      </c>
      <c r="AC7" s="352" t="s">
        <v>592</v>
      </c>
    </row>
    <row r="8" spans="2:29">
      <c r="B8" s="1" t="s">
        <v>300</v>
      </c>
      <c r="C8" s="39">
        <v>22005.248581235435</v>
      </c>
      <c r="D8" s="39">
        <v>21207.955597916622</v>
      </c>
      <c r="E8" s="39">
        <v>19739.077062148237</v>
      </c>
      <c r="F8" s="39">
        <v>17634.586308452643</v>
      </c>
      <c r="G8" s="39">
        <v>23185.111005042723</v>
      </c>
      <c r="H8" s="50">
        <v>25600.483399212801</v>
      </c>
      <c r="I8" s="39">
        <v>30709.73281077436</v>
      </c>
      <c r="J8" s="39">
        <v>24464.225164879219</v>
      </c>
      <c r="K8" s="39">
        <v>29267.094922092616</v>
      </c>
      <c r="L8" s="39">
        <v>30691.961257964911</v>
      </c>
      <c r="N8" s="39">
        <f>AVERAGE(J8:L8)</f>
        <v>28141.093781645584</v>
      </c>
      <c r="O8" s="107">
        <f>N8/$N$10</f>
        <v>0.84075791937259714</v>
      </c>
      <c r="R8" s="78" t="s">
        <v>671</v>
      </c>
      <c r="S8" s="285">
        <f>J10/Thousands*Escalators!K$17</f>
        <v>34.241301717499539</v>
      </c>
      <c r="T8" s="285">
        <f>K10/Thousands*Escalators!L$17</f>
        <v>37.831586066818709</v>
      </c>
      <c r="U8" s="285">
        <f>L10/Thousands*Escalators!M$17</f>
        <v>35.814974708847323</v>
      </c>
      <c r="V8" s="731">
        <f>H17/Thousands*Escalators!$M$17</f>
        <v>31.204913412429637</v>
      </c>
      <c r="W8" s="365">
        <f>I17/Thousands*Escalators!$M$17</f>
        <v>26.825663035125778</v>
      </c>
      <c r="X8" s="365">
        <f>J17/Thousands*Escalators!$M$17</f>
        <v>15.092491611615888</v>
      </c>
      <c r="Y8" s="365">
        <f>K17/Thousands*Escalators!$M$17</f>
        <v>30.109440114215023</v>
      </c>
      <c r="Z8" s="365">
        <f>L17/Thousands*Escalators!$M$17</f>
        <v>30.175752667281611</v>
      </c>
      <c r="AA8" s="365">
        <f>M17/Thousands*Escalators!$M$17</f>
        <v>28.895471299424131</v>
      </c>
      <c r="AB8" s="365">
        <f>N17/Thousands*Escalators!$M$17</f>
        <v>28.509793964210356</v>
      </c>
      <c r="AC8" s="365">
        <f>O17/Thousands*Escalators!$M$17</f>
        <v>28.381216985382164</v>
      </c>
    </row>
    <row r="9" spans="2:29">
      <c r="B9" s="1" t="s">
        <v>301</v>
      </c>
      <c r="C9" s="40">
        <v>7800.823087035651</v>
      </c>
      <c r="D9" s="40">
        <v>9012.2092141115409</v>
      </c>
      <c r="E9" s="40">
        <v>11214.876283642518</v>
      </c>
      <c r="F9" s="40">
        <v>14659.791965299493</v>
      </c>
      <c r="G9" s="40">
        <v>7936.3113489698062</v>
      </c>
      <c r="H9" s="40">
        <v>8817.2221277890894</v>
      </c>
      <c r="I9" s="40">
        <v>11983.594543508281</v>
      </c>
      <c r="J9" s="40">
        <v>6976.7748351207802</v>
      </c>
      <c r="K9" s="40">
        <v>5910.6152066409077</v>
      </c>
      <c r="L9" s="40">
        <v>3102.6335607427327</v>
      </c>
      <c r="N9" s="40">
        <f>AVERAGE(J9:L9)</f>
        <v>5330.0078675014738</v>
      </c>
      <c r="O9" s="107">
        <f>N9/$N$10</f>
        <v>0.15924208062740289</v>
      </c>
    </row>
    <row r="10" spans="2:29">
      <c r="B10" s="56" t="s">
        <v>146</v>
      </c>
      <c r="C10" s="39">
        <f t="shared" ref="C10" si="0">SUM(C8:C9)</f>
        <v>29806.071668271084</v>
      </c>
      <c r="D10" s="39">
        <f t="shared" ref="D10" si="1">SUM(D8:D9)</f>
        <v>30220.164812028161</v>
      </c>
      <c r="E10" s="39">
        <f t="shared" ref="E10" si="2">SUM(E8:E9)</f>
        <v>30953.953345790753</v>
      </c>
      <c r="F10" s="39">
        <f t="shared" ref="F10" si="3">SUM(F8:F9)</f>
        <v>32294.378273752136</v>
      </c>
      <c r="G10" s="39">
        <f>SUM(G8:G9)</f>
        <v>31121.422354012531</v>
      </c>
      <c r="H10" s="50">
        <f>SUM(H8:H9)</f>
        <v>34417.70552700189</v>
      </c>
      <c r="I10" s="39">
        <f t="shared" ref="I10:N10" si="4">SUM(I8:I9)</f>
        <v>42693.327354282643</v>
      </c>
      <c r="J10" s="39">
        <f t="shared" si="4"/>
        <v>31441</v>
      </c>
      <c r="K10" s="39">
        <f t="shared" si="4"/>
        <v>35177.710128733524</v>
      </c>
      <c r="L10" s="39">
        <f t="shared" si="4"/>
        <v>33794.594818707643</v>
      </c>
      <c r="N10" s="39">
        <f t="shared" si="4"/>
        <v>33471.101649147058</v>
      </c>
      <c r="R10" s="78"/>
      <c r="S10" s="405"/>
      <c r="T10" s="405"/>
      <c r="U10" s="405"/>
      <c r="V10" s="405"/>
      <c r="W10" s="405"/>
      <c r="X10" s="405"/>
      <c r="Y10" s="405"/>
      <c r="Z10" s="405"/>
      <c r="AA10" s="405"/>
      <c r="AB10" s="405"/>
      <c r="AC10" s="405"/>
    </row>
    <row r="11" spans="2:29">
      <c r="B11" s="24" t="s">
        <v>666</v>
      </c>
      <c r="D11" s="39"/>
      <c r="E11" s="39"/>
      <c r="F11" s="39"/>
      <c r="G11" s="50"/>
      <c r="H11" s="323"/>
      <c r="I11" s="50"/>
      <c r="J11" s="50"/>
      <c r="K11" s="39"/>
      <c r="R11" s="78"/>
      <c r="S11" s="281"/>
      <c r="T11" s="281"/>
      <c r="U11" s="281"/>
      <c r="V11" s="281"/>
      <c r="W11" s="281"/>
      <c r="X11" s="281"/>
      <c r="Y11" s="281"/>
      <c r="Z11" s="281"/>
      <c r="AA11" s="281"/>
      <c r="AB11" s="281"/>
      <c r="AC11" s="281"/>
    </row>
    <row r="12" spans="2:29">
      <c r="C12" s="39"/>
      <c r="D12" s="39"/>
      <c r="E12" s="39"/>
      <c r="F12" s="39"/>
      <c r="G12" s="50"/>
      <c r="H12" s="50"/>
      <c r="I12" s="50"/>
      <c r="J12" s="50"/>
      <c r="K12" s="39"/>
      <c r="N12" s="108"/>
      <c r="O12" s="108"/>
      <c r="P12" s="108"/>
      <c r="R12" s="78"/>
      <c r="S12" s="281"/>
      <c r="T12" s="281"/>
      <c r="U12" s="281"/>
      <c r="V12" s="281"/>
      <c r="W12" s="281"/>
      <c r="X12" s="281"/>
      <c r="Y12" s="281"/>
      <c r="Z12" s="281"/>
      <c r="AA12" s="281"/>
      <c r="AB12" s="281"/>
      <c r="AC12" s="281"/>
    </row>
    <row r="13" spans="2:29">
      <c r="B13" s="2" t="s">
        <v>681</v>
      </c>
      <c r="C13" s="50"/>
      <c r="D13" s="50"/>
      <c r="E13" s="50"/>
      <c r="F13" s="50"/>
      <c r="G13" s="50"/>
      <c r="H13" s="880" t="s">
        <v>285</v>
      </c>
      <c r="I13" s="861" t="s">
        <v>286</v>
      </c>
      <c r="J13" s="861" t="s">
        <v>636</v>
      </c>
      <c r="K13" s="977" t="s">
        <v>875</v>
      </c>
      <c r="L13" s="978"/>
      <c r="M13" s="978"/>
      <c r="N13" s="978"/>
      <c r="O13" s="979"/>
      <c r="V13" s="274"/>
      <c r="W13" s="274"/>
      <c r="X13" s="274"/>
      <c r="Y13" s="274"/>
      <c r="Z13" s="274"/>
      <c r="AA13" s="274"/>
      <c r="AB13" s="274"/>
      <c r="AC13" s="274"/>
    </row>
    <row r="14" spans="2:29">
      <c r="B14" s="183" t="s">
        <v>553</v>
      </c>
      <c r="C14" s="50"/>
      <c r="D14" s="50"/>
      <c r="E14" s="50"/>
      <c r="F14" s="50"/>
      <c r="G14" s="50"/>
      <c r="H14" s="405" t="s">
        <v>400</v>
      </c>
      <c r="I14" s="405" t="s">
        <v>401</v>
      </c>
      <c r="J14" s="223">
        <f>Stub</f>
        <v>44377</v>
      </c>
      <c r="K14" s="223">
        <f>Yr_1</f>
        <v>44742</v>
      </c>
      <c r="L14" s="223">
        <f>Yr_2</f>
        <v>45107</v>
      </c>
      <c r="M14" s="223">
        <f>Yr_3</f>
        <v>45473</v>
      </c>
      <c r="N14" s="223">
        <f>Yr_4</f>
        <v>45838</v>
      </c>
      <c r="O14" s="223">
        <f>Yr_5</f>
        <v>46203</v>
      </c>
    </row>
    <row r="15" spans="2:29">
      <c r="B15" s="1" t="s">
        <v>283</v>
      </c>
      <c r="C15" s="50"/>
      <c r="D15" s="50"/>
      <c r="E15" s="50"/>
      <c r="F15" s="50"/>
      <c r="G15" s="50"/>
      <c r="H15" s="526">
        <f>SUM('2.1 Exp Summary'!E39:E41)/Thousands</f>
        <v>27014.486738841653</v>
      </c>
      <c r="I15" s="526">
        <f>SUM('2.1 Exp Summary'!F39:F41)/Thousands</f>
        <v>21578.85845322043</v>
      </c>
      <c r="J15" s="526">
        <f>SUM('2.1 Exp Summary'!G39:G41)/Thousands</f>
        <v>12959.401063346544</v>
      </c>
      <c r="K15" s="733">
        <v>25878.042544263029</v>
      </c>
      <c r="L15" s="733">
        <v>26004.639779273362</v>
      </c>
      <c r="M15" s="733">
        <v>24784.245838604373</v>
      </c>
      <c r="N15" s="733">
        <v>24425.872405651462</v>
      </c>
      <c r="O15" s="733">
        <v>24302.61622113661</v>
      </c>
    </row>
    <row r="16" spans="2:29">
      <c r="B16" s="1" t="s">
        <v>284</v>
      </c>
      <c r="C16" s="50"/>
      <c r="D16" s="50"/>
      <c r="E16" s="50"/>
      <c r="F16" s="50"/>
      <c r="G16" s="50"/>
      <c r="H16" s="527">
        <f>'2.1 Exp Summary'!E42/Thousands</f>
        <v>2430.1076996240377</v>
      </c>
      <c r="I16" s="527">
        <f>'2.1 Exp Summary'!F42/Thousands</f>
        <v>3733.5261117562954</v>
      </c>
      <c r="J16" s="527">
        <f>'2.1 Exp Summary'!G42/Thousands</f>
        <v>1281.6990062650427</v>
      </c>
      <c r="K16" s="734">
        <v>2532.8759933027263</v>
      </c>
      <c r="L16" s="734">
        <v>2468.8505143943421</v>
      </c>
      <c r="M16" s="734">
        <v>2481.1858027143085</v>
      </c>
      <c r="N16" s="734">
        <v>2475.6385745397188</v>
      </c>
      <c r="O16" s="734">
        <v>2477.5710128328874</v>
      </c>
      <c r="P16" s="107">
        <f>K17/N10-1</f>
        <v>-0.15118065621572552</v>
      </c>
    </row>
    <row r="17" spans="2:15">
      <c r="B17" s="1" t="s">
        <v>146</v>
      </c>
      <c r="C17" s="50"/>
      <c r="D17" s="50"/>
      <c r="E17" s="50"/>
      <c r="F17" s="50"/>
      <c r="G17" s="50"/>
      <c r="H17" s="158">
        <f t="shared" ref="H17:O17" si="5">SUM(H15:H16)</f>
        <v>29444.59443846569</v>
      </c>
      <c r="I17" s="158">
        <f t="shared" si="5"/>
        <v>25312.384564976725</v>
      </c>
      <c r="J17" s="158">
        <f t="shared" si="5"/>
        <v>14241.100069611586</v>
      </c>
      <c r="K17" s="158">
        <f t="shared" si="5"/>
        <v>28410.918537565754</v>
      </c>
      <c r="L17" s="158">
        <f t="shared" si="5"/>
        <v>28473.490293667703</v>
      </c>
      <c r="M17" s="158">
        <f t="shared" si="5"/>
        <v>27265.431641318683</v>
      </c>
      <c r="N17" s="158">
        <f t="shared" si="5"/>
        <v>26901.510980191182</v>
      </c>
      <c r="O17" s="158">
        <f t="shared" si="5"/>
        <v>26780.187233969496</v>
      </c>
    </row>
    <row r="18" spans="2:15" ht="15.75" thickBot="1">
      <c r="C18" s="50"/>
      <c r="D18" s="50"/>
      <c r="E18" s="50"/>
      <c r="F18" s="50"/>
      <c r="G18" s="50"/>
    </row>
    <row r="19" spans="2:15">
      <c r="B19" s="416" t="s">
        <v>506</v>
      </c>
      <c r="C19" s="50"/>
      <c r="D19" s="50"/>
      <c r="E19" s="50"/>
      <c r="F19" s="50"/>
      <c r="G19" s="50"/>
      <c r="H19" s="289" t="s">
        <v>400</v>
      </c>
      <c r="I19" s="289" t="s">
        <v>401</v>
      </c>
      <c r="J19" s="344">
        <v>44377</v>
      </c>
      <c r="K19" s="344">
        <f>Yr_1</f>
        <v>44742</v>
      </c>
      <c r="L19" s="344">
        <f>Yr_2</f>
        <v>45107</v>
      </c>
      <c r="M19" s="344">
        <f>Yr_3</f>
        <v>45473</v>
      </c>
      <c r="N19" s="344">
        <f>Yr_4</f>
        <v>45838</v>
      </c>
      <c r="O19" s="345">
        <f>Yr_5</f>
        <v>46203</v>
      </c>
    </row>
    <row r="20" spans="2:15">
      <c r="B20" s="290" t="s">
        <v>455</v>
      </c>
      <c r="C20" s="24"/>
      <c r="D20" s="39"/>
      <c r="E20" s="39"/>
      <c r="F20" s="39"/>
      <c r="G20" s="39"/>
      <c r="H20" s="291">
        <v>9.2701783377187957E-2</v>
      </c>
      <c r="I20" s="291">
        <v>8.2295387491894342E-2</v>
      </c>
      <c r="J20" s="291">
        <v>9.6935633860166584E-2</v>
      </c>
      <c r="K20" s="291">
        <v>0.10164913663243451</v>
      </c>
      <c r="L20" s="291">
        <v>9.6613411578022057E-2</v>
      </c>
      <c r="M20" s="291">
        <v>0.11686091502730135</v>
      </c>
      <c r="N20" s="291">
        <v>0.12961947852990877</v>
      </c>
      <c r="O20" s="292">
        <v>0.13604401099332633</v>
      </c>
    </row>
    <row r="21" spans="2:15">
      <c r="B21" s="290" t="s">
        <v>32</v>
      </c>
      <c r="C21" s="36"/>
      <c r="D21" s="36"/>
      <c r="E21" s="36"/>
      <c r="F21" s="36"/>
      <c r="G21" s="36"/>
      <c r="H21" s="291">
        <v>7.8422110306589396E-2</v>
      </c>
      <c r="I21" s="291">
        <v>7.0375260011246041E-2</v>
      </c>
      <c r="J21" s="291">
        <v>8.2898493836675233E-2</v>
      </c>
      <c r="K21" s="291">
        <v>9.2774360144063206E-2</v>
      </c>
      <c r="L21" s="291">
        <v>8.2755267364929053E-2</v>
      </c>
      <c r="M21" s="291">
        <v>9.519604087552197E-2</v>
      </c>
      <c r="N21" s="291">
        <v>0.1021901055271988</v>
      </c>
      <c r="O21" s="292">
        <v>0.10541019145935256</v>
      </c>
    </row>
    <row r="22" spans="2:15" ht="15.75" thickBot="1">
      <c r="B22" s="293" t="s">
        <v>284</v>
      </c>
      <c r="C22" s="36"/>
      <c r="D22" s="36"/>
      <c r="E22" s="36"/>
      <c r="F22" s="36"/>
      <c r="G22" s="36"/>
      <c r="H22" s="829">
        <v>5.9219230995973378E-2</v>
      </c>
      <c r="I22" s="829">
        <v>6.4103446000536829E-2</v>
      </c>
      <c r="J22" s="829">
        <v>2.9684535225751481E-2</v>
      </c>
      <c r="K22" s="294">
        <v>5.9464295439044815E-2</v>
      </c>
      <c r="L22" s="294">
        <v>8.606461798261314E-2</v>
      </c>
      <c r="M22" s="294">
        <v>7.406167158979983E-2</v>
      </c>
      <c r="N22" s="294">
        <v>9.8159908852808786E-2</v>
      </c>
      <c r="O22" s="295">
        <v>0.10004297500181081</v>
      </c>
    </row>
    <row r="23" spans="2:15">
      <c r="C23" s="84"/>
      <c r="D23" s="84"/>
      <c r="E23" s="84"/>
      <c r="F23" s="84"/>
      <c r="G23" s="84"/>
    </row>
    <row r="24" spans="2:15">
      <c r="B24" s="2" t="s">
        <v>509</v>
      </c>
      <c r="C24" s="84"/>
      <c r="D24" s="84"/>
      <c r="E24" s="84"/>
      <c r="F24" s="84"/>
      <c r="G24" s="84"/>
      <c r="J24" s="395" t="s">
        <v>636</v>
      </c>
    </row>
    <row r="25" spans="2:15">
      <c r="B25" s="1" t="s">
        <v>553</v>
      </c>
      <c r="C25" s="84"/>
      <c r="D25" s="84"/>
      <c r="E25" s="84"/>
      <c r="F25" s="84"/>
      <c r="G25" s="84"/>
      <c r="H25" s="297" t="s">
        <v>400</v>
      </c>
      <c r="I25" s="297" t="s">
        <v>401</v>
      </c>
      <c r="J25" s="346">
        <f>J19</f>
        <v>44377</v>
      </c>
      <c r="K25" s="223">
        <f>Yr_1</f>
        <v>44742</v>
      </c>
      <c r="L25" s="223">
        <f>Yr_2</f>
        <v>45107</v>
      </c>
      <c r="M25" s="223">
        <f>Yr_3</f>
        <v>45473</v>
      </c>
      <c r="N25" s="223">
        <f>Yr_4</f>
        <v>45838</v>
      </c>
      <c r="O25" s="223">
        <f>Yr_5</f>
        <v>46203</v>
      </c>
    </row>
    <row r="26" spans="2:15">
      <c r="B26" s="39" t="s">
        <v>300</v>
      </c>
      <c r="C26" s="84"/>
      <c r="D26" s="84"/>
      <c r="E26" s="84"/>
      <c r="F26" s="84"/>
      <c r="G26" s="84"/>
      <c r="H26" s="157">
        <f t="shared" ref="H26:O27" si="6">$O8*H$17</f>
        <v>24755.775956854359</v>
      </c>
      <c r="I26" s="157">
        <f t="shared" si="6"/>
        <v>21281.587781208873</v>
      </c>
      <c r="J26" s="742">
        <f t="shared" si="6"/>
        <v>11973.317664103586</v>
      </c>
      <c r="K26" s="157">
        <f t="shared" si="6"/>
        <v>23886.704757108135</v>
      </c>
      <c r="L26" s="157">
        <f t="shared" si="6"/>
        <v>23939.312456579897</v>
      </c>
      <c r="M26" s="157">
        <f t="shared" si="6"/>
        <v>22923.627577550873</v>
      </c>
      <c r="N26" s="157">
        <f t="shared" si="6"/>
        <v>22617.658399684613</v>
      </c>
      <c r="O26" s="157">
        <f t="shared" si="6"/>
        <v>22515.65449924078</v>
      </c>
    </row>
    <row r="27" spans="2:15">
      <c r="B27" s="39" t="s">
        <v>301</v>
      </c>
      <c r="C27" s="87"/>
      <c r="D27" s="87"/>
      <c r="E27" s="87"/>
      <c r="F27" s="87"/>
      <c r="G27" s="87"/>
      <c r="H27" s="220">
        <f t="shared" si="6"/>
        <v>4688.8184816113326</v>
      </c>
      <c r="I27" s="220">
        <f t="shared" si="6"/>
        <v>4030.796783767852</v>
      </c>
      <c r="J27" s="743">
        <f t="shared" si="6"/>
        <v>2267.7824055080009</v>
      </c>
      <c r="K27" s="220">
        <f t="shared" si="6"/>
        <v>4524.2137804576214</v>
      </c>
      <c r="L27" s="220">
        <f t="shared" si="6"/>
        <v>4534.1778370878055</v>
      </c>
      <c r="M27" s="220">
        <f t="shared" si="6"/>
        <v>4341.8040637678114</v>
      </c>
      <c r="N27" s="220">
        <f t="shared" si="6"/>
        <v>4283.8525805065683</v>
      </c>
      <c r="O27" s="220">
        <f t="shared" si="6"/>
        <v>4264.5327347287157</v>
      </c>
    </row>
    <row r="28" spans="2:15">
      <c r="B28" s="39" t="s">
        <v>146</v>
      </c>
      <c r="C28" s="101"/>
      <c r="D28" s="101"/>
      <c r="E28" s="101"/>
      <c r="F28" s="101"/>
      <c r="G28" s="101"/>
      <c r="H28" s="158">
        <f>SUM(H26:H27)</f>
        <v>29444.59443846569</v>
      </c>
      <c r="I28" s="158">
        <f t="shared" ref="I28:O28" si="7">SUM(I26:I27)</f>
        <v>25312.384564976725</v>
      </c>
      <c r="J28" s="742">
        <f t="shared" ref="J28" si="8">SUM(J26:J27)</f>
        <v>14241.100069611588</v>
      </c>
      <c r="K28" s="158">
        <f t="shared" si="7"/>
        <v>28410.918537565754</v>
      </c>
      <c r="L28" s="158">
        <f t="shared" si="7"/>
        <v>28473.490293667703</v>
      </c>
      <c r="M28" s="158">
        <f t="shared" si="7"/>
        <v>27265.431641318683</v>
      </c>
      <c r="N28" s="158">
        <f t="shared" si="7"/>
        <v>26901.510980191182</v>
      </c>
      <c r="O28" s="158">
        <f t="shared" si="7"/>
        <v>26780.187233969496</v>
      </c>
    </row>
    <row r="29" spans="2:15">
      <c r="B29" s="39"/>
      <c r="C29" s="101"/>
      <c r="D29" s="101"/>
      <c r="E29" s="101"/>
      <c r="F29" s="101"/>
      <c r="G29" s="101"/>
      <c r="H29" s="158"/>
      <c r="I29" s="158"/>
      <c r="J29" s="158"/>
      <c r="K29" s="158"/>
      <c r="L29" s="158"/>
      <c r="M29" s="158"/>
      <c r="N29" s="158"/>
      <c r="O29" s="158"/>
    </row>
    <row r="30" spans="2:15">
      <c r="B30" s="51" t="s">
        <v>641</v>
      </c>
      <c r="C30" s="86"/>
      <c r="D30" s="86"/>
      <c r="E30" s="86"/>
      <c r="F30" s="86"/>
      <c r="G30" s="86"/>
    </row>
    <row r="31" spans="2:15">
      <c r="B31" s="1" t="s">
        <v>553</v>
      </c>
      <c r="C31" s="86"/>
      <c r="D31" s="86"/>
      <c r="E31" s="86"/>
      <c r="F31" s="86"/>
      <c r="G31" s="86"/>
      <c r="I31" s="383" t="s">
        <v>620</v>
      </c>
      <c r="J31" s="383" t="s">
        <v>614</v>
      </c>
      <c r="K31" s="223">
        <f>Yr_1</f>
        <v>44742</v>
      </c>
      <c r="L31" s="223">
        <f>Yr_2</f>
        <v>45107</v>
      </c>
      <c r="M31" s="223">
        <f>Yr_3</f>
        <v>45473</v>
      </c>
      <c r="N31" s="223">
        <f>Yr_4</f>
        <v>45838</v>
      </c>
      <c r="O31" s="223">
        <f>Yr_5</f>
        <v>46203</v>
      </c>
    </row>
    <row r="32" spans="2:15">
      <c r="B32" s="1" t="s">
        <v>300</v>
      </c>
      <c r="C32" s="41"/>
      <c r="D32" s="41"/>
      <c r="E32" s="41"/>
      <c r="F32" s="41"/>
      <c r="G32" s="86"/>
      <c r="I32" s="158">
        <f>0.5*I26+0.5*H26</f>
        <v>23018.681869031614</v>
      </c>
      <c r="J32" s="158">
        <f>J26+0.5*I26</f>
        <v>22614.111554708023</v>
      </c>
      <c r="K32" s="158">
        <f t="shared" ref="K32:O33" si="9">K26</f>
        <v>23886.704757108135</v>
      </c>
      <c r="L32" s="158">
        <f t="shared" si="9"/>
        <v>23939.312456579897</v>
      </c>
      <c r="M32" s="158">
        <f t="shared" si="9"/>
        <v>22923.627577550873</v>
      </c>
      <c r="N32" s="158">
        <f t="shared" si="9"/>
        <v>22617.658399684613</v>
      </c>
      <c r="O32" s="158">
        <f t="shared" si="9"/>
        <v>22515.65449924078</v>
      </c>
    </row>
    <row r="33" spans="2:26">
      <c r="B33" s="1" t="s">
        <v>301</v>
      </c>
      <c r="C33" s="50"/>
      <c r="D33" s="50"/>
      <c r="E33" s="50"/>
      <c r="F33" s="50"/>
      <c r="G33" s="50"/>
      <c r="I33" s="267">
        <f>0.5*I27+0.5*H27</f>
        <v>4359.8076326895925</v>
      </c>
      <c r="J33" s="267">
        <f>J27+0.5*I27</f>
        <v>4283.1807973919267</v>
      </c>
      <c r="K33" s="267">
        <f t="shared" si="9"/>
        <v>4524.2137804576214</v>
      </c>
      <c r="L33" s="267">
        <f t="shared" si="9"/>
        <v>4534.1778370878055</v>
      </c>
      <c r="M33" s="267">
        <f t="shared" si="9"/>
        <v>4341.8040637678114</v>
      </c>
      <c r="N33" s="267">
        <f t="shared" si="9"/>
        <v>4283.8525805065683</v>
      </c>
      <c r="O33" s="267">
        <f t="shared" si="9"/>
        <v>4264.5327347287157</v>
      </c>
    </row>
    <row r="34" spans="2:26">
      <c r="B34" s="1" t="s">
        <v>146</v>
      </c>
      <c r="C34" s="50"/>
      <c r="D34" s="50"/>
      <c r="E34" s="50"/>
      <c r="F34" s="50"/>
      <c r="G34" s="50"/>
      <c r="I34" s="158">
        <f>SUM(I32:I33)</f>
        <v>27378.489501721207</v>
      </c>
      <c r="J34" s="158">
        <f t="shared" ref="J34:O34" si="10">SUM(J32:J33)</f>
        <v>26897.29235209995</v>
      </c>
      <c r="K34" s="158">
        <f t="shared" si="10"/>
        <v>28410.918537565754</v>
      </c>
      <c r="L34" s="158">
        <f t="shared" si="10"/>
        <v>28473.490293667703</v>
      </c>
      <c r="M34" s="158">
        <f t="shared" si="10"/>
        <v>27265.431641318683</v>
      </c>
      <c r="N34" s="158">
        <f t="shared" si="10"/>
        <v>26901.510980191182</v>
      </c>
      <c r="O34" s="158">
        <f t="shared" si="10"/>
        <v>26780.187233969496</v>
      </c>
    </row>
    <row r="35" spans="2:26">
      <c r="B35" s="2"/>
      <c r="C35" s="50"/>
      <c r="D35" s="50"/>
      <c r="E35" s="50"/>
      <c r="F35" s="50"/>
      <c r="G35" s="50"/>
      <c r="H35" s="50"/>
      <c r="I35" s="50"/>
      <c r="J35" s="50"/>
      <c r="K35" s="50"/>
      <c r="L35" s="50"/>
      <c r="M35" s="50"/>
      <c r="N35" s="50"/>
    </row>
    <row r="36" spans="2:26" s="419" customFormat="1">
      <c r="B36" s="417"/>
      <c r="C36" s="418"/>
      <c r="D36" s="418"/>
      <c r="E36" s="418"/>
      <c r="F36" s="418"/>
      <c r="G36" s="418"/>
      <c r="H36" s="418"/>
      <c r="I36" s="418"/>
      <c r="J36" s="418"/>
      <c r="K36" s="418"/>
      <c r="L36" s="418"/>
      <c r="M36" s="418"/>
      <c r="N36" s="418"/>
    </row>
    <row r="37" spans="2:26">
      <c r="B37" s="2" t="s">
        <v>674</v>
      </c>
      <c r="C37" s="50"/>
      <c r="D37" s="50"/>
      <c r="E37" s="50"/>
      <c r="F37" s="50"/>
      <c r="G37" s="50"/>
      <c r="H37" s="50"/>
      <c r="I37" s="50"/>
      <c r="J37" s="50"/>
      <c r="K37" s="50"/>
      <c r="L37" s="50"/>
      <c r="M37" s="50"/>
      <c r="N37" s="50"/>
    </row>
    <row r="38" spans="2:26">
      <c r="B38" s="2"/>
      <c r="C38" s="50"/>
      <c r="D38" s="50"/>
      <c r="E38" s="50"/>
      <c r="F38" s="50"/>
      <c r="G38" s="50"/>
      <c r="H38" s="50"/>
      <c r="I38" s="50"/>
      <c r="J38" s="50"/>
      <c r="K38" s="50"/>
      <c r="L38" s="50"/>
      <c r="M38" s="50"/>
      <c r="N38" s="50"/>
    </row>
    <row r="39" spans="2:26">
      <c r="B39" s="247" t="s">
        <v>456</v>
      </c>
      <c r="C39" s="41"/>
      <c r="D39" s="41"/>
      <c r="E39" s="41"/>
      <c r="F39" s="41"/>
      <c r="G39" s="50"/>
      <c r="H39" s="50"/>
      <c r="I39" s="50"/>
      <c r="J39" s="50"/>
      <c r="K39" s="50"/>
      <c r="L39" s="50"/>
      <c r="M39" s="50"/>
      <c r="N39" s="50"/>
      <c r="O39" s="39"/>
    </row>
    <row r="40" spans="2:26">
      <c r="B40" s="1" t="s">
        <v>454</v>
      </c>
      <c r="C40" s="41"/>
      <c r="D40" s="41"/>
      <c r="E40" s="41"/>
      <c r="F40" s="41"/>
      <c r="G40" s="50"/>
      <c r="H40" s="223">
        <f>CP_Yr_4</f>
        <v>43800</v>
      </c>
      <c r="I40" s="223">
        <f>CP_Yr_5</f>
        <v>44166</v>
      </c>
      <c r="J40" s="346">
        <f>Stub</f>
        <v>44377</v>
      </c>
      <c r="K40" s="336">
        <f>Yr_1</f>
        <v>44742</v>
      </c>
      <c r="L40" s="223">
        <f>Yr_2</f>
        <v>45107</v>
      </c>
      <c r="M40" s="223">
        <f>Yr_3</f>
        <v>45473</v>
      </c>
      <c r="N40" s="223">
        <f>Yr_4</f>
        <v>45838</v>
      </c>
      <c r="O40" s="223">
        <f>Yr_5</f>
        <v>46203</v>
      </c>
    </row>
    <row r="41" spans="2:26">
      <c r="B41" s="1" t="s">
        <v>44</v>
      </c>
      <c r="C41" s="41"/>
      <c r="D41" s="41"/>
      <c r="E41" s="41"/>
      <c r="F41" s="41"/>
      <c r="G41" s="50"/>
      <c r="H41" s="881"/>
      <c r="I41" s="881"/>
      <c r="J41" s="882"/>
      <c r="K41" s="871"/>
      <c r="L41" s="871"/>
      <c r="M41" s="871"/>
      <c r="N41" s="871"/>
      <c r="O41" s="871"/>
    </row>
    <row r="42" spans="2:26">
      <c r="B42" s="1" t="s">
        <v>45</v>
      </c>
      <c r="C42" s="50"/>
      <c r="D42" s="50"/>
      <c r="E42" s="50"/>
      <c r="F42" s="50"/>
      <c r="G42" s="50"/>
      <c r="H42" s="883"/>
      <c r="I42" s="883"/>
      <c r="J42" s="884"/>
      <c r="K42" s="885"/>
      <c r="L42" s="885"/>
      <c r="M42" s="885"/>
      <c r="N42" s="885"/>
      <c r="O42" s="885"/>
    </row>
    <row r="43" spans="2:26">
      <c r="B43" s="1" t="s">
        <v>677</v>
      </c>
      <c r="C43" s="50"/>
      <c r="D43" s="50"/>
      <c r="E43" s="50"/>
      <c r="F43" s="50"/>
      <c r="G43" s="50"/>
      <c r="H43" s="871">
        <f t="shared" ref="H43:O43" si="11">SUM(H41:H42)</f>
        <v>0</v>
      </c>
      <c r="I43" s="871">
        <f t="shared" si="11"/>
        <v>0</v>
      </c>
      <c r="J43" s="886">
        <f t="shared" si="11"/>
        <v>0</v>
      </c>
      <c r="K43" s="871">
        <f t="shared" si="11"/>
        <v>0</v>
      </c>
      <c r="L43" s="871">
        <f t="shared" si="11"/>
        <v>0</v>
      </c>
      <c r="M43" s="871">
        <f t="shared" si="11"/>
        <v>0</v>
      </c>
      <c r="N43" s="871">
        <f t="shared" si="11"/>
        <v>0</v>
      </c>
      <c r="O43" s="871">
        <f t="shared" si="11"/>
        <v>0</v>
      </c>
    </row>
    <row r="44" spans="2:26">
      <c r="C44" s="50"/>
      <c r="D44" s="50"/>
      <c r="E44" s="50"/>
      <c r="F44" s="50"/>
      <c r="G44" s="50"/>
      <c r="J44" s="348"/>
      <c r="S44" s="573" t="s">
        <v>758</v>
      </c>
      <c r="T44" s="574"/>
      <c r="U44" s="574"/>
      <c r="V44" s="574"/>
      <c r="W44" s="574"/>
      <c r="X44" s="574"/>
      <c r="Y44" s="574"/>
      <c r="Z44" s="575"/>
    </row>
    <row r="45" spans="2:26">
      <c r="B45" s="247" t="s">
        <v>678</v>
      </c>
      <c r="C45" s="50"/>
      <c r="D45" s="50"/>
      <c r="E45" s="50"/>
      <c r="F45" s="50"/>
      <c r="G45" s="50"/>
      <c r="J45" s="348"/>
      <c r="R45" s="78"/>
      <c r="S45" s="576">
        <f t="shared" ref="S45:Z45" si="12">H40</f>
        <v>43800</v>
      </c>
      <c r="T45" s="577">
        <f t="shared" si="12"/>
        <v>44166</v>
      </c>
      <c r="U45" s="577">
        <f t="shared" si="12"/>
        <v>44377</v>
      </c>
      <c r="V45" s="577">
        <f t="shared" si="12"/>
        <v>44742</v>
      </c>
      <c r="W45" s="577">
        <f t="shared" si="12"/>
        <v>45107</v>
      </c>
      <c r="X45" s="577">
        <f t="shared" si="12"/>
        <v>45473</v>
      </c>
      <c r="Y45" s="577">
        <f t="shared" si="12"/>
        <v>45838</v>
      </c>
      <c r="Z45" s="578">
        <f t="shared" si="12"/>
        <v>46203</v>
      </c>
    </row>
    <row r="46" spans="2:26">
      <c r="B46" s="1" t="s">
        <v>44</v>
      </c>
      <c r="C46" s="50"/>
      <c r="D46" s="50"/>
      <c r="E46" s="50"/>
      <c r="F46" s="50"/>
      <c r="G46" s="50"/>
      <c r="H46" s="712">
        <f>'Input from Connections Model'!D37</f>
        <v>4379.6069938448891</v>
      </c>
      <c r="I46" s="712">
        <f>'Input from Connections Model'!E37</f>
        <v>7246.527721294482</v>
      </c>
      <c r="J46" s="713">
        <f>'Input from Connections Model'!F37</f>
        <v>4535.1018259498778</v>
      </c>
      <c r="K46" s="712">
        <f>'Input from Connections Model'!G37</f>
        <v>16429.034914362579</v>
      </c>
      <c r="L46" s="712">
        <f>'Input from Connections Model'!H37</f>
        <v>16555.250606240839</v>
      </c>
      <c r="M46" s="712">
        <f>'Input from Connections Model'!I37</f>
        <v>16580.859886778362</v>
      </c>
      <c r="N46" s="712">
        <f>'Input from Connections Model'!J37</f>
        <v>16618.553772494266</v>
      </c>
      <c r="O46" s="712">
        <f>'Input from Connections Model'!K37</f>
        <v>16667.518078447029</v>
      </c>
      <c r="S46" s="579">
        <v>5871.7469422383801</v>
      </c>
      <c r="T46" s="580">
        <v>6200.8258693813596</v>
      </c>
      <c r="U46" s="581">
        <v>3120.9321491620512</v>
      </c>
      <c r="V46" s="580">
        <v>6207.0302966273221</v>
      </c>
      <c r="W46" s="580">
        <v>6255.1502257412621</v>
      </c>
      <c r="X46" s="580">
        <v>6335.3008581009626</v>
      </c>
      <c r="Y46" s="580">
        <v>6440.0426007759315</v>
      </c>
      <c r="Z46" s="582">
        <v>6521.3485455229393</v>
      </c>
    </row>
    <row r="47" spans="2:26">
      <c r="B47" s="1" t="s">
        <v>45</v>
      </c>
      <c r="C47" s="50"/>
      <c r="D47" s="50"/>
      <c r="E47" s="50"/>
      <c r="F47" s="50"/>
      <c r="G47" s="50"/>
      <c r="H47" s="714">
        <f>'Input from Connections Model'!D38</f>
        <v>60081.782071849993</v>
      </c>
      <c r="I47" s="714">
        <f>'Input from Connections Model'!E38</f>
        <v>57990.50280896965</v>
      </c>
      <c r="J47" s="715">
        <f>'Input from Connections Model'!F38</f>
        <v>28069.604536035749</v>
      </c>
      <c r="K47" s="714">
        <f>'Input from Connections Model'!G38</f>
        <v>32699.336646401829</v>
      </c>
      <c r="L47" s="714">
        <f>'Input from Connections Model'!H38</f>
        <v>56063.578274361003</v>
      </c>
      <c r="M47" s="714">
        <f>'Input from Connections Model'!I38</f>
        <v>55888.350971509019</v>
      </c>
      <c r="N47" s="714">
        <f>'Input from Connections Model'!J38</f>
        <v>56087.649476608422</v>
      </c>
      <c r="O47" s="714">
        <f>'Input from Connections Model'!K38</f>
        <v>56404.39993408107</v>
      </c>
      <c r="S47" s="583">
        <v>57729.019237361012</v>
      </c>
      <c r="T47" s="584">
        <v>60109.678129528627</v>
      </c>
      <c r="U47" s="585">
        <v>31237.321486435874</v>
      </c>
      <c r="V47" s="584">
        <v>62878.144356095385</v>
      </c>
      <c r="W47" s="584">
        <v>61179.823536479686</v>
      </c>
      <c r="X47" s="584">
        <v>59380.523671961826</v>
      </c>
      <c r="Y47" s="584">
        <v>59892.601772871691</v>
      </c>
      <c r="Z47" s="586">
        <v>60503.49597805753</v>
      </c>
    </row>
    <row r="48" spans="2:26">
      <c r="B48" s="2" t="s">
        <v>676</v>
      </c>
      <c r="C48" s="50"/>
      <c r="D48" s="50"/>
      <c r="E48" s="50"/>
      <c r="F48" s="50"/>
      <c r="G48" s="50"/>
      <c r="H48" s="39">
        <f t="shared" ref="H48:O48" si="13">SUM(H46:H47)</f>
        <v>64461.389065694879</v>
      </c>
      <c r="I48" s="39">
        <f t="shared" si="13"/>
        <v>65237.030530264135</v>
      </c>
      <c r="J48" s="347">
        <f t="shared" si="13"/>
        <v>32604.706361985627</v>
      </c>
      <c r="K48" s="39">
        <f t="shared" si="13"/>
        <v>49128.371560764412</v>
      </c>
      <c r="L48" s="39">
        <f t="shared" si="13"/>
        <v>72618.828880601839</v>
      </c>
      <c r="M48" s="39">
        <f t="shared" si="13"/>
        <v>72469.210858287377</v>
      </c>
      <c r="N48" s="39">
        <f t="shared" si="13"/>
        <v>72706.203249102691</v>
      </c>
      <c r="O48" s="39">
        <f t="shared" si="13"/>
        <v>73071.918012528098</v>
      </c>
      <c r="S48" s="587">
        <f>SUM(S46:S47)</f>
        <v>63600.766179599392</v>
      </c>
      <c r="T48" s="588">
        <f t="shared" ref="T48:Z48" si="14">SUM(T46:T47)</f>
        <v>66310.50399890999</v>
      </c>
      <c r="U48" s="589">
        <f t="shared" si="14"/>
        <v>34358.253635597925</v>
      </c>
      <c r="V48" s="590">
        <f t="shared" si="14"/>
        <v>69085.174652722708</v>
      </c>
      <c r="W48" s="590">
        <f t="shared" si="14"/>
        <v>67434.97376222095</v>
      </c>
      <c r="X48" s="590">
        <f t="shared" si="14"/>
        <v>65715.82453006279</v>
      </c>
      <c r="Y48" s="590">
        <f t="shared" si="14"/>
        <v>66332.644373647621</v>
      </c>
      <c r="Z48" s="591">
        <f t="shared" si="14"/>
        <v>67024.844523580468</v>
      </c>
    </row>
    <row r="49" spans="2:28">
      <c r="B49" s="490" t="s">
        <v>748</v>
      </c>
      <c r="C49" s="41"/>
      <c r="D49" s="41"/>
      <c r="E49" s="41"/>
      <c r="F49" s="41"/>
      <c r="G49" s="41"/>
      <c r="J49" s="348"/>
      <c r="T49" s="41"/>
      <c r="U49" s="41"/>
    </row>
    <row r="50" spans="2:28">
      <c r="C50" s="41"/>
      <c r="D50" s="41"/>
      <c r="E50" s="41"/>
      <c r="F50" s="41"/>
      <c r="G50" s="41"/>
      <c r="J50" s="348"/>
    </row>
    <row r="51" spans="2:28" ht="30">
      <c r="B51" s="420" t="s">
        <v>508</v>
      </c>
      <c r="C51" s="304"/>
      <c r="D51" s="304"/>
      <c r="E51" s="304"/>
      <c r="F51" s="304"/>
      <c r="G51" s="304"/>
      <c r="H51" s="887"/>
      <c r="I51" s="887"/>
      <c r="J51" s="888"/>
      <c r="K51" s="887"/>
      <c r="L51" s="887"/>
      <c r="M51" s="887"/>
      <c r="N51" s="887"/>
      <c r="O51" s="887"/>
      <c r="P51" s="39"/>
    </row>
    <row r="52" spans="2:28">
      <c r="C52" s="50"/>
      <c r="D52" s="50"/>
      <c r="E52" s="50"/>
      <c r="F52" s="50"/>
      <c r="G52" s="50"/>
      <c r="H52" s="39"/>
      <c r="I52" s="39"/>
      <c r="J52" s="39"/>
      <c r="K52" s="39"/>
      <c r="L52" s="39"/>
      <c r="M52" s="39"/>
      <c r="N52" s="39"/>
      <c r="O52" s="39"/>
    </row>
    <row r="53" spans="2:28">
      <c r="C53" s="50"/>
      <c r="D53" s="50"/>
      <c r="E53" s="50"/>
      <c r="F53" s="50"/>
      <c r="G53" s="50"/>
      <c r="H53" s="107"/>
      <c r="I53" s="107"/>
      <c r="J53" s="107"/>
      <c r="K53" s="107"/>
      <c r="L53" s="107"/>
      <c r="M53" s="107"/>
      <c r="N53" s="107"/>
      <c r="O53" s="107"/>
    </row>
    <row r="54" spans="2:28">
      <c r="B54" s="251" t="s">
        <v>478</v>
      </c>
      <c r="C54" s="421"/>
      <c r="D54" s="421"/>
      <c r="E54" s="421"/>
      <c r="F54" s="421"/>
      <c r="G54" s="421"/>
      <c r="H54" s="422">
        <f>CP_Yr_4</f>
        <v>43800</v>
      </c>
      <c r="I54" s="422">
        <f>CP_Yr_5</f>
        <v>44166</v>
      </c>
      <c r="J54" s="423">
        <f>Stub</f>
        <v>44377</v>
      </c>
      <c r="K54" s="422">
        <f>Yr_1</f>
        <v>44742</v>
      </c>
      <c r="L54" s="422">
        <f>Yr_2</f>
        <v>45107</v>
      </c>
      <c r="M54" s="422">
        <f>Yr_3</f>
        <v>45473</v>
      </c>
      <c r="N54" s="422">
        <f>Yr_4</f>
        <v>45838</v>
      </c>
      <c r="O54" s="424">
        <f>Yr_5</f>
        <v>46203</v>
      </c>
      <c r="AB54" s="54"/>
    </row>
    <row r="55" spans="2:28">
      <c r="B55" s="38" t="s">
        <v>32</v>
      </c>
      <c r="C55" s="41"/>
      <c r="D55" s="41"/>
      <c r="E55" s="41"/>
      <c r="F55" s="41"/>
      <c r="G55" s="50"/>
      <c r="H55" s="269">
        <v>5055.1981638258994</v>
      </c>
      <c r="I55" s="269">
        <v>4591.0729859289349</v>
      </c>
      <c r="J55" s="349">
        <v>2702.8810493956712</v>
      </c>
      <c r="K55" s="269">
        <v>4557.8532364697103</v>
      </c>
      <c r="L55" s="269">
        <v>6009.5905997422369</v>
      </c>
      <c r="M55" s="269">
        <v>6898.7819590823456</v>
      </c>
      <c r="N55" s="269">
        <v>7429.8545825077681</v>
      </c>
      <c r="O55" s="425">
        <v>7702.5248680026998</v>
      </c>
    </row>
    <row r="56" spans="2:28">
      <c r="B56" s="38" t="s">
        <v>455</v>
      </c>
      <c r="C56" s="41"/>
      <c r="D56" s="41"/>
      <c r="E56" s="41"/>
      <c r="F56" s="41"/>
      <c r="G56" s="41"/>
      <c r="H56" s="220">
        <v>21959.288575015755</v>
      </c>
      <c r="I56" s="220">
        <v>16987.785467291495</v>
      </c>
      <c r="J56" s="350">
        <v>10256.520013950872</v>
      </c>
      <c r="K56" s="220">
        <v>21320.18930779332</v>
      </c>
      <c r="L56" s="220">
        <v>19995.049179531125</v>
      </c>
      <c r="M56" s="220">
        <v>17885.463879522027</v>
      </c>
      <c r="N56" s="220">
        <v>16996.017823143695</v>
      </c>
      <c r="O56" s="426">
        <v>16600.09135313391</v>
      </c>
    </row>
    <row r="57" spans="2:28">
      <c r="B57" s="299" t="s">
        <v>459</v>
      </c>
      <c r="C57" s="42"/>
      <c r="D57" s="42"/>
      <c r="E57" s="42"/>
      <c r="F57" s="42"/>
      <c r="G57" s="42"/>
      <c r="H57" s="267">
        <f t="shared" ref="H57:O57" si="15">SUM(H55:H56)</f>
        <v>27014.486738841653</v>
      </c>
      <c r="I57" s="267">
        <f t="shared" si="15"/>
        <v>21578.85845322043</v>
      </c>
      <c r="J57" s="427">
        <f t="shared" si="15"/>
        <v>12959.401063346544</v>
      </c>
      <c r="K57" s="267">
        <f t="shared" si="15"/>
        <v>25878.042544263029</v>
      </c>
      <c r="L57" s="267">
        <f t="shared" si="15"/>
        <v>26004.639779273362</v>
      </c>
      <c r="M57" s="267">
        <f t="shared" si="15"/>
        <v>24784.245838604373</v>
      </c>
      <c r="N57" s="267">
        <f t="shared" si="15"/>
        <v>24425.872405651462</v>
      </c>
      <c r="O57" s="428">
        <f t="shared" si="15"/>
        <v>24302.61622113661</v>
      </c>
    </row>
    <row r="58" spans="2:28">
      <c r="C58" s="41"/>
      <c r="D58" s="41"/>
      <c r="E58" s="41"/>
      <c r="F58" s="41"/>
      <c r="G58" s="41"/>
      <c r="H58" s="1" t="b">
        <f t="shared" ref="H58:K58" si="16">H57=H15</f>
        <v>1</v>
      </c>
      <c r="I58" s="1" t="b">
        <f t="shared" si="16"/>
        <v>1</v>
      </c>
      <c r="J58" s="348" t="b">
        <f t="shared" si="16"/>
        <v>1</v>
      </c>
      <c r="K58" s="1" t="b">
        <f t="shared" si="16"/>
        <v>1</v>
      </c>
      <c r="L58" s="1" t="b">
        <f>L57=L15</f>
        <v>1</v>
      </c>
      <c r="M58" s="1" t="b">
        <f t="shared" ref="M58:O58" si="17">M57=M15</f>
        <v>1</v>
      </c>
      <c r="N58" s="1" t="b">
        <f t="shared" si="17"/>
        <v>1</v>
      </c>
      <c r="O58" s="1" t="b">
        <f t="shared" si="17"/>
        <v>1</v>
      </c>
      <c r="Z58" s="107"/>
    </row>
    <row r="59" spans="2:28">
      <c r="B59" s="1" t="s">
        <v>675</v>
      </c>
      <c r="C59" s="41"/>
      <c r="D59" s="41"/>
      <c r="E59" s="41"/>
      <c r="F59" s="41"/>
      <c r="G59" s="41"/>
      <c r="J59" s="348"/>
      <c r="Z59" s="107"/>
    </row>
    <row r="60" spans="2:28">
      <c r="B60" s="1" t="s">
        <v>740</v>
      </c>
      <c r="C60" s="41"/>
      <c r="D60" s="41"/>
      <c r="E60" s="41"/>
      <c r="F60" s="41"/>
      <c r="G60" s="41"/>
      <c r="H60" s="223">
        <f>CP_Yr_4</f>
        <v>43800</v>
      </c>
      <c r="I60" s="223">
        <f>CP_Yr_5</f>
        <v>44166</v>
      </c>
      <c r="J60" s="346">
        <f>Stub</f>
        <v>44377</v>
      </c>
      <c r="K60" s="336">
        <f>Yr_1</f>
        <v>44742</v>
      </c>
      <c r="L60" s="223">
        <f>Yr_2</f>
        <v>45107</v>
      </c>
      <c r="M60" s="223">
        <f>Yr_3</f>
        <v>45473</v>
      </c>
      <c r="N60" s="223">
        <f>Yr_4</f>
        <v>45838</v>
      </c>
      <c r="O60" s="223">
        <f>Yr_5</f>
        <v>46203</v>
      </c>
      <c r="Z60" s="107"/>
    </row>
    <row r="61" spans="2:28">
      <c r="B61" s="56" t="s">
        <v>507</v>
      </c>
      <c r="C61" s="41"/>
      <c r="D61" s="41"/>
      <c r="E61" s="41"/>
      <c r="F61" s="41"/>
      <c r="G61" s="41"/>
      <c r="H61" s="871"/>
      <c r="I61" s="871"/>
      <c r="J61" s="886"/>
      <c r="K61" s="871"/>
      <c r="L61" s="871"/>
      <c r="M61" s="871"/>
      <c r="N61" s="871"/>
      <c r="O61" s="871"/>
    </row>
    <row r="62" spans="2:28">
      <c r="B62" s="430" t="s">
        <v>460</v>
      </c>
      <c r="C62" s="41"/>
      <c r="D62" s="41"/>
      <c r="E62" s="41"/>
      <c r="F62" s="41"/>
      <c r="G62" s="41"/>
      <c r="H62" s="889"/>
      <c r="I62" s="889"/>
      <c r="J62" s="890"/>
      <c r="K62" s="889"/>
      <c r="L62" s="889"/>
      <c r="M62" s="889"/>
      <c r="N62" s="889"/>
      <c r="O62" s="889"/>
      <c r="P62" s="429" t="s">
        <v>747</v>
      </c>
    </row>
    <row r="63" spans="2:28">
      <c r="B63" s="56" t="s">
        <v>457</v>
      </c>
      <c r="C63" s="41"/>
      <c r="D63" s="41"/>
      <c r="E63" s="41"/>
      <c r="F63" s="41"/>
      <c r="G63" s="41"/>
      <c r="H63" s="871"/>
      <c r="I63" s="871"/>
      <c r="J63" s="886"/>
      <c r="K63" s="871"/>
      <c r="L63" s="871"/>
      <c r="M63" s="871"/>
      <c r="N63" s="871"/>
      <c r="O63" s="871"/>
    </row>
    <row r="64" spans="2:28">
      <c r="B64" s="56" t="s">
        <v>458</v>
      </c>
      <c r="C64" s="41"/>
      <c r="D64" s="41"/>
      <c r="E64" s="41"/>
      <c r="F64" s="41"/>
      <c r="G64" s="41"/>
      <c r="H64" s="885"/>
      <c r="I64" s="885"/>
      <c r="J64" s="891"/>
      <c r="K64" s="885"/>
      <c r="L64" s="885"/>
      <c r="M64" s="885"/>
      <c r="N64" s="885"/>
      <c r="O64" s="885"/>
    </row>
    <row r="65" spans="2:16">
      <c r="B65" s="1" t="s">
        <v>146</v>
      </c>
      <c r="H65" s="871">
        <f t="shared" ref="H65:O65" si="18">SUM(H61:H64)</f>
        <v>0</v>
      </c>
      <c r="I65" s="871">
        <f t="shared" si="18"/>
        <v>0</v>
      </c>
      <c r="J65" s="886">
        <f t="shared" si="18"/>
        <v>0</v>
      </c>
      <c r="K65" s="871">
        <f t="shared" si="18"/>
        <v>0</v>
      </c>
      <c r="L65" s="871">
        <f t="shared" si="18"/>
        <v>0</v>
      </c>
      <c r="M65" s="871">
        <f t="shared" si="18"/>
        <v>0</v>
      </c>
      <c r="N65" s="871">
        <f t="shared" si="18"/>
        <v>0</v>
      </c>
      <c r="O65" s="871">
        <f t="shared" si="18"/>
        <v>0</v>
      </c>
    </row>
    <row r="66" spans="2:16">
      <c r="B66" s="1" t="s">
        <v>133</v>
      </c>
      <c r="H66" s="735"/>
      <c r="I66" s="735"/>
      <c r="J66" s="730"/>
      <c r="K66" s="735"/>
      <c r="L66" s="736"/>
      <c r="M66" s="736"/>
      <c r="N66" s="736"/>
      <c r="O66" s="736"/>
    </row>
    <row r="67" spans="2:16">
      <c r="H67" s="39"/>
      <c r="I67" s="39"/>
      <c r="J67" s="39"/>
      <c r="K67" s="39"/>
      <c r="L67" s="39"/>
      <c r="M67" s="39"/>
      <c r="N67" s="39"/>
      <c r="O67" s="39"/>
    </row>
    <row r="68" spans="2:16">
      <c r="B68" s="1" t="s">
        <v>32</v>
      </c>
      <c r="H68" s="892"/>
      <c r="I68" s="892"/>
      <c r="J68" s="892"/>
      <c r="K68" s="893"/>
      <c r="L68" s="892"/>
      <c r="M68" s="892"/>
      <c r="N68" s="892"/>
      <c r="O68" s="892"/>
    </row>
    <row r="69" spans="2:16">
      <c r="B69" s="1" t="s">
        <v>461</v>
      </c>
      <c r="H69" s="892"/>
      <c r="I69" s="892"/>
      <c r="J69" s="892"/>
      <c r="K69" s="892"/>
      <c r="L69" s="892"/>
      <c r="M69" s="892"/>
      <c r="N69" s="892"/>
      <c r="O69" s="892"/>
    </row>
    <row r="70" spans="2:16">
      <c r="I70" s="216"/>
      <c r="J70" s="216"/>
      <c r="K70" s="216"/>
      <c r="L70" s="216"/>
      <c r="M70" s="216"/>
      <c r="N70" s="216"/>
    </row>
    <row r="71" spans="2:16">
      <c r="I71" s="670"/>
      <c r="J71" s="670"/>
      <c r="K71" s="670"/>
      <c r="L71" s="670"/>
      <c r="M71" s="670"/>
      <c r="N71" s="670"/>
      <c r="O71" s="670"/>
    </row>
    <row r="72" spans="2:16">
      <c r="I72" s="670"/>
      <c r="J72" s="670"/>
      <c r="K72" s="670"/>
      <c r="L72" s="670"/>
      <c r="M72" s="670"/>
      <c r="N72" s="670"/>
      <c r="O72" s="670"/>
    </row>
    <row r="73" spans="2:16">
      <c r="K73" s="670"/>
      <c r="L73" s="670"/>
      <c r="M73" s="670"/>
      <c r="N73" s="670"/>
      <c r="O73" s="670"/>
    </row>
    <row r="74" spans="2:16">
      <c r="K74" s="84"/>
    </row>
    <row r="75" spans="2:16" ht="15.75" thickBot="1">
      <c r="K75" s="84"/>
    </row>
    <row r="76" spans="2:16">
      <c r="B76" s="640"/>
      <c r="C76" s="641"/>
      <c r="D76" s="641"/>
      <c r="E76" s="641"/>
      <c r="F76" s="641"/>
      <c r="G76" s="641"/>
      <c r="H76" s="641"/>
      <c r="I76" s="641"/>
      <c r="J76" s="641"/>
      <c r="K76" s="641"/>
      <c r="L76" s="641"/>
      <c r="M76" s="641"/>
      <c r="N76" s="641"/>
      <c r="O76" s="641"/>
      <c r="P76" s="642"/>
    </row>
    <row r="77" spans="2:16">
      <c r="B77" s="643" t="str">
        <f>B13</f>
        <v>Forecast Overheads by stream</v>
      </c>
      <c r="C77" s="666"/>
      <c r="D77" s="666"/>
      <c r="E77" s="666"/>
      <c r="F77" s="666"/>
      <c r="G77" s="41"/>
      <c r="H77" s="41"/>
      <c r="I77" s="41"/>
      <c r="J77" s="41"/>
      <c r="K77" s="41"/>
      <c r="L77" s="41"/>
      <c r="M77" s="41"/>
      <c r="N77" s="41"/>
      <c r="O77" s="41"/>
      <c r="P77" s="644"/>
    </row>
    <row r="78" spans="2:16">
      <c r="B78" s="645" t="s">
        <v>553</v>
      </c>
      <c r="C78" s="41"/>
      <c r="D78" s="41"/>
      <c r="E78" s="41"/>
      <c r="F78" s="41"/>
      <c r="G78" s="41"/>
      <c r="H78" s="41"/>
      <c r="I78" s="41"/>
      <c r="J78" s="41"/>
      <c r="K78" s="633"/>
      <c r="L78" s="633"/>
      <c r="M78" s="633"/>
      <c r="N78" s="633"/>
      <c r="O78" s="633"/>
      <c r="P78" s="644"/>
    </row>
    <row r="79" spans="2:16">
      <c r="B79" s="646" t="s">
        <v>775</v>
      </c>
      <c r="C79" s="41"/>
      <c r="D79" s="41"/>
      <c r="E79" s="41"/>
      <c r="F79" s="41"/>
      <c r="G79" s="41"/>
      <c r="H79" s="41"/>
      <c r="I79" s="647">
        <v>0.75</v>
      </c>
      <c r="J79" s="41"/>
      <c r="K79" s="633"/>
      <c r="L79" s="633"/>
      <c r="M79" s="633"/>
      <c r="N79" s="633"/>
      <c r="O79" s="633"/>
      <c r="P79" s="644"/>
    </row>
    <row r="80" spans="2:16">
      <c r="B80" s="648" t="s">
        <v>776</v>
      </c>
      <c r="C80" s="41"/>
      <c r="D80" s="41"/>
      <c r="E80" s="41"/>
      <c r="F80" s="41"/>
      <c r="G80" s="41"/>
      <c r="H80" s="41"/>
      <c r="I80" s="649">
        <f>1-I79</f>
        <v>0.25</v>
      </c>
      <c r="J80" s="41"/>
      <c r="K80" s="633"/>
      <c r="L80" s="633"/>
      <c r="M80" s="633"/>
      <c r="N80" s="633"/>
      <c r="O80" s="633"/>
      <c r="P80" s="644"/>
    </row>
    <row r="81" spans="2:16">
      <c r="B81" s="663"/>
      <c r="C81" s="42"/>
      <c r="D81" s="42"/>
      <c r="E81" s="42"/>
      <c r="F81" s="42"/>
      <c r="G81" s="42"/>
      <c r="H81" s="42"/>
      <c r="I81" s="664"/>
      <c r="J81" s="42"/>
      <c r="K81" s="665"/>
      <c r="L81" s="665"/>
      <c r="M81" s="665"/>
      <c r="N81" s="665"/>
      <c r="O81" s="665"/>
      <c r="P81" s="661"/>
    </row>
    <row r="82" spans="2:16">
      <c r="B82" s="648"/>
      <c r="C82" s="41"/>
      <c r="D82" s="41"/>
      <c r="E82" s="41"/>
      <c r="F82" s="41"/>
      <c r="G82" s="41"/>
      <c r="H82" s="41"/>
      <c r="I82" s="649"/>
      <c r="J82" s="41"/>
      <c r="K82" s="633"/>
      <c r="L82" s="633"/>
      <c r="M82" s="633"/>
      <c r="N82" s="633"/>
      <c r="O82" s="633"/>
      <c r="P82" s="644"/>
    </row>
    <row r="83" spans="2:16">
      <c r="B83" s="650" t="s">
        <v>773</v>
      </c>
      <c r="C83" s="41"/>
      <c r="D83" s="41"/>
      <c r="E83" s="41"/>
      <c r="F83" s="41"/>
      <c r="G83" s="41"/>
      <c r="H83" s="41"/>
      <c r="I83" s="41"/>
      <c r="J83" s="41"/>
      <c r="K83" s="604">
        <f>K$14</f>
        <v>44742</v>
      </c>
      <c r="L83" s="604">
        <f t="shared" ref="L83:O83" si="19">L$14</f>
        <v>45107</v>
      </c>
      <c r="M83" s="604">
        <f t="shared" si="19"/>
        <v>45473</v>
      </c>
      <c r="N83" s="604">
        <f t="shared" si="19"/>
        <v>45838</v>
      </c>
      <c r="O83" s="604">
        <f t="shared" si="19"/>
        <v>46203</v>
      </c>
      <c r="P83" s="644"/>
    </row>
    <row r="84" spans="2:16">
      <c r="B84" s="651" t="str">
        <f>B16</f>
        <v>IT</v>
      </c>
      <c r="C84" s="41"/>
      <c r="D84" s="41"/>
      <c r="E84" s="41"/>
      <c r="F84" s="41"/>
      <c r="G84" s="41"/>
      <c r="H84" s="41"/>
      <c r="I84" s="41"/>
      <c r="J84" s="41"/>
      <c r="K84" s="633"/>
      <c r="L84" s="633"/>
      <c r="M84" s="633"/>
      <c r="N84" s="633"/>
      <c r="O84" s="633"/>
      <c r="P84" s="644"/>
    </row>
    <row r="85" spans="2:16">
      <c r="B85" s="652" t="s">
        <v>774</v>
      </c>
      <c r="C85" s="41"/>
      <c r="D85" s="41"/>
      <c r="E85" s="41"/>
      <c r="F85" s="41"/>
      <c r="G85" s="41"/>
      <c r="H85" s="41"/>
      <c r="I85" s="41"/>
      <c r="J85" s="41"/>
      <c r="K85" s="635">
        <v>42953.952478027786</v>
      </c>
      <c r="L85" s="635">
        <v>29945.937516767473</v>
      </c>
      <c r="M85" s="635">
        <v>34265.678281682689</v>
      </c>
      <c r="N85" s="635">
        <v>26032.447178289302</v>
      </c>
      <c r="O85" s="635">
        <v>25480.906710834213</v>
      </c>
      <c r="P85" s="644"/>
    </row>
    <row r="86" spans="2:16">
      <c r="B86" s="653"/>
      <c r="C86" s="41"/>
      <c r="D86" s="41"/>
      <c r="E86" s="41"/>
      <c r="F86" s="41"/>
      <c r="G86" s="41"/>
      <c r="H86" s="41"/>
      <c r="I86" s="41"/>
      <c r="J86" s="41"/>
      <c r="K86" s="41"/>
      <c r="L86" s="41"/>
      <c r="M86" s="41"/>
      <c r="N86" s="41"/>
      <c r="O86" s="41"/>
      <c r="P86" s="644"/>
    </row>
    <row r="87" spans="2:16">
      <c r="B87" s="652" t="s">
        <v>778</v>
      </c>
      <c r="C87" s="304"/>
      <c r="D87" s="304"/>
      <c r="E87" s="304"/>
      <c r="F87" s="304"/>
      <c r="G87" s="304"/>
      <c r="H87" s="304"/>
      <c r="I87" s="304"/>
      <c r="J87" s="304"/>
      <c r="K87" s="635">
        <v>2538.1800924575759</v>
      </c>
      <c r="L87" s="635">
        <v>2495.0947915740117</v>
      </c>
      <c r="M87" s="635">
        <v>2495.0947915740117</v>
      </c>
      <c r="N87" s="635">
        <v>2495.0947915740117</v>
      </c>
      <c r="O87" s="635">
        <v>2495.0947915740117</v>
      </c>
      <c r="P87" s="644"/>
    </row>
    <row r="88" spans="2:16">
      <c r="B88" s="646" t="s">
        <v>775</v>
      </c>
      <c r="C88" s="41"/>
      <c r="D88" s="41"/>
      <c r="E88" s="41"/>
      <c r="F88" s="41"/>
      <c r="G88" s="41"/>
      <c r="H88" s="41"/>
      <c r="I88" s="41"/>
      <c r="J88" s="41"/>
      <c r="K88" s="269">
        <f>K87*$I$79</f>
        <v>1903.6350693431818</v>
      </c>
      <c r="L88" s="269">
        <f t="shared" ref="L88:O88" si="20">L87*$I$79</f>
        <v>1871.3210936805087</v>
      </c>
      <c r="M88" s="269">
        <f t="shared" si="20"/>
        <v>1871.3210936805087</v>
      </c>
      <c r="N88" s="269">
        <f t="shared" si="20"/>
        <v>1871.3210936805087</v>
      </c>
      <c r="O88" s="269">
        <f t="shared" si="20"/>
        <v>1871.3210936805087</v>
      </c>
      <c r="P88" s="644"/>
    </row>
    <row r="89" spans="2:16">
      <c r="B89" s="648" t="s">
        <v>776</v>
      </c>
      <c r="C89" s="41"/>
      <c r="D89" s="41"/>
      <c r="E89" s="41"/>
      <c r="F89" s="41"/>
      <c r="G89" s="41"/>
      <c r="H89" s="41"/>
      <c r="I89" s="41"/>
      <c r="J89" s="41"/>
      <c r="K89" s="265">
        <f>K87-K88</f>
        <v>634.5450231143941</v>
      </c>
      <c r="L89" s="265">
        <f t="shared" ref="L89:O89" si="21">L87-L88</f>
        <v>623.77369789350291</v>
      </c>
      <c r="M89" s="265">
        <f t="shared" si="21"/>
        <v>623.77369789350291</v>
      </c>
      <c r="N89" s="265">
        <f t="shared" si="21"/>
        <v>623.77369789350291</v>
      </c>
      <c r="O89" s="265">
        <f t="shared" si="21"/>
        <v>623.77369789350291</v>
      </c>
      <c r="P89" s="644"/>
    </row>
    <row r="90" spans="2:16">
      <c r="B90" s="648" t="s">
        <v>777</v>
      </c>
      <c r="C90" s="41"/>
      <c r="D90" s="41"/>
      <c r="E90" s="41"/>
      <c r="F90" s="41"/>
      <c r="G90" s="41"/>
      <c r="H90" s="41"/>
      <c r="I90" s="41"/>
      <c r="J90" s="41"/>
      <c r="K90" s="87">
        <f>K89/K85</f>
        <v>1.4772680661668623E-2</v>
      </c>
      <c r="L90" s="87">
        <f>L89/L85</f>
        <v>2.0829993969774249E-2</v>
      </c>
      <c r="M90" s="87">
        <f>M89/M85</f>
        <v>1.8204037660242433E-2</v>
      </c>
      <c r="N90" s="87">
        <f>N89/N85</f>
        <v>2.3961393011630559E-2</v>
      </c>
      <c r="O90" s="87">
        <f>O89/O85</f>
        <v>2.4480043232852498E-2</v>
      </c>
      <c r="P90" s="644"/>
    </row>
    <row r="91" spans="2:16">
      <c r="B91" s="653"/>
      <c r="C91" s="41"/>
      <c r="D91" s="41"/>
      <c r="E91" s="41"/>
      <c r="F91" s="41"/>
      <c r="G91" s="41"/>
      <c r="H91" s="41"/>
      <c r="I91" s="41"/>
      <c r="J91" s="41"/>
      <c r="K91" s="41"/>
      <c r="L91" s="41"/>
      <c r="M91" s="41"/>
      <c r="N91" s="41"/>
      <c r="O91" s="41"/>
      <c r="P91" s="644"/>
    </row>
    <row r="92" spans="2:16">
      <c r="B92" s="651" t="str">
        <f>B15</f>
        <v>Network</v>
      </c>
      <c r="C92" s="41"/>
      <c r="D92" s="41"/>
      <c r="E92" s="41"/>
      <c r="F92" s="41"/>
      <c r="G92" s="41"/>
      <c r="H92" s="41"/>
      <c r="I92" s="41"/>
      <c r="J92" s="41"/>
      <c r="K92" s="41"/>
      <c r="L92" s="41"/>
      <c r="M92" s="41"/>
      <c r="N92" s="41"/>
      <c r="O92" s="41"/>
      <c r="P92" s="644"/>
    </row>
    <row r="93" spans="2:16">
      <c r="B93" s="652" t="s">
        <v>774</v>
      </c>
      <c r="C93" s="41"/>
      <c r="D93" s="41"/>
      <c r="E93" s="41"/>
      <c r="F93" s="41"/>
      <c r="G93" s="41"/>
      <c r="H93" s="41"/>
      <c r="I93" s="41"/>
      <c r="J93" s="41"/>
      <c r="K93" s="41"/>
      <c r="L93" s="41"/>
      <c r="M93" s="41"/>
      <c r="N93" s="41"/>
      <c r="O93" s="41"/>
      <c r="P93" s="644"/>
    </row>
    <row r="94" spans="2:16">
      <c r="B94" s="653" t="str">
        <f>B61</f>
        <v>Connections - Cash Capex</v>
      </c>
      <c r="C94" s="41"/>
      <c r="D94" s="41"/>
      <c r="E94" s="41"/>
      <c r="F94" s="41"/>
      <c r="G94" s="41"/>
      <c r="H94" s="41"/>
      <c r="I94" s="41"/>
      <c r="J94" s="41"/>
      <c r="K94" s="634">
        <v>69085.174652722708</v>
      </c>
      <c r="L94" s="634">
        <v>67434.97376222095</v>
      </c>
      <c r="M94" s="634">
        <v>65715.82453006279</v>
      </c>
      <c r="N94" s="634">
        <v>66332.644373647621</v>
      </c>
      <c r="O94" s="634">
        <v>67024.844523580468</v>
      </c>
      <c r="P94" s="644"/>
    </row>
    <row r="95" spans="2:16">
      <c r="B95" s="654" t="str">
        <f>B62</f>
        <v>Connections - Gifted</v>
      </c>
      <c r="C95" s="41"/>
      <c r="D95" s="41"/>
      <c r="E95" s="41"/>
      <c r="F95" s="41"/>
      <c r="G95" s="41"/>
      <c r="H95" s="41"/>
      <c r="I95" s="41"/>
      <c r="J95" s="41"/>
      <c r="K95" s="636">
        <v>32043.482498070061</v>
      </c>
      <c r="L95" s="636">
        <v>32390.597902933787</v>
      </c>
      <c r="M95" s="636">
        <v>32910.740981096817</v>
      </c>
      <c r="N95" s="636">
        <v>33591.018887777449</v>
      </c>
      <c r="O95" s="636">
        <v>34146.244966947401</v>
      </c>
      <c r="P95" s="644"/>
    </row>
    <row r="96" spans="2:16">
      <c r="B96" s="653" t="str">
        <f>B63</f>
        <v>Augex</v>
      </c>
      <c r="C96" s="41"/>
      <c r="D96" s="41"/>
      <c r="E96" s="41"/>
      <c r="F96" s="41"/>
      <c r="G96" s="41"/>
      <c r="H96" s="41"/>
      <c r="I96" s="41"/>
      <c r="J96" s="41"/>
      <c r="K96" s="634">
        <v>41056.309448644461</v>
      </c>
      <c r="L96" s="634">
        <v>39007.155792578684</v>
      </c>
      <c r="M96" s="634">
        <v>36976.556321170981</v>
      </c>
      <c r="N96" s="634">
        <v>42401.983055185046</v>
      </c>
      <c r="O96" s="634">
        <v>44763.215925487631</v>
      </c>
      <c r="P96" s="644"/>
    </row>
    <row r="97" spans="2:16">
      <c r="B97" s="653" t="str">
        <f>B64</f>
        <v>Repex</v>
      </c>
      <c r="C97" s="41"/>
      <c r="D97" s="41"/>
      <c r="E97" s="41"/>
      <c r="F97" s="41"/>
      <c r="G97" s="41"/>
      <c r="H97" s="41"/>
      <c r="I97" s="41"/>
      <c r="J97" s="41"/>
      <c r="K97" s="634">
        <v>140365.67728773566</v>
      </c>
      <c r="L97" s="634">
        <v>142490.05909155667</v>
      </c>
      <c r="M97" s="634">
        <v>139901.46704889822</v>
      </c>
      <c r="N97" s="634">
        <v>124801.73669580126</v>
      </c>
      <c r="O97" s="634">
        <v>116857.85609291671</v>
      </c>
      <c r="P97" s="644"/>
    </row>
    <row r="98" spans="2:16">
      <c r="B98" s="653"/>
      <c r="C98" s="41"/>
      <c r="D98" s="41"/>
      <c r="E98" s="41"/>
      <c r="F98" s="41"/>
      <c r="G98" s="41"/>
      <c r="H98" s="41"/>
      <c r="I98" s="41"/>
      <c r="J98" s="41"/>
      <c r="K98" s="662">
        <f>SUM(K94:K97)</f>
        <v>282550.64388717292</v>
      </c>
      <c r="L98" s="662">
        <f t="shared" ref="L98:O98" si="22">SUM(L94:L97)</f>
        <v>281322.78654929006</v>
      </c>
      <c r="M98" s="662">
        <f t="shared" si="22"/>
        <v>275504.58888122882</v>
      </c>
      <c r="N98" s="662">
        <f t="shared" si="22"/>
        <v>267127.38301241136</v>
      </c>
      <c r="O98" s="662">
        <f t="shared" si="22"/>
        <v>262792.16150893224</v>
      </c>
      <c r="P98" s="644"/>
    </row>
    <row r="99" spans="2:16">
      <c r="B99" s="653"/>
      <c r="C99" s="41"/>
      <c r="D99" s="41"/>
      <c r="E99" s="41"/>
      <c r="F99" s="41"/>
      <c r="G99" s="41"/>
      <c r="H99" s="41"/>
      <c r="I99" s="41"/>
      <c r="J99" s="41"/>
      <c r="K99" s="41"/>
      <c r="L99" s="41"/>
      <c r="M99" s="41"/>
      <c r="N99" s="41"/>
      <c r="O99" s="41"/>
      <c r="P99" s="644"/>
    </row>
    <row r="100" spans="2:16">
      <c r="B100" s="652" t="s">
        <v>779</v>
      </c>
      <c r="C100" s="304"/>
      <c r="D100" s="304"/>
      <c r="E100" s="304"/>
      <c r="F100" s="304"/>
      <c r="G100" s="304"/>
      <c r="H100" s="304"/>
      <c r="I100" s="304"/>
      <c r="J100" s="304"/>
      <c r="K100" s="635">
        <v>25663.820934848824</v>
      </c>
      <c r="L100" s="635">
        <v>25228.180670359448</v>
      </c>
      <c r="M100" s="635">
        <v>25228.180670359448</v>
      </c>
      <c r="N100" s="635">
        <v>25228.180670359448</v>
      </c>
      <c r="O100" s="635">
        <v>25228.180670359448</v>
      </c>
      <c r="P100" s="644"/>
    </row>
    <row r="101" spans="2:16">
      <c r="B101" s="646" t="s">
        <v>775</v>
      </c>
      <c r="C101" s="41"/>
      <c r="D101" s="41"/>
      <c r="E101" s="41"/>
      <c r="F101" s="41"/>
      <c r="G101" s="41"/>
      <c r="H101" s="41"/>
      <c r="I101" s="41"/>
      <c r="J101" s="41"/>
      <c r="K101" s="269">
        <f t="shared" ref="K101:O101" si="23">K100*$I$79</f>
        <v>19247.865701136616</v>
      </c>
      <c r="L101" s="269">
        <f t="shared" si="23"/>
        <v>18921.135502769586</v>
      </c>
      <c r="M101" s="269">
        <f t="shared" si="23"/>
        <v>18921.135502769586</v>
      </c>
      <c r="N101" s="269">
        <f t="shared" si="23"/>
        <v>18921.135502769586</v>
      </c>
      <c r="O101" s="269">
        <f t="shared" si="23"/>
        <v>18921.135502769586</v>
      </c>
      <c r="P101" s="644"/>
    </row>
    <row r="102" spans="2:16">
      <c r="B102" s="648" t="s">
        <v>776</v>
      </c>
      <c r="C102" s="41"/>
      <c r="D102" s="41"/>
      <c r="E102" s="41"/>
      <c r="F102" s="41"/>
      <c r="G102" s="41"/>
      <c r="H102" s="41"/>
      <c r="I102" s="41"/>
      <c r="J102" s="41"/>
      <c r="K102" s="265">
        <f>K100-K101</f>
        <v>6415.9552337122077</v>
      </c>
      <c r="L102" s="265">
        <f t="shared" ref="L102" si="24">L100-L101</f>
        <v>6307.0451675898621</v>
      </c>
      <c r="M102" s="265">
        <f t="shared" ref="M102" si="25">M100-M101</f>
        <v>6307.0451675898621</v>
      </c>
      <c r="N102" s="265">
        <f t="shared" ref="N102" si="26">N100-N101</f>
        <v>6307.0451675898621</v>
      </c>
      <c r="O102" s="265">
        <f t="shared" ref="O102" si="27">O100-O101</f>
        <v>6307.0451675898621</v>
      </c>
      <c r="P102" s="644"/>
    </row>
    <row r="103" spans="2:16">
      <c r="B103" s="648" t="s">
        <v>777</v>
      </c>
      <c r="C103" s="41"/>
      <c r="D103" s="41"/>
      <c r="E103" s="41"/>
      <c r="F103" s="41"/>
      <c r="G103" s="41"/>
      <c r="H103" s="41"/>
      <c r="I103" s="41"/>
      <c r="J103" s="41"/>
      <c r="K103" s="87">
        <f>K102/SUM(K94,K96,K97)</f>
        <v>2.5611863541683582E-2</v>
      </c>
      <c r="L103" s="87">
        <f>L102/SUM(L94,L96,L97)</f>
        <v>2.5336398646901865E-2</v>
      </c>
      <c r="M103" s="87">
        <f>M102/SUM(M94,M96,M97)</f>
        <v>2.5998372267817225E-2</v>
      </c>
      <c r="N103" s="87">
        <f>N102/SUM(N94,N96,N97)</f>
        <v>2.7006694187565204E-2</v>
      </c>
      <c r="O103" s="87">
        <f>O102/SUM(O94,O96,O97)</f>
        <v>2.7584333291304323E-2</v>
      </c>
      <c r="P103" s="644"/>
    </row>
    <row r="104" spans="2:16">
      <c r="B104" s="660"/>
      <c r="C104" s="42"/>
      <c r="D104" s="42"/>
      <c r="E104" s="42"/>
      <c r="F104" s="42"/>
      <c r="G104" s="42"/>
      <c r="H104" s="42"/>
      <c r="I104" s="42"/>
      <c r="J104" s="42"/>
      <c r="K104" s="42"/>
      <c r="L104" s="42"/>
      <c r="M104" s="42"/>
      <c r="N104" s="42"/>
      <c r="O104" s="42"/>
      <c r="P104" s="661"/>
    </row>
    <row r="105" spans="2:16">
      <c r="B105" s="653"/>
      <c r="C105" s="41"/>
      <c r="D105" s="41"/>
      <c r="E105" s="41"/>
      <c r="F105" s="41"/>
      <c r="G105" s="41"/>
      <c r="H105" s="41"/>
      <c r="I105" s="41"/>
      <c r="J105" s="41"/>
      <c r="K105" s="41"/>
      <c r="L105" s="41"/>
      <c r="M105" s="41"/>
      <c r="N105" s="41"/>
      <c r="O105" s="41"/>
      <c r="P105" s="644"/>
    </row>
    <row r="106" spans="2:16">
      <c r="B106" s="655" t="s">
        <v>780</v>
      </c>
      <c r="C106" s="41"/>
      <c r="D106" s="41"/>
      <c r="E106" s="41"/>
      <c r="F106" s="41"/>
      <c r="G106" s="41"/>
      <c r="H106" s="41"/>
      <c r="I106" s="41"/>
      <c r="J106" s="41"/>
      <c r="K106" s="604">
        <f>K$14</f>
        <v>44742</v>
      </c>
      <c r="L106" s="604">
        <f t="shared" ref="L106:O106" si="28">L$14</f>
        <v>45107</v>
      </c>
      <c r="M106" s="604">
        <f t="shared" si="28"/>
        <v>45473</v>
      </c>
      <c r="N106" s="604">
        <f t="shared" si="28"/>
        <v>45838</v>
      </c>
      <c r="O106" s="604">
        <f t="shared" si="28"/>
        <v>46203</v>
      </c>
      <c r="P106" s="644"/>
    </row>
    <row r="107" spans="2:16">
      <c r="B107" s="651" t="str">
        <f>B84</f>
        <v>IT</v>
      </c>
      <c r="C107" s="41"/>
      <c r="D107" s="41"/>
      <c r="E107" s="41"/>
      <c r="F107" s="41"/>
      <c r="G107" s="41"/>
      <c r="H107" s="41"/>
      <c r="I107" s="41"/>
      <c r="J107" s="41"/>
      <c r="K107" s="41"/>
      <c r="L107" s="41"/>
      <c r="M107" s="41"/>
      <c r="N107" s="41"/>
      <c r="O107" s="41"/>
      <c r="P107" s="644"/>
    </row>
    <row r="108" spans="2:16">
      <c r="B108" s="652" t="str">
        <f>B85</f>
        <v>Direct Capex</v>
      </c>
      <c r="C108" s="41"/>
      <c r="D108" s="41"/>
      <c r="E108" s="41"/>
      <c r="F108" s="41"/>
      <c r="G108" s="41"/>
      <c r="H108" s="41"/>
      <c r="I108" s="41"/>
      <c r="J108" s="41"/>
      <c r="K108" s="637">
        <v>41298.214264789502</v>
      </c>
      <c r="L108" s="637">
        <v>27871.404425804169</v>
      </c>
      <c r="M108" s="637">
        <v>33164.655858985003</v>
      </c>
      <c r="N108" s="637">
        <v>25054.753385133903</v>
      </c>
      <c r="O108" s="637">
        <v>24424.808581724679</v>
      </c>
      <c r="P108" s="644"/>
    </row>
    <row r="109" spans="2:16">
      <c r="B109" s="653"/>
      <c r="C109" s="41"/>
      <c r="D109" s="41"/>
      <c r="E109" s="41"/>
      <c r="F109" s="41"/>
      <c r="G109" s="41"/>
      <c r="H109" s="41"/>
      <c r="I109" s="41"/>
      <c r="J109" s="41"/>
      <c r="K109" s="41"/>
      <c r="L109" s="41"/>
      <c r="M109" s="41"/>
      <c r="N109" s="41"/>
      <c r="O109" s="41"/>
      <c r="P109" s="644"/>
    </row>
    <row r="110" spans="2:16">
      <c r="B110" s="652" t="s">
        <v>778</v>
      </c>
      <c r="C110" s="41"/>
      <c r="D110" s="41"/>
      <c r="E110" s="41"/>
      <c r="F110" s="41"/>
      <c r="G110" s="41"/>
      <c r="H110" s="41"/>
      <c r="I110" s="41"/>
      <c r="J110" s="41"/>
      <c r="K110" s="638">
        <f>SUM(K111:K112)</f>
        <v>2513.720400574085</v>
      </c>
      <c r="L110" s="638">
        <f>SUM(L111:L112)</f>
        <v>2451.8822797991488</v>
      </c>
      <c r="M110" s="638">
        <f>SUM(M111:M112)</f>
        <v>2475.0517379264516</v>
      </c>
      <c r="N110" s="638">
        <f>SUM(N111:N112)</f>
        <v>2471.6678863511834</v>
      </c>
      <c r="O110" s="638">
        <f>SUM(O111:O112)</f>
        <v>2469.2414637152756</v>
      </c>
      <c r="P110" s="644"/>
    </row>
    <row r="111" spans="2:16">
      <c r="B111" s="646" t="s">
        <v>775</v>
      </c>
      <c r="C111" s="41"/>
      <c r="D111" s="41"/>
      <c r="E111" s="41"/>
      <c r="F111" s="41"/>
      <c r="G111" s="41"/>
      <c r="H111" s="41"/>
      <c r="I111" s="41"/>
      <c r="J111" s="41"/>
      <c r="K111" s="265">
        <f>K88</f>
        <v>1903.6350693431818</v>
      </c>
      <c r="L111" s="265">
        <f>L88</f>
        <v>1871.3210936805087</v>
      </c>
      <c r="M111" s="265">
        <f>M88</f>
        <v>1871.3210936805087</v>
      </c>
      <c r="N111" s="265">
        <f>N88</f>
        <v>1871.3210936805087</v>
      </c>
      <c r="O111" s="265">
        <f>O88</f>
        <v>1871.3210936805087</v>
      </c>
      <c r="P111" s="644"/>
    </row>
    <row r="112" spans="2:16">
      <c r="B112" s="648" t="s">
        <v>776</v>
      </c>
      <c r="C112" s="41"/>
      <c r="D112" s="41"/>
      <c r="E112" s="41"/>
      <c r="F112" s="41"/>
      <c r="G112" s="41"/>
      <c r="H112" s="41"/>
      <c r="I112" s="41"/>
      <c r="J112" s="41"/>
      <c r="K112" s="265">
        <f>K108*K90</f>
        <v>610.08533123090308</v>
      </c>
      <c r="L112" s="265">
        <f>L108*L90</f>
        <v>580.56118611864008</v>
      </c>
      <c r="M112" s="265">
        <f>M108*M90</f>
        <v>603.73064424594281</v>
      </c>
      <c r="N112" s="265">
        <f>N108*N90</f>
        <v>600.34679267067463</v>
      </c>
      <c r="O112" s="265">
        <f>O108*O90</f>
        <v>597.92037003476685</v>
      </c>
      <c r="P112" s="644"/>
    </row>
    <row r="113" spans="2:16">
      <c r="B113" s="653"/>
      <c r="C113" s="41"/>
      <c r="D113" s="41"/>
      <c r="E113" s="41"/>
      <c r="F113" s="41"/>
      <c r="G113" s="41"/>
      <c r="H113" s="41"/>
      <c r="I113" s="41"/>
      <c r="J113" s="41"/>
      <c r="K113" s="41"/>
      <c r="L113" s="41"/>
      <c r="M113" s="41"/>
      <c r="N113" s="41"/>
      <c r="O113" s="41"/>
      <c r="P113" s="644"/>
    </row>
    <row r="114" spans="2:16">
      <c r="B114" s="651" t="str">
        <f>B92</f>
        <v>Network</v>
      </c>
      <c r="C114" s="41"/>
      <c r="D114" s="41"/>
      <c r="E114" s="41"/>
      <c r="F114" s="41"/>
      <c r="G114" s="41"/>
      <c r="H114" s="41"/>
      <c r="I114" s="41"/>
      <c r="J114" s="41"/>
      <c r="K114" s="41"/>
      <c r="L114" s="41"/>
      <c r="M114" s="41"/>
      <c r="N114" s="41"/>
      <c r="O114" s="41"/>
      <c r="P114" s="644"/>
    </row>
    <row r="115" spans="2:16">
      <c r="B115" s="653" t="s">
        <v>781</v>
      </c>
      <c r="C115" s="41"/>
      <c r="D115" s="41"/>
      <c r="E115" s="41"/>
      <c r="F115" s="41"/>
      <c r="G115" s="41"/>
      <c r="H115" s="41"/>
      <c r="I115" s="41"/>
      <c r="J115" s="41"/>
      <c r="K115" s="656">
        <v>210817.70187272213</v>
      </c>
      <c r="L115" s="656">
        <v>235585.63933560342</v>
      </c>
      <c r="M115" s="656">
        <v>227895.99989923881</v>
      </c>
      <c r="N115" s="656">
        <v>218009.27584654209</v>
      </c>
      <c r="O115" s="656">
        <v>212251.16969766334</v>
      </c>
      <c r="P115" s="644"/>
    </row>
    <row r="116" spans="2:16">
      <c r="B116" s="653"/>
      <c r="C116" s="41"/>
      <c r="D116" s="41"/>
      <c r="E116" s="41"/>
      <c r="F116" s="41"/>
      <c r="G116" s="41"/>
      <c r="H116" s="41"/>
      <c r="I116" s="41"/>
      <c r="J116" s="41"/>
      <c r="K116" s="41"/>
      <c r="L116" s="41"/>
      <c r="M116" s="41"/>
      <c r="N116" s="41"/>
      <c r="O116" s="41"/>
      <c r="P116" s="644"/>
    </row>
    <row r="117" spans="2:16">
      <c r="B117" s="652" t="s">
        <v>779</v>
      </c>
      <c r="C117" s="41"/>
      <c r="D117" s="41"/>
      <c r="E117" s="41"/>
      <c r="F117" s="41"/>
      <c r="G117" s="41"/>
      <c r="H117" s="41"/>
      <c r="I117" s="41"/>
      <c r="J117" s="41"/>
      <c r="K117" s="638">
        <f>SUM(K118:K119)</f>
        <v>24647.299913672105</v>
      </c>
      <c r="L117" s="638">
        <f t="shared" ref="L117:O117" si="29">SUM(L118:L119)</f>
        <v>24890.027176461681</v>
      </c>
      <c r="M117" s="638">
        <f t="shared" si="29"/>
        <v>24846.060546496432</v>
      </c>
      <c r="N117" s="638">
        <f t="shared" si="29"/>
        <v>24808.845345609694</v>
      </c>
      <c r="O117" s="638">
        <f t="shared" si="29"/>
        <v>24775.942509179124</v>
      </c>
      <c r="P117" s="644"/>
    </row>
    <row r="118" spans="2:16">
      <c r="B118" s="646" t="s">
        <v>775</v>
      </c>
      <c r="C118" s="41"/>
      <c r="D118" s="41"/>
      <c r="E118" s="41"/>
      <c r="F118" s="41"/>
      <c r="G118" s="41"/>
      <c r="H118" s="41"/>
      <c r="I118" s="41"/>
      <c r="J118" s="41"/>
      <c r="K118" s="265">
        <f>K101</f>
        <v>19247.865701136616</v>
      </c>
      <c r="L118" s="265">
        <f t="shared" ref="L118:O118" si="30">L101</f>
        <v>18921.135502769586</v>
      </c>
      <c r="M118" s="265">
        <f t="shared" si="30"/>
        <v>18921.135502769586</v>
      </c>
      <c r="N118" s="265">
        <f t="shared" si="30"/>
        <v>18921.135502769586</v>
      </c>
      <c r="O118" s="265">
        <f t="shared" si="30"/>
        <v>18921.135502769586</v>
      </c>
      <c r="P118" s="644"/>
    </row>
    <row r="119" spans="2:16">
      <c r="B119" s="648" t="s">
        <v>776</v>
      </c>
      <c r="C119" s="41"/>
      <c r="D119" s="41"/>
      <c r="E119" s="41"/>
      <c r="F119" s="41"/>
      <c r="G119" s="41"/>
      <c r="H119" s="41"/>
      <c r="I119" s="41"/>
      <c r="J119" s="41"/>
      <c r="K119" s="265">
        <f>K103*K115</f>
        <v>5399.4342125354906</v>
      </c>
      <c r="L119" s="265">
        <f>L103*L115</f>
        <v>5968.8916736920937</v>
      </c>
      <c r="M119" s="265">
        <f>M103*M115</f>
        <v>5924.9250437268474</v>
      </c>
      <c r="N119" s="265">
        <f>N103*N115</f>
        <v>5887.7098428401077</v>
      </c>
      <c r="O119" s="265">
        <f>O103*O115</f>
        <v>5854.8070064095382</v>
      </c>
      <c r="P119" s="644"/>
    </row>
    <row r="120" spans="2:16" ht="15.75" thickBot="1">
      <c r="B120" s="657"/>
      <c r="C120" s="658"/>
      <c r="D120" s="658"/>
      <c r="E120" s="658"/>
      <c r="F120" s="658"/>
      <c r="G120" s="658"/>
      <c r="H120" s="658"/>
      <c r="I120" s="658"/>
      <c r="J120" s="658"/>
      <c r="K120" s="658"/>
      <c r="L120" s="658"/>
      <c r="M120" s="658"/>
      <c r="N120" s="658"/>
      <c r="O120" s="658"/>
      <c r="P120" s="659"/>
    </row>
    <row r="121" spans="2:16">
      <c r="K121" s="639"/>
      <c r="L121" s="639"/>
      <c r="M121" s="639"/>
      <c r="N121" s="639"/>
      <c r="O121" s="639"/>
    </row>
    <row r="122" spans="2:16">
      <c r="B122" s="2" t="s">
        <v>802</v>
      </c>
      <c r="K122" s="158"/>
      <c r="L122" s="158"/>
      <c r="M122" s="158"/>
      <c r="N122" s="158"/>
      <c r="O122" s="158"/>
    </row>
    <row r="123" spans="2:16">
      <c r="B123" s="2" t="s">
        <v>803</v>
      </c>
      <c r="K123" s="604">
        <f>K$14</f>
        <v>44742</v>
      </c>
      <c r="L123" s="604">
        <f t="shared" ref="L123:O123" si="31">L$14</f>
        <v>45107</v>
      </c>
      <c r="M123" s="604">
        <f t="shared" si="31"/>
        <v>45473</v>
      </c>
      <c r="N123" s="604">
        <f t="shared" si="31"/>
        <v>45838</v>
      </c>
      <c r="O123" s="604">
        <f t="shared" si="31"/>
        <v>46203</v>
      </c>
    </row>
    <row r="124" spans="2:16">
      <c r="B124" s="1" t="s">
        <v>283</v>
      </c>
      <c r="K124" s="39">
        <v>258871.3168932721</v>
      </c>
      <c r="L124" s="39">
        <v>279578.18217270385</v>
      </c>
      <c r="M124" s="39">
        <v>225518.36228195694</v>
      </c>
      <c r="N124" s="39">
        <v>203828.60873866023</v>
      </c>
      <c r="O124" s="39">
        <v>195091.92633136717</v>
      </c>
    </row>
    <row r="125" spans="2:16">
      <c r="B125" s="1" t="s">
        <v>284</v>
      </c>
      <c r="K125" s="39">
        <f>SUM(Reg_Forecast!AU21:AU22)</f>
        <v>42594.904633135804</v>
      </c>
      <c r="L125" s="39">
        <f>SUM(Reg_Forecast!AV21:AV22)</f>
        <v>28686.01025909511</v>
      </c>
      <c r="M125" s="39">
        <f>SUM(Reg_Forecast!AW21:AW22)</f>
        <v>33501.617631001871</v>
      </c>
      <c r="N125" s="39">
        <f>SUM(Reg_Forecast!AX21:AX22)</f>
        <v>25220.465294562873</v>
      </c>
      <c r="O125" s="39">
        <f>SUM(Reg_Forecast!AY21:AY22)</f>
        <v>24765.067340190981</v>
      </c>
    </row>
    <row r="127" spans="2:16">
      <c r="B127" s="1" t="s">
        <v>804</v>
      </c>
      <c r="K127" s="107">
        <f>K124/K115</f>
        <v>1.227939184393356</v>
      </c>
      <c r="L127" s="107">
        <f t="shared" ref="L127:O127" si="32">L124/L115</f>
        <v>1.1867369461108404</v>
      </c>
      <c r="M127" s="107">
        <f t="shared" si="32"/>
        <v>0.98956700592229296</v>
      </c>
      <c r="N127" s="107">
        <f t="shared" si="32"/>
        <v>0.93495383601079562</v>
      </c>
      <c r="O127" s="107">
        <f t="shared" si="32"/>
        <v>0.91915595381293635</v>
      </c>
    </row>
    <row r="128" spans="2:16">
      <c r="B128" s="1" t="s">
        <v>805</v>
      </c>
      <c r="K128" s="158">
        <f>K127*K119</f>
        <v>6630.1768431264127</v>
      </c>
      <c r="L128" s="158">
        <f t="shared" ref="L128:O128" si="33">L127*L119</f>
        <v>7083.5042765037779</v>
      </c>
      <c r="M128" s="158">
        <f t="shared" si="33"/>
        <v>5863.1103358347873</v>
      </c>
      <c r="N128" s="158">
        <f t="shared" si="33"/>
        <v>5504.7369028818775</v>
      </c>
      <c r="O128" s="158">
        <f t="shared" si="33"/>
        <v>5381.4807183670218</v>
      </c>
    </row>
    <row r="129" spans="2:15">
      <c r="K129" s="158"/>
      <c r="L129" s="158"/>
      <c r="M129" s="158"/>
      <c r="N129" s="158"/>
      <c r="O129" s="158"/>
    </row>
    <row r="130" spans="2:15">
      <c r="B130" s="2" t="s">
        <v>779</v>
      </c>
      <c r="K130" s="732">
        <f>SUM(K131:K132)</f>
        <v>25878.042544263029</v>
      </c>
      <c r="L130" s="732">
        <f t="shared" ref="L130:O130" si="34">SUM(L131:L132)</f>
        <v>26004.639779273362</v>
      </c>
      <c r="M130" s="732">
        <f t="shared" si="34"/>
        <v>24784.245838604373</v>
      </c>
      <c r="N130" s="732">
        <f t="shared" si="34"/>
        <v>24425.872405651462</v>
      </c>
      <c r="O130" s="732">
        <f t="shared" si="34"/>
        <v>24302.61622113661</v>
      </c>
    </row>
    <row r="131" spans="2:15">
      <c r="B131" s="1" t="s">
        <v>775</v>
      </c>
      <c r="K131" s="158">
        <f>K118</f>
        <v>19247.865701136616</v>
      </c>
      <c r="L131" s="158">
        <f t="shared" ref="L131:O131" si="35">L118</f>
        <v>18921.135502769586</v>
      </c>
      <c r="M131" s="158">
        <f t="shared" si="35"/>
        <v>18921.135502769586</v>
      </c>
      <c r="N131" s="158">
        <f t="shared" si="35"/>
        <v>18921.135502769586</v>
      </c>
      <c r="O131" s="158">
        <f t="shared" si="35"/>
        <v>18921.135502769586</v>
      </c>
    </row>
    <row r="132" spans="2:15">
      <c r="B132" s="1" t="s">
        <v>776</v>
      </c>
      <c r="K132" s="158">
        <f>K128</f>
        <v>6630.1768431264127</v>
      </c>
      <c r="L132" s="158">
        <f t="shared" ref="L132:O132" si="36">L128</f>
        <v>7083.5042765037779</v>
      </c>
      <c r="M132" s="158">
        <f t="shared" si="36"/>
        <v>5863.1103358347873</v>
      </c>
      <c r="N132" s="158">
        <f t="shared" si="36"/>
        <v>5504.7369028818775</v>
      </c>
      <c r="O132" s="158">
        <f t="shared" si="36"/>
        <v>5381.4807183670218</v>
      </c>
    </row>
    <row r="134" spans="2:15">
      <c r="B134" s="1" t="s">
        <v>806</v>
      </c>
      <c r="K134" s="107">
        <f>K125/K108</f>
        <v>1.0313982188196416</v>
      </c>
      <c r="L134" s="107">
        <f>L125/L108</f>
        <v>1.0292272976576937</v>
      </c>
      <c r="M134" s="107">
        <f>M125/M108</f>
        <v>1.0101602674078578</v>
      </c>
      <c r="N134" s="107">
        <f>N125/N108</f>
        <v>1.0066139908416458</v>
      </c>
      <c r="O134" s="107">
        <f>O125/O108</f>
        <v>1.0139308669432476</v>
      </c>
    </row>
    <row r="135" spans="2:15">
      <c r="B135" s="1" t="s">
        <v>805</v>
      </c>
      <c r="K135" s="158">
        <f>K134*K112</f>
        <v>629.24092395954449</v>
      </c>
      <c r="L135" s="158">
        <f>L134*L112</f>
        <v>597.52942071383325</v>
      </c>
      <c r="M135" s="158">
        <f>M134*M112</f>
        <v>609.86470903379984</v>
      </c>
      <c r="N135" s="158">
        <f>N134*N112</f>
        <v>604.31748085920992</v>
      </c>
      <c r="O135" s="158">
        <f>O134*O112</f>
        <v>606.24991915237854</v>
      </c>
    </row>
    <row r="137" spans="2:15">
      <c r="B137" s="2" t="s">
        <v>778</v>
      </c>
      <c r="K137" s="732">
        <f>SUM(K138:K139)</f>
        <v>2532.8759933027263</v>
      </c>
      <c r="L137" s="732">
        <f t="shared" ref="L137:O137" si="37">SUM(L138:L139)</f>
        <v>2468.8505143943421</v>
      </c>
      <c r="M137" s="732">
        <f t="shared" si="37"/>
        <v>2481.1858027143085</v>
      </c>
      <c r="N137" s="732">
        <f t="shared" si="37"/>
        <v>2475.6385745397188</v>
      </c>
      <c r="O137" s="732">
        <f t="shared" si="37"/>
        <v>2477.5710128328874</v>
      </c>
    </row>
    <row r="138" spans="2:15">
      <c r="B138" s="1" t="s">
        <v>775</v>
      </c>
      <c r="K138" s="158">
        <f>K111</f>
        <v>1903.6350693431818</v>
      </c>
      <c r="L138" s="158">
        <f t="shared" ref="L138:O138" si="38">L111</f>
        <v>1871.3210936805087</v>
      </c>
      <c r="M138" s="158">
        <f t="shared" si="38"/>
        <v>1871.3210936805087</v>
      </c>
      <c r="N138" s="158">
        <f t="shared" si="38"/>
        <v>1871.3210936805087</v>
      </c>
      <c r="O138" s="158">
        <f t="shared" si="38"/>
        <v>1871.3210936805087</v>
      </c>
    </row>
    <row r="139" spans="2:15">
      <c r="B139" s="1" t="s">
        <v>776</v>
      </c>
      <c r="K139" s="158">
        <f>K135</f>
        <v>629.24092395954449</v>
      </c>
      <c r="L139" s="158">
        <f t="shared" ref="L139:O139" si="39">L135</f>
        <v>597.52942071383325</v>
      </c>
      <c r="M139" s="158">
        <f t="shared" si="39"/>
        <v>609.86470903379984</v>
      </c>
      <c r="N139" s="158">
        <f t="shared" si="39"/>
        <v>604.31748085920992</v>
      </c>
      <c r="O139" s="158">
        <f t="shared" si="39"/>
        <v>606.24991915237854</v>
      </c>
    </row>
  </sheetData>
  <mergeCells count="2">
    <mergeCell ref="J1:K1"/>
    <mergeCell ref="K13:O13"/>
  </mergeCells>
  <hyperlinks>
    <hyperlink ref="B2" location="Contents!A1" display="Table of Contents" xr:uid="{00000000-0004-0000-1D00-000000000000}"/>
  </hyperlinks>
  <pageMargins left="0.7" right="0.7" top="0.75" bottom="0.75" header="0.3" footer="0.3"/>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8" tint="-0.499984740745262"/>
  </sheetPr>
  <dimension ref="C3:C4"/>
  <sheetViews>
    <sheetView zoomScaleNormal="100" zoomScalePageLayoutView="125" workbookViewId="0">
      <selection activeCell="V33" sqref="V33"/>
    </sheetView>
  </sheetViews>
  <sheetFormatPr defaultColWidth="8.85546875" defaultRowHeight="15"/>
  <cols>
    <col min="1" max="1" width="8.85546875" style="22"/>
    <col min="2" max="2" width="4" style="22" customWidth="1"/>
    <col min="3" max="16384" width="8.85546875" style="22"/>
  </cols>
  <sheetData>
    <row r="3" spans="3:3" ht="18.75">
      <c r="C3" s="21" t="s">
        <v>0</v>
      </c>
    </row>
    <row r="4" spans="3:3">
      <c r="C4" s="26" t="s">
        <v>6</v>
      </c>
    </row>
  </sheetData>
  <hyperlinks>
    <hyperlink ref="C4" location="Contents!A1" display="Table of Contents" xr:uid="{00000000-0004-0000-1F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CCFFFF"/>
  </sheetPr>
  <dimension ref="B1:AF59"/>
  <sheetViews>
    <sheetView topLeftCell="M22" zoomScale="85" zoomScaleNormal="85" zoomScalePageLayoutView="125" workbookViewId="0">
      <selection activeCell="AE36" sqref="AE36"/>
    </sheetView>
  </sheetViews>
  <sheetFormatPr defaultColWidth="8.85546875" defaultRowHeight="15" outlineLevelCol="1"/>
  <cols>
    <col min="1" max="1" width="4.42578125" style="1" customWidth="1"/>
    <col min="2" max="2" width="4.7109375" style="1" customWidth="1"/>
    <col min="3" max="3" width="41.7109375" style="1" customWidth="1"/>
    <col min="4" max="7" width="9.85546875" style="1" hidden="1" customWidth="1" outlineLevel="1"/>
    <col min="8" max="8" width="8.85546875" style="1" hidden="1" customWidth="1" outlineLevel="1"/>
    <col min="9" max="9" width="8.85546875" style="1" collapsed="1"/>
    <col min="10" max="13" width="8.85546875" style="1"/>
    <col min="14" max="14" width="9.85546875" style="1" customWidth="1"/>
    <col min="15" max="19" width="8.85546875" style="1"/>
    <col min="20" max="20" width="9.28515625" style="1" customWidth="1"/>
    <col min="21" max="21" width="5" style="1" customWidth="1"/>
    <col min="22" max="22" width="6.85546875" style="1" customWidth="1"/>
    <col min="23" max="23" width="7" style="1" customWidth="1"/>
    <col min="24" max="24" width="8.85546875" style="1"/>
    <col min="25" max="25" width="48.42578125" style="1" customWidth="1"/>
    <col min="26" max="26" width="9.28515625" style="1" bestFit="1" customWidth="1"/>
    <col min="27" max="16384" width="8.85546875" style="1"/>
  </cols>
  <sheetData>
    <row r="1" spans="2:32" ht="18.75">
      <c r="B1" s="10" t="s">
        <v>720</v>
      </c>
      <c r="O1" s="108"/>
      <c r="Z1" s="1" t="s">
        <v>737</v>
      </c>
      <c r="AB1" s="867"/>
      <c r="AC1" s="867"/>
      <c r="AD1" s="867"/>
    </row>
    <row r="2" spans="2:32">
      <c r="B2" s="25" t="s">
        <v>6</v>
      </c>
      <c r="H2" s="88"/>
    </row>
    <row r="3" spans="2:32">
      <c r="B3" s="25"/>
      <c r="H3" s="52"/>
      <c r="L3" s="100">
        <f>Escalators!N14</f>
        <v>1.0200566914516673</v>
      </c>
      <c r="M3" s="100">
        <f>Escalators!O14</f>
        <v>1.0387748892718842</v>
      </c>
      <c r="N3" s="728">
        <f>Escalators!P14</f>
        <v>1.0597841134352426</v>
      </c>
      <c r="O3" s="100">
        <f>Escalators!$P$14</f>
        <v>1.0597841134352426</v>
      </c>
      <c r="P3" s="1" t="s">
        <v>846</v>
      </c>
    </row>
    <row r="4" spans="2:32">
      <c r="C4" s="97" t="s">
        <v>303</v>
      </c>
      <c r="AE4" s="41"/>
    </row>
    <row r="5" spans="2:32" ht="15" customHeight="1">
      <c r="C5" s="96"/>
      <c r="D5" s="983" t="s">
        <v>392</v>
      </c>
      <c r="E5" s="984"/>
      <c r="F5" s="984"/>
      <c r="G5" s="984"/>
      <c r="H5" s="985"/>
      <c r="I5" s="983" t="s">
        <v>392</v>
      </c>
      <c r="J5" s="984"/>
      <c r="K5" s="984"/>
      <c r="L5" s="984"/>
      <c r="M5" s="984"/>
      <c r="N5" s="985"/>
      <c r="O5" s="980" t="s">
        <v>581</v>
      </c>
      <c r="P5" s="981"/>
      <c r="Q5" s="981"/>
      <c r="R5" s="981"/>
      <c r="S5" s="982"/>
      <c r="Z5" s="980" t="s">
        <v>581</v>
      </c>
      <c r="AA5" s="981"/>
      <c r="AB5" s="981"/>
      <c r="AC5" s="981"/>
      <c r="AD5" s="982"/>
      <c r="AE5" s="41"/>
    </row>
    <row r="6" spans="2:32" ht="15" customHeight="1">
      <c r="C6" s="96"/>
      <c r="D6" s="238" t="s">
        <v>285</v>
      </c>
      <c r="E6" s="239" t="s">
        <v>285</v>
      </c>
      <c r="F6" s="239" t="s">
        <v>285</v>
      </c>
      <c r="G6" s="239" t="s">
        <v>285</v>
      </c>
      <c r="H6" s="240" t="s">
        <v>285</v>
      </c>
      <c r="I6" s="238" t="s">
        <v>285</v>
      </c>
      <c r="J6" s="239" t="s">
        <v>285</v>
      </c>
      <c r="K6" s="239" t="s">
        <v>285</v>
      </c>
      <c r="L6" s="239" t="s">
        <v>286</v>
      </c>
      <c r="M6" s="239" t="s">
        <v>286</v>
      </c>
      <c r="N6" s="187" t="s">
        <v>286</v>
      </c>
      <c r="O6" s="238" t="s">
        <v>286</v>
      </c>
      <c r="P6" s="239" t="s">
        <v>286</v>
      </c>
      <c r="Q6" s="239" t="s">
        <v>286</v>
      </c>
      <c r="R6" s="239" t="s">
        <v>286</v>
      </c>
      <c r="S6" s="240" t="s">
        <v>286</v>
      </c>
      <c r="X6" s="632" t="s">
        <v>772</v>
      </c>
      <c r="Z6" s="238" t="s">
        <v>286</v>
      </c>
      <c r="AA6" s="239" t="s">
        <v>286</v>
      </c>
      <c r="AB6" s="239" t="s">
        <v>286</v>
      </c>
      <c r="AC6" s="239" t="s">
        <v>286</v>
      </c>
      <c r="AD6" s="240" t="s">
        <v>286</v>
      </c>
      <c r="AE6" s="41"/>
    </row>
    <row r="7" spans="2:32">
      <c r="C7" s="2" t="s">
        <v>393</v>
      </c>
      <c r="D7" s="238">
        <v>2011</v>
      </c>
      <c r="E7" s="239">
        <v>2012</v>
      </c>
      <c r="F7" s="239">
        <v>2013</v>
      </c>
      <c r="G7" s="239">
        <v>2014</v>
      </c>
      <c r="H7" s="228">
        <v>2015</v>
      </c>
      <c r="I7" s="227">
        <v>2016</v>
      </c>
      <c r="J7" s="228">
        <v>2017</v>
      </c>
      <c r="K7" s="228">
        <v>2018</v>
      </c>
      <c r="L7" s="338">
        <f>CP_Yr_4</f>
        <v>43800</v>
      </c>
      <c r="M7" s="338">
        <f>CP_Yr_5</f>
        <v>44166</v>
      </c>
      <c r="N7" s="29">
        <f>Stub</f>
        <v>44377</v>
      </c>
      <c r="O7" s="340">
        <f>Yr_1</f>
        <v>44742</v>
      </c>
      <c r="P7" s="338">
        <f>Yr_2</f>
        <v>45107</v>
      </c>
      <c r="Q7" s="338">
        <f>Yr_3</f>
        <v>45473</v>
      </c>
      <c r="R7" s="338">
        <f>Yr_4</f>
        <v>45838</v>
      </c>
      <c r="S7" s="339">
        <f>Yr_5</f>
        <v>46203</v>
      </c>
      <c r="T7" s="229" t="str">
        <f>NReg_Period</f>
        <v>2022-26</v>
      </c>
      <c r="X7" s="2" t="s">
        <v>393</v>
      </c>
      <c r="Z7" s="605">
        <f>O7</f>
        <v>44742</v>
      </c>
      <c r="AA7" s="604">
        <f t="shared" ref="AA7:AD7" si="0">P7</f>
        <v>45107</v>
      </c>
      <c r="AB7" s="604">
        <f t="shared" si="0"/>
        <v>45473</v>
      </c>
      <c r="AC7" s="604">
        <f t="shared" si="0"/>
        <v>45838</v>
      </c>
      <c r="AD7" s="606">
        <f t="shared" si="0"/>
        <v>46203</v>
      </c>
      <c r="AE7" s="607" t="str">
        <f>T7</f>
        <v>2022-26</v>
      </c>
    </row>
    <row r="8" spans="2:32">
      <c r="G8" s="41"/>
      <c r="H8" s="41"/>
      <c r="I8" s="38"/>
      <c r="N8" s="32"/>
      <c r="O8" s="251"/>
      <c r="T8" s="38"/>
      <c r="X8" s="1" t="s">
        <v>44</v>
      </c>
      <c r="Z8" s="608">
        <f t="shared" ref="Z8:AD10" si="1">O9</f>
        <v>92.230416944362744</v>
      </c>
      <c r="AA8" s="609">
        <f t="shared" si="1"/>
        <v>100.80212975028985</v>
      </c>
      <c r="AB8" s="609">
        <f t="shared" si="1"/>
        <v>65.543305983685045</v>
      </c>
      <c r="AC8" s="609">
        <f t="shared" si="1"/>
        <v>42.383992481248363</v>
      </c>
      <c r="AD8" s="610">
        <f t="shared" si="1"/>
        <v>28.661638518956028</v>
      </c>
      <c r="AE8" s="611">
        <f t="shared" ref="AE8:AE17" si="2">SUM(Z8:AD8)</f>
        <v>329.62148367854201</v>
      </c>
      <c r="AF8" s="41"/>
    </row>
    <row r="9" spans="2:32">
      <c r="C9" s="1" t="s">
        <v>44</v>
      </c>
      <c r="D9" s="90">
        <v>22.221416972009369</v>
      </c>
      <c r="E9" s="90">
        <v>44.068269104737396</v>
      </c>
      <c r="F9" s="90">
        <v>63.80349995248401</v>
      </c>
      <c r="G9" s="235">
        <v>63.116820701394637</v>
      </c>
      <c r="H9" s="111">
        <v>35.869712198197576</v>
      </c>
      <c r="I9" s="181"/>
      <c r="J9" s="244"/>
      <c r="K9" s="244"/>
      <c r="L9" s="384"/>
      <c r="M9" s="384"/>
      <c r="N9" s="534">
        <v>34.792939678004672</v>
      </c>
      <c r="O9" s="366">
        <v>92.230416944362744</v>
      </c>
      <c r="P9" s="90">
        <v>100.80212975028985</v>
      </c>
      <c r="Q9" s="90">
        <v>65.543305983685045</v>
      </c>
      <c r="R9" s="90">
        <v>42.383992481248363</v>
      </c>
      <c r="S9" s="249">
        <v>28.661638518956028</v>
      </c>
      <c r="T9" s="363">
        <f t="shared" ref="T9:T16" si="3">SUM(O9:S9)</f>
        <v>329.62148367854201</v>
      </c>
      <c r="V9" s="157"/>
      <c r="X9" s="1" t="s">
        <v>45</v>
      </c>
      <c r="Z9" s="608">
        <f t="shared" si="1"/>
        <v>194.48797617198079</v>
      </c>
      <c r="AA9" s="609">
        <f t="shared" si="1"/>
        <v>233.15322705270449</v>
      </c>
      <c r="AB9" s="609">
        <f t="shared" si="1"/>
        <v>220.84707125615466</v>
      </c>
      <c r="AC9" s="609">
        <f t="shared" si="1"/>
        <v>221.85643440542924</v>
      </c>
      <c r="AD9" s="610">
        <f t="shared" si="1"/>
        <v>231.17571561460889</v>
      </c>
      <c r="AE9" s="611">
        <f t="shared" si="2"/>
        <v>1101.5204245008781</v>
      </c>
      <c r="AF9" s="41"/>
    </row>
    <row r="10" spans="2:32">
      <c r="C10" s="1" t="s">
        <v>45</v>
      </c>
      <c r="D10" s="90">
        <v>214.21892081260307</v>
      </c>
      <c r="E10" s="90">
        <v>229.0560217353418</v>
      </c>
      <c r="F10" s="90">
        <v>264.20522451001659</v>
      </c>
      <c r="G10" s="235">
        <v>326.39358925165811</v>
      </c>
      <c r="H10" s="111">
        <v>285.79277499348507</v>
      </c>
      <c r="I10" s="181"/>
      <c r="J10" s="244"/>
      <c r="K10" s="244"/>
      <c r="L10" s="384"/>
      <c r="M10" s="384"/>
      <c r="N10" s="534">
        <v>128.17890336173519</v>
      </c>
      <c r="O10" s="366">
        <v>194.48797617198079</v>
      </c>
      <c r="P10" s="90">
        <v>233.15322705270449</v>
      </c>
      <c r="Q10" s="90">
        <v>220.84707125615466</v>
      </c>
      <c r="R10" s="90">
        <v>221.85643440542924</v>
      </c>
      <c r="S10" s="249">
        <v>231.17571561460889</v>
      </c>
      <c r="T10" s="363">
        <f t="shared" si="3"/>
        <v>1101.5204245008781</v>
      </c>
      <c r="V10" s="157"/>
      <c r="X10" s="1" t="s">
        <v>48</v>
      </c>
      <c r="Z10" s="608">
        <f t="shared" si="1"/>
        <v>36.326626821155436</v>
      </c>
      <c r="AA10" s="609">
        <f t="shared" si="1"/>
        <v>26.640731144527635</v>
      </c>
      <c r="AB10" s="609">
        <f t="shared" si="1"/>
        <v>15.804889879586005</v>
      </c>
      <c r="AC10" s="609">
        <f t="shared" si="1"/>
        <v>14.974427897523045</v>
      </c>
      <c r="AD10" s="610">
        <f t="shared" si="1"/>
        <v>10.269424842775308</v>
      </c>
      <c r="AE10" s="611">
        <f t="shared" si="2"/>
        <v>104.01610058556743</v>
      </c>
      <c r="AF10" s="41"/>
    </row>
    <row r="11" spans="2:32">
      <c r="C11" s="1" t="s">
        <v>48</v>
      </c>
      <c r="D11" s="90">
        <v>1.2689451272140742</v>
      </c>
      <c r="E11" s="90">
        <v>5.9134930672221477</v>
      </c>
      <c r="F11" s="90">
        <v>1.9250731948508306</v>
      </c>
      <c r="G11" s="235">
        <v>0.73591031805575635</v>
      </c>
      <c r="H11" s="111">
        <v>0.17932764715778621</v>
      </c>
      <c r="I11" s="181"/>
      <c r="J11" s="244"/>
      <c r="K11" s="244"/>
      <c r="L11" s="384"/>
      <c r="M11" s="384"/>
      <c r="N11" s="534">
        <v>16.436834573412511</v>
      </c>
      <c r="O11" s="366">
        <v>36.326626821155436</v>
      </c>
      <c r="P11" s="90">
        <v>26.640731144527635</v>
      </c>
      <c r="Q11" s="90">
        <v>15.804889879586005</v>
      </c>
      <c r="R11" s="90">
        <v>14.974427897523045</v>
      </c>
      <c r="S11" s="249">
        <v>10.269424842775308</v>
      </c>
      <c r="T11" s="363">
        <f t="shared" si="3"/>
        <v>104.01610058556743</v>
      </c>
      <c r="V11" s="157"/>
      <c r="X11" s="1" t="s">
        <v>49</v>
      </c>
      <c r="Z11" s="608">
        <f>Reg_Forecast!BO21*Escalators!$P$14/Thousands*Z20</f>
        <v>9.7445490041030887</v>
      </c>
      <c r="AA11" s="609">
        <f>Reg_Forecast!BP21*Escalators!$P$14/Thousands*AA20</f>
        <v>4.7191265509053153</v>
      </c>
      <c r="AB11" s="609">
        <f>Reg_Forecast!BQ21*Escalators!$P$14/Thousands*AB20</f>
        <v>6.2837600719151316</v>
      </c>
      <c r="AC11" s="609">
        <f>Reg_Forecast!BR21*Escalators!$P$14/Thousands*AC20</f>
        <v>3.7910314369286753</v>
      </c>
      <c r="AD11" s="610">
        <f>Reg_Forecast!BS21*Escalators!$P$14/Thousands*AD20</f>
        <v>3.7992473978161523</v>
      </c>
      <c r="AE11" s="611">
        <f t="shared" si="2"/>
        <v>28.337714461668366</v>
      </c>
      <c r="AF11" s="41"/>
    </row>
    <row r="12" spans="2:32">
      <c r="C12" s="1" t="s">
        <v>49</v>
      </c>
      <c r="D12" s="90">
        <v>46.619225442675479</v>
      </c>
      <c r="E12" s="90">
        <v>45.516156927547812</v>
      </c>
      <c r="F12" s="90">
        <v>50.208650819470257</v>
      </c>
      <c r="G12" s="235">
        <v>33.026078626827349</v>
      </c>
      <c r="H12" s="111">
        <v>32.021862128714794</v>
      </c>
      <c r="I12" s="181"/>
      <c r="J12" s="244"/>
      <c r="K12" s="244"/>
      <c r="L12" s="384"/>
      <c r="M12" s="384"/>
      <c r="N12" s="534">
        <v>47.11697381511101</v>
      </c>
      <c r="O12" s="89">
        <v>47.825704982490272</v>
      </c>
      <c r="P12" s="90">
        <v>33.017426504030944</v>
      </c>
      <c r="Q12" s="90">
        <v>38.134003435915503</v>
      </c>
      <c r="R12" s="90">
        <v>29.351890884527286</v>
      </c>
      <c r="S12" s="249">
        <v>28.871315334596336</v>
      </c>
      <c r="T12" s="363">
        <f t="shared" si="3"/>
        <v>177.20034114156036</v>
      </c>
      <c r="V12" s="84"/>
      <c r="X12" s="1" t="s">
        <v>50</v>
      </c>
      <c r="Z12" s="608">
        <f>SUM(Other_NN!BE6:BE7,Other_NN!BE10,Other_NN!BE12)*Escalators!$P$14/Thousands</f>
        <v>4.8805263156242917</v>
      </c>
      <c r="AA12" s="609">
        <f>SUM(Other_NN!BF6:BF7,Other_NN!BF10,Other_NN!BF12)*Escalators!$P$14/Thousands</f>
        <v>4.7195950707301595</v>
      </c>
      <c r="AB12" s="609">
        <f>SUM(Other_NN!BG6:BG7,Other_NN!BG10,Other_NN!BG12)*Escalators!$P$14/Thousands</f>
        <v>5.1401946650538157</v>
      </c>
      <c r="AC12" s="609">
        <f>SUM(Other_NN!BH6:BH7,Other_NN!BH10,Other_NN!BH12)*Escalators!$P$14/Thousands</f>
        <v>7.3079475919392864</v>
      </c>
      <c r="AD12" s="610">
        <f>SUM(Other_NN!BI6:BI7,Other_NN!BI10,Other_NN!BI12)*Escalators!$P$14/Thousands</f>
        <v>6.0572040253754826</v>
      </c>
      <c r="AE12" s="611">
        <f t="shared" si="2"/>
        <v>28.105467668723037</v>
      </c>
      <c r="AF12" s="41"/>
    </row>
    <row r="13" spans="2:32">
      <c r="C13" s="1" t="s">
        <v>517</v>
      </c>
      <c r="D13" s="90"/>
      <c r="E13" s="90"/>
      <c r="F13" s="90"/>
      <c r="G13" s="235"/>
      <c r="H13" s="111"/>
      <c r="I13" s="181"/>
      <c r="J13" s="244"/>
      <c r="K13" s="244"/>
      <c r="L13" s="384"/>
      <c r="M13" s="384"/>
      <c r="N13" s="534">
        <v>0</v>
      </c>
      <c r="O13" s="89">
        <v>0</v>
      </c>
      <c r="P13" s="90">
        <v>0</v>
      </c>
      <c r="Q13" s="90">
        <v>0</v>
      </c>
      <c r="R13" s="90">
        <v>0</v>
      </c>
      <c r="S13" s="249">
        <v>0</v>
      </c>
      <c r="T13" s="363">
        <f t="shared" si="3"/>
        <v>0</v>
      </c>
      <c r="V13" s="157"/>
      <c r="X13" s="1" t="s">
        <v>395</v>
      </c>
      <c r="Z13" s="608">
        <f>O16</f>
        <v>1.6282910460059619</v>
      </c>
      <c r="AA13" s="612">
        <f>P16</f>
        <v>0</v>
      </c>
      <c r="AB13" s="612">
        <f>Q16</f>
        <v>0</v>
      </c>
      <c r="AC13" s="612">
        <f>R16</f>
        <v>0</v>
      </c>
      <c r="AD13" s="613">
        <f>S16</f>
        <v>0</v>
      </c>
      <c r="AE13" s="611">
        <f t="shared" si="2"/>
        <v>1.6282910460059619</v>
      </c>
      <c r="AF13" s="41"/>
    </row>
    <row r="14" spans="2:32">
      <c r="C14" s="1" t="s">
        <v>50</v>
      </c>
      <c r="D14" s="90">
        <v>5.0265670949548289</v>
      </c>
      <c r="E14" s="90">
        <v>6.5548071296747672</v>
      </c>
      <c r="F14" s="90">
        <v>6.1607829749307585</v>
      </c>
      <c r="G14" s="235">
        <v>4.9603971712309995</v>
      </c>
      <c r="H14" s="111">
        <v>6.0558664631467227</v>
      </c>
      <c r="I14" s="181"/>
      <c r="J14" s="244"/>
      <c r="K14" s="244"/>
      <c r="L14" s="384"/>
      <c r="M14" s="384"/>
      <c r="N14" s="534">
        <v>4.0272545577907417</v>
      </c>
      <c r="O14" s="89">
        <v>8.2617251381748957</v>
      </c>
      <c r="P14" s="90">
        <v>6.8456703720571372</v>
      </c>
      <c r="Q14" s="90">
        <v>6.0001882774242459</v>
      </c>
      <c r="R14" s="90">
        <v>9.8218932809424278</v>
      </c>
      <c r="S14" s="249">
        <v>10.443926014753444</v>
      </c>
      <c r="T14" s="363">
        <f t="shared" si="3"/>
        <v>41.373403083352152</v>
      </c>
      <c r="U14" s="90"/>
      <c r="V14" s="157"/>
      <c r="X14" s="1" t="s">
        <v>785</v>
      </c>
      <c r="Z14" s="608">
        <f>O15</f>
        <v>1.3142678083470987</v>
      </c>
      <c r="AA14" s="614">
        <v>0</v>
      </c>
      <c r="AB14" s="614">
        <v>0</v>
      </c>
      <c r="AC14" s="614">
        <v>0</v>
      </c>
      <c r="AD14" s="615">
        <v>0</v>
      </c>
      <c r="AE14" s="611">
        <f t="shared" si="2"/>
        <v>1.3142678083470987</v>
      </c>
      <c r="AF14" s="41"/>
    </row>
    <row r="15" spans="2:32">
      <c r="C15" s="1" t="s">
        <v>585</v>
      </c>
      <c r="D15" s="90"/>
      <c r="E15" s="90"/>
      <c r="F15" s="90"/>
      <c r="G15" s="235"/>
      <c r="H15" s="111"/>
      <c r="I15" s="181"/>
      <c r="J15" s="244"/>
      <c r="K15" s="244"/>
      <c r="L15" s="384"/>
      <c r="M15" s="384"/>
      <c r="N15" s="534">
        <v>0.16131811068053845</v>
      </c>
      <c r="O15" s="89">
        <v>1.3142678083470987</v>
      </c>
      <c r="P15" s="90">
        <v>0</v>
      </c>
      <c r="Q15" s="90">
        <v>0</v>
      </c>
      <c r="R15" s="90">
        <v>0</v>
      </c>
      <c r="S15" s="249">
        <v>4.8767548772582945</v>
      </c>
      <c r="T15" s="363">
        <f t="shared" ref="T15" si="4">SUM(O15:S15)</f>
        <v>6.1910226856053931</v>
      </c>
      <c r="U15" s="90"/>
      <c r="V15" s="157"/>
      <c r="X15" s="1" t="s">
        <v>786</v>
      </c>
      <c r="Z15" s="616">
        <v>0</v>
      </c>
      <c r="AA15" s="614">
        <v>0</v>
      </c>
      <c r="AB15" s="614">
        <v>0</v>
      </c>
      <c r="AC15" s="614">
        <v>0</v>
      </c>
      <c r="AD15" s="610">
        <f>S15</f>
        <v>4.8767548772582945</v>
      </c>
      <c r="AE15" s="611">
        <f t="shared" si="2"/>
        <v>4.8767548772582945</v>
      </c>
      <c r="AF15" s="41"/>
    </row>
    <row r="16" spans="2:32">
      <c r="C16" s="1" t="s">
        <v>395</v>
      </c>
      <c r="D16" s="91">
        <v>0</v>
      </c>
      <c r="E16" s="91">
        <v>0</v>
      </c>
      <c r="F16" s="91">
        <v>0</v>
      </c>
      <c r="G16" s="233">
        <v>0</v>
      </c>
      <c r="H16" s="91">
        <v>0</v>
      </c>
      <c r="I16" s="182"/>
      <c r="J16" s="245"/>
      <c r="K16" s="245"/>
      <c r="L16" s="385"/>
      <c r="M16" s="385"/>
      <c r="N16" s="535">
        <v>2.0507803496642805E-2</v>
      </c>
      <c r="O16" s="237">
        <v>1.6282910460059619</v>
      </c>
      <c r="P16" s="91">
        <v>0</v>
      </c>
      <c r="Q16" s="91">
        <v>0</v>
      </c>
      <c r="R16" s="91">
        <v>0</v>
      </c>
      <c r="S16" s="250">
        <v>0</v>
      </c>
      <c r="T16" s="364">
        <f t="shared" si="3"/>
        <v>1.6282910460059619</v>
      </c>
      <c r="V16" s="157"/>
      <c r="X16" s="1" t="s">
        <v>787</v>
      </c>
      <c r="Z16" s="608">
        <f>SUM(Other_NN!BE8:BE9)*Escalators!$P$14/Thousands</f>
        <v>3.381198822550604</v>
      </c>
      <c r="AA16" s="609">
        <f>SUM(Other_NN!BF8:BF9)*Escalators!$P$14/Thousands</f>
        <v>2.1260753013269778</v>
      </c>
      <c r="AB16" s="609">
        <f>SUM(Other_NN!BG8:BG9)*Escalators!$P$14/Thousands</f>
        <v>0.8599936123704307</v>
      </c>
      <c r="AC16" s="609">
        <f>SUM(Other_NN!BH8:BH9)*Escalators!$P$14/Thousands</f>
        <v>2.5139456890031422</v>
      </c>
      <c r="AD16" s="610">
        <f>SUM(Other_NN!BI8:BI9)*Escalators!$P$14/Thousands</f>
        <v>4.3867219893779632</v>
      </c>
      <c r="AE16" s="611">
        <f t="shared" si="2"/>
        <v>13.267935414629118</v>
      </c>
      <c r="AF16" s="41"/>
    </row>
    <row r="17" spans="3:32">
      <c r="C17" s="56" t="s">
        <v>146</v>
      </c>
      <c r="D17" s="90">
        <f t="shared" ref="D17:S17" si="5">SUM(D9:D16)</f>
        <v>289.35507544945682</v>
      </c>
      <c r="E17" s="90">
        <f t="shared" si="5"/>
        <v>331.1087479645239</v>
      </c>
      <c r="F17" s="90">
        <f t="shared" si="5"/>
        <v>386.30323145175248</v>
      </c>
      <c r="G17" s="235">
        <f t="shared" si="5"/>
        <v>428.23279606916691</v>
      </c>
      <c r="H17" s="111">
        <f t="shared" si="5"/>
        <v>359.91954343070199</v>
      </c>
      <c r="I17" s="89">
        <f t="shared" si="5"/>
        <v>0</v>
      </c>
      <c r="J17" s="90">
        <f t="shared" si="5"/>
        <v>0</v>
      </c>
      <c r="K17" s="90">
        <f t="shared" si="5"/>
        <v>0</v>
      </c>
      <c r="L17" s="90">
        <f t="shared" si="5"/>
        <v>0</v>
      </c>
      <c r="M17" s="90">
        <f t="shared" si="5"/>
        <v>0</v>
      </c>
      <c r="N17" s="342">
        <f t="shared" si="5"/>
        <v>230.73473190023131</v>
      </c>
      <c r="O17" s="89">
        <f t="shared" si="5"/>
        <v>382.07500891251721</v>
      </c>
      <c r="P17" s="90">
        <f t="shared" si="5"/>
        <v>400.45918482361009</v>
      </c>
      <c r="Q17" s="90">
        <f t="shared" si="5"/>
        <v>346.32945883276551</v>
      </c>
      <c r="R17" s="90">
        <f t="shared" si="5"/>
        <v>318.38863894967039</v>
      </c>
      <c r="S17" s="249">
        <f t="shared" si="5"/>
        <v>314.29877520294832</v>
      </c>
      <c r="T17" s="363">
        <f>SUM(T9:T16)</f>
        <v>1761.5510667215115</v>
      </c>
      <c r="X17" s="1" t="s">
        <v>788</v>
      </c>
      <c r="Z17" s="617">
        <f>(Reg_Forecast!BO21*Escalators!$P$14/Thousands-Z11)+Reg_Forecast!BO22*Escalators!$P$14/Thousands</f>
        <v>38.081155978387187</v>
      </c>
      <c r="AA17" s="618">
        <f>(Reg_Forecast!BP21*Escalators!$P$14/Thousands-AA11)+Reg_Forecast!BP22*Escalators!$P$14/Thousands</f>
        <v>28.298299953125628</v>
      </c>
      <c r="AB17" s="618">
        <f>(Reg_Forecast!BQ21*Escalators!$P$14/Thousands-AB11)+Reg_Forecast!BQ22*Escalators!$P$14/Thousands</f>
        <v>31.85024336400037</v>
      </c>
      <c r="AC17" s="618">
        <f>(Reg_Forecast!BR21*Escalators!$P$14/Thousands-AC11)+Reg_Forecast!BR22*Escalators!$P$14/Thousands</f>
        <v>25.56085944759861</v>
      </c>
      <c r="AD17" s="619">
        <f>(Reg_Forecast!BS21*Escalators!$P$14/Thousands-AD11)+Reg_Forecast!BS22*Escalators!$P$14/Thousands</f>
        <v>25.072067936780183</v>
      </c>
      <c r="AE17" s="620">
        <f t="shared" si="2"/>
        <v>148.86262667989195</v>
      </c>
      <c r="AF17" s="609"/>
    </row>
    <row r="18" spans="3:32">
      <c r="C18" s="53" t="s">
        <v>133</v>
      </c>
      <c r="D18" s="53"/>
      <c r="E18" s="53"/>
      <c r="F18" s="53"/>
      <c r="G18" s="242"/>
      <c r="H18" s="242"/>
      <c r="I18" s="53"/>
      <c r="J18" s="53"/>
      <c r="K18" s="53"/>
      <c r="L18" s="243"/>
      <c r="M18" s="243"/>
      <c r="N18" s="243">
        <v>0</v>
      </c>
      <c r="O18" s="243">
        <f>O17-Reg_Forecast!BO28*$O$3/Thousands</f>
        <v>0</v>
      </c>
      <c r="P18" s="243">
        <f>P17-Reg_Forecast!BP28*$O$3/Thousands</f>
        <v>0</v>
      </c>
      <c r="Q18" s="243">
        <f>Q17-Reg_Forecast!BQ28*$O$3/Thousands</f>
        <v>0</v>
      </c>
      <c r="R18" s="243">
        <f>R17-Reg_Forecast!BR28*$O$3/Thousands</f>
        <v>0</v>
      </c>
      <c r="S18" s="243">
        <f>S17-Reg_Forecast!BS28*$O$3/Thousands</f>
        <v>0</v>
      </c>
      <c r="T18" s="51"/>
      <c r="X18" s="56" t="s">
        <v>146</v>
      </c>
      <c r="Z18" s="621">
        <f>SUM(Z8:Z17)</f>
        <v>382.07500891251726</v>
      </c>
      <c r="AA18" s="609">
        <f t="shared" ref="AA18:AD18" si="6">SUM(AA8:AA17)</f>
        <v>400.45918482361009</v>
      </c>
      <c r="AB18" s="609">
        <f t="shared" si="6"/>
        <v>346.32945883276551</v>
      </c>
      <c r="AC18" s="609">
        <f t="shared" si="6"/>
        <v>318.38863894967039</v>
      </c>
      <c r="AD18" s="610">
        <f t="shared" si="6"/>
        <v>314.29877520294832</v>
      </c>
      <c r="AE18" s="611">
        <f>SUM(AE8:AE17)</f>
        <v>1761.5510667215115</v>
      </c>
      <c r="AF18" s="41"/>
    </row>
    <row r="19" spans="3:32">
      <c r="C19" s="2" t="s">
        <v>394</v>
      </c>
      <c r="D19" s="43">
        <v>2011</v>
      </c>
      <c r="E19" s="43">
        <v>2012</v>
      </c>
      <c r="F19" s="43">
        <v>2013</v>
      </c>
      <c r="G19" s="236">
        <v>2014</v>
      </c>
      <c r="H19" s="86">
        <v>2015</v>
      </c>
      <c r="I19" s="234">
        <v>2016</v>
      </c>
      <c r="J19" s="43">
        <v>2017</v>
      </c>
      <c r="K19" s="36">
        <v>2018</v>
      </c>
      <c r="L19" s="223">
        <f>CP_Yr_4</f>
        <v>43800</v>
      </c>
      <c r="M19" s="223">
        <f>CP_Yr_5</f>
        <v>44166</v>
      </c>
      <c r="N19" s="343">
        <f>Stub</f>
        <v>44377</v>
      </c>
      <c r="O19" s="335">
        <f>Yr_1</f>
        <v>44742</v>
      </c>
      <c r="P19" s="223">
        <f>Yr_2</f>
        <v>45107</v>
      </c>
      <c r="Q19" s="223">
        <f>Yr_3</f>
        <v>45473</v>
      </c>
      <c r="R19" s="223">
        <f>Yr_4</f>
        <v>45838</v>
      </c>
      <c r="S19" s="223">
        <f>Yr_5</f>
        <v>46203</v>
      </c>
      <c r="T19" s="37" t="str">
        <f>NReg_Period</f>
        <v>2022-26</v>
      </c>
      <c r="X19" s="34" t="s">
        <v>133</v>
      </c>
      <c r="Z19" s="626">
        <f t="shared" ref="Z19:AE19" si="7">Z18-O17</f>
        <v>0</v>
      </c>
      <c r="AA19" s="625">
        <f t="shared" si="7"/>
        <v>0</v>
      </c>
      <c r="AB19" s="625">
        <f t="shared" si="7"/>
        <v>0</v>
      </c>
      <c r="AC19" s="625">
        <f t="shared" si="7"/>
        <v>0</v>
      </c>
      <c r="AD19" s="627">
        <f t="shared" si="7"/>
        <v>0</v>
      </c>
      <c r="AE19" s="625">
        <f t="shared" si="7"/>
        <v>0</v>
      </c>
      <c r="AF19" s="41"/>
    </row>
    <row r="20" spans="3:32">
      <c r="G20" s="41"/>
      <c r="H20" s="41"/>
      <c r="I20" s="38"/>
      <c r="N20" s="32"/>
      <c r="O20" s="38"/>
      <c r="T20" s="38"/>
      <c r="X20" s="1" t="s">
        <v>771</v>
      </c>
      <c r="Z20" s="624">
        <v>0.20375128830135841</v>
      </c>
      <c r="AA20" s="622">
        <v>0.14292835785760527</v>
      </c>
      <c r="AB20" s="622">
        <v>0.16478102233548703</v>
      </c>
      <c r="AC20" s="622">
        <v>0.12915799707224654</v>
      </c>
      <c r="AD20" s="623">
        <v>0.1315924596363483</v>
      </c>
      <c r="AF20" s="41"/>
    </row>
    <row r="21" spans="3:32">
      <c r="C21" s="1" t="s">
        <v>44</v>
      </c>
      <c r="D21" s="90">
        <v>0</v>
      </c>
      <c r="E21" s="90">
        <v>0</v>
      </c>
      <c r="F21" s="90">
        <v>0</v>
      </c>
      <c r="G21" s="235">
        <v>0</v>
      </c>
      <c r="H21" s="111">
        <v>20.463685802895935</v>
      </c>
      <c r="I21" s="181"/>
      <c r="J21" s="244"/>
      <c r="K21" s="244"/>
      <c r="L21" s="384"/>
      <c r="M21" s="384"/>
      <c r="N21" s="534">
        <v>5.1022212855054629</v>
      </c>
      <c r="O21" s="528">
        <v>19.026545942562322</v>
      </c>
      <c r="P21" s="529">
        <v>18.996932056083921</v>
      </c>
      <c r="Q21" s="529">
        <v>19.244929281259708</v>
      </c>
      <c r="R21" s="529">
        <v>19.411859516163233</v>
      </c>
      <c r="S21" s="530">
        <v>19.525933421264909</v>
      </c>
      <c r="T21" s="90">
        <f>SUM(O21:S21)</f>
        <v>96.2062002173341</v>
      </c>
      <c r="U21" s="54"/>
      <c r="AF21" s="41"/>
    </row>
    <row r="22" spans="3:32">
      <c r="C22" s="1" t="s">
        <v>45</v>
      </c>
      <c r="D22" s="90">
        <v>29.614305869999999</v>
      </c>
      <c r="E22" s="90">
        <v>24.698322760000003</v>
      </c>
      <c r="F22" s="90">
        <v>22.796053150000002</v>
      </c>
      <c r="G22" s="235">
        <v>44.588195179126274</v>
      </c>
      <c r="H22" s="111">
        <v>25.80343545241022</v>
      </c>
      <c r="I22" s="181"/>
      <c r="J22" s="244"/>
      <c r="K22" s="244"/>
      <c r="L22" s="384"/>
      <c r="M22" s="384"/>
      <c r="N22" s="534">
        <v>28.549381866948508</v>
      </c>
      <c r="O22" s="528">
        <v>28.282103025093168</v>
      </c>
      <c r="P22" s="529">
        <v>48.818732082679638</v>
      </c>
      <c r="Q22" s="529">
        <v>49.093589983067098</v>
      </c>
      <c r="R22" s="529">
        <v>49.564968091086811</v>
      </c>
      <c r="S22" s="530">
        <v>49.970964755452371</v>
      </c>
      <c r="T22" s="90">
        <f t="shared" ref="T22:T28" si="8">SUM(O22:S22)</f>
        <v>225.7303579373791</v>
      </c>
      <c r="U22" s="54"/>
      <c r="X22" s="2" t="s">
        <v>394</v>
      </c>
      <c r="Z22" s="605">
        <f t="shared" ref="Z22:AE22" si="9">O19</f>
        <v>44742</v>
      </c>
      <c r="AA22" s="604">
        <f t="shared" si="9"/>
        <v>45107</v>
      </c>
      <c r="AB22" s="604">
        <f t="shared" si="9"/>
        <v>45473</v>
      </c>
      <c r="AC22" s="604">
        <f t="shared" si="9"/>
        <v>45838</v>
      </c>
      <c r="AD22" s="606">
        <f t="shared" si="9"/>
        <v>46203</v>
      </c>
      <c r="AE22" s="603" t="str">
        <f t="shared" si="9"/>
        <v>2022-26</v>
      </c>
    </row>
    <row r="23" spans="3:32">
      <c r="C23" s="1" t="s">
        <v>48</v>
      </c>
      <c r="D23" s="90">
        <v>0</v>
      </c>
      <c r="E23" s="90">
        <v>0</v>
      </c>
      <c r="F23" s="90">
        <v>0</v>
      </c>
      <c r="G23" s="235">
        <v>0</v>
      </c>
      <c r="H23" s="111">
        <v>0</v>
      </c>
      <c r="I23" s="181"/>
      <c r="J23" s="244"/>
      <c r="K23" s="244"/>
      <c r="L23" s="384"/>
      <c r="M23" s="384"/>
      <c r="N23" s="534">
        <v>0</v>
      </c>
      <c r="O23" s="528">
        <v>0</v>
      </c>
      <c r="P23" s="529">
        <v>0</v>
      </c>
      <c r="Q23" s="529">
        <v>0</v>
      </c>
      <c r="R23" s="529">
        <v>0</v>
      </c>
      <c r="S23" s="530">
        <v>0</v>
      </c>
      <c r="T23" s="90">
        <f t="shared" si="8"/>
        <v>0</v>
      </c>
      <c r="X23" s="1" t="str">
        <f>X8</f>
        <v>Subtransmission</v>
      </c>
      <c r="Z23" s="621">
        <f t="shared" ref="Z23:AD28" si="10">O21</f>
        <v>19.026545942562322</v>
      </c>
      <c r="AA23" s="312">
        <f t="shared" si="10"/>
        <v>18.996932056083921</v>
      </c>
      <c r="AB23" s="312">
        <f t="shared" si="10"/>
        <v>19.244929281259708</v>
      </c>
      <c r="AC23" s="312">
        <f t="shared" si="10"/>
        <v>19.411859516163233</v>
      </c>
      <c r="AD23" s="610">
        <f t="shared" si="10"/>
        <v>19.525933421264909</v>
      </c>
      <c r="AE23" s="611">
        <f t="shared" ref="AE23:AE32" si="11">SUM(Z23:AD23)</f>
        <v>96.2062002173341</v>
      </c>
    </row>
    <row r="24" spans="3:32">
      <c r="C24" s="1" t="s">
        <v>49</v>
      </c>
      <c r="D24" s="90">
        <v>0</v>
      </c>
      <c r="E24" s="90">
        <v>0</v>
      </c>
      <c r="F24" s="90">
        <v>0</v>
      </c>
      <c r="G24" s="235">
        <v>0</v>
      </c>
      <c r="H24" s="111">
        <v>0</v>
      </c>
      <c r="I24" s="181"/>
      <c r="J24" s="244"/>
      <c r="K24" s="244"/>
      <c r="L24" s="384"/>
      <c r="M24" s="384"/>
      <c r="N24" s="534">
        <v>0</v>
      </c>
      <c r="O24" s="528">
        <v>0</v>
      </c>
      <c r="P24" s="529">
        <v>0</v>
      </c>
      <c r="Q24" s="529">
        <v>0</v>
      </c>
      <c r="R24" s="529">
        <v>0</v>
      </c>
      <c r="S24" s="530">
        <v>0</v>
      </c>
      <c r="T24" s="90">
        <f t="shared" si="8"/>
        <v>0</v>
      </c>
      <c r="X24" s="1" t="str">
        <f t="shared" ref="X24:X33" si="12">X9</f>
        <v>Distribution system assets</v>
      </c>
      <c r="Z24" s="621">
        <f t="shared" si="10"/>
        <v>28.282103025093168</v>
      </c>
      <c r="AA24" s="312">
        <f t="shared" si="10"/>
        <v>48.818732082679638</v>
      </c>
      <c r="AB24" s="312">
        <f t="shared" si="10"/>
        <v>49.093589983067098</v>
      </c>
      <c r="AC24" s="312">
        <f t="shared" si="10"/>
        <v>49.564968091086811</v>
      </c>
      <c r="AD24" s="610">
        <f t="shared" si="10"/>
        <v>49.970964755452371</v>
      </c>
      <c r="AE24" s="611">
        <f t="shared" si="11"/>
        <v>225.7303579373791</v>
      </c>
    </row>
    <row r="25" spans="3:32">
      <c r="C25" s="1" t="s">
        <v>517</v>
      </c>
      <c r="D25" s="90"/>
      <c r="E25" s="90"/>
      <c r="F25" s="90"/>
      <c r="G25" s="235"/>
      <c r="H25" s="111"/>
      <c r="I25" s="181"/>
      <c r="J25" s="244"/>
      <c r="K25" s="244"/>
      <c r="L25" s="384"/>
      <c r="M25" s="384"/>
      <c r="N25" s="534">
        <v>0</v>
      </c>
      <c r="O25" s="528">
        <v>0</v>
      </c>
      <c r="P25" s="529">
        <v>0</v>
      </c>
      <c r="Q25" s="529">
        <v>0</v>
      </c>
      <c r="R25" s="529">
        <v>0</v>
      </c>
      <c r="S25" s="530">
        <v>0</v>
      </c>
      <c r="T25" s="90">
        <f t="shared" ref="T25" si="13">SUM(O25:S25)</f>
        <v>0</v>
      </c>
      <c r="X25" s="1" t="str">
        <f t="shared" si="12"/>
        <v>SCADA/Network control</v>
      </c>
      <c r="Z25" s="621">
        <f t="shared" si="10"/>
        <v>0</v>
      </c>
      <c r="AA25" s="312">
        <f t="shared" si="10"/>
        <v>0</v>
      </c>
      <c r="AB25" s="312">
        <f t="shared" si="10"/>
        <v>0</v>
      </c>
      <c r="AC25" s="312">
        <f t="shared" si="10"/>
        <v>0</v>
      </c>
      <c r="AD25" s="610">
        <f t="shared" si="10"/>
        <v>0</v>
      </c>
      <c r="AE25" s="611">
        <f t="shared" si="11"/>
        <v>0</v>
      </c>
    </row>
    <row r="26" spans="3:32">
      <c r="C26" s="1" t="s">
        <v>50</v>
      </c>
      <c r="D26" s="90">
        <v>0</v>
      </c>
      <c r="E26" s="90">
        <v>0</v>
      </c>
      <c r="F26" s="90">
        <v>0</v>
      </c>
      <c r="G26" s="235">
        <v>0</v>
      </c>
      <c r="H26" s="111">
        <v>0</v>
      </c>
      <c r="I26" s="181"/>
      <c r="J26" s="244"/>
      <c r="K26" s="244"/>
      <c r="L26" s="384"/>
      <c r="M26" s="384"/>
      <c r="N26" s="534">
        <v>0</v>
      </c>
      <c r="O26" s="528">
        <v>0</v>
      </c>
      <c r="P26" s="529">
        <v>0</v>
      </c>
      <c r="Q26" s="529">
        <v>0</v>
      </c>
      <c r="R26" s="529">
        <v>0</v>
      </c>
      <c r="S26" s="530">
        <v>0</v>
      </c>
      <c r="T26" s="90">
        <f t="shared" si="8"/>
        <v>0</v>
      </c>
      <c r="X26" s="1" t="str">
        <f t="shared" si="12"/>
        <v>Non-network general assets - IT</v>
      </c>
      <c r="Z26" s="621">
        <f t="shared" si="10"/>
        <v>0</v>
      </c>
      <c r="AA26" s="312">
        <f t="shared" si="10"/>
        <v>0</v>
      </c>
      <c r="AB26" s="312">
        <f t="shared" si="10"/>
        <v>0</v>
      </c>
      <c r="AC26" s="312">
        <f t="shared" si="10"/>
        <v>0</v>
      </c>
      <c r="AD26" s="610">
        <f t="shared" si="10"/>
        <v>0</v>
      </c>
      <c r="AE26" s="611">
        <f t="shared" si="11"/>
        <v>0</v>
      </c>
    </row>
    <row r="27" spans="3:32">
      <c r="C27" s="1" t="s">
        <v>585</v>
      </c>
      <c r="D27" s="90"/>
      <c r="E27" s="90"/>
      <c r="F27" s="90"/>
      <c r="G27" s="235"/>
      <c r="H27" s="111"/>
      <c r="I27" s="181"/>
      <c r="J27" s="244"/>
      <c r="K27" s="244"/>
      <c r="L27" s="384"/>
      <c r="M27" s="384"/>
      <c r="N27" s="534">
        <v>0</v>
      </c>
      <c r="O27" s="528">
        <v>0</v>
      </c>
      <c r="P27" s="529">
        <v>0</v>
      </c>
      <c r="Q27" s="529">
        <v>0</v>
      </c>
      <c r="R27" s="529">
        <v>0</v>
      </c>
      <c r="S27" s="530">
        <v>0</v>
      </c>
      <c r="T27" s="90">
        <f t="shared" si="8"/>
        <v>0</v>
      </c>
      <c r="X27" s="1" t="str">
        <f t="shared" si="12"/>
        <v>Non-network general assets - Other</v>
      </c>
      <c r="Z27" s="621">
        <f t="shared" si="10"/>
        <v>0</v>
      </c>
      <c r="AA27" s="312">
        <f t="shared" si="10"/>
        <v>0</v>
      </c>
      <c r="AB27" s="312">
        <f t="shared" si="10"/>
        <v>0</v>
      </c>
      <c r="AC27" s="312">
        <f t="shared" si="10"/>
        <v>0</v>
      </c>
      <c r="AD27" s="610">
        <f t="shared" si="10"/>
        <v>0</v>
      </c>
      <c r="AE27" s="611">
        <f t="shared" si="11"/>
        <v>0</v>
      </c>
    </row>
    <row r="28" spans="3:32">
      <c r="C28" s="1" t="s">
        <v>395</v>
      </c>
      <c r="D28" s="91">
        <v>0</v>
      </c>
      <c r="E28" s="91">
        <v>0</v>
      </c>
      <c r="F28" s="91">
        <v>0</v>
      </c>
      <c r="G28" s="233">
        <v>0</v>
      </c>
      <c r="H28" s="91">
        <v>0</v>
      </c>
      <c r="I28" s="182"/>
      <c r="J28" s="245"/>
      <c r="K28" s="245"/>
      <c r="L28" s="385"/>
      <c r="M28" s="385"/>
      <c r="N28" s="536">
        <v>0</v>
      </c>
      <c r="O28" s="531">
        <v>0</v>
      </c>
      <c r="P28" s="532">
        <v>0</v>
      </c>
      <c r="Q28" s="532">
        <v>0</v>
      </c>
      <c r="R28" s="532">
        <v>0</v>
      </c>
      <c r="S28" s="533">
        <v>0</v>
      </c>
      <c r="T28" s="91">
        <f t="shared" si="8"/>
        <v>0</v>
      </c>
      <c r="X28" s="1" t="str">
        <f t="shared" si="12"/>
        <v>Land</v>
      </c>
      <c r="Z28" s="621">
        <f t="shared" si="10"/>
        <v>0</v>
      </c>
      <c r="AA28" s="312">
        <f t="shared" si="10"/>
        <v>0</v>
      </c>
      <c r="AB28" s="312">
        <f t="shared" si="10"/>
        <v>0</v>
      </c>
      <c r="AC28" s="312">
        <f t="shared" si="10"/>
        <v>0</v>
      </c>
      <c r="AD28" s="610">
        <f t="shared" si="10"/>
        <v>0</v>
      </c>
      <c r="AE28" s="611">
        <f t="shared" si="11"/>
        <v>0</v>
      </c>
    </row>
    <row r="29" spans="3:32">
      <c r="C29" s="56" t="s">
        <v>146</v>
      </c>
      <c r="D29" s="90">
        <f t="shared" ref="D29:T29" si="14">SUM(D21:D28)</f>
        <v>29.614305869999999</v>
      </c>
      <c r="E29" s="90">
        <f t="shared" si="14"/>
        <v>24.698322760000003</v>
      </c>
      <c r="F29" s="90">
        <f t="shared" si="14"/>
        <v>22.796053150000002</v>
      </c>
      <c r="G29" s="235">
        <f t="shared" si="14"/>
        <v>44.588195179126274</v>
      </c>
      <c r="H29" s="111">
        <f t="shared" si="14"/>
        <v>46.267121255306151</v>
      </c>
      <c r="I29" s="89">
        <f t="shared" si="14"/>
        <v>0</v>
      </c>
      <c r="J29" s="90">
        <f t="shared" si="14"/>
        <v>0</v>
      </c>
      <c r="K29" s="90">
        <f t="shared" si="14"/>
        <v>0</v>
      </c>
      <c r="L29" s="90">
        <f t="shared" si="14"/>
        <v>0</v>
      </c>
      <c r="M29" s="90">
        <f t="shared" si="14"/>
        <v>0</v>
      </c>
      <c r="N29" s="342">
        <f t="shared" si="14"/>
        <v>33.651603152453973</v>
      </c>
      <c r="O29" s="89">
        <f t="shared" si="14"/>
        <v>47.308648967655486</v>
      </c>
      <c r="P29" s="90">
        <f t="shared" si="14"/>
        <v>67.815664138763566</v>
      </c>
      <c r="Q29" s="90">
        <f t="shared" si="14"/>
        <v>68.338519264326806</v>
      </c>
      <c r="R29" s="90">
        <f t="shared" si="14"/>
        <v>68.976827607250044</v>
      </c>
      <c r="S29" s="249">
        <f t="shared" si="14"/>
        <v>69.496898176717281</v>
      </c>
      <c r="T29" s="90">
        <f t="shared" si="14"/>
        <v>321.93655815471323</v>
      </c>
      <c r="X29" s="1" t="str">
        <f t="shared" si="12"/>
        <v>Non- Network Leasehold Land &amp; Buildings - 2021-22</v>
      </c>
      <c r="Z29" s="621">
        <f>Z28</f>
        <v>0</v>
      </c>
      <c r="AA29" s="312">
        <f t="shared" ref="AA29:AA32" si="15">AA28</f>
        <v>0</v>
      </c>
      <c r="AB29" s="312">
        <f t="shared" ref="AB29:AB32" si="16">AB28</f>
        <v>0</v>
      </c>
      <c r="AC29" s="312">
        <f t="shared" ref="AC29:AC32" si="17">AC28</f>
        <v>0</v>
      </c>
      <c r="AD29" s="610">
        <f t="shared" ref="AD29:AD32" si="18">AD28</f>
        <v>0</v>
      </c>
      <c r="AE29" s="611">
        <f t="shared" si="11"/>
        <v>0</v>
      </c>
    </row>
    <row r="30" spans="3:32">
      <c r="C30" s="53" t="s">
        <v>133</v>
      </c>
      <c r="G30" s="41"/>
      <c r="H30" s="41"/>
      <c r="L30" s="243">
        <v>0</v>
      </c>
      <c r="M30" s="243">
        <v>0</v>
      </c>
      <c r="N30" s="243">
        <v>0</v>
      </c>
      <c r="O30" s="243">
        <v>0</v>
      </c>
      <c r="P30" s="243">
        <v>0</v>
      </c>
      <c r="Q30" s="243">
        <v>0</v>
      </c>
      <c r="R30" s="243">
        <v>0</v>
      </c>
      <c r="S30" s="243">
        <v>0</v>
      </c>
      <c r="X30" s="1" t="str">
        <f t="shared" si="12"/>
        <v>Non- Network Leasehold Land &amp; Buildings - 2025-26</v>
      </c>
      <c r="Z30" s="621">
        <f t="shared" ref="Z30:Z32" si="19">Z29</f>
        <v>0</v>
      </c>
      <c r="AA30" s="312">
        <f t="shared" si="15"/>
        <v>0</v>
      </c>
      <c r="AB30" s="312">
        <f t="shared" si="16"/>
        <v>0</v>
      </c>
      <c r="AC30" s="312">
        <f t="shared" si="17"/>
        <v>0</v>
      </c>
      <c r="AD30" s="610">
        <f t="shared" si="18"/>
        <v>0</v>
      </c>
      <c r="AE30" s="611">
        <f t="shared" si="11"/>
        <v>0</v>
      </c>
    </row>
    <row r="31" spans="3:32">
      <c r="C31" s="2" t="s">
        <v>845</v>
      </c>
      <c r="D31" s="43">
        <v>2011</v>
      </c>
      <c r="E31" s="43">
        <v>2012</v>
      </c>
      <c r="F31" s="43">
        <v>2013</v>
      </c>
      <c r="G31" s="236">
        <v>2014</v>
      </c>
      <c r="H31" s="86">
        <v>2015</v>
      </c>
      <c r="I31" s="234">
        <v>2016</v>
      </c>
      <c r="J31" s="43">
        <v>2017</v>
      </c>
      <c r="K31" s="36">
        <v>2018</v>
      </c>
      <c r="L31" s="223">
        <f>CP_Yr_4</f>
        <v>43800</v>
      </c>
      <c r="M31" s="223">
        <f>CP_Yr_5</f>
        <v>44166</v>
      </c>
      <c r="N31" s="343">
        <f>Stub</f>
        <v>44377</v>
      </c>
      <c r="O31" s="335">
        <f>Yr_1</f>
        <v>44742</v>
      </c>
      <c r="P31" s="223">
        <f>Yr_2</f>
        <v>45107</v>
      </c>
      <c r="Q31" s="223">
        <f>Yr_3</f>
        <v>45473</v>
      </c>
      <c r="R31" s="223">
        <f>Yr_4</f>
        <v>45838</v>
      </c>
      <c r="S31" s="341">
        <f>Yr_5</f>
        <v>46203</v>
      </c>
      <c r="T31" s="229" t="str">
        <f>NReg_Period</f>
        <v>2022-26</v>
      </c>
      <c r="X31" s="1" t="str">
        <f t="shared" si="12"/>
        <v>Buildings</v>
      </c>
      <c r="Z31" s="621">
        <f t="shared" si="19"/>
        <v>0</v>
      </c>
      <c r="AA31" s="312">
        <f t="shared" si="15"/>
        <v>0</v>
      </c>
      <c r="AB31" s="312">
        <f t="shared" si="16"/>
        <v>0</v>
      </c>
      <c r="AC31" s="312">
        <f t="shared" si="17"/>
        <v>0</v>
      </c>
      <c r="AD31" s="610">
        <f t="shared" si="18"/>
        <v>0</v>
      </c>
      <c r="AE31" s="611">
        <f t="shared" si="11"/>
        <v>0</v>
      </c>
    </row>
    <row r="32" spans="3:32">
      <c r="G32" s="41"/>
      <c r="H32" s="41"/>
      <c r="I32" s="38"/>
      <c r="N32" s="32"/>
      <c r="O32" s="38"/>
      <c r="S32" s="248"/>
      <c r="X32" s="1" t="str">
        <f t="shared" si="12"/>
        <v>in-house software</v>
      </c>
      <c r="Z32" s="621">
        <f t="shared" si="19"/>
        <v>0</v>
      </c>
      <c r="AA32" s="312">
        <f t="shared" si="15"/>
        <v>0</v>
      </c>
      <c r="AB32" s="312">
        <f t="shared" si="16"/>
        <v>0</v>
      </c>
      <c r="AC32" s="312">
        <f t="shared" si="17"/>
        <v>0</v>
      </c>
      <c r="AD32" s="610">
        <f t="shared" si="18"/>
        <v>0</v>
      </c>
      <c r="AE32" s="611">
        <f t="shared" si="11"/>
        <v>0</v>
      </c>
    </row>
    <row r="33" spans="3:31">
      <c r="C33" s="1" t="s">
        <v>44</v>
      </c>
      <c r="D33" s="90">
        <f>ROUND(D9-D21,8)</f>
        <v>22.22141697</v>
      </c>
      <c r="E33" s="90">
        <f t="shared" ref="E33:S33" si="20">E9-E21</f>
        <v>44.068269104737396</v>
      </c>
      <c r="F33" s="90">
        <f t="shared" si="20"/>
        <v>63.80349995248401</v>
      </c>
      <c r="G33" s="235">
        <f t="shared" si="20"/>
        <v>63.116820701394637</v>
      </c>
      <c r="H33" s="111">
        <f t="shared" si="20"/>
        <v>15.406026395301641</v>
      </c>
      <c r="I33" s="181">
        <f t="shared" si="20"/>
        <v>0</v>
      </c>
      <c r="J33" s="244">
        <f t="shared" si="20"/>
        <v>0</v>
      </c>
      <c r="K33" s="244">
        <f t="shared" si="20"/>
        <v>0</v>
      </c>
      <c r="L33" s="384">
        <f t="shared" si="20"/>
        <v>0</v>
      </c>
      <c r="M33" s="384">
        <f t="shared" si="20"/>
        <v>0</v>
      </c>
      <c r="N33" s="534">
        <f t="shared" si="20"/>
        <v>29.690718392499207</v>
      </c>
      <c r="O33" s="89">
        <f t="shared" si="20"/>
        <v>73.203871001800422</v>
      </c>
      <c r="P33" s="90">
        <f t="shared" si="20"/>
        <v>81.80519769420593</v>
      </c>
      <c r="Q33" s="90">
        <f t="shared" si="20"/>
        <v>46.298376702425337</v>
      </c>
      <c r="R33" s="90">
        <f t="shared" si="20"/>
        <v>22.97213296508513</v>
      </c>
      <c r="S33" s="249">
        <f t="shared" si="20"/>
        <v>9.1357050976911189</v>
      </c>
      <c r="T33" s="90">
        <f>SUM(O33:S33)</f>
        <v>233.41528346120796</v>
      </c>
      <c r="X33" s="56" t="str">
        <f t="shared" si="12"/>
        <v>Total</v>
      </c>
      <c r="Z33" s="628">
        <f>SUM(Z23:Z32)</f>
        <v>47.308648967655486</v>
      </c>
      <c r="AA33" s="629">
        <f t="shared" ref="AA33" si="21">SUM(AA23:AA32)</f>
        <v>67.815664138763566</v>
      </c>
      <c r="AB33" s="629">
        <f t="shared" ref="AB33" si="22">SUM(AB23:AB32)</f>
        <v>68.338519264326806</v>
      </c>
      <c r="AC33" s="629">
        <f t="shared" ref="AC33" si="23">SUM(AC23:AC32)</f>
        <v>68.976827607250044</v>
      </c>
      <c r="AD33" s="630">
        <f t="shared" ref="AD33" si="24">SUM(AD23:AD32)</f>
        <v>69.496898176717281</v>
      </c>
      <c r="AE33" s="631">
        <f>SUM(AE23:AE32)</f>
        <v>321.93655815471323</v>
      </c>
    </row>
    <row r="34" spans="3:31">
      <c r="C34" s="1" t="s">
        <v>45</v>
      </c>
      <c r="D34" s="90">
        <f>D10-D22</f>
        <v>184.60461494260306</v>
      </c>
      <c r="E34" s="90">
        <f t="shared" ref="E34:S34" si="25">E10-E22</f>
        <v>204.3576989753418</v>
      </c>
      <c r="F34" s="90">
        <f t="shared" si="25"/>
        <v>241.40917136001659</v>
      </c>
      <c r="G34" s="235">
        <f t="shared" si="25"/>
        <v>281.80539407253184</v>
      </c>
      <c r="H34" s="111">
        <f t="shared" si="25"/>
        <v>259.98933954107486</v>
      </c>
      <c r="I34" s="181">
        <f t="shared" si="25"/>
        <v>0</v>
      </c>
      <c r="J34" s="244">
        <f t="shared" si="25"/>
        <v>0</v>
      </c>
      <c r="K34" s="244">
        <f t="shared" si="25"/>
        <v>0</v>
      </c>
      <c r="L34" s="384">
        <f t="shared" si="25"/>
        <v>0</v>
      </c>
      <c r="M34" s="384">
        <f t="shared" si="25"/>
        <v>0</v>
      </c>
      <c r="N34" s="534">
        <f t="shared" si="25"/>
        <v>99.629521494786687</v>
      </c>
      <c r="O34" s="89">
        <f t="shared" si="25"/>
        <v>166.20587314688763</v>
      </c>
      <c r="P34" s="90">
        <f t="shared" si="25"/>
        <v>184.33449497002485</v>
      </c>
      <c r="Q34" s="90">
        <f t="shared" si="25"/>
        <v>171.75348127308757</v>
      </c>
      <c r="R34" s="90">
        <f t="shared" si="25"/>
        <v>172.29146631434241</v>
      </c>
      <c r="S34" s="249">
        <f t="shared" si="25"/>
        <v>181.20475085915652</v>
      </c>
      <c r="T34" s="90">
        <f t="shared" ref="T34:T40" si="26">SUM(O34:S34)</f>
        <v>875.79006656349907</v>
      </c>
    </row>
    <row r="35" spans="3:31">
      <c r="C35" s="1" t="s">
        <v>48</v>
      </c>
      <c r="D35" s="90">
        <f>D11-D23</f>
        <v>1.2689451272140742</v>
      </c>
      <c r="E35" s="90">
        <f t="shared" ref="E35:S35" si="27">E11-E23</f>
        <v>5.9134930672221477</v>
      </c>
      <c r="F35" s="90">
        <f t="shared" si="27"/>
        <v>1.9250731948508306</v>
      </c>
      <c r="G35" s="235">
        <f t="shared" si="27"/>
        <v>0.73591031805575635</v>
      </c>
      <c r="H35" s="111">
        <f t="shared" si="27"/>
        <v>0.17932764715778621</v>
      </c>
      <c r="I35" s="181">
        <f t="shared" si="27"/>
        <v>0</v>
      </c>
      <c r="J35" s="244">
        <f t="shared" si="27"/>
        <v>0</v>
      </c>
      <c r="K35" s="244">
        <f t="shared" si="27"/>
        <v>0</v>
      </c>
      <c r="L35" s="384">
        <f t="shared" si="27"/>
        <v>0</v>
      </c>
      <c r="M35" s="384">
        <f t="shared" si="27"/>
        <v>0</v>
      </c>
      <c r="N35" s="534">
        <f t="shared" si="27"/>
        <v>16.436834573412511</v>
      </c>
      <c r="O35" s="89">
        <f t="shared" si="27"/>
        <v>36.326626821155436</v>
      </c>
      <c r="P35" s="90">
        <f t="shared" si="27"/>
        <v>26.640731144527635</v>
      </c>
      <c r="Q35" s="90">
        <f t="shared" si="27"/>
        <v>15.804889879586005</v>
      </c>
      <c r="R35" s="90">
        <f t="shared" si="27"/>
        <v>14.974427897523045</v>
      </c>
      <c r="S35" s="249">
        <f t="shared" si="27"/>
        <v>10.269424842775308</v>
      </c>
      <c r="T35" s="90">
        <f t="shared" si="26"/>
        <v>104.01610058556743</v>
      </c>
      <c r="X35" s="304" t="s">
        <v>784</v>
      </c>
      <c r="Z35" s="605">
        <f>Yr_1</f>
        <v>44742</v>
      </c>
      <c r="AA35" s="604">
        <f>Yr_2</f>
        <v>45107</v>
      </c>
      <c r="AB35" s="604">
        <f>Yr_3</f>
        <v>45473</v>
      </c>
      <c r="AC35" s="604">
        <f>Yr_4</f>
        <v>45838</v>
      </c>
      <c r="AD35" s="606">
        <f>Yr_5</f>
        <v>46203</v>
      </c>
      <c r="AE35" s="603" t="str">
        <f>NReg_Period</f>
        <v>2022-26</v>
      </c>
    </row>
    <row r="36" spans="3:31">
      <c r="C36" s="1" t="s">
        <v>49</v>
      </c>
      <c r="D36" s="90">
        <f>D12-D24</f>
        <v>46.619225442675479</v>
      </c>
      <c r="E36" s="90">
        <f t="shared" ref="E36:S36" si="28">E12-E24</f>
        <v>45.516156927547812</v>
      </c>
      <c r="F36" s="90">
        <f t="shared" si="28"/>
        <v>50.208650819470257</v>
      </c>
      <c r="G36" s="235">
        <f t="shared" si="28"/>
        <v>33.026078626827349</v>
      </c>
      <c r="H36" s="111">
        <f t="shared" si="28"/>
        <v>32.021862128714794</v>
      </c>
      <c r="I36" s="181">
        <f t="shared" si="28"/>
        <v>0</v>
      </c>
      <c r="J36" s="244">
        <f t="shared" si="28"/>
        <v>0</v>
      </c>
      <c r="K36" s="244">
        <f t="shared" si="28"/>
        <v>0</v>
      </c>
      <c r="L36" s="384">
        <f t="shared" si="28"/>
        <v>0</v>
      </c>
      <c r="M36" s="384">
        <f t="shared" si="28"/>
        <v>0</v>
      </c>
      <c r="N36" s="534">
        <f t="shared" si="28"/>
        <v>47.11697381511101</v>
      </c>
      <c r="O36" s="89">
        <f t="shared" si="28"/>
        <v>47.825704982490272</v>
      </c>
      <c r="P36" s="90">
        <f t="shared" si="28"/>
        <v>33.017426504030944</v>
      </c>
      <c r="Q36" s="90">
        <f t="shared" si="28"/>
        <v>38.134003435915503</v>
      </c>
      <c r="R36" s="90">
        <f t="shared" si="28"/>
        <v>29.351890884527286</v>
      </c>
      <c r="S36" s="249">
        <f t="shared" si="28"/>
        <v>28.871315334596336</v>
      </c>
      <c r="T36" s="90">
        <f t="shared" si="26"/>
        <v>177.20034114156036</v>
      </c>
      <c r="X36" s="41" t="str">
        <f t="shared" ref="X36:X45" si="29">X23</f>
        <v>Subtransmission</v>
      </c>
      <c r="Z36" s="946"/>
      <c r="AA36" s="947"/>
      <c r="AB36" s="947"/>
      <c r="AC36" s="947"/>
      <c r="AD36" s="948"/>
      <c r="AE36" s="949"/>
    </row>
    <row r="37" spans="3:31">
      <c r="C37" s="1" t="s">
        <v>517</v>
      </c>
      <c r="D37" s="90"/>
      <c r="E37" s="90"/>
      <c r="F37" s="90"/>
      <c r="G37" s="235"/>
      <c r="H37" s="111"/>
      <c r="I37" s="181">
        <v>0</v>
      </c>
      <c r="J37" s="244">
        <v>0</v>
      </c>
      <c r="K37" s="244">
        <v>0</v>
      </c>
      <c r="L37" s="384">
        <f t="shared" ref="L37:S40" si="30">L13-L25</f>
        <v>0</v>
      </c>
      <c r="M37" s="384">
        <f t="shared" si="30"/>
        <v>0</v>
      </c>
      <c r="N37" s="534">
        <f t="shared" si="30"/>
        <v>0</v>
      </c>
      <c r="O37" s="89">
        <f t="shared" si="30"/>
        <v>0</v>
      </c>
      <c r="P37" s="90">
        <f t="shared" si="30"/>
        <v>0</v>
      </c>
      <c r="Q37" s="90">
        <f t="shared" si="30"/>
        <v>0</v>
      </c>
      <c r="R37" s="90">
        <f t="shared" si="30"/>
        <v>0</v>
      </c>
      <c r="S37" s="249">
        <f t="shared" si="30"/>
        <v>0</v>
      </c>
      <c r="T37" s="90">
        <f t="shared" ref="T37" si="31">SUM(O37:S37)</f>
        <v>0</v>
      </c>
      <c r="X37" s="41" t="str">
        <f t="shared" si="29"/>
        <v>Distribution system assets</v>
      </c>
      <c r="Z37" s="946"/>
      <c r="AA37" s="947"/>
      <c r="AB37" s="947"/>
      <c r="AC37" s="947"/>
      <c r="AD37" s="948"/>
      <c r="AE37" s="949"/>
    </row>
    <row r="38" spans="3:31">
      <c r="C38" s="1" t="s">
        <v>50</v>
      </c>
      <c r="D38" s="90">
        <f t="shared" ref="D38:K38" si="32">D14-D26</f>
        <v>5.0265670949548289</v>
      </c>
      <c r="E38" s="90">
        <f t="shared" si="32"/>
        <v>6.5548071296747672</v>
      </c>
      <c r="F38" s="90">
        <f t="shared" si="32"/>
        <v>6.1607829749307585</v>
      </c>
      <c r="G38" s="235">
        <f t="shared" si="32"/>
        <v>4.9603971712309995</v>
      </c>
      <c r="H38" s="111">
        <f t="shared" si="32"/>
        <v>6.0558664631467227</v>
      </c>
      <c r="I38" s="181">
        <f t="shared" si="32"/>
        <v>0</v>
      </c>
      <c r="J38" s="244">
        <f t="shared" si="32"/>
        <v>0</v>
      </c>
      <c r="K38" s="244">
        <f t="shared" si="32"/>
        <v>0</v>
      </c>
      <c r="L38" s="384">
        <f t="shared" si="30"/>
        <v>0</v>
      </c>
      <c r="M38" s="384">
        <f t="shared" si="30"/>
        <v>0</v>
      </c>
      <c r="N38" s="534">
        <f t="shared" si="30"/>
        <v>4.0272545577907417</v>
      </c>
      <c r="O38" s="89">
        <f t="shared" si="30"/>
        <v>8.2617251381748957</v>
      </c>
      <c r="P38" s="90">
        <f t="shared" si="30"/>
        <v>6.8456703720571372</v>
      </c>
      <c r="Q38" s="90">
        <f t="shared" si="30"/>
        <v>6.0001882774242459</v>
      </c>
      <c r="R38" s="90">
        <f t="shared" si="30"/>
        <v>9.8218932809424278</v>
      </c>
      <c r="S38" s="249">
        <f t="shared" si="30"/>
        <v>10.443926014753444</v>
      </c>
      <c r="T38" s="90">
        <f t="shared" si="26"/>
        <v>41.373403083352152</v>
      </c>
      <c r="X38" s="41" t="str">
        <f t="shared" si="29"/>
        <v>SCADA/Network control</v>
      </c>
      <c r="Z38" s="946"/>
      <c r="AA38" s="947"/>
      <c r="AB38" s="947"/>
      <c r="AC38" s="947"/>
      <c r="AD38" s="948"/>
      <c r="AE38" s="949"/>
    </row>
    <row r="39" spans="3:31">
      <c r="C39" s="1" t="s">
        <v>585</v>
      </c>
      <c r="D39" s="90"/>
      <c r="E39" s="90"/>
      <c r="F39" s="90"/>
      <c r="G39" s="235"/>
      <c r="H39" s="111"/>
      <c r="I39" s="181">
        <f t="shared" ref="I39:K40" si="33">I15-I27</f>
        <v>0</v>
      </c>
      <c r="J39" s="244">
        <f t="shared" si="33"/>
        <v>0</v>
      </c>
      <c r="K39" s="244">
        <f t="shared" si="33"/>
        <v>0</v>
      </c>
      <c r="L39" s="384">
        <f t="shared" si="30"/>
        <v>0</v>
      </c>
      <c r="M39" s="384">
        <f t="shared" si="30"/>
        <v>0</v>
      </c>
      <c r="N39" s="534">
        <f t="shared" si="30"/>
        <v>0.16131811068053845</v>
      </c>
      <c r="O39" s="89">
        <f t="shared" si="30"/>
        <v>1.3142678083470987</v>
      </c>
      <c r="P39" s="90">
        <f t="shared" si="30"/>
        <v>0</v>
      </c>
      <c r="Q39" s="90">
        <f t="shared" si="30"/>
        <v>0</v>
      </c>
      <c r="R39" s="90">
        <f t="shared" si="30"/>
        <v>0</v>
      </c>
      <c r="S39" s="249">
        <f t="shared" si="30"/>
        <v>4.8767548772582945</v>
      </c>
      <c r="T39" s="90">
        <f t="shared" ref="T39" si="34">SUM(O39:S39)</f>
        <v>6.1910226856053931</v>
      </c>
      <c r="X39" s="41" t="str">
        <f t="shared" si="29"/>
        <v>Non-network general assets - IT</v>
      </c>
      <c r="Z39" s="946"/>
      <c r="AA39" s="947"/>
      <c r="AB39" s="947"/>
      <c r="AC39" s="947"/>
      <c r="AD39" s="948"/>
      <c r="AE39" s="949"/>
    </row>
    <row r="40" spans="3:31">
      <c r="C40" s="1" t="s">
        <v>395</v>
      </c>
      <c r="D40" s="91">
        <f>D16-D28</f>
        <v>0</v>
      </c>
      <c r="E40" s="91">
        <f>E16-E28</f>
        <v>0</v>
      </c>
      <c r="F40" s="91">
        <f>F16-F28</f>
        <v>0</v>
      </c>
      <c r="G40" s="233">
        <f>G16-G28</f>
        <v>0</v>
      </c>
      <c r="H40" s="91">
        <f>H16-H28</f>
        <v>0</v>
      </c>
      <c r="I40" s="182">
        <f t="shared" si="33"/>
        <v>0</v>
      </c>
      <c r="J40" s="245">
        <f t="shared" si="33"/>
        <v>0</v>
      </c>
      <c r="K40" s="245">
        <f t="shared" si="33"/>
        <v>0</v>
      </c>
      <c r="L40" s="385">
        <f t="shared" si="30"/>
        <v>0</v>
      </c>
      <c r="M40" s="385">
        <f t="shared" si="30"/>
        <v>0</v>
      </c>
      <c r="N40" s="536">
        <f t="shared" si="30"/>
        <v>2.0507803496642805E-2</v>
      </c>
      <c r="O40" s="237">
        <f t="shared" si="30"/>
        <v>1.6282910460059619</v>
      </c>
      <c r="P40" s="91">
        <f t="shared" si="30"/>
        <v>0</v>
      </c>
      <c r="Q40" s="91">
        <f t="shared" si="30"/>
        <v>0</v>
      </c>
      <c r="R40" s="91">
        <f t="shared" si="30"/>
        <v>0</v>
      </c>
      <c r="S40" s="250">
        <f t="shared" si="30"/>
        <v>0</v>
      </c>
      <c r="T40" s="91">
        <f t="shared" si="26"/>
        <v>1.6282910460059619</v>
      </c>
      <c r="X40" s="41" t="str">
        <f t="shared" si="29"/>
        <v>Non-network general assets - Other</v>
      </c>
      <c r="Z40" s="946"/>
      <c r="AA40" s="947"/>
      <c r="AB40" s="947"/>
      <c r="AC40" s="947"/>
      <c r="AD40" s="948"/>
      <c r="AE40" s="949"/>
    </row>
    <row r="41" spans="3:31">
      <c r="C41" s="56" t="s">
        <v>146</v>
      </c>
      <c r="D41" s="90">
        <f>SUM(D33:D40)</f>
        <v>259.74076957744745</v>
      </c>
      <c r="E41" s="90">
        <f>SUM(E33:E40)</f>
        <v>306.4104252045239</v>
      </c>
      <c r="F41" s="90">
        <f>SUM(F33:F40)</f>
        <v>363.5071783017525</v>
      </c>
      <c r="G41" s="235">
        <f>SUM(G33:G40)</f>
        <v>383.64460089004064</v>
      </c>
      <c r="H41" s="111">
        <f>SUM(H33:H40)</f>
        <v>313.65242217539583</v>
      </c>
      <c r="I41" s="89">
        <f t="shared" ref="I41:T41" si="35">SUM(I33:I40)</f>
        <v>0</v>
      </c>
      <c r="J41" s="90">
        <f t="shared" si="35"/>
        <v>0</v>
      </c>
      <c r="K41" s="90">
        <f t="shared" si="35"/>
        <v>0</v>
      </c>
      <c r="L41" s="90">
        <f t="shared" si="35"/>
        <v>0</v>
      </c>
      <c r="M41" s="90">
        <f t="shared" si="35"/>
        <v>0</v>
      </c>
      <c r="N41" s="342">
        <f t="shared" si="35"/>
        <v>197.08312874777732</v>
      </c>
      <c r="O41" s="89">
        <f t="shared" si="35"/>
        <v>334.76635994486173</v>
      </c>
      <c r="P41" s="90">
        <f t="shared" si="35"/>
        <v>332.64352068484652</v>
      </c>
      <c r="Q41" s="90">
        <f t="shared" si="35"/>
        <v>277.99093956843865</v>
      </c>
      <c r="R41" s="90">
        <f t="shared" si="35"/>
        <v>249.41181134242029</v>
      </c>
      <c r="S41" s="249">
        <f t="shared" si="35"/>
        <v>244.80187702623101</v>
      </c>
      <c r="T41" s="90">
        <f t="shared" si="35"/>
        <v>1439.6145085667983</v>
      </c>
      <c r="X41" s="41" t="str">
        <f t="shared" si="29"/>
        <v>Land</v>
      </c>
      <c r="Z41" s="946"/>
      <c r="AA41" s="947"/>
      <c r="AB41" s="947"/>
      <c r="AC41" s="947"/>
      <c r="AD41" s="948"/>
      <c r="AE41" s="949"/>
    </row>
    <row r="42" spans="3:31">
      <c r="C42" s="53" t="s">
        <v>133</v>
      </c>
      <c r="L42" s="243"/>
      <c r="M42" s="243"/>
      <c r="N42" s="243"/>
      <c r="O42" s="243">
        <v>0</v>
      </c>
      <c r="P42" s="243">
        <v>0</v>
      </c>
      <c r="Q42" s="243">
        <v>0</v>
      </c>
      <c r="R42" s="243">
        <v>0</v>
      </c>
      <c r="S42" s="243">
        <v>0</v>
      </c>
      <c r="X42" s="41" t="str">
        <f t="shared" si="29"/>
        <v>Non- Network Leasehold Land &amp; Buildings - 2021-22</v>
      </c>
      <c r="Z42" s="950"/>
      <c r="AA42" s="951"/>
      <c r="AB42" s="951"/>
      <c r="AC42" s="951"/>
      <c r="AD42" s="952"/>
      <c r="AE42" s="949"/>
    </row>
    <row r="43" spans="3:31">
      <c r="D43" s="667"/>
      <c r="E43" s="667"/>
      <c r="F43" s="667"/>
      <c r="G43" s="667"/>
      <c r="H43" s="667"/>
      <c r="I43" s="667"/>
      <c r="J43" s="667"/>
      <c r="K43" s="667"/>
      <c r="L43" s="667"/>
      <c r="M43" s="667"/>
      <c r="N43" s="667"/>
      <c r="X43" s="41" t="str">
        <f t="shared" si="29"/>
        <v>Non- Network Leasehold Land &amp; Buildings - 2025-26</v>
      </c>
      <c r="Z43" s="950"/>
      <c r="AA43" s="951"/>
      <c r="AB43" s="951"/>
      <c r="AC43" s="951"/>
      <c r="AD43" s="952"/>
      <c r="AE43" s="949"/>
    </row>
    <row r="44" spans="3:31">
      <c r="D44" s="41"/>
      <c r="E44" s="41"/>
      <c r="F44" s="41"/>
      <c r="G44" s="41"/>
      <c r="H44" s="41"/>
      <c r="I44" s="41"/>
      <c r="J44" s="41"/>
      <c r="K44" s="41"/>
      <c r="L44" s="41"/>
      <c r="M44" s="41"/>
      <c r="N44" s="41"/>
      <c r="X44" s="41" t="str">
        <f t="shared" si="29"/>
        <v>Buildings</v>
      </c>
      <c r="Z44" s="946"/>
      <c r="AA44" s="947"/>
      <c r="AB44" s="947"/>
      <c r="AC44" s="947"/>
      <c r="AD44" s="948"/>
      <c r="AE44" s="949"/>
    </row>
    <row r="45" spans="3:31">
      <c r="D45" s="41"/>
      <c r="E45" s="41"/>
      <c r="F45" s="41"/>
      <c r="G45" s="41"/>
      <c r="H45" s="41"/>
      <c r="I45" s="41"/>
      <c r="J45" s="41"/>
      <c r="K45" s="41"/>
      <c r="L45" s="41"/>
      <c r="M45" s="41"/>
      <c r="N45" s="41"/>
      <c r="X45" s="41" t="str">
        <f t="shared" si="29"/>
        <v>in-house software</v>
      </c>
      <c r="Z45" s="953"/>
      <c r="AA45" s="954"/>
      <c r="AB45" s="954"/>
      <c r="AC45" s="954"/>
      <c r="AD45" s="955"/>
      <c r="AE45" s="949"/>
    </row>
    <row r="46" spans="3:31">
      <c r="D46" s="41"/>
      <c r="E46" s="41"/>
      <c r="F46" s="41"/>
      <c r="G46" s="41"/>
      <c r="H46" s="41"/>
      <c r="I46" s="41"/>
      <c r="J46" s="41"/>
      <c r="K46" s="41"/>
      <c r="L46" s="41"/>
      <c r="M46" s="41"/>
      <c r="N46" s="41"/>
      <c r="X46" s="668" t="s">
        <v>146</v>
      </c>
      <c r="Z46" s="956"/>
      <c r="AA46" s="957"/>
      <c r="AB46" s="957"/>
      <c r="AC46" s="957"/>
      <c r="AD46" s="958"/>
      <c r="AE46" s="957"/>
    </row>
    <row r="47" spans="3:31">
      <c r="D47" s="41"/>
      <c r="E47" s="41"/>
      <c r="F47" s="41"/>
      <c r="G47" s="41"/>
      <c r="H47" s="41"/>
      <c r="I47" s="41"/>
      <c r="J47" s="41"/>
      <c r="K47" s="41"/>
      <c r="L47" s="41"/>
      <c r="M47" s="41"/>
      <c r="N47" s="41"/>
    </row>
    <row r="48" spans="3:31">
      <c r="D48" s="41"/>
      <c r="E48" s="41"/>
      <c r="F48" s="41"/>
      <c r="G48" s="41"/>
      <c r="H48" s="41"/>
      <c r="I48" s="41"/>
      <c r="J48" s="41"/>
      <c r="K48" s="41"/>
      <c r="L48" s="41"/>
      <c r="M48" s="41"/>
      <c r="N48" s="41"/>
      <c r="X48" s="2" t="s">
        <v>790</v>
      </c>
      <c r="Z48" s="605">
        <v>44742</v>
      </c>
      <c r="AA48" s="604">
        <v>45107</v>
      </c>
      <c r="AB48" s="604">
        <v>45473</v>
      </c>
      <c r="AC48" s="604">
        <v>45838</v>
      </c>
      <c r="AD48" s="606">
        <v>46203</v>
      </c>
      <c r="AE48" s="603" t="s">
        <v>588</v>
      </c>
    </row>
    <row r="49" spans="4:31">
      <c r="D49" s="41"/>
      <c r="E49" s="41"/>
      <c r="F49" s="41"/>
      <c r="G49" s="41"/>
      <c r="H49" s="41"/>
      <c r="I49" s="41"/>
      <c r="J49" s="41"/>
      <c r="K49" s="41"/>
      <c r="L49" s="41"/>
      <c r="M49" s="41"/>
      <c r="N49" s="41"/>
      <c r="X49" s="1" t="s">
        <v>44</v>
      </c>
      <c r="Z49" s="621">
        <v>0</v>
      </c>
      <c r="AA49" s="312">
        <v>0</v>
      </c>
      <c r="AB49" s="312">
        <v>0</v>
      </c>
      <c r="AC49" s="312">
        <v>0</v>
      </c>
      <c r="AD49" s="610">
        <v>0</v>
      </c>
      <c r="AE49" s="611">
        <f>SUM(Z49:AD49)</f>
        <v>0</v>
      </c>
    </row>
    <row r="50" spans="4:31">
      <c r="D50" s="41"/>
      <c r="E50" s="41"/>
      <c r="F50" s="41"/>
      <c r="G50" s="41"/>
      <c r="H50" s="41"/>
      <c r="I50" s="41"/>
      <c r="J50" s="41"/>
      <c r="K50" s="41"/>
      <c r="L50" s="41"/>
      <c r="M50" s="41"/>
      <c r="N50" s="41"/>
      <c r="X50" s="1" t="s">
        <v>45</v>
      </c>
      <c r="Z50" s="621">
        <v>0</v>
      </c>
      <c r="AA50" s="312">
        <v>0</v>
      </c>
      <c r="AB50" s="312">
        <v>0</v>
      </c>
      <c r="AC50" s="312">
        <v>0</v>
      </c>
      <c r="AD50" s="610">
        <v>0</v>
      </c>
      <c r="AE50" s="611">
        <f t="shared" ref="AE50:AE58" si="36">SUM(Z50:AD50)</f>
        <v>0</v>
      </c>
    </row>
    <row r="51" spans="4:31">
      <c r="D51" s="41"/>
      <c r="E51" s="41"/>
      <c r="F51" s="41"/>
      <c r="G51" s="41"/>
      <c r="H51" s="41"/>
      <c r="I51" s="41"/>
      <c r="J51" s="41"/>
      <c r="K51" s="41"/>
      <c r="L51" s="41"/>
      <c r="M51" s="41"/>
      <c r="N51" s="41"/>
      <c r="X51" s="1" t="s">
        <v>48</v>
      </c>
      <c r="Z51" s="621">
        <v>0</v>
      </c>
      <c r="AA51" s="312">
        <v>0</v>
      </c>
      <c r="AB51" s="312">
        <v>0</v>
      </c>
      <c r="AC51" s="312">
        <v>0</v>
      </c>
      <c r="AD51" s="610">
        <v>0</v>
      </c>
      <c r="AE51" s="611">
        <f t="shared" si="36"/>
        <v>0</v>
      </c>
    </row>
    <row r="52" spans="4:31">
      <c r="D52" s="41"/>
      <c r="E52" s="41"/>
      <c r="F52" s="41"/>
      <c r="G52" s="41"/>
      <c r="H52" s="41"/>
      <c r="I52" s="41"/>
      <c r="J52" s="41"/>
      <c r="K52" s="41"/>
      <c r="L52" s="41"/>
      <c r="M52" s="41"/>
      <c r="N52" s="41"/>
      <c r="X52" s="1" t="s">
        <v>49</v>
      </c>
      <c r="Z52" s="621">
        <v>8.1668895774459627E-3</v>
      </c>
      <c r="AA52" s="312">
        <v>8.1668895774459627E-3</v>
      </c>
      <c r="AB52" s="312">
        <v>8.1668895774459627E-3</v>
      </c>
      <c r="AC52" s="312">
        <v>8.1668895774459627E-3</v>
      </c>
      <c r="AD52" s="610">
        <v>8.1668895774459627E-3</v>
      </c>
      <c r="AE52" s="611">
        <f t="shared" si="36"/>
        <v>4.0834447887229813E-2</v>
      </c>
    </row>
    <row r="53" spans="4:31">
      <c r="D53" s="42"/>
      <c r="E53" s="42"/>
      <c r="F53" s="42"/>
      <c r="G53" s="42"/>
      <c r="H53" s="42"/>
      <c r="I53" s="42"/>
      <c r="J53" s="42"/>
      <c r="K53" s="42"/>
      <c r="L53" s="42"/>
      <c r="M53" s="42"/>
      <c r="N53" s="42"/>
      <c r="X53" s="1" t="s">
        <v>50</v>
      </c>
      <c r="Z53" s="621">
        <v>1.3403850859577433</v>
      </c>
      <c r="AA53" s="312">
        <v>1.3403850859577433</v>
      </c>
      <c r="AB53" s="312">
        <v>1.3403850859577433</v>
      </c>
      <c r="AC53" s="312">
        <v>1.3403850859577433</v>
      </c>
      <c r="AD53" s="610">
        <v>1.3403850859577433</v>
      </c>
      <c r="AE53" s="611">
        <f t="shared" si="36"/>
        <v>6.7019254297887167</v>
      </c>
    </row>
    <row r="54" spans="4:31">
      <c r="X54" s="1" t="s">
        <v>395</v>
      </c>
      <c r="Z54" s="621">
        <v>0</v>
      </c>
      <c r="AA54" s="312">
        <v>0</v>
      </c>
      <c r="AB54" s="312">
        <v>0</v>
      </c>
      <c r="AC54" s="312">
        <v>0</v>
      </c>
      <c r="AD54" s="610">
        <v>0</v>
      </c>
      <c r="AE54" s="611">
        <f t="shared" si="36"/>
        <v>0</v>
      </c>
    </row>
    <row r="55" spans="4:31">
      <c r="X55" s="1" t="s">
        <v>785</v>
      </c>
      <c r="Z55" s="621">
        <v>0</v>
      </c>
      <c r="AA55" s="312">
        <v>0</v>
      </c>
      <c r="AB55" s="312">
        <v>0</v>
      </c>
      <c r="AC55" s="312">
        <v>0</v>
      </c>
      <c r="AD55" s="610">
        <v>0</v>
      </c>
      <c r="AE55" s="611">
        <f t="shared" si="36"/>
        <v>0</v>
      </c>
    </row>
    <row r="56" spans="4:31">
      <c r="X56" s="1" t="s">
        <v>786</v>
      </c>
      <c r="Z56" s="621">
        <v>0</v>
      </c>
      <c r="AA56" s="312">
        <v>0</v>
      </c>
      <c r="AB56" s="312">
        <v>0</v>
      </c>
      <c r="AC56" s="312">
        <v>0</v>
      </c>
      <c r="AD56" s="610">
        <v>0</v>
      </c>
      <c r="AE56" s="611">
        <f t="shared" si="36"/>
        <v>0</v>
      </c>
    </row>
    <row r="57" spans="4:31">
      <c r="X57" s="1" t="s">
        <v>787</v>
      </c>
      <c r="Z57" s="621">
        <v>0</v>
      </c>
      <c r="AA57" s="312">
        <v>0</v>
      </c>
      <c r="AB57" s="312">
        <v>0</v>
      </c>
      <c r="AC57" s="312">
        <v>0</v>
      </c>
      <c r="AD57" s="610">
        <v>0</v>
      </c>
      <c r="AE57" s="611">
        <f t="shared" si="36"/>
        <v>0</v>
      </c>
    </row>
    <row r="58" spans="4:31">
      <c r="X58" s="1" t="s">
        <v>788</v>
      </c>
      <c r="Z58" s="621">
        <v>0</v>
      </c>
      <c r="AA58" s="312">
        <v>0</v>
      </c>
      <c r="AB58" s="312">
        <v>0</v>
      </c>
      <c r="AC58" s="312">
        <v>0</v>
      </c>
      <c r="AD58" s="610">
        <v>0</v>
      </c>
      <c r="AE58" s="611">
        <f t="shared" si="36"/>
        <v>0</v>
      </c>
    </row>
    <row r="59" spans="4:31">
      <c r="X59" s="56" t="s">
        <v>146</v>
      </c>
      <c r="Z59" s="628">
        <f>SUM(Z49:Z58)</f>
        <v>1.3485519755351894</v>
      </c>
      <c r="AA59" s="629">
        <f t="shared" ref="AA59:AE59" si="37">SUM(AA49:AA58)</f>
        <v>1.3485519755351894</v>
      </c>
      <c r="AB59" s="629">
        <f t="shared" si="37"/>
        <v>1.3485519755351894</v>
      </c>
      <c r="AC59" s="629">
        <f t="shared" si="37"/>
        <v>1.3485519755351894</v>
      </c>
      <c r="AD59" s="630">
        <f t="shared" si="37"/>
        <v>1.3485519755351894</v>
      </c>
      <c r="AE59" s="631">
        <f t="shared" si="37"/>
        <v>6.7427598776759465</v>
      </c>
    </row>
  </sheetData>
  <mergeCells count="4">
    <mergeCell ref="O5:S5"/>
    <mergeCell ref="D5:H5"/>
    <mergeCell ref="I5:N5"/>
    <mergeCell ref="Z5:AD5"/>
  </mergeCells>
  <hyperlinks>
    <hyperlink ref="B2" location="Contents!A1" display="Table of Contents" xr:uid="{00000000-0004-0000-2000-000000000000}"/>
  </hyperlink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114"/>
  <sheetViews>
    <sheetView zoomScale="70" zoomScaleNormal="70" workbookViewId="0">
      <pane xSplit="3" ySplit="2" topLeftCell="D3" activePane="bottomRight" state="frozen"/>
      <selection pane="topRight" activeCell="D1" sqref="D1"/>
      <selection pane="bottomLeft" activeCell="A3" sqref="A3"/>
      <selection pane="bottomRight" activeCell="I23" sqref="I23"/>
    </sheetView>
  </sheetViews>
  <sheetFormatPr defaultColWidth="8.85546875" defaultRowHeight="15" outlineLevelCol="1"/>
  <cols>
    <col min="1" max="1" width="4.5703125" style="1" customWidth="1"/>
    <col min="2" max="2" width="4.42578125" style="1" customWidth="1"/>
    <col min="3" max="3" width="39.42578125" style="1" customWidth="1"/>
    <col min="4" max="4" width="8.85546875" style="1" customWidth="1" outlineLevel="1"/>
    <col min="5" max="5" width="9.5703125" style="1" bestFit="1" customWidth="1"/>
    <col min="6" max="6" width="10" style="1" customWidth="1"/>
    <col min="7" max="8" width="9.5703125" style="1" bestFit="1" customWidth="1"/>
    <col min="9" max="9" width="8.85546875" style="1"/>
    <col min="10" max="10" width="9.5703125" style="1" customWidth="1"/>
    <col min="11" max="11" width="8.42578125" style="1" customWidth="1"/>
    <col min="12" max="15" width="8.85546875" style="1"/>
    <col min="16" max="16" width="11.7109375" style="1" bestFit="1" customWidth="1"/>
    <col min="17" max="18" width="8.85546875" style="1"/>
    <col min="19" max="22" width="8.85546875" style="1" outlineLevel="1"/>
    <col min="23" max="23" width="9.42578125" style="1" customWidth="1" outlineLevel="1"/>
    <col min="24" max="25" width="8.85546875" style="1" outlineLevel="1"/>
    <col min="26" max="16384" width="8.85546875" style="1"/>
  </cols>
  <sheetData>
    <row r="1" spans="2:24" ht="18.75">
      <c r="B1" s="10" t="s">
        <v>721</v>
      </c>
    </row>
    <row r="2" spans="2:24">
      <c r="B2" s="25" t="s">
        <v>6</v>
      </c>
      <c r="D2" s="787">
        <f>Escalators!J17</f>
        <v>1.1098500661870196</v>
      </c>
      <c r="E2" s="787">
        <f>Escalators!K17</f>
        <v>1.089065287920217</v>
      </c>
      <c r="F2" s="787">
        <f>Escalators!L17</f>
        <v>1.075441975284158</v>
      </c>
      <c r="G2" s="787">
        <f>Escalators!M17</f>
        <v>1.0597841134352426</v>
      </c>
      <c r="H2" s="787">
        <f>Escalators!N17</f>
        <v>1.0389462882960341</v>
      </c>
      <c r="I2" s="787">
        <f>Escalators!O17</f>
        <v>1.0202250019521406</v>
      </c>
      <c r="J2" s="787">
        <f>Escalators!P17</f>
        <v>1</v>
      </c>
    </row>
    <row r="3" spans="2:24">
      <c r="D3" s="989" t="s">
        <v>712</v>
      </c>
      <c r="E3" s="990"/>
      <c r="F3" s="990"/>
      <c r="G3" s="990"/>
      <c r="H3" s="990"/>
      <c r="I3" s="990"/>
      <c r="J3" s="990"/>
      <c r="K3" s="990"/>
      <c r="L3" s="990"/>
      <c r="M3" s="990"/>
      <c r="N3" s="990"/>
      <c r="O3" s="991"/>
    </row>
    <row r="4" spans="2:24">
      <c r="C4" s="455" t="s">
        <v>713</v>
      </c>
      <c r="D4" s="995" t="s">
        <v>695</v>
      </c>
      <c r="E4" s="996"/>
      <c r="F4" s="996"/>
      <c r="G4" s="996"/>
      <c r="H4" s="785"/>
      <c r="I4" s="995" t="s">
        <v>286</v>
      </c>
      <c r="J4" s="998"/>
      <c r="K4" s="992" t="s">
        <v>719</v>
      </c>
      <c r="L4" s="993"/>
      <c r="M4" s="993"/>
      <c r="N4" s="993"/>
      <c r="O4" s="994"/>
      <c r="P4" s="17" t="s">
        <v>146</v>
      </c>
    </row>
    <row r="5" spans="2:24">
      <c r="C5" s="6" t="s">
        <v>718</v>
      </c>
      <c r="D5" s="453">
        <v>2015</v>
      </c>
      <c r="E5" s="451">
        <v>2016</v>
      </c>
      <c r="F5" s="452">
        <v>2017</v>
      </c>
      <c r="G5" s="777">
        <v>2018</v>
      </c>
      <c r="H5" s="777">
        <v>2019</v>
      </c>
      <c r="I5" s="453">
        <v>2020</v>
      </c>
      <c r="J5" s="452" t="s">
        <v>696</v>
      </c>
      <c r="K5" s="451" t="s">
        <v>615</v>
      </c>
      <c r="L5" s="452" t="s">
        <v>616</v>
      </c>
      <c r="M5" s="452" t="s">
        <v>617</v>
      </c>
      <c r="N5" s="452" t="s">
        <v>618</v>
      </c>
      <c r="O5" s="453" t="s">
        <v>619</v>
      </c>
      <c r="P5" s="17" t="s">
        <v>588</v>
      </c>
    </row>
    <row r="6" spans="2:24">
      <c r="C6" s="32" t="s">
        <v>449</v>
      </c>
      <c r="D6" s="469">
        <v>20.590208407835387</v>
      </c>
      <c r="E6" s="540">
        <f t="shared" ref="E6:I17" si="0">(E44+E65)</f>
        <v>26.038326072422706</v>
      </c>
      <c r="F6" s="537">
        <f t="shared" si="0"/>
        <v>27.994697825249212</v>
      </c>
      <c r="G6" s="782">
        <f t="shared" si="0"/>
        <v>37.937419083539154</v>
      </c>
      <c r="H6" s="782">
        <f t="shared" si="0"/>
        <v>34.636399220565615</v>
      </c>
      <c r="I6" s="541">
        <f t="shared" si="0"/>
        <v>30.787555944930514</v>
      </c>
      <c r="J6" s="537">
        <f>(J44+J65)</f>
        <v>23.002778125691737</v>
      </c>
      <c r="K6" s="472">
        <f>Capex_by_Driver!BL5+Capex_by_Driver!BL10</f>
        <v>19.326591826479003</v>
      </c>
      <c r="L6" s="285">
        <f>Capex_by_Driver!BM5+Capex_by_Driver!BM10</f>
        <v>21.490330689467719</v>
      </c>
      <c r="M6" s="285">
        <f>Capex_by_Driver!BN5+Capex_by_Driver!BN10</f>
        <v>19.134102257106033</v>
      </c>
      <c r="N6" s="285">
        <f>Capex_by_Driver!BO5+Capex_by_Driver!BO10</f>
        <v>15.525972217038138</v>
      </c>
      <c r="O6" s="285">
        <f>Capex_by_Driver!BP5+Capex_by_Driver!BP10</f>
        <v>15.248514277247958</v>
      </c>
      <c r="P6" s="473">
        <f>SUM(K6:O6)</f>
        <v>90.72551126733886</v>
      </c>
      <c r="R6" s="759"/>
    </row>
    <row r="7" spans="2:24">
      <c r="C7" s="32" t="s">
        <v>26</v>
      </c>
      <c r="D7" s="474">
        <v>88.990761511873728</v>
      </c>
      <c r="E7" s="540">
        <f t="shared" si="0"/>
        <v>82.491271968997054</v>
      </c>
      <c r="F7" s="537">
        <f t="shared" si="0"/>
        <v>84.630822699976264</v>
      </c>
      <c r="G7" s="782">
        <f t="shared" si="0"/>
        <v>106.61961345683007</v>
      </c>
      <c r="H7" s="782">
        <f t="shared" si="0"/>
        <v>120.3510407757279</v>
      </c>
      <c r="I7" s="541">
        <f t="shared" si="0"/>
        <v>109.28925356054019</v>
      </c>
      <c r="J7" s="537">
        <f t="shared" ref="J7:J17" si="1">(J45+J66)</f>
        <v>55.732080974726486</v>
      </c>
      <c r="K7" s="472">
        <f>Capex_by_Driver!BL14</f>
        <v>78.167980645159417</v>
      </c>
      <c r="L7" s="285">
        <f>Capex_by_Driver!BM14</f>
        <v>120.07341773389707</v>
      </c>
      <c r="M7" s="285">
        <f>Capex_by_Driver!BN14</f>
        <v>121.04147738493856</v>
      </c>
      <c r="N7" s="285">
        <f>Capex_by_Driver!BO14</f>
        <v>122.24130285032358</v>
      </c>
      <c r="O7" s="285">
        <f>Capex_by_Driver!BP14</f>
        <v>123.19939954117341</v>
      </c>
      <c r="P7" s="473">
        <f t="shared" ref="P7:P20" si="2">SUM(K7:O7)</f>
        <v>564.72357815549196</v>
      </c>
      <c r="R7" s="759"/>
    </row>
    <row r="8" spans="2:24">
      <c r="C8" s="32" t="s">
        <v>150</v>
      </c>
      <c r="D8" s="474">
        <v>101.25604568137862</v>
      </c>
      <c r="E8" s="540">
        <f t="shared" si="0"/>
        <v>87.540889333359914</v>
      </c>
      <c r="F8" s="537">
        <f t="shared" si="0"/>
        <v>93.316616156981425</v>
      </c>
      <c r="G8" s="782">
        <f t="shared" si="0"/>
        <v>113.75505673414642</v>
      </c>
      <c r="H8" s="782">
        <f t="shared" si="0"/>
        <v>92.243877787607133</v>
      </c>
      <c r="I8" s="541">
        <f t="shared" si="0"/>
        <v>72.437714810109256</v>
      </c>
      <c r="J8" s="537">
        <f t="shared" si="1"/>
        <v>31.838955785301128</v>
      </c>
      <c r="K8" s="472">
        <f>Capex_by_Driver!BL18-K14</f>
        <v>125.31901841189918</v>
      </c>
      <c r="L8" s="285">
        <f>Capex_by_Driver!BM18-L14</f>
        <v>137.20167676811064</v>
      </c>
      <c r="M8" s="285">
        <f>Capex_by_Driver!BN18-M14</f>
        <v>139.61881563648302</v>
      </c>
      <c r="N8" s="285">
        <f>Capex_by_Driver!BO18-N14</f>
        <v>117.77195020653109</v>
      </c>
      <c r="O8" s="285">
        <f>Capex_by_Driver!BP18-O14</f>
        <v>96.293906511340921</v>
      </c>
      <c r="P8" s="473">
        <f t="shared" si="2"/>
        <v>616.20536753436488</v>
      </c>
      <c r="R8" s="759"/>
      <c r="T8" s="592" t="s">
        <v>758</v>
      </c>
      <c r="U8" s="574"/>
      <c r="V8" s="574"/>
      <c r="W8" s="574"/>
      <c r="X8" s="575"/>
    </row>
    <row r="9" spans="2:24">
      <c r="C9" s="32" t="s">
        <v>697</v>
      </c>
      <c r="D9" s="474">
        <v>139.85495082116054</v>
      </c>
      <c r="E9" s="540">
        <f t="shared" si="0"/>
        <v>114.7050555506284</v>
      </c>
      <c r="F9" s="537">
        <f t="shared" si="0"/>
        <v>84.577346229085578</v>
      </c>
      <c r="G9" s="782">
        <f t="shared" si="0"/>
        <v>56.700951867362114</v>
      </c>
      <c r="H9" s="782">
        <f t="shared" si="0"/>
        <v>47.183015919628694</v>
      </c>
      <c r="I9" s="541">
        <f t="shared" si="0"/>
        <v>22.375824655555427</v>
      </c>
      <c r="J9" s="537">
        <f t="shared" si="1"/>
        <v>21.018523148778367</v>
      </c>
      <c r="K9" s="472">
        <f>Capex_by_Driver!BL22-K10</f>
        <v>9.8434913458101221</v>
      </c>
      <c r="L9" s="285">
        <f>Capex_by_Driver!BM22-L10</f>
        <v>10.798154244637438</v>
      </c>
      <c r="M9" s="285">
        <f>Capex_by_Driver!BN22-M10</f>
        <v>13.388949322912095</v>
      </c>
      <c r="N9" s="285">
        <f>Capex_by_Driver!BO22-N10</f>
        <v>18.881665673257409</v>
      </c>
      <c r="O9" s="285">
        <f>Capex_by_Driver!BP22-O10</f>
        <v>31.299154709562956</v>
      </c>
      <c r="P9" s="473">
        <f t="shared" si="2"/>
        <v>84.211415296180022</v>
      </c>
      <c r="R9" s="759"/>
      <c r="T9" s="599" t="str">
        <f>K5</f>
        <v>2021-22</v>
      </c>
      <c r="U9" s="600" t="str">
        <f t="shared" ref="U9:X9" si="3">L5</f>
        <v>2022-23</v>
      </c>
      <c r="V9" s="600" t="str">
        <f t="shared" si="3"/>
        <v>2023-24</v>
      </c>
      <c r="W9" s="600" t="str">
        <f t="shared" si="3"/>
        <v>2024-25</v>
      </c>
      <c r="X9" s="601" t="str">
        <f t="shared" si="3"/>
        <v>2025-26</v>
      </c>
    </row>
    <row r="10" spans="2:24">
      <c r="C10" s="32" t="s">
        <v>717</v>
      </c>
      <c r="D10" s="474">
        <v>0</v>
      </c>
      <c r="E10" s="540">
        <f t="shared" si="0"/>
        <v>0</v>
      </c>
      <c r="F10" s="537">
        <f t="shared" si="0"/>
        <v>0</v>
      </c>
      <c r="G10" s="782">
        <f t="shared" si="0"/>
        <v>0</v>
      </c>
      <c r="H10" s="782">
        <f t="shared" si="0"/>
        <v>0</v>
      </c>
      <c r="I10" s="541">
        <f t="shared" si="0"/>
        <v>0</v>
      </c>
      <c r="J10" s="537">
        <f t="shared" si="1"/>
        <v>0</v>
      </c>
      <c r="K10" s="595">
        <f>(SUM(Augmentation!CT27:CT29)*(1+AusNet_Overheads!K20)+Augmentation!CT30)*Escalators!$P$14/Thousands</f>
        <v>30.324768002194915</v>
      </c>
      <c r="L10" s="596">
        <f>(SUM(Augmentation!CU27:CU29)*(1+AusNet_Overheads!L20)+Augmentation!CU30)*Escalators!$P$14/Thousands</f>
        <v>35.382638091067854</v>
      </c>
      <c r="M10" s="596">
        <f>(SUM(Augmentation!CV27:CV29)*(1+AusNet_Overheads!M20)+Augmentation!CV30)*Escalators!$P$14/Thousands</f>
        <v>7.5171004532903734</v>
      </c>
      <c r="N10" s="596">
        <f>(SUM(Augmentation!CW27:CW29)*(1+AusNet_Overheads!N20)+Augmentation!CW30)*Escalators!$P$14/Thousands</f>
        <v>3.2656726616048459</v>
      </c>
      <c r="O10" s="596">
        <f>(SUM(Augmentation!CX27:CX29)*(1+AusNet_Overheads!O20)+Augmentation!CX30)*Escalators!$P$14/Thousands</f>
        <v>2.4684026704509625</v>
      </c>
      <c r="P10" s="473">
        <f t="shared" si="2"/>
        <v>78.958581878608925</v>
      </c>
      <c r="R10" s="759"/>
      <c r="T10" s="597">
        <v>0</v>
      </c>
      <c r="U10" s="598">
        <v>12.005835724716793</v>
      </c>
      <c r="V10" s="598">
        <v>21.343613480876435</v>
      </c>
      <c r="W10" s="598">
        <v>30.775991688868444</v>
      </c>
      <c r="X10" s="602">
        <v>33.637208861343751</v>
      </c>
    </row>
    <row r="11" spans="2:24">
      <c r="C11" s="32" t="s">
        <v>723</v>
      </c>
      <c r="D11" s="474">
        <v>0</v>
      </c>
      <c r="E11" s="540">
        <f t="shared" si="0"/>
        <v>1.312548794906377</v>
      </c>
      <c r="F11" s="537">
        <f t="shared" si="0"/>
        <v>40.250303893819492</v>
      </c>
      <c r="G11" s="782">
        <f t="shared" si="0"/>
        <v>72.48478864603706</v>
      </c>
      <c r="H11" s="782">
        <f t="shared" si="0"/>
        <v>99.28364277016324</v>
      </c>
      <c r="I11" s="541">
        <f t="shared" si="0"/>
        <v>113.59753408470948</v>
      </c>
      <c r="J11" s="537">
        <f t="shared" si="1"/>
        <v>41.144261911510405</v>
      </c>
      <c r="K11" s="472">
        <f>Capex_by_Driver!BL27</f>
        <v>53.697389350663961</v>
      </c>
      <c r="L11" s="285">
        <f>Capex_by_Driver!BM27</f>
        <v>33.628583856063351</v>
      </c>
      <c r="M11" s="285">
        <f>Capex_by_Driver!BN27</f>
        <v>0</v>
      </c>
      <c r="N11" s="285">
        <f>Capex_by_Driver!BO27</f>
        <v>0</v>
      </c>
      <c r="O11" s="285">
        <f>Capex_by_Driver!BP27</f>
        <v>0</v>
      </c>
      <c r="P11" s="473">
        <f t="shared" si="2"/>
        <v>87.325973206727312</v>
      </c>
      <c r="R11" s="759"/>
    </row>
    <row r="12" spans="2:24">
      <c r="C12" s="32" t="s">
        <v>284</v>
      </c>
      <c r="D12" s="474">
        <v>35.001247606577628</v>
      </c>
      <c r="E12" s="540">
        <f t="shared" si="0"/>
        <v>15.799842364609983</v>
      </c>
      <c r="F12" s="537">
        <f t="shared" si="0"/>
        <v>42.718951848465409</v>
      </c>
      <c r="G12" s="782">
        <f t="shared" si="0"/>
        <v>31.530793496442705</v>
      </c>
      <c r="H12" s="782">
        <f t="shared" si="0"/>
        <v>35.441308485223402</v>
      </c>
      <c r="I12" s="541">
        <f t="shared" si="0"/>
        <v>39.633404570965901</v>
      </c>
      <c r="J12" s="537">
        <f t="shared" si="1"/>
        <v>25.687968732851019</v>
      </c>
      <c r="K12" s="472">
        <f>Capex_by_Driver!BL34</f>
        <v>37.795340988131962</v>
      </c>
      <c r="L12" s="285">
        <f>Capex_by_Driver!BM34</f>
        <v>29.450615455318143</v>
      </c>
      <c r="M12" s="285">
        <f>Capex_by_Driver!BN34</f>
        <v>37.253156532596286</v>
      </c>
      <c r="N12" s="285">
        <f>Capex_by_Driver!BO34</f>
        <v>29.350359375344688</v>
      </c>
      <c r="O12" s="285">
        <f>Capex_by_Driver!BP34</f>
        <v>27.959801614058328</v>
      </c>
      <c r="P12" s="473">
        <f t="shared" si="2"/>
        <v>161.80927396544939</v>
      </c>
      <c r="R12" s="759"/>
    </row>
    <row r="13" spans="2:24">
      <c r="C13" s="32" t="s">
        <v>731</v>
      </c>
      <c r="D13" s="474">
        <v>0</v>
      </c>
      <c r="E13" s="540">
        <f t="shared" si="0"/>
        <v>0</v>
      </c>
      <c r="F13" s="537">
        <f t="shared" si="0"/>
        <v>0</v>
      </c>
      <c r="G13" s="782">
        <f t="shared" si="0"/>
        <v>0</v>
      </c>
      <c r="H13" s="782">
        <f t="shared" si="0"/>
        <v>10.597739375260371</v>
      </c>
      <c r="I13" s="541">
        <f t="shared" si="0"/>
        <v>25.385511817538788</v>
      </c>
      <c r="J13" s="537">
        <f t="shared" si="1"/>
        <v>20.131905775078856</v>
      </c>
      <c r="K13" s="472">
        <f>Capex_by_Driver!BL35</f>
        <v>10.030363994358307</v>
      </c>
      <c r="L13" s="285">
        <f>Capex_by_Driver!BM35</f>
        <v>3.5668110487127898</v>
      </c>
      <c r="M13" s="285">
        <f>Capex_by_Driver!BN35</f>
        <v>0.88084690331921733</v>
      </c>
      <c r="N13" s="285">
        <f>Capex_by_Driver!BO35</f>
        <v>1.5315091825954736E-3</v>
      </c>
      <c r="O13" s="285">
        <f>Capex_by_Driver!BP35</f>
        <v>0.91151372053801039</v>
      </c>
      <c r="P13" s="473">
        <f t="shared" si="2"/>
        <v>15.391067176110919</v>
      </c>
      <c r="R13" s="759"/>
    </row>
    <row r="14" spans="2:24">
      <c r="C14" s="32" t="s">
        <v>734</v>
      </c>
      <c r="D14" s="474">
        <v>0</v>
      </c>
      <c r="E14" s="540">
        <f t="shared" si="0"/>
        <v>0</v>
      </c>
      <c r="F14" s="537">
        <f t="shared" si="0"/>
        <v>0</v>
      </c>
      <c r="G14" s="782">
        <f t="shared" si="0"/>
        <v>0</v>
      </c>
      <c r="H14" s="782">
        <f t="shared" si="0"/>
        <v>0</v>
      </c>
      <c r="I14" s="541">
        <f t="shared" si="0"/>
        <v>0</v>
      </c>
      <c r="J14" s="537">
        <f t="shared" si="1"/>
        <v>7.969176974325392</v>
      </c>
      <c r="K14" s="472">
        <v>7.9940714012982976</v>
      </c>
      <c r="L14" s="811">
        <v>2.0212865642779008</v>
      </c>
      <c r="M14" s="285">
        <v>1.4948220646956609</v>
      </c>
      <c r="N14" s="285">
        <v>1.5282911754455604</v>
      </c>
      <c r="O14" s="285">
        <v>1.5974012665640396</v>
      </c>
      <c r="P14" s="473">
        <f t="shared" si="2"/>
        <v>14.635872472281459</v>
      </c>
      <c r="R14" s="759"/>
    </row>
    <row r="15" spans="2:24">
      <c r="C15" s="32" t="s">
        <v>450</v>
      </c>
      <c r="D15" s="474">
        <v>6.5824549659275515</v>
      </c>
      <c r="E15" s="540">
        <f t="shared" si="0"/>
        <v>6.9578993107977238</v>
      </c>
      <c r="F15" s="537">
        <f t="shared" si="0"/>
        <v>5.8349604755537543</v>
      </c>
      <c r="G15" s="782">
        <f t="shared" si="0"/>
        <v>18.174484100986795</v>
      </c>
      <c r="H15" s="782">
        <f t="shared" si="0"/>
        <v>5.1548916608585591</v>
      </c>
      <c r="I15" s="541">
        <f t="shared" si="0"/>
        <v>4.2012321661164336</v>
      </c>
      <c r="J15" s="537">
        <f t="shared" si="1"/>
        <v>4.047762361287381</v>
      </c>
      <c r="K15" s="472">
        <f>Capex_by_Driver!BL36</f>
        <v>6.9893645462760734</v>
      </c>
      <c r="L15" s="285">
        <f>Capex_by_Driver!BM36</f>
        <v>5.5730395218356916</v>
      </c>
      <c r="M15" s="285">
        <f>Capex_by_Driver!BN36</f>
        <v>4.7272008765314828</v>
      </c>
      <c r="N15" s="285">
        <f>Capex_by_Driver!BO36</f>
        <v>8.5483584360469518</v>
      </c>
      <c r="O15" s="285">
        <f>Capex_by_Driver!BP36</f>
        <v>9.1696634963079049</v>
      </c>
      <c r="P15" s="473">
        <f t="shared" si="2"/>
        <v>35.007626876998103</v>
      </c>
      <c r="R15" s="759"/>
    </row>
    <row r="16" spans="2:24">
      <c r="C16" s="32" t="s">
        <v>453</v>
      </c>
      <c r="D16" s="474">
        <v>0</v>
      </c>
      <c r="E16" s="540">
        <f t="shared" si="0"/>
        <v>0</v>
      </c>
      <c r="F16" s="537">
        <f t="shared" si="0"/>
        <v>0</v>
      </c>
      <c r="G16" s="782">
        <f t="shared" si="0"/>
        <v>0</v>
      </c>
      <c r="H16" s="782">
        <f t="shared" si="0"/>
        <v>0</v>
      </c>
      <c r="I16" s="541">
        <f t="shared" si="0"/>
        <v>0</v>
      </c>
      <c r="J16" s="537">
        <f t="shared" si="1"/>
        <v>0</v>
      </c>
      <c r="K16" s="472">
        <f>Capex_by_Driver!BL39</f>
        <v>1.2723605918988206</v>
      </c>
      <c r="L16" s="285">
        <f>Capex_by_Driver!BM39</f>
        <v>1.2726308502214465</v>
      </c>
      <c r="M16" s="285">
        <f>Capex_by_Driver!BN39</f>
        <v>1.2729874008927629</v>
      </c>
      <c r="N16" s="285">
        <f>Capex_by_Driver!BO39</f>
        <v>1.2735348448954762</v>
      </c>
      <c r="O16" s="285">
        <f>Capex_by_Driver!BP39</f>
        <v>1.2742625184455378</v>
      </c>
      <c r="P16" s="473">
        <f t="shared" si="2"/>
        <v>6.3657762063540435</v>
      </c>
      <c r="R16" s="759"/>
    </row>
    <row r="17" spans="3:25">
      <c r="C17" s="33" t="s">
        <v>587</v>
      </c>
      <c r="D17" s="475">
        <v>0</v>
      </c>
      <c r="E17" s="832">
        <f t="shared" si="0"/>
        <v>0</v>
      </c>
      <c r="F17" s="833">
        <f t="shared" si="0"/>
        <v>0</v>
      </c>
      <c r="G17" s="833">
        <f t="shared" si="0"/>
        <v>0</v>
      </c>
      <c r="H17" s="833">
        <f t="shared" si="0"/>
        <v>32.964134291055572</v>
      </c>
      <c r="I17" s="834">
        <f t="shared" si="0"/>
        <v>0.33869954703094191</v>
      </c>
      <c r="J17" s="833">
        <f t="shared" si="1"/>
        <v>0.16131811068053845</v>
      </c>
      <c r="K17" s="479">
        <f>Capex_by_Driver!BL37</f>
        <v>1.3142678083470987</v>
      </c>
      <c r="L17" s="480">
        <f>Capex_by_Driver!BM37</f>
        <v>0</v>
      </c>
      <c r="M17" s="480">
        <f>Capex_by_Driver!BN37</f>
        <v>0</v>
      </c>
      <c r="N17" s="480">
        <f>Capex_by_Driver!BO37</f>
        <v>0</v>
      </c>
      <c r="O17" s="480">
        <f>Capex_by_Driver!BP37</f>
        <v>4.8767548772582945</v>
      </c>
      <c r="P17" s="481">
        <f t="shared" si="2"/>
        <v>6.1910226856053931</v>
      </c>
      <c r="R17" s="759"/>
    </row>
    <row r="18" spans="3:25">
      <c r="C18" s="68" t="s">
        <v>698</v>
      </c>
      <c r="D18" s="482">
        <f t="shared" ref="D18:O18" si="4">SUM(D6:D17)</f>
        <v>392.2756689947534</v>
      </c>
      <c r="E18" s="483">
        <f t="shared" si="4"/>
        <v>334.84583339572214</v>
      </c>
      <c r="F18" s="484">
        <f t="shared" si="4"/>
        <v>379.32369912913111</v>
      </c>
      <c r="G18" s="484">
        <f t="shared" si="4"/>
        <v>437.20310738534431</v>
      </c>
      <c r="H18" s="484">
        <f t="shared" si="4"/>
        <v>477.85605028609041</v>
      </c>
      <c r="I18" s="482">
        <f t="shared" si="4"/>
        <v>418.04673115749688</v>
      </c>
      <c r="J18" s="482">
        <f t="shared" si="4"/>
        <v>230.73473190023128</v>
      </c>
      <c r="K18" s="483">
        <f t="shared" si="4"/>
        <v>382.07500891251715</v>
      </c>
      <c r="L18" s="484">
        <f t="shared" si="4"/>
        <v>400.45918482361003</v>
      </c>
      <c r="M18" s="484">
        <f t="shared" si="4"/>
        <v>346.32945883276545</v>
      </c>
      <c r="N18" s="484">
        <f t="shared" si="4"/>
        <v>318.38863894967039</v>
      </c>
      <c r="O18" s="484">
        <f t="shared" si="4"/>
        <v>314.29877520294832</v>
      </c>
      <c r="P18" s="805">
        <f>SUM(P6:P17)</f>
        <v>1761.5510667215112</v>
      </c>
      <c r="Q18" s="806" t="b">
        <f>P18=RFM_PTRM!T17</f>
        <v>1</v>
      </c>
      <c r="R18" s="786"/>
    </row>
    <row r="19" spans="3:25">
      <c r="C19" s="32" t="s">
        <v>133</v>
      </c>
      <c r="D19" s="809">
        <f t="shared" ref="D19:I19" si="5">D18-D57</f>
        <v>0</v>
      </c>
      <c r="E19" s="862">
        <f t="shared" si="5"/>
        <v>2.9422957121255422E-2</v>
      </c>
      <c r="F19" s="863">
        <f t="shared" si="5"/>
        <v>0.28606547457837905</v>
      </c>
      <c r="G19" s="864">
        <f t="shared" si="5"/>
        <v>-1.1361117913111229E-7</v>
      </c>
      <c r="H19" s="783">
        <f t="shared" si="5"/>
        <v>0</v>
      </c>
      <c r="I19" s="543">
        <f t="shared" si="5"/>
        <v>0</v>
      </c>
      <c r="J19" s="542">
        <f>J18-J57</f>
        <v>0</v>
      </c>
      <c r="K19" s="273">
        <f>K18-Capex_by_Driver!BL51</f>
        <v>0</v>
      </c>
      <c r="L19" s="459">
        <f>L18-Capex_by_Driver!BM51</f>
        <v>0</v>
      </c>
      <c r="M19" s="459">
        <f>M18-Capex_by_Driver!BN51</f>
        <v>0</v>
      </c>
      <c r="N19" s="459">
        <f>N18-Capex_by_Driver!BO51</f>
        <v>0</v>
      </c>
      <c r="O19" s="459">
        <f>O18-Capex_by_Driver!BP51</f>
        <v>0</v>
      </c>
      <c r="P19" s="460">
        <f>P18-Capex_by_Driver!BQ51</f>
        <v>0</v>
      </c>
    </row>
    <row r="20" spans="3:25">
      <c r="C20" s="32" t="s">
        <v>714</v>
      </c>
      <c r="D20" s="471">
        <f>D34</f>
        <v>51.349567587484408</v>
      </c>
      <c r="E20" s="540">
        <f t="shared" ref="E20:O20" si="6">E34</f>
        <v>22.567302407649283</v>
      </c>
      <c r="F20" s="537">
        <f t="shared" si="6"/>
        <v>36.010603170822975</v>
      </c>
      <c r="G20" s="782">
        <f t="shared" si="6"/>
        <v>61.409144598077717</v>
      </c>
      <c r="H20" s="849">
        <f t="shared" si="6"/>
        <v>82.688736616540467</v>
      </c>
      <c r="I20" s="850">
        <f t="shared" si="6"/>
        <v>70.512579651409482</v>
      </c>
      <c r="J20" s="537">
        <f t="shared" si="6"/>
        <v>33.651603152453973</v>
      </c>
      <c r="K20" s="470">
        <f t="shared" si="6"/>
        <v>47.308648967655486</v>
      </c>
      <c r="L20" s="281">
        <f t="shared" si="6"/>
        <v>67.815664138763566</v>
      </c>
      <c r="M20" s="281">
        <f t="shared" si="6"/>
        <v>68.338519264326806</v>
      </c>
      <c r="N20" s="281">
        <f t="shared" si="6"/>
        <v>68.976827607250044</v>
      </c>
      <c r="O20" s="281">
        <f t="shared" si="6"/>
        <v>69.496898176717281</v>
      </c>
      <c r="P20" s="485">
        <f t="shared" si="2"/>
        <v>321.93655815471317</v>
      </c>
    </row>
    <row r="21" spans="3:25">
      <c r="C21" s="32"/>
      <c r="D21" s="471"/>
      <c r="E21" s="470"/>
      <c r="F21" s="281"/>
      <c r="G21" s="784"/>
      <c r="H21" s="784"/>
      <c r="I21" s="471"/>
      <c r="J21" s="281"/>
      <c r="K21" s="470"/>
      <c r="L21" s="281"/>
      <c r="M21" s="281"/>
      <c r="N21" s="281"/>
      <c r="O21" s="281"/>
      <c r="P21" s="485"/>
    </row>
    <row r="22" spans="3:25">
      <c r="C22" s="8" t="s">
        <v>699</v>
      </c>
      <c r="D22" s="494">
        <f t="shared" ref="D22:O22" si="7">D18-D20</f>
        <v>340.92610140726902</v>
      </c>
      <c r="E22" s="495">
        <f t="shared" si="7"/>
        <v>312.27853098807287</v>
      </c>
      <c r="F22" s="496">
        <f t="shared" si="7"/>
        <v>343.31309595830817</v>
      </c>
      <c r="G22" s="496">
        <f t="shared" si="7"/>
        <v>375.79396278726659</v>
      </c>
      <c r="H22" s="496">
        <f t="shared" si="7"/>
        <v>395.16731366954991</v>
      </c>
      <c r="I22" s="494">
        <f t="shared" si="7"/>
        <v>347.53415150608737</v>
      </c>
      <c r="J22" s="496">
        <f t="shared" si="7"/>
        <v>197.08312874777732</v>
      </c>
      <c r="K22" s="495">
        <f t="shared" si="7"/>
        <v>334.76635994486168</v>
      </c>
      <c r="L22" s="496">
        <f t="shared" si="7"/>
        <v>332.64352068484646</v>
      </c>
      <c r="M22" s="496">
        <f t="shared" si="7"/>
        <v>277.99093956843865</v>
      </c>
      <c r="N22" s="496">
        <f t="shared" si="7"/>
        <v>249.41181134242035</v>
      </c>
      <c r="O22" s="496">
        <f t="shared" si="7"/>
        <v>244.80187702623104</v>
      </c>
      <c r="P22" s="497">
        <f>P18-P20</f>
        <v>1439.6145085667981</v>
      </c>
      <c r="Q22" s="458" t="b">
        <f>P22=RFM_PTRM!T41</f>
        <v>1</v>
      </c>
    </row>
    <row r="23" spans="3:25">
      <c r="C23" s="2"/>
      <c r="D23" s="2"/>
      <c r="E23" s="258"/>
      <c r="F23" s="258"/>
      <c r="G23" s="258"/>
      <c r="H23" s="461" t="s">
        <v>715</v>
      </c>
      <c r="I23" s="258">
        <f>SUM(E22:I22)</f>
        <v>1774.0870549092847</v>
      </c>
      <c r="J23" s="258"/>
      <c r="K23" s="258"/>
      <c r="L23" s="258"/>
      <c r="M23" s="258"/>
      <c r="N23" s="258"/>
      <c r="O23" s="258"/>
      <c r="P23" s="258">
        <f>P22-I23</f>
        <v>-334.47254634248657</v>
      </c>
    </row>
    <row r="24" spans="3:25">
      <c r="C24" s="462" t="s">
        <v>700</v>
      </c>
      <c r="D24" s="462"/>
      <c r="E24" s="258"/>
      <c r="F24" s="258"/>
      <c r="G24" s="258"/>
      <c r="H24" s="258"/>
      <c r="J24" s="258"/>
      <c r="K24" s="258"/>
      <c r="L24" s="258"/>
      <c r="M24" s="258"/>
      <c r="N24" s="258"/>
      <c r="O24" s="461" t="s">
        <v>716</v>
      </c>
      <c r="P24" s="463">
        <f>P23/I23</f>
        <v>-0.18853220613775873</v>
      </c>
    </row>
    <row r="25" spans="3:25">
      <c r="C25" s="462" t="s">
        <v>701</v>
      </c>
      <c r="D25" s="464"/>
      <c r="E25" s="258"/>
      <c r="F25" s="258"/>
      <c r="G25" s="258"/>
      <c r="H25" s="258"/>
      <c r="I25" s="258"/>
    </row>
    <row r="26" spans="3:25">
      <c r="C26" s="462" t="s">
        <v>702</v>
      </c>
      <c r="D26" s="462"/>
      <c r="E26" s="258"/>
      <c r="F26" s="258"/>
      <c r="G26" s="258"/>
      <c r="H26" s="258"/>
      <c r="I26" s="258"/>
      <c r="P26" s="465"/>
    </row>
    <row r="28" spans="3:25">
      <c r="C28" s="2" t="s">
        <v>703</v>
      </c>
      <c r="D28" s="983" t="s">
        <v>695</v>
      </c>
      <c r="E28" s="984"/>
      <c r="F28" s="984"/>
      <c r="G28" s="997"/>
      <c r="H28" s="792"/>
      <c r="I28" s="999" t="s">
        <v>286</v>
      </c>
      <c r="J28" s="1000"/>
      <c r="K28" s="983" t="s">
        <v>719</v>
      </c>
      <c r="L28" s="984"/>
      <c r="M28" s="984"/>
      <c r="N28" s="984"/>
      <c r="O28" s="985"/>
      <c r="P28" s="17" t="s">
        <v>146</v>
      </c>
      <c r="S28" s="2" t="s">
        <v>837</v>
      </c>
    </row>
    <row r="29" spans="3:25">
      <c r="C29" s="8" t="s">
        <v>704</v>
      </c>
      <c r="D29" s="453">
        <v>2015</v>
      </c>
      <c r="E29" s="451">
        <v>2016</v>
      </c>
      <c r="F29" s="452">
        <v>2017</v>
      </c>
      <c r="G29" s="795">
        <v>2018</v>
      </c>
      <c r="H29" s="795">
        <v>2019</v>
      </c>
      <c r="I29" s="453">
        <v>2020</v>
      </c>
      <c r="J29" s="452" t="s">
        <v>696</v>
      </c>
      <c r="K29" s="451" t="s">
        <v>615</v>
      </c>
      <c r="L29" s="452" t="s">
        <v>616</v>
      </c>
      <c r="M29" s="452" t="s">
        <v>617</v>
      </c>
      <c r="N29" s="452" t="s">
        <v>618</v>
      </c>
      <c r="O29" s="453" t="s">
        <v>619</v>
      </c>
      <c r="P29" s="17" t="s">
        <v>588</v>
      </c>
      <c r="S29" s="778">
        <v>2015</v>
      </c>
      <c r="T29" s="778">
        <v>2016</v>
      </c>
      <c r="U29" s="778">
        <v>2017</v>
      </c>
      <c r="V29" s="778">
        <v>2018</v>
      </c>
      <c r="W29" s="778">
        <v>2019</v>
      </c>
      <c r="X29" s="781">
        <v>2020</v>
      </c>
      <c r="Y29" s="781" t="s">
        <v>696</v>
      </c>
    </row>
    <row r="30" spans="3:25">
      <c r="C30" s="32" t="s">
        <v>10</v>
      </c>
      <c r="D30" s="469">
        <f>S30*D$2</f>
        <v>6.5908398124008292</v>
      </c>
      <c r="E30" s="470">
        <f t="shared" ref="E30:E33" si="8">T30*E$2</f>
        <v>7.2660505641814064</v>
      </c>
      <c r="F30" s="281">
        <f t="shared" ref="F30:F33" si="9">U30*F$2</f>
        <v>8.2312629697472683</v>
      </c>
      <c r="G30" s="784">
        <f t="shared" ref="G30:G33" si="10">V30*G$2</f>
        <v>6.8778867590717381</v>
      </c>
      <c r="H30" s="784">
        <f t="shared" ref="H30:H33" si="11">W30*H$2</f>
        <v>12.004503558265279</v>
      </c>
      <c r="I30" s="471">
        <f t="shared" ref="I30:I33" si="12">X30*I$2</f>
        <v>0</v>
      </c>
      <c r="J30" s="281">
        <f t="shared" ref="J30:J33" si="13">Y30*J$2</f>
        <v>0</v>
      </c>
      <c r="K30" s="470">
        <v>0</v>
      </c>
      <c r="L30" s="281">
        <v>0</v>
      </c>
      <c r="M30" s="281">
        <v>0</v>
      </c>
      <c r="N30" s="281">
        <v>0</v>
      </c>
      <c r="O30" s="471">
        <v>0</v>
      </c>
      <c r="P30" s="473">
        <f t="shared" ref="P30" si="14">SUM(K30:O30)</f>
        <v>0</v>
      </c>
      <c r="S30" s="216">
        <v>5.93849567</v>
      </c>
      <c r="T30" s="216">
        <v>6.6718227500000022</v>
      </c>
      <c r="U30" s="216">
        <v>7.6538420099999982</v>
      </c>
      <c r="V30" s="216">
        <v>6.4898941887111112</v>
      </c>
      <c r="W30" s="216">
        <v>11.554498720000002</v>
      </c>
      <c r="X30" s="216">
        <v>0</v>
      </c>
      <c r="Y30" s="216">
        <v>0</v>
      </c>
    </row>
    <row r="31" spans="3:25">
      <c r="C31" s="32" t="s">
        <v>26</v>
      </c>
      <c r="D31" s="474">
        <f t="shared" ref="D31:D33" si="15">S31*D$2</f>
        <v>33.477215368435601</v>
      </c>
      <c r="E31" s="470">
        <f t="shared" si="8"/>
        <v>15.301251843467876</v>
      </c>
      <c r="F31" s="281">
        <f t="shared" si="9"/>
        <v>27.77702702217665</v>
      </c>
      <c r="G31" s="784">
        <f t="shared" si="10"/>
        <v>54.458632200833769</v>
      </c>
      <c r="H31" s="784">
        <f t="shared" si="11"/>
        <v>70.683713585131031</v>
      </c>
      <c r="I31" s="471">
        <f t="shared" si="12"/>
        <v>70.512579651409482</v>
      </c>
      <c r="J31" s="537">
        <f t="shared" si="13"/>
        <v>33.651603152453973</v>
      </c>
      <c r="K31" s="470">
        <f>RFM_PTRM!O29</f>
        <v>47.308648967655486</v>
      </c>
      <c r="L31" s="281">
        <f>RFM_PTRM!P29</f>
        <v>67.815664138763566</v>
      </c>
      <c r="M31" s="281">
        <f>RFM_PTRM!Q29</f>
        <v>68.338519264326806</v>
      </c>
      <c r="N31" s="281">
        <f>RFM_PTRM!R29</f>
        <v>68.976827607250044</v>
      </c>
      <c r="O31" s="471">
        <f>RFM_PTRM!S29</f>
        <v>69.496898176717281</v>
      </c>
      <c r="P31" s="473">
        <f>SUM(K31:O31)</f>
        <v>321.93655815471317</v>
      </c>
      <c r="S31" s="216">
        <v>30.16372786591733</v>
      </c>
      <c r="T31" s="216">
        <v>14.049893989999999</v>
      </c>
      <c r="U31" s="216">
        <v>25.828475789999999</v>
      </c>
      <c r="V31" s="216">
        <v>51.386533833111123</v>
      </c>
      <c r="W31" s="216">
        <v>68.03404024000001</v>
      </c>
      <c r="X31" s="216">
        <v>69.114734020914796</v>
      </c>
      <c r="Y31" s="216">
        <v>33.651603152453973</v>
      </c>
    </row>
    <row r="32" spans="3:25">
      <c r="C32" s="32" t="s">
        <v>705</v>
      </c>
      <c r="D32" s="474">
        <f t="shared" si="15"/>
        <v>11.281512406647977</v>
      </c>
      <c r="E32" s="470">
        <f t="shared" si="8"/>
        <v>0</v>
      </c>
      <c r="F32" s="281">
        <f t="shared" si="9"/>
        <v>0</v>
      </c>
      <c r="G32" s="784">
        <f t="shared" si="10"/>
        <v>0</v>
      </c>
      <c r="H32" s="784">
        <f t="shared" si="11"/>
        <v>0</v>
      </c>
      <c r="I32" s="471">
        <f t="shared" si="12"/>
        <v>0</v>
      </c>
      <c r="J32" s="281">
        <f t="shared" si="13"/>
        <v>0</v>
      </c>
      <c r="K32" s="470"/>
      <c r="L32" s="281"/>
      <c r="M32" s="281"/>
      <c r="N32" s="281"/>
      <c r="O32" s="471"/>
      <c r="P32" s="473">
        <f t="shared" ref="P32:P33" si="16">SUM(K32:O32)</f>
        <v>0</v>
      </c>
      <c r="S32" s="216">
        <v>10.164897719388829</v>
      </c>
      <c r="T32" s="216">
        <v>0</v>
      </c>
      <c r="U32" s="216">
        <v>0</v>
      </c>
      <c r="V32" s="216">
        <v>0</v>
      </c>
      <c r="W32" s="216">
        <v>0</v>
      </c>
      <c r="X32" s="216">
        <v>0</v>
      </c>
      <c r="Y32" s="216">
        <v>0</v>
      </c>
    </row>
    <row r="33" spans="1:28">
      <c r="C33" s="33" t="s">
        <v>5</v>
      </c>
      <c r="D33" s="475">
        <f t="shared" si="15"/>
        <v>0</v>
      </c>
      <c r="E33" s="476">
        <f t="shared" si="8"/>
        <v>0</v>
      </c>
      <c r="F33" s="477">
        <f t="shared" si="9"/>
        <v>2.3131788990584479E-3</v>
      </c>
      <c r="G33" s="477">
        <f t="shared" si="10"/>
        <v>7.2625638172210835E-2</v>
      </c>
      <c r="H33" s="477">
        <f t="shared" si="11"/>
        <v>5.194731441480171E-4</v>
      </c>
      <c r="I33" s="478">
        <f t="shared" si="12"/>
        <v>0</v>
      </c>
      <c r="J33" s="477">
        <f t="shared" si="13"/>
        <v>0</v>
      </c>
      <c r="K33" s="476">
        <v>0</v>
      </c>
      <c r="L33" s="477">
        <v>0</v>
      </c>
      <c r="M33" s="477">
        <v>0</v>
      </c>
      <c r="N33" s="477">
        <v>0</v>
      </c>
      <c r="O33" s="478">
        <v>0</v>
      </c>
      <c r="P33" s="481">
        <f t="shared" si="16"/>
        <v>0</v>
      </c>
      <c r="S33" s="270">
        <v>0</v>
      </c>
      <c r="T33" s="270">
        <v>0</v>
      </c>
      <c r="U33" s="270">
        <v>2.1509099999999998E-3</v>
      </c>
      <c r="V33" s="270">
        <v>6.8528709999999993E-2</v>
      </c>
      <c r="W33" s="270">
        <v>5.0000000000000001E-4</v>
      </c>
      <c r="X33" s="270">
        <v>0</v>
      </c>
      <c r="Y33" s="270">
        <v>0</v>
      </c>
    </row>
    <row r="34" spans="1:28">
      <c r="C34" s="8" t="s">
        <v>706</v>
      </c>
      <c r="D34" s="494">
        <f t="shared" ref="D34:O34" si="17">SUM(D30:D33)</f>
        <v>51.349567587484408</v>
      </c>
      <c r="E34" s="495">
        <f t="shared" si="17"/>
        <v>22.567302407649283</v>
      </c>
      <c r="F34" s="496">
        <f t="shared" si="17"/>
        <v>36.010603170822975</v>
      </c>
      <c r="G34" s="794">
        <f t="shared" si="17"/>
        <v>61.409144598077717</v>
      </c>
      <c r="H34" s="794">
        <f t="shared" si="17"/>
        <v>82.688736616540467</v>
      </c>
      <c r="I34" s="494">
        <f t="shared" si="17"/>
        <v>70.512579651409482</v>
      </c>
      <c r="J34" s="494">
        <f t="shared" si="17"/>
        <v>33.651603152453973</v>
      </c>
      <c r="K34" s="498">
        <f t="shared" si="17"/>
        <v>47.308648967655486</v>
      </c>
      <c r="L34" s="499">
        <f t="shared" si="17"/>
        <v>67.815664138763566</v>
      </c>
      <c r="M34" s="499">
        <f t="shared" si="17"/>
        <v>68.338519264326806</v>
      </c>
      <c r="N34" s="499">
        <f t="shared" si="17"/>
        <v>68.976827607250044</v>
      </c>
      <c r="O34" s="500">
        <f t="shared" si="17"/>
        <v>69.496898176717281</v>
      </c>
      <c r="P34" s="497">
        <f>SUM(P30:P33)</f>
        <v>321.93655815471317</v>
      </c>
      <c r="Q34" s="458" t="b">
        <f>P34=RFM_PTRM!T29</f>
        <v>1</v>
      </c>
      <c r="S34" s="216">
        <f>SUM(S30:S33)</f>
        <v>46.267121255306165</v>
      </c>
      <c r="T34" s="216">
        <f t="shared" ref="T34:Y34" si="18">SUM(T30:T33)</f>
        <v>20.721716740000002</v>
      </c>
      <c r="U34" s="216">
        <f t="shared" si="18"/>
        <v>33.484468709999994</v>
      </c>
      <c r="V34" s="216">
        <f t="shared" si="18"/>
        <v>57.944956731822238</v>
      </c>
      <c r="W34" s="216">
        <f t="shared" si="18"/>
        <v>79.589038960000011</v>
      </c>
      <c r="X34" s="216">
        <f t="shared" si="18"/>
        <v>69.114734020914796</v>
      </c>
      <c r="Y34" s="216">
        <f t="shared" si="18"/>
        <v>33.651603152453973</v>
      </c>
    </row>
    <row r="35" spans="1:28">
      <c r="C35" s="32"/>
      <c r="D35" s="248"/>
      <c r="E35" s="456"/>
      <c r="F35" s="274"/>
      <c r="G35" s="793"/>
      <c r="H35" s="793"/>
      <c r="I35" s="457"/>
      <c r="J35" s="274"/>
      <c r="K35" s="456"/>
      <c r="L35" s="274"/>
      <c r="M35" s="274"/>
      <c r="N35" s="274"/>
      <c r="O35" s="457"/>
      <c r="P35" s="32"/>
    </row>
    <row r="36" spans="1:28">
      <c r="C36" s="69" t="s">
        <v>707</v>
      </c>
      <c r="D36" s="454">
        <v>2015</v>
      </c>
      <c r="E36" s="466">
        <v>2016</v>
      </c>
      <c r="F36" s="454">
        <v>2017</v>
      </c>
      <c r="G36" s="779">
        <v>2018</v>
      </c>
      <c r="H36" s="779">
        <v>2019</v>
      </c>
      <c r="I36" s="467">
        <v>2020</v>
      </c>
      <c r="J36" s="454" t="s">
        <v>696</v>
      </c>
      <c r="K36" s="466" t="s">
        <v>615</v>
      </c>
      <c r="L36" s="454" t="s">
        <v>616</v>
      </c>
      <c r="M36" s="454" t="s">
        <v>617</v>
      </c>
      <c r="N36" s="454" t="s">
        <v>618</v>
      </c>
      <c r="O36" s="467" t="s">
        <v>619</v>
      </c>
      <c r="P36" s="468" t="s">
        <v>708</v>
      </c>
      <c r="W36" s="759"/>
    </row>
    <row r="37" spans="1:28">
      <c r="C37" s="32" t="s">
        <v>709</v>
      </c>
      <c r="D37" s="474">
        <f>D6-D30</f>
        <v>13.999368595434557</v>
      </c>
      <c r="E37" s="472">
        <f t="shared" ref="E37:P37" si="19">E6-E30</f>
        <v>18.7722755082413</v>
      </c>
      <c r="F37" s="486">
        <f t="shared" si="19"/>
        <v>19.763434855501941</v>
      </c>
      <c r="G37" s="486">
        <f t="shared" si="19"/>
        <v>31.059532324467416</v>
      </c>
      <c r="H37" s="486">
        <f t="shared" si="19"/>
        <v>22.631895662300337</v>
      </c>
      <c r="I37" s="474">
        <f t="shared" si="19"/>
        <v>30.787555944930514</v>
      </c>
      <c r="J37" s="486">
        <f t="shared" si="19"/>
        <v>23.002778125691737</v>
      </c>
      <c r="K37" s="472">
        <f t="shared" si="19"/>
        <v>19.326591826479003</v>
      </c>
      <c r="L37" s="486">
        <f t="shared" si="19"/>
        <v>21.490330689467719</v>
      </c>
      <c r="M37" s="486">
        <f t="shared" si="19"/>
        <v>19.134102257106033</v>
      </c>
      <c r="N37" s="486">
        <f t="shared" si="19"/>
        <v>15.525972217038138</v>
      </c>
      <c r="O37" s="474">
        <f t="shared" si="19"/>
        <v>15.248514277247958</v>
      </c>
      <c r="P37" s="473">
        <f t="shared" si="19"/>
        <v>90.72551126733886</v>
      </c>
    </row>
    <row r="38" spans="1:28">
      <c r="C38" s="32" t="s">
        <v>710</v>
      </c>
      <c r="D38" s="474">
        <f>D9-D32</f>
        <v>128.57343841451257</v>
      </c>
      <c r="E38" s="472">
        <f t="shared" ref="E38:P38" si="20">E9-E32</f>
        <v>114.7050555506284</v>
      </c>
      <c r="F38" s="486">
        <f t="shared" si="20"/>
        <v>84.577346229085578</v>
      </c>
      <c r="G38" s="486">
        <f t="shared" si="20"/>
        <v>56.700951867362114</v>
      </c>
      <c r="H38" s="486">
        <f t="shared" si="20"/>
        <v>47.183015919628694</v>
      </c>
      <c r="I38" s="474">
        <f t="shared" si="20"/>
        <v>22.375824655555427</v>
      </c>
      <c r="J38" s="486">
        <f t="shared" si="20"/>
        <v>21.018523148778367</v>
      </c>
      <c r="K38" s="472">
        <f t="shared" si="20"/>
        <v>9.8434913458101221</v>
      </c>
      <c r="L38" s="486">
        <f t="shared" si="20"/>
        <v>10.798154244637438</v>
      </c>
      <c r="M38" s="486">
        <f t="shared" si="20"/>
        <v>13.388949322912095</v>
      </c>
      <c r="N38" s="486">
        <f t="shared" si="20"/>
        <v>18.881665673257409</v>
      </c>
      <c r="O38" s="474">
        <f t="shared" si="20"/>
        <v>31.299154709562956</v>
      </c>
      <c r="P38" s="473">
        <f t="shared" si="20"/>
        <v>84.211415296180022</v>
      </c>
    </row>
    <row r="39" spans="1:28">
      <c r="C39" s="33" t="s">
        <v>711</v>
      </c>
      <c r="D39" s="475">
        <f>D7-D31</f>
        <v>55.513546143438127</v>
      </c>
      <c r="E39" s="479">
        <f t="shared" ref="E39:P39" si="21">E7-E31</f>
        <v>67.190020125529173</v>
      </c>
      <c r="F39" s="480">
        <f t="shared" si="21"/>
        <v>56.85379567779961</v>
      </c>
      <c r="G39" s="480">
        <f t="shared" si="21"/>
        <v>52.160981255996298</v>
      </c>
      <c r="H39" s="480">
        <f t="shared" si="21"/>
        <v>49.667327190596865</v>
      </c>
      <c r="I39" s="475">
        <f t="shared" si="21"/>
        <v>38.776673909130707</v>
      </c>
      <c r="J39" s="480">
        <f t="shared" si="21"/>
        <v>22.080477822272513</v>
      </c>
      <c r="K39" s="479">
        <f t="shared" si="21"/>
        <v>30.859331677503931</v>
      </c>
      <c r="L39" s="480">
        <f t="shared" si="21"/>
        <v>52.257753595133508</v>
      </c>
      <c r="M39" s="480">
        <f t="shared" si="21"/>
        <v>52.702958120611754</v>
      </c>
      <c r="N39" s="480">
        <f t="shared" si="21"/>
        <v>53.264475243073534</v>
      </c>
      <c r="O39" s="475">
        <f t="shared" si="21"/>
        <v>53.702501364456126</v>
      </c>
      <c r="P39" s="481">
        <f t="shared" si="21"/>
        <v>242.7870200007788</v>
      </c>
    </row>
    <row r="41" spans="1:28">
      <c r="P41" s="759"/>
      <c r="S41" s="986" t="s">
        <v>854</v>
      </c>
      <c r="T41" s="987"/>
      <c r="U41" s="987"/>
      <c r="V41" s="987"/>
      <c r="W41" s="987"/>
      <c r="X41" s="987"/>
      <c r="Y41" s="988"/>
    </row>
    <row r="42" spans="1:28">
      <c r="C42" s="2" t="s">
        <v>874</v>
      </c>
      <c r="S42" s="986" t="s">
        <v>285</v>
      </c>
      <c r="T42" s="987"/>
      <c r="U42" s="987"/>
      <c r="V42" s="987"/>
      <c r="W42" s="988"/>
      <c r="X42" s="986" t="s">
        <v>286</v>
      </c>
      <c r="Y42" s="988"/>
      <c r="AA42" s="959" t="s">
        <v>831</v>
      </c>
      <c r="AB42" s="959"/>
    </row>
    <row r="43" spans="1:28">
      <c r="C43" s="301" t="s">
        <v>718</v>
      </c>
      <c r="D43" s="28">
        <v>2015</v>
      </c>
      <c r="E43" s="799">
        <v>2016</v>
      </c>
      <c r="F43" s="799">
        <v>2017</v>
      </c>
      <c r="G43" s="799">
        <v>2018</v>
      </c>
      <c r="H43" s="799">
        <v>2019</v>
      </c>
      <c r="I43" s="799">
        <v>2020</v>
      </c>
      <c r="J43" s="28" t="s">
        <v>696</v>
      </c>
      <c r="K43" s="801" t="s">
        <v>615</v>
      </c>
      <c r="L43" s="799" t="s">
        <v>616</v>
      </c>
      <c r="M43" s="799" t="s">
        <v>617</v>
      </c>
      <c r="N43" s="799" t="s">
        <v>618</v>
      </c>
      <c r="O43" s="799" t="s">
        <v>619</v>
      </c>
      <c r="P43" s="28" t="s">
        <v>588</v>
      </c>
      <c r="S43" s="28">
        <v>2015</v>
      </c>
      <c r="T43" s="228">
        <v>2016</v>
      </c>
      <c r="U43" s="228">
        <v>2017</v>
      </c>
      <c r="V43" s="228">
        <v>2018</v>
      </c>
      <c r="W43" s="228">
        <v>2019</v>
      </c>
      <c r="X43" s="228">
        <v>2020</v>
      </c>
      <c r="Y43" s="764" t="s">
        <v>696</v>
      </c>
      <c r="AA43" s="405">
        <v>2020</v>
      </c>
      <c r="AB43" s="405" t="s">
        <v>696</v>
      </c>
    </row>
    <row r="44" spans="1:28">
      <c r="A44" s="1" t="s">
        <v>839</v>
      </c>
      <c r="C44" s="251" t="s">
        <v>449</v>
      </c>
      <c r="D44" s="768">
        <f t="shared" ref="D44:D55" si="22">S44*D$2</f>
        <v>0</v>
      </c>
      <c r="E44" s="769">
        <f t="shared" ref="E44:E55" si="23">T44*E$2</f>
        <v>23.638935300922494</v>
      </c>
      <c r="F44" s="769">
        <f t="shared" ref="F44:F55" si="24">U44*F$2</f>
        <v>24.892238563732946</v>
      </c>
      <c r="G44" s="769">
        <f t="shared" ref="G44:G55" si="25">V44*G$2</f>
        <v>34.400617892469207</v>
      </c>
      <c r="H44" s="769">
        <f t="shared" ref="H44:H55" si="26">W44*H$2</f>
        <v>32.220742370097327</v>
      </c>
      <c r="I44" s="769">
        <f t="shared" ref="I44:J55" si="27">X44*I$2</f>
        <v>28.446537147568776</v>
      </c>
      <c r="J44" s="768">
        <f t="shared" si="27"/>
        <v>20.97003453588604</v>
      </c>
      <c r="K44" s="812">
        <f>(Capex_by_Driver!AK5+Capex_by_Driver!AK10)/Thousands*$G$2</f>
        <v>17.543327710996362</v>
      </c>
      <c r="L44" s="813">
        <f>(Capex_by_Driver!AL5+Capex_by_Driver!AL10)/Thousands*$G$2</f>
        <v>19.596997868686667</v>
      </c>
      <c r="M44" s="813">
        <f>(Capex_by_Driver!AM5+Capex_by_Driver!AM10)/Thousands*$G$2</f>
        <v>17.132036764522557</v>
      </c>
      <c r="N44" s="813">
        <f>(Capex_by_Driver!AN5+Capex_by_Driver!AN10)/Thousands*$G$2</f>
        <v>13.744426784534291</v>
      </c>
      <c r="O44" s="813">
        <f>(Capex_by_Driver!AO5+Capex_by_Driver!AO10)/Thousands*$G$2</f>
        <v>13.422467905900112</v>
      </c>
      <c r="P44" s="815">
        <f t="shared" ref="P44:P50" si="28">SUM(K44:O44)</f>
        <v>81.439257034639979</v>
      </c>
      <c r="S44" s="765"/>
      <c r="T44" s="766">
        <v>21.705709991056331</v>
      </c>
      <c r="U44" s="766">
        <v>23.146054492764065</v>
      </c>
      <c r="V44" s="766">
        <v>32.46002412789634</v>
      </c>
      <c r="W44" s="766">
        <v>31.012904837402381</v>
      </c>
      <c r="X44" s="766">
        <v>27.882611279999999</v>
      </c>
      <c r="Y44" s="767">
        <v>20.97003453588604</v>
      </c>
      <c r="AA44" s="760">
        <v>8.7234157600000017</v>
      </c>
      <c r="AB44" s="760">
        <v>4.9227312585064871</v>
      </c>
    </row>
    <row r="45" spans="1:28">
      <c r="A45" s="1" t="s">
        <v>839</v>
      </c>
      <c r="C45" s="38" t="s">
        <v>26</v>
      </c>
      <c r="D45" s="768">
        <f t="shared" si="22"/>
        <v>0</v>
      </c>
      <c r="E45" s="769">
        <f t="shared" si="23"/>
        <v>76.123643400224864</v>
      </c>
      <c r="F45" s="769">
        <f t="shared" si="24"/>
        <v>75.379077081262139</v>
      </c>
      <c r="G45" s="769">
        <f t="shared" si="25"/>
        <v>97.185732367892214</v>
      </c>
      <c r="H45" s="769">
        <f t="shared" si="26"/>
        <v>114.02576143740667</v>
      </c>
      <c r="I45" s="769">
        <f t="shared" si="27"/>
        <v>104.5581302448237</v>
      </c>
      <c r="J45" s="768">
        <f t="shared" si="27"/>
        <v>52.927150400861251</v>
      </c>
      <c r="K45" s="810">
        <f>Capex_by_Driver!AK14/Thousands*$G$2</f>
        <v>73.337640193779407</v>
      </c>
      <c r="L45" s="769">
        <f>Capex_by_Driver!AL14/Thousands*$G$2</f>
        <v>113.70454908804047</v>
      </c>
      <c r="M45" s="769">
        <f>Capex_by_Driver!AM14/Thousands*$G$2</f>
        <v>113.73025786264942</v>
      </c>
      <c r="N45" s="769">
        <f>Capex_by_Driver!AN14/Thousands*$G$2</f>
        <v>114.36726099864781</v>
      </c>
      <c r="O45" s="769">
        <f>Capex_by_Driver!AO14/Thousands*$G$2</f>
        <v>115.03638605272425</v>
      </c>
      <c r="P45" s="768">
        <f t="shared" si="28"/>
        <v>530.17609419584142</v>
      </c>
      <c r="S45" s="768"/>
      <c r="T45" s="769">
        <v>69.898144991470474</v>
      </c>
      <c r="U45" s="769">
        <v>70.091254399239119</v>
      </c>
      <c r="V45" s="769">
        <v>91.703330080000001</v>
      </c>
      <c r="W45" s="760">
        <v>109.75135358000001</v>
      </c>
      <c r="X45" s="769">
        <f>'2.1 Exp Summary'!F26/10^6</f>
        <v>102.48536356662291</v>
      </c>
      <c r="Y45" s="770">
        <f>'2.1 Exp Summary'!G26/10^6</f>
        <v>52.927150400861251</v>
      </c>
      <c r="AA45" s="760"/>
      <c r="AB45" s="760"/>
    </row>
    <row r="46" spans="1:28">
      <c r="A46" s="1" t="s">
        <v>839</v>
      </c>
      <c r="C46" s="38" t="s">
        <v>150</v>
      </c>
      <c r="D46" s="768">
        <f t="shared" si="22"/>
        <v>0</v>
      </c>
      <c r="E46" s="769">
        <f t="shared" si="23"/>
        <v>76.612026144224785</v>
      </c>
      <c r="F46" s="769">
        <f t="shared" si="24"/>
        <v>85.456122492084134</v>
      </c>
      <c r="G46" s="769">
        <f t="shared" si="25"/>
        <v>102.93686233180931</v>
      </c>
      <c r="H46" s="769">
        <f t="shared" si="26"/>
        <v>84.475181542685732</v>
      </c>
      <c r="I46" s="769">
        <f t="shared" si="27"/>
        <v>66.929708513288631</v>
      </c>
      <c r="J46" s="768">
        <f t="shared" si="27"/>
        <v>29.025363751980951</v>
      </c>
      <c r="K46" s="810">
        <f>Capex_by_Driver!AK18/Thousands*$G$2-K52</f>
        <v>113.75583590523154</v>
      </c>
      <c r="L46" s="769">
        <f>Capex_by_Driver!AL18/Thousands*$G$2-L52</f>
        <v>125.11398759083021</v>
      </c>
      <c r="M46" s="769">
        <f>Capex_by_Driver!AM18/Thousands*$G$2-M52</f>
        <v>125.01002923275371</v>
      </c>
      <c r="N46" s="769">
        <f>Capex_by_Driver!AN18/Thousands*$G$2-N52</f>
        <v>104.25807313432658</v>
      </c>
      <c r="O46" s="769">
        <f>Capex_by_Driver!AO18/Thousands*$G$2-O52</f>
        <v>84.762478900042012</v>
      </c>
      <c r="P46" s="768">
        <f t="shared" si="28"/>
        <v>552.90040476318404</v>
      </c>
      <c r="S46" s="768"/>
      <c r="T46" s="769">
        <v>70.346587109144238</v>
      </c>
      <c r="U46" s="769">
        <v>79.461397691404542</v>
      </c>
      <c r="V46" s="769">
        <v>97.13002962286734</v>
      </c>
      <c r="W46" s="760">
        <v>81.308516613724734</v>
      </c>
      <c r="X46" s="769">
        <v>65.602889936261676</v>
      </c>
      <c r="Y46" s="770">
        <v>29.025363751980951</v>
      </c>
      <c r="AA46" s="760">
        <v>11.541148989999996</v>
      </c>
      <c r="AB46" s="760">
        <v>14.238395885128392</v>
      </c>
    </row>
    <row r="47" spans="1:28">
      <c r="A47" s="1" t="s">
        <v>839</v>
      </c>
      <c r="C47" s="38" t="s">
        <v>58</v>
      </c>
      <c r="D47" s="768">
        <f t="shared" si="22"/>
        <v>0</v>
      </c>
      <c r="E47" s="769">
        <f t="shared" si="23"/>
        <v>102.47293558689883</v>
      </c>
      <c r="F47" s="769">
        <f t="shared" si="24"/>
        <v>75.358366559333589</v>
      </c>
      <c r="G47" s="769">
        <f t="shared" si="25"/>
        <v>51.089486939162029</v>
      </c>
      <c r="H47" s="769">
        <f t="shared" si="26"/>
        <v>43.329940800652338</v>
      </c>
      <c r="I47" s="769">
        <f t="shared" si="27"/>
        <v>20.674415611628028</v>
      </c>
      <c r="J47" s="768">
        <f t="shared" si="27"/>
        <v>19.161127143634879</v>
      </c>
      <c r="K47" s="810">
        <f>Capex_by_Driver!AK22/Thousands*$G$2-K48</f>
        <v>8.9352326602824732</v>
      </c>
      <c r="L47" s="769">
        <f>Capex_by_Driver!AL22/Thousands*$G$2-L48</f>
        <v>9.8468194266372606</v>
      </c>
      <c r="M47" s="769">
        <f>Capex_by_Driver!AM22/Thousands*$G$2-M48</f>
        <v>11.988018510420172</v>
      </c>
      <c r="N47" s="769">
        <f>Capex_by_Driver!AN22/Thousands*$G$2-N48</f>
        <v>16.715067358638404</v>
      </c>
      <c r="O47" s="769">
        <f>Capex_by_Driver!AO22/Thousands*$G$2-O48</f>
        <v>27.551005424689329</v>
      </c>
      <c r="P47" s="768">
        <f t="shared" si="28"/>
        <v>75.036143380667639</v>
      </c>
      <c r="S47" s="768"/>
      <c r="T47" s="769">
        <v>94.092555077750134</v>
      </c>
      <c r="U47" s="769">
        <v>70.071996715045529</v>
      </c>
      <c r="V47" s="769">
        <v>48.207447433381269</v>
      </c>
      <c r="W47" s="769">
        <v>41.70566013736606</v>
      </c>
      <c r="X47" s="769">
        <f>SUM(AA44,AA46)</f>
        <v>20.264564749999998</v>
      </c>
      <c r="Y47" s="770">
        <f>SUM(AB44,AB46)</f>
        <v>19.161127143634879</v>
      </c>
      <c r="AA47" s="281"/>
      <c r="AB47" s="281"/>
    </row>
    <row r="48" spans="1:28">
      <c r="A48" s="1" t="s">
        <v>839</v>
      </c>
      <c r="C48" s="38" t="s">
        <v>717</v>
      </c>
      <c r="D48" s="768">
        <f t="shared" si="22"/>
        <v>0</v>
      </c>
      <c r="E48" s="769">
        <f t="shared" si="23"/>
        <v>0</v>
      </c>
      <c r="F48" s="769">
        <f t="shared" si="24"/>
        <v>0</v>
      </c>
      <c r="G48" s="769">
        <f t="shared" si="25"/>
        <v>0</v>
      </c>
      <c r="H48" s="769">
        <f t="shared" si="26"/>
        <v>0</v>
      </c>
      <c r="I48" s="769">
        <f t="shared" si="27"/>
        <v>0</v>
      </c>
      <c r="J48" s="768">
        <f t="shared" si="27"/>
        <v>0</v>
      </c>
      <c r="K48" s="810">
        <f>SUM(Augmentation!CT27:CT30)/Thousands*$G$2</f>
        <v>27.614250395284593</v>
      </c>
      <c r="L48" s="769">
        <f>SUM(Augmentation!CU27:CU30)/Thousands*$G$2</f>
        <v>32.265370564958161</v>
      </c>
      <c r="M48" s="769">
        <f>SUM(Augmentation!CV27:CV30)/Thousands*$G$2</f>
        <v>6.7305609428606594</v>
      </c>
      <c r="N48" s="769">
        <f>SUM(Augmentation!CW27:CW30)/Thousands*$G$2</f>
        <v>2.8909493184862614</v>
      </c>
      <c r="O48" s="769">
        <f>SUM(Augmentation!CX27:CX30)/Thousands*$G$2</f>
        <v>2.1728054957066827</v>
      </c>
      <c r="P48" s="768">
        <f t="shared" si="28"/>
        <v>71.673936717296357</v>
      </c>
      <c r="S48" s="768"/>
      <c r="T48" s="769">
        <v>0</v>
      </c>
      <c r="U48" s="769">
        <v>0</v>
      </c>
      <c r="V48" s="769">
        <v>0</v>
      </c>
      <c r="W48" s="769">
        <v>0</v>
      </c>
      <c r="X48" s="769">
        <v>0</v>
      </c>
      <c r="Y48" s="770">
        <v>0</v>
      </c>
    </row>
    <row r="49" spans="1:29">
      <c r="A49" s="1" t="s">
        <v>839</v>
      </c>
      <c r="C49" s="38" t="s">
        <v>723</v>
      </c>
      <c r="D49" s="768">
        <f t="shared" si="22"/>
        <v>0</v>
      </c>
      <c r="E49" s="769">
        <f t="shared" si="23"/>
        <v>1.1763248580186267</v>
      </c>
      <c r="F49" s="769">
        <f t="shared" si="24"/>
        <v>35.426335118723813</v>
      </c>
      <c r="G49" s="769">
        <f t="shared" si="25"/>
        <v>65.830145885554813</v>
      </c>
      <c r="H49" s="769">
        <f t="shared" si="26"/>
        <v>91.016826444419081</v>
      </c>
      <c r="I49" s="769">
        <f t="shared" si="27"/>
        <v>104.97028133514284</v>
      </c>
      <c r="J49" s="768">
        <f t="shared" si="27"/>
        <v>37.585595015756269</v>
      </c>
      <c r="K49" s="810">
        <f>Capex_by_Driver!AK27/Thousands*$G$2</f>
        <v>48.805427097696494</v>
      </c>
      <c r="L49" s="769">
        <f>Capex_by_Driver!AL27/Thousands*$G$2</f>
        <v>30.665851339235367</v>
      </c>
      <c r="M49" s="769">
        <f>Capex_by_Driver!AM27/Thousands*$G$2</f>
        <v>0</v>
      </c>
      <c r="N49" s="769">
        <f>Capex_by_Driver!AN27/Thousands*$G$2</f>
        <v>0</v>
      </c>
      <c r="O49" s="769">
        <f>Capex_by_Driver!AO27/Thousands*$G$2</f>
        <v>0</v>
      </c>
      <c r="P49" s="768">
        <f t="shared" si="28"/>
        <v>79.471278436931868</v>
      </c>
      <c r="S49" s="768"/>
      <c r="T49" s="769">
        <f t="shared" ref="T49:W49" si="29">T105</f>
        <v>1.0801233599732565</v>
      </c>
      <c r="U49" s="769">
        <f t="shared" si="29"/>
        <v>32.941186910026744</v>
      </c>
      <c r="V49" s="769">
        <f t="shared" si="29"/>
        <v>62.116562279999989</v>
      </c>
      <c r="W49" s="769">
        <f t="shared" si="29"/>
        <v>87.604939225197981</v>
      </c>
      <c r="X49" s="769">
        <f>X105</f>
        <v>102.88934414887733</v>
      </c>
      <c r="Y49" s="770">
        <f>Y105</f>
        <v>37.585595015756269</v>
      </c>
    </row>
    <row r="50" spans="1:29">
      <c r="A50" s="1" t="s">
        <v>839</v>
      </c>
      <c r="C50" s="38" t="s">
        <v>284</v>
      </c>
      <c r="D50" s="768">
        <f t="shared" si="22"/>
        <v>0</v>
      </c>
      <c r="E50" s="769">
        <f t="shared" si="23"/>
        <v>13.560973572272786</v>
      </c>
      <c r="F50" s="769">
        <f t="shared" si="24"/>
        <v>38.22237231167864</v>
      </c>
      <c r="G50" s="769">
        <f t="shared" si="25"/>
        <v>29.464119119282671</v>
      </c>
      <c r="H50" s="769">
        <f t="shared" si="26"/>
        <v>33.419828704352298</v>
      </c>
      <c r="I50" s="769">
        <f t="shared" si="27"/>
        <v>37.245819210462273</v>
      </c>
      <c r="J50" s="768">
        <f t="shared" si="27"/>
        <v>24.94741627562572</v>
      </c>
      <c r="K50" s="810">
        <f>Capex_by_Driver!AK34/Thousands*$G$2</f>
        <v>35.674011055247007</v>
      </c>
      <c r="L50" s="769">
        <f>Capex_by_Driver!AL34/Thousands*$G$2</f>
        <v>27.116816962533278</v>
      </c>
      <c r="M50" s="769">
        <f>Capex_by_Driver!AM34/Thousands*$G$2</f>
        <v>34.684373828790548</v>
      </c>
      <c r="N50" s="769">
        <f>Capex_by_Driver!AN34/Thousands*$G$2</f>
        <v>26.7268538386231</v>
      </c>
      <c r="O50" s="769">
        <f>Capex_by_Driver!AO34/Thousands*$G$2</f>
        <v>25.417008470975691</v>
      </c>
      <c r="P50" s="768">
        <f t="shared" si="28"/>
        <v>149.61906415616963</v>
      </c>
      <c r="S50" s="768"/>
      <c r="T50" s="769">
        <f t="shared" ref="T50:V51" si="30">T108</f>
        <v>12.451938118577001</v>
      </c>
      <c r="U50" s="769">
        <f t="shared" si="30"/>
        <v>35.541082819999993</v>
      </c>
      <c r="V50" s="769">
        <f t="shared" si="30"/>
        <v>27.802001130000008</v>
      </c>
      <c r="W50" s="769">
        <f>W108</f>
        <v>32.167041819999994</v>
      </c>
      <c r="X50" s="769">
        <f t="shared" ref="X50:Y50" si="31">X108</f>
        <v>36.507455844734821</v>
      </c>
      <c r="Y50" s="770">
        <f t="shared" si="31"/>
        <v>24.94741627562572</v>
      </c>
    </row>
    <row r="51" spans="1:29">
      <c r="A51" s="1" t="s">
        <v>839</v>
      </c>
      <c r="C51" s="38" t="s">
        <v>731</v>
      </c>
      <c r="D51" s="768">
        <f t="shared" si="22"/>
        <v>0</v>
      </c>
      <c r="E51" s="769">
        <f t="shared" si="23"/>
        <v>0</v>
      </c>
      <c r="F51" s="769">
        <f t="shared" si="24"/>
        <v>0</v>
      </c>
      <c r="G51" s="769">
        <f t="shared" si="25"/>
        <v>0</v>
      </c>
      <c r="H51" s="769">
        <f t="shared" si="26"/>
        <v>10.069245548795834</v>
      </c>
      <c r="I51" s="769">
        <f t="shared" si="27"/>
        <v>23.856244346309524</v>
      </c>
      <c r="J51" s="768">
        <f t="shared" si="27"/>
        <v>19.551527760553448</v>
      </c>
      <c r="K51" s="810">
        <f>Capex_by_Driver!AK35/Thousands*$G$2</f>
        <v>9.4673921882395273</v>
      </c>
      <c r="L51" s="769">
        <f>Capex_by_Driver!AL35/Thousands*$G$2</f>
        <v>3.2841609878961098</v>
      </c>
      <c r="M51" s="769">
        <f>Capex_by_Driver!AM35/Thousands*$G$2</f>
        <v>0.82010831092725733</v>
      </c>
      <c r="N51" s="769">
        <f>Capex_by_Driver!AN35/Thousands*$G$2</f>
        <v>1.3946139995179413E-3</v>
      </c>
      <c r="O51" s="769">
        <f>Capex_by_Driver!AO35/Thousands*$G$2</f>
        <v>0.82861646431268732</v>
      </c>
      <c r="P51" s="768">
        <f>SUM(K51:O51)</f>
        <v>14.401672565375099</v>
      </c>
      <c r="S51" s="768"/>
      <c r="T51" s="769">
        <f t="shared" si="30"/>
        <v>0</v>
      </c>
      <c r="U51" s="769">
        <f t="shared" si="30"/>
        <v>0</v>
      </c>
      <c r="V51" s="769">
        <f t="shared" si="30"/>
        <v>0</v>
      </c>
      <c r="W51" s="769">
        <f t="shared" ref="W51:Y51" si="32">W109</f>
        <v>9.6917864399999996</v>
      </c>
      <c r="X51" s="769">
        <f t="shared" si="32"/>
        <v>23.38331672</v>
      </c>
      <c r="Y51" s="770">
        <f t="shared" si="32"/>
        <v>19.551527760553448</v>
      </c>
    </row>
    <row r="52" spans="1:29">
      <c r="A52" s="1" t="s">
        <v>839</v>
      </c>
      <c r="C52" s="38" t="s">
        <v>734</v>
      </c>
      <c r="D52" s="768">
        <f t="shared" si="22"/>
        <v>0</v>
      </c>
      <c r="E52" s="769">
        <f t="shared" si="23"/>
        <v>0</v>
      </c>
      <c r="F52" s="769">
        <f t="shared" si="24"/>
        <v>0</v>
      </c>
      <c r="G52" s="769">
        <f t="shared" si="25"/>
        <v>0</v>
      </c>
      <c r="H52" s="769">
        <f t="shared" si="26"/>
        <v>0</v>
      </c>
      <c r="I52" s="769">
        <f t="shared" si="27"/>
        <v>0</v>
      </c>
      <c r="J52" s="768">
        <f t="shared" si="27"/>
        <v>7.2649449323489419</v>
      </c>
      <c r="K52" s="810">
        <v>7.2564586450227671</v>
      </c>
      <c r="L52" s="769">
        <v>1.8432079554537619</v>
      </c>
      <c r="M52" s="769">
        <v>1.338413802992757</v>
      </c>
      <c r="N52" s="769">
        <v>1.3529256572615804</v>
      </c>
      <c r="O52" s="769">
        <v>1.4061086112036407</v>
      </c>
      <c r="P52" s="768">
        <f t="shared" ref="P52:P56" si="33">SUM(K52:O52)</f>
        <v>13.197114671934507</v>
      </c>
      <c r="S52" s="768"/>
      <c r="T52" s="769">
        <v>0</v>
      </c>
      <c r="U52" s="769">
        <v>0</v>
      </c>
      <c r="V52" s="769">
        <v>0</v>
      </c>
      <c r="W52" s="769">
        <v>0</v>
      </c>
      <c r="X52" s="769">
        <v>0</v>
      </c>
      <c r="Y52" s="770">
        <v>7.2649449323489419</v>
      </c>
    </row>
    <row r="53" spans="1:29">
      <c r="A53" s="1" t="s">
        <v>839</v>
      </c>
      <c r="C53" s="38" t="s">
        <v>450</v>
      </c>
      <c r="D53" s="768">
        <f t="shared" si="22"/>
        <v>0</v>
      </c>
      <c r="E53" s="769">
        <f t="shared" si="23"/>
        <v>6.784535201096312</v>
      </c>
      <c r="F53" s="769">
        <f t="shared" si="24"/>
        <v>5.714944631804455</v>
      </c>
      <c r="G53" s="769">
        <f t="shared" si="25"/>
        <v>18.004010658733637</v>
      </c>
      <c r="H53" s="769">
        <f t="shared" si="26"/>
        <v>5.129475734195978</v>
      </c>
      <c r="I53" s="769">
        <f t="shared" si="27"/>
        <v>4.2012321661164336</v>
      </c>
      <c r="J53" s="768">
        <f t="shared" si="27"/>
        <v>4.047762361287381</v>
      </c>
      <c r="K53" s="810">
        <f>Capex_by_Driver!AK36/Thousands*$G$2</f>
        <v>6.9893645462760734</v>
      </c>
      <c r="L53" s="769">
        <f>Capex_by_Driver!AL36/Thousands*$G$2</f>
        <v>5.5730395218356916</v>
      </c>
      <c r="M53" s="769">
        <f>Capex_by_Driver!AM36/Thousands*$G$2</f>
        <v>4.7272008765314828</v>
      </c>
      <c r="N53" s="769">
        <f>Capex_by_Driver!AN36/Thousands*$G$2</f>
        <v>8.5483584360469518</v>
      </c>
      <c r="O53" s="769">
        <f>Capex_by_Driver!AO36/Thousands*$G$2</f>
        <v>9.1696634963079031</v>
      </c>
      <c r="P53" s="768">
        <f t="shared" si="33"/>
        <v>35.007626876998103</v>
      </c>
      <c r="S53" s="768"/>
      <c r="T53" s="769">
        <v>6.2296863891904115</v>
      </c>
      <c r="U53" s="769">
        <v>5.314042749999996</v>
      </c>
      <c r="V53" s="769">
        <v>16.988375680000001</v>
      </c>
      <c r="W53" s="769">
        <v>4.9371904899999999</v>
      </c>
      <c r="X53" s="769">
        <v>4.1179466863462695</v>
      </c>
      <c r="Y53" s="770">
        <v>4.047762361287381</v>
      </c>
    </row>
    <row r="54" spans="1:29">
      <c r="A54" s="1" t="s">
        <v>839</v>
      </c>
      <c r="C54" s="38" t="s">
        <v>453</v>
      </c>
      <c r="D54" s="768">
        <f t="shared" si="22"/>
        <v>0</v>
      </c>
      <c r="E54" s="769">
        <f t="shared" si="23"/>
        <v>0</v>
      </c>
      <c r="F54" s="769">
        <f t="shared" si="24"/>
        <v>0</v>
      </c>
      <c r="G54" s="769">
        <f t="shared" si="25"/>
        <v>0</v>
      </c>
      <c r="H54" s="769">
        <f t="shared" si="26"/>
        <v>0</v>
      </c>
      <c r="I54" s="769">
        <f t="shared" si="27"/>
        <v>0</v>
      </c>
      <c r="J54" s="768">
        <f t="shared" si="27"/>
        <v>0</v>
      </c>
      <c r="K54" s="810">
        <f>Capex_by_Driver!AK39/Thousands*$G$2</f>
        <v>1.2723605918988203</v>
      </c>
      <c r="L54" s="769">
        <f>Capex_by_Driver!AL39/Thousands*$G$2</f>
        <v>1.2726308502214463</v>
      </c>
      <c r="M54" s="769">
        <f>Capex_by_Driver!AM39/Thousands*$G$2</f>
        <v>1.2729874008927629</v>
      </c>
      <c r="N54" s="769">
        <f>Capex_by_Driver!AN39/Thousands*$G$2</f>
        <v>1.2735348448954762</v>
      </c>
      <c r="O54" s="769">
        <f>Capex_by_Driver!AO39/Thousands*$G$2</f>
        <v>1.2742625184455378</v>
      </c>
      <c r="P54" s="768">
        <f t="shared" si="33"/>
        <v>6.3657762063540435</v>
      </c>
      <c r="S54" s="768"/>
      <c r="T54" s="769">
        <v>0</v>
      </c>
      <c r="U54" s="769">
        <v>0</v>
      </c>
      <c r="V54" s="769">
        <v>0</v>
      </c>
      <c r="W54" s="769">
        <v>0</v>
      </c>
      <c r="X54" s="769">
        <v>0</v>
      </c>
      <c r="Y54" s="770">
        <v>0</v>
      </c>
    </row>
    <row r="55" spans="1:29">
      <c r="A55" s="1" t="s">
        <v>839</v>
      </c>
      <c r="C55" s="38" t="s">
        <v>587</v>
      </c>
      <c r="D55" s="768">
        <f t="shared" si="22"/>
        <v>0</v>
      </c>
      <c r="E55" s="769">
        <f t="shared" si="23"/>
        <v>0</v>
      </c>
      <c r="F55" s="769">
        <f t="shared" si="24"/>
        <v>0</v>
      </c>
      <c r="G55" s="769">
        <f t="shared" si="25"/>
        <v>0</v>
      </c>
      <c r="H55" s="769">
        <f t="shared" si="26"/>
        <v>32.964134291055572</v>
      </c>
      <c r="I55" s="769">
        <f t="shared" si="27"/>
        <v>0.33869954703094191</v>
      </c>
      <c r="J55" s="768">
        <f t="shared" si="27"/>
        <v>0.16131811068053845</v>
      </c>
      <c r="K55" s="810">
        <f>Capex_by_Driver!AK37/Thousands*$G$2</f>
        <v>1.3142678083470987</v>
      </c>
      <c r="L55" s="769">
        <f>Capex_by_Driver!AL37/Thousands*$G$2</f>
        <v>0</v>
      </c>
      <c r="M55" s="769">
        <f>Capex_by_Driver!AM37/Thousands*$G$2</f>
        <v>0</v>
      </c>
      <c r="N55" s="769">
        <f>Capex_by_Driver!AN37/Thousands*$G$2</f>
        <v>0</v>
      </c>
      <c r="O55" s="769">
        <f>Capex_by_Driver!AO37/Thousands*$G$2</f>
        <v>4.8767548772582945</v>
      </c>
      <c r="P55" s="768">
        <f t="shared" si="33"/>
        <v>6.1910226856053931</v>
      </c>
      <c r="S55" s="768"/>
      <c r="T55" s="769">
        <v>0</v>
      </c>
      <c r="U55" s="769">
        <v>0</v>
      </c>
      <c r="V55" s="769">
        <v>0</v>
      </c>
      <c r="W55" s="769">
        <v>31.728429719999998</v>
      </c>
      <c r="X55" s="769">
        <v>0.33198514678905167</v>
      </c>
      <c r="Y55" s="770">
        <v>0.16131811068053845</v>
      </c>
      <c r="AA55" s="41"/>
      <c r="AB55" s="41"/>
      <c r="AC55" s="41"/>
    </row>
    <row r="56" spans="1:29">
      <c r="A56" s="1" t="s">
        <v>840</v>
      </c>
      <c r="C56" s="299" t="s">
        <v>838</v>
      </c>
      <c r="D56" s="771">
        <f t="shared" ref="D56" si="34">S56*D$2</f>
        <v>0</v>
      </c>
      <c r="E56" s="772">
        <f t="shared" ref="E56" si="35">T56*E$2</f>
        <v>34.447036374942172</v>
      </c>
      <c r="F56" s="772">
        <f t="shared" ref="F56" si="36">U56*F$2</f>
        <v>38.588176895933053</v>
      </c>
      <c r="G56" s="772">
        <f t="shared" ref="G56" si="37">V56*G$2</f>
        <v>38.292132304051549</v>
      </c>
      <c r="H56" s="772">
        <f t="shared" ref="H56" si="38">W56*H$2</f>
        <v>31.204913412429633</v>
      </c>
      <c r="I56" s="772">
        <f t="shared" ref="I56" si="39">X56*I$2</f>
        <v>26.825663035125778</v>
      </c>
      <c r="J56" s="771">
        <f t="shared" ref="J56" si="40">Y56*J$2</f>
        <v>15.092491611615888</v>
      </c>
      <c r="K56" s="814">
        <f>AusNet_Overheads!K17/Thousands*$G$2</f>
        <v>30.109440114215023</v>
      </c>
      <c r="L56" s="772">
        <f>AusNet_Overheads!L17/Thousands*$G$2</f>
        <v>30.175752667281611</v>
      </c>
      <c r="M56" s="772">
        <f>AusNet_Overheads!M17/Thousands*$G$2</f>
        <v>28.895471299424131</v>
      </c>
      <c r="N56" s="772">
        <f>AusNet_Overheads!N17/Thousands*$G$2</f>
        <v>28.509793964210356</v>
      </c>
      <c r="O56" s="772">
        <f>AusNet_Overheads!O17/Thousands*$G$2</f>
        <v>28.381216985382164</v>
      </c>
      <c r="P56" s="771">
        <f t="shared" si="33"/>
        <v>146.07167503051329</v>
      </c>
      <c r="S56" s="771"/>
      <c r="T56" s="772">
        <f>T92</f>
        <v>31.629909388376081</v>
      </c>
      <c r="U56" s="772">
        <f t="shared" ref="U56:W56" si="41">U92</f>
        <v>35.881226307664917</v>
      </c>
      <c r="V56" s="772">
        <f t="shared" si="41"/>
        <v>36.132012000000003</v>
      </c>
      <c r="W56" s="772">
        <f t="shared" si="41"/>
        <v>30.035155584037472</v>
      </c>
      <c r="X56" s="772">
        <v>26.293869473691046</v>
      </c>
      <c r="Y56" s="773">
        <v>15.092491611615888</v>
      </c>
      <c r="AA56" s="42"/>
      <c r="AB56" s="42"/>
    </row>
    <row r="57" spans="1:29">
      <c r="C57" s="251" t="s">
        <v>843</v>
      </c>
      <c r="D57" s="798">
        <v>392.27566899475346</v>
      </c>
      <c r="E57" s="800">
        <f t="shared" ref="E57:J57" si="42">SUM(E44:E56)</f>
        <v>334.81641043860088</v>
      </c>
      <c r="F57" s="800">
        <f t="shared" si="42"/>
        <v>379.03763365455274</v>
      </c>
      <c r="G57" s="800">
        <f t="shared" si="42"/>
        <v>437.20310749895549</v>
      </c>
      <c r="H57" s="800">
        <f t="shared" si="42"/>
        <v>477.85605028609041</v>
      </c>
      <c r="I57" s="800">
        <f t="shared" si="42"/>
        <v>418.04673115749694</v>
      </c>
      <c r="J57" s="768">
        <f t="shared" si="42"/>
        <v>230.73473190023131</v>
      </c>
      <c r="K57" s="810">
        <f t="shared" ref="K57" si="43">SUM(K44:K56)</f>
        <v>382.07500891251709</v>
      </c>
      <c r="L57" s="769">
        <f t="shared" ref="L57" si="44">SUM(L44:L56)</f>
        <v>400.45918482360997</v>
      </c>
      <c r="M57" s="769">
        <f t="shared" ref="M57" si="45">SUM(M44:M56)</f>
        <v>346.32945883276545</v>
      </c>
      <c r="N57" s="769">
        <f t="shared" ref="N57" si="46">SUM(N44:N56)</f>
        <v>318.38863894967039</v>
      </c>
      <c r="O57" s="769">
        <f t="shared" ref="O57" si="47">SUM(O44:O56)</f>
        <v>314.29877520294826</v>
      </c>
      <c r="P57" s="768">
        <f t="shared" ref="P57" si="48">SUM(P44:P56)</f>
        <v>1761.5510667215112</v>
      </c>
      <c r="S57" s="768">
        <v>353.44924593503742</v>
      </c>
      <c r="T57" s="769">
        <f t="shared" ref="T57:Y57" si="49">SUM(T44:T56)</f>
        <v>307.43465442553793</v>
      </c>
      <c r="U57" s="769">
        <f t="shared" si="49"/>
        <v>352.44824208614489</v>
      </c>
      <c r="V57" s="769">
        <f t="shared" si="49"/>
        <v>412.5397823541449</v>
      </c>
      <c r="W57" s="769">
        <f t="shared" si="49"/>
        <v>459.94297844772865</v>
      </c>
      <c r="X57" s="769">
        <f t="shared" si="49"/>
        <v>409.7593475533231</v>
      </c>
      <c r="Y57" s="770">
        <f t="shared" si="49"/>
        <v>230.73473190023131</v>
      </c>
      <c r="AA57" s="761">
        <f>SUM(AA44:AA55)</f>
        <v>20.264564749999998</v>
      </c>
      <c r="AB57" s="761">
        <f>SUM(AB44:AB55)</f>
        <v>19.161127143634879</v>
      </c>
    </row>
    <row r="58" spans="1:29">
      <c r="C58" s="38" t="s">
        <v>133</v>
      </c>
      <c r="D58" s="807">
        <v>0</v>
      </c>
      <c r="E58" s="459">
        <f>E57-E95</f>
        <v>6.0592731188080506E-7</v>
      </c>
      <c r="F58" s="459">
        <f>F57-F95</f>
        <v>2.227441438463984E-2</v>
      </c>
      <c r="G58" s="459">
        <f>G57-G95</f>
        <v>3.7531719954131404E-7</v>
      </c>
      <c r="H58" s="459">
        <f>H57-H95</f>
        <v>0</v>
      </c>
      <c r="I58" s="41"/>
      <c r="J58" s="32"/>
      <c r="K58" s="273">
        <f>K57-Capex_by_Driver!BL51</f>
        <v>0</v>
      </c>
      <c r="L58" s="459">
        <f>L57-Capex_by_Driver!BM51</f>
        <v>0</v>
      </c>
      <c r="M58" s="459">
        <f>M57-Capex_by_Driver!BN51</f>
        <v>0</v>
      </c>
      <c r="N58" s="459">
        <f>N57-Capex_by_Driver!BO51</f>
        <v>0</v>
      </c>
      <c r="O58" s="459">
        <f>O57-Capex_by_Driver!BP51</f>
        <v>0</v>
      </c>
      <c r="P58" s="802">
        <f>P57-Capex_by_Driver!BQ51</f>
        <v>0</v>
      </c>
      <c r="S58" s="768"/>
      <c r="T58" s="838">
        <f t="shared" ref="T58:V58" si="50">T57-T95</f>
        <v>5.5637372042838251E-7</v>
      </c>
      <c r="U58" s="838">
        <f t="shared" si="50"/>
        <v>2.0711869999956889E-2</v>
      </c>
      <c r="V58" s="836">
        <f t="shared" si="50"/>
        <v>3.541448450050666E-7</v>
      </c>
      <c r="W58" s="836">
        <f>W57-W95</f>
        <v>0</v>
      </c>
      <c r="X58" s="836">
        <f>X57-SUM('2.1 Exp Summary'!F29,'2.1 Exp Summary'!F36)/Millions</f>
        <v>0</v>
      </c>
      <c r="Y58" s="837">
        <f>Y57-SUM('2.1 Exp Summary'!G29,'2.1 Exp Summary'!G36)/Millions</f>
        <v>0</v>
      </c>
    </row>
    <row r="59" spans="1:29">
      <c r="C59" s="38" t="s">
        <v>714</v>
      </c>
      <c r="D59" s="768">
        <f t="shared" ref="D59" si="51">S59*D$2</f>
        <v>51.349567587484408</v>
      </c>
      <c r="E59" s="769">
        <f t="shared" ref="E59" si="52">T59*E$2</f>
        <v>22.567302407649279</v>
      </c>
      <c r="F59" s="769">
        <f t="shared" ref="F59" si="53">U59*F$2</f>
        <v>36.010603170822975</v>
      </c>
      <c r="G59" s="769">
        <f t="shared" ref="G59" si="54">V59*G$2</f>
        <v>61.409144598077724</v>
      </c>
      <c r="H59" s="769">
        <f t="shared" ref="H59" si="55">W59*H$2</f>
        <v>82.688736616540453</v>
      </c>
      <c r="I59" s="769">
        <f t="shared" ref="I59" si="56">X59*I$2</f>
        <v>70.512579651409482</v>
      </c>
      <c r="J59" s="768">
        <f t="shared" ref="J59" si="57">Y59*J$2</f>
        <v>33.651603152453973</v>
      </c>
      <c r="K59" s="810">
        <f>K34</f>
        <v>47.308648967655486</v>
      </c>
      <c r="L59" s="769">
        <f t="shared" ref="L59:O59" si="58">L34</f>
        <v>67.815664138763566</v>
      </c>
      <c r="M59" s="769">
        <f t="shared" si="58"/>
        <v>68.338519264326806</v>
      </c>
      <c r="N59" s="769">
        <f t="shared" si="58"/>
        <v>68.976827607250044</v>
      </c>
      <c r="O59" s="769">
        <f t="shared" si="58"/>
        <v>69.496898176717281</v>
      </c>
      <c r="P59" s="768">
        <f t="shared" ref="P59" si="59">SUM(K59:O59)</f>
        <v>321.93655815471317</v>
      </c>
      <c r="S59" s="768">
        <f>S34</f>
        <v>46.267121255306165</v>
      </c>
      <c r="T59" s="769">
        <f>T34</f>
        <v>20.721716740000002</v>
      </c>
      <c r="U59" s="769">
        <f>U34</f>
        <v>33.484468709999994</v>
      </c>
      <c r="V59" s="769">
        <f>V34</f>
        <v>57.944956731822238</v>
      </c>
      <c r="W59" s="769">
        <f>W34</f>
        <v>79.589038960000011</v>
      </c>
      <c r="X59" s="769">
        <f t="shared" ref="X59:Y59" si="60">X34</f>
        <v>69.114734020914796</v>
      </c>
      <c r="Y59" s="770">
        <f t="shared" si="60"/>
        <v>33.651603152453973</v>
      </c>
    </row>
    <row r="60" spans="1:29">
      <c r="C60" s="38"/>
      <c r="D60" s="32"/>
      <c r="E60" s="41"/>
      <c r="F60" s="41"/>
      <c r="G60" s="41"/>
      <c r="H60" s="41"/>
      <c r="I60" s="41"/>
      <c r="J60" s="32"/>
      <c r="K60" s="299"/>
      <c r="L60" s="42"/>
      <c r="M60" s="42"/>
      <c r="N60" s="42"/>
      <c r="O60" s="42"/>
      <c r="P60" s="33"/>
      <c r="S60" s="768"/>
      <c r="T60" s="769"/>
      <c r="U60" s="769"/>
      <c r="V60" s="769"/>
      <c r="W60" s="769"/>
      <c r="X60" s="769"/>
      <c r="Y60" s="770"/>
    </row>
    <row r="61" spans="1:29">
      <c r="C61" s="301" t="s">
        <v>844</v>
      </c>
      <c r="D61" s="774">
        <f t="shared" ref="D61:P61" si="61">D57-D59</f>
        <v>340.92610140726907</v>
      </c>
      <c r="E61" s="803">
        <f t="shared" si="61"/>
        <v>312.24910803095162</v>
      </c>
      <c r="F61" s="803">
        <f t="shared" si="61"/>
        <v>343.02703048372973</v>
      </c>
      <c r="G61" s="803">
        <f t="shared" si="61"/>
        <v>375.79396290087777</v>
      </c>
      <c r="H61" s="803">
        <f t="shared" si="61"/>
        <v>395.16731366954997</v>
      </c>
      <c r="I61" s="803">
        <f t="shared" si="61"/>
        <v>347.53415150608748</v>
      </c>
      <c r="J61" s="774">
        <f t="shared" si="61"/>
        <v>197.08312874777732</v>
      </c>
      <c r="K61" s="804">
        <f t="shared" si="61"/>
        <v>334.76635994486162</v>
      </c>
      <c r="L61" s="803">
        <f t="shared" si="61"/>
        <v>332.64352068484641</v>
      </c>
      <c r="M61" s="803">
        <f t="shared" si="61"/>
        <v>277.99093956843865</v>
      </c>
      <c r="N61" s="803">
        <f t="shared" si="61"/>
        <v>249.41181134242035</v>
      </c>
      <c r="O61" s="803">
        <f t="shared" si="61"/>
        <v>244.80187702623098</v>
      </c>
      <c r="P61" s="774">
        <f t="shared" si="61"/>
        <v>1439.6145085667981</v>
      </c>
      <c r="S61" s="774">
        <f t="shared" ref="S61" si="62">S57-S59</f>
        <v>307.18212467973126</v>
      </c>
      <c r="T61" s="775">
        <f>T57-T59</f>
        <v>286.71293768553795</v>
      </c>
      <c r="U61" s="775">
        <f t="shared" ref="U61:Y61" si="63">U57-U59</f>
        <v>318.9637733761449</v>
      </c>
      <c r="V61" s="775">
        <f t="shared" si="63"/>
        <v>354.59482562232267</v>
      </c>
      <c r="W61" s="775">
        <f t="shared" si="63"/>
        <v>380.35393948772867</v>
      </c>
      <c r="X61" s="775">
        <f t="shared" si="63"/>
        <v>340.6446135324083</v>
      </c>
      <c r="Y61" s="776">
        <f t="shared" si="63"/>
        <v>197.08312874777732</v>
      </c>
    </row>
    <row r="63" spans="1:29">
      <c r="C63" s="2" t="s">
        <v>851</v>
      </c>
      <c r="S63" s="986" t="s">
        <v>285</v>
      </c>
      <c r="T63" s="987"/>
      <c r="U63" s="987"/>
      <c r="V63" s="987"/>
      <c r="W63" s="988"/>
      <c r="X63" s="986" t="s">
        <v>286</v>
      </c>
      <c r="Y63" s="988"/>
    </row>
    <row r="64" spans="1:29">
      <c r="C64" s="301" t="s">
        <v>718</v>
      </c>
      <c r="D64" s="28">
        <v>2015</v>
      </c>
      <c r="E64" s="799">
        <v>2016</v>
      </c>
      <c r="F64" s="799">
        <v>2017</v>
      </c>
      <c r="G64" s="799">
        <v>2018</v>
      </c>
      <c r="H64" s="799">
        <v>2019</v>
      </c>
      <c r="I64" s="799">
        <v>2020</v>
      </c>
      <c r="J64" s="28" t="s">
        <v>696</v>
      </c>
      <c r="K64" s="801" t="s">
        <v>615</v>
      </c>
      <c r="L64" s="799" t="s">
        <v>616</v>
      </c>
      <c r="M64" s="799" t="s">
        <v>617</v>
      </c>
      <c r="N64" s="799" t="s">
        <v>618</v>
      </c>
      <c r="O64" s="799" t="s">
        <v>619</v>
      </c>
      <c r="P64" s="28" t="s">
        <v>588</v>
      </c>
      <c r="S64" s="28">
        <v>2015</v>
      </c>
      <c r="T64" s="228">
        <v>2016</v>
      </c>
      <c r="U64" s="228">
        <v>2017</v>
      </c>
      <c r="V64" s="228">
        <v>2018</v>
      </c>
      <c r="W64" s="228">
        <v>2019</v>
      </c>
      <c r="X64" s="228">
        <v>2020</v>
      </c>
      <c r="Y64" s="764" t="s">
        <v>696</v>
      </c>
    </row>
    <row r="65" spans="3:25">
      <c r="C65" s="251" t="s">
        <v>449</v>
      </c>
      <c r="D65" s="768">
        <f t="shared" ref="D65:D76" si="64">S65*D$2</f>
        <v>0</v>
      </c>
      <c r="E65" s="760">
        <f t="shared" ref="E65:E76" si="65">T65*E$2</f>
        <v>2.3993907715002103</v>
      </c>
      <c r="F65" s="760">
        <f t="shared" ref="F65:F76" si="66">U65*F$2</f>
        <v>3.1024592615162652</v>
      </c>
      <c r="G65" s="760">
        <f t="shared" ref="G65:G76" si="67">V65*G$2</f>
        <v>3.5368011910699506</v>
      </c>
      <c r="H65" s="760">
        <f t="shared" ref="H65:H76" si="68">W65*H$2</f>
        <v>2.4156568504682912</v>
      </c>
      <c r="I65" s="760">
        <f t="shared" ref="I65:I76" si="69">X65*I$2</f>
        <v>2.3410187973617389</v>
      </c>
      <c r="J65" s="768">
        <f t="shared" ref="J65:J76" si="70">Y65*J$2</f>
        <v>2.0327435898056976</v>
      </c>
      <c r="K65" s="812">
        <f>(Capex_by_Driver!AU5+Capex_by_Driver!AU10)/Thousands*$G$2</f>
        <v>1.7832641154826434</v>
      </c>
      <c r="L65" s="813">
        <f>(Capex_by_Driver!AV5+Capex_by_Driver!AV10)/Thousands*$G$2</f>
        <v>1.8933328207810463</v>
      </c>
      <c r="M65" s="813">
        <f>(Capex_by_Driver!AW5+Capex_by_Driver!AW10)/Thousands*$G$2</f>
        <v>2.0020654925834731</v>
      </c>
      <c r="N65" s="813">
        <f>(Capex_by_Driver!AX5+Capex_by_Driver!AX10)/Thousands*$G$2</f>
        <v>1.7815454325038456</v>
      </c>
      <c r="O65" s="813">
        <f>(Capex_by_Driver!AY5+Capex_by_Driver!AY10)/Thousands*$G$2</f>
        <v>1.8260463713478445</v>
      </c>
      <c r="P65" s="815">
        <f t="shared" ref="P65:P76" si="71">SUM(K65:O65)</f>
        <v>9.2862542326988535</v>
      </c>
      <c r="S65" s="765"/>
      <c r="T65" s="766">
        <v>2.2031652262853001</v>
      </c>
      <c r="U65" s="766">
        <v>2.8848225499999849</v>
      </c>
      <c r="V65" s="766">
        <v>3.3372845905432271</v>
      </c>
      <c r="W65" s="766">
        <v>2.3251027292567614</v>
      </c>
      <c r="X65" s="766">
        <f>X44*X$80</f>
        <v>2.2946102995734639</v>
      </c>
      <c r="Y65" s="767">
        <f>Y44*Y$80</f>
        <v>2.0327435898056976</v>
      </c>
    </row>
    <row r="66" spans="3:25">
      <c r="C66" s="38" t="s">
        <v>26</v>
      </c>
      <c r="D66" s="768">
        <f t="shared" si="64"/>
        <v>0</v>
      </c>
      <c r="E66" s="760">
        <f t="shared" si="65"/>
        <v>6.3676285687721919</v>
      </c>
      <c r="F66" s="760">
        <f t="shared" si="66"/>
        <v>9.2517456187141285</v>
      </c>
      <c r="G66" s="760">
        <f t="shared" si="67"/>
        <v>9.4338810889378522</v>
      </c>
      <c r="H66" s="760">
        <f t="shared" si="68"/>
        <v>6.3252793383212182</v>
      </c>
      <c r="I66" s="760">
        <f t="shared" si="69"/>
        <v>4.7311233157164931</v>
      </c>
      <c r="J66" s="768">
        <f t="shared" si="70"/>
        <v>2.8049305738652319</v>
      </c>
      <c r="K66" s="810">
        <f>Capex_by_Driver!AU14/Thousands*$G$2</f>
        <v>4.8303404513800023</v>
      </c>
      <c r="L66" s="769">
        <f>Capex_by_Driver!AV14/Thousands*$G$2</f>
        <v>6.3688686458565948</v>
      </c>
      <c r="M66" s="769">
        <f>Capex_by_Driver!AW14/Thousands*$G$2</f>
        <v>7.3112195222891305</v>
      </c>
      <c r="N66" s="769">
        <f>Capex_by_Driver!AX14/Thousands*$G$2</f>
        <v>7.8740418516757691</v>
      </c>
      <c r="O66" s="769">
        <f>Capex_by_Driver!AY14/Thousands*$G$2</f>
        <v>8.163013488449149</v>
      </c>
      <c r="P66" s="768">
        <f t="shared" si="71"/>
        <v>34.547483959650648</v>
      </c>
      <c r="S66" s="768"/>
      <c r="T66" s="769">
        <v>5.846874966451665</v>
      </c>
      <c r="U66" s="769">
        <v>8.6027380661514457</v>
      </c>
      <c r="V66" s="769">
        <v>8.9017007986261945</v>
      </c>
      <c r="W66" s="760">
        <v>6.0881677999882449</v>
      </c>
      <c r="X66" s="769">
        <v>4.6373332418474025</v>
      </c>
      <c r="Y66" s="770">
        <v>2.8049305738652319</v>
      </c>
    </row>
    <row r="67" spans="3:25">
      <c r="C67" s="38" t="s">
        <v>150</v>
      </c>
      <c r="D67" s="768">
        <f t="shared" si="64"/>
        <v>0</v>
      </c>
      <c r="E67" s="760">
        <f t="shared" si="65"/>
        <v>10.928863189135129</v>
      </c>
      <c r="F67" s="760">
        <f t="shared" si="66"/>
        <v>7.8604936648972847</v>
      </c>
      <c r="G67" s="760">
        <f t="shared" si="67"/>
        <v>10.818194402337115</v>
      </c>
      <c r="H67" s="760">
        <f t="shared" si="68"/>
        <v>7.7686962449213972</v>
      </c>
      <c r="I67" s="760">
        <f t="shared" si="69"/>
        <v>5.5080062968206285</v>
      </c>
      <c r="J67" s="768">
        <f t="shared" si="70"/>
        <v>2.8135920333201763</v>
      </c>
      <c r="K67" s="810">
        <f>Capex_by_Driver!AU18/Thousands*$G$2-K73</f>
        <v>11.56318250666768</v>
      </c>
      <c r="L67" s="769">
        <f>Capex_by_Driver!AV18/Thousands*$G$2-L73</f>
        <v>12.087689177280426</v>
      </c>
      <c r="M67" s="769">
        <f>Capex_by_Driver!AW18/Thousands*$G$2-M73</f>
        <v>14.60878640372929</v>
      </c>
      <c r="N67" s="769">
        <f>Capex_by_Driver!AX18/Thousands*$G$2-N73</f>
        <v>13.513877072204503</v>
      </c>
      <c r="O67" s="769">
        <f>Capex_by_Driver!AY18/Thousands*$G$2-O73</f>
        <v>11.531427611298907</v>
      </c>
      <c r="P67" s="768">
        <f t="shared" si="71"/>
        <v>63.304962771180804</v>
      </c>
      <c r="S67" s="768"/>
      <c r="T67" s="769">
        <v>10.035085417152473</v>
      </c>
      <c r="U67" s="769">
        <v>7.3090820755999886</v>
      </c>
      <c r="V67" s="769">
        <v>10.207922788416241</v>
      </c>
      <c r="W67" s="769">
        <v>7.4774762973192406</v>
      </c>
      <c r="X67" s="769">
        <f>X46*X$80</f>
        <v>5.3988152478927507</v>
      </c>
      <c r="Y67" s="770">
        <f>Y46*Y$80</f>
        <v>2.8135920333201763</v>
      </c>
    </row>
    <row r="68" spans="3:25">
      <c r="C68" s="38" t="s">
        <v>58</v>
      </c>
      <c r="D68" s="768">
        <f t="shared" si="64"/>
        <v>0</v>
      </c>
      <c r="E68" s="760">
        <f t="shared" si="65"/>
        <v>12.232119963729579</v>
      </c>
      <c r="F68" s="760">
        <f t="shared" si="66"/>
        <v>9.2189796697519917</v>
      </c>
      <c r="G68" s="760">
        <f t="shared" si="67"/>
        <v>5.6114649282000881</v>
      </c>
      <c r="H68" s="760">
        <f t="shared" si="68"/>
        <v>3.8530751189763532</v>
      </c>
      <c r="I68" s="760">
        <f t="shared" si="69"/>
        <v>1.7014090439273983</v>
      </c>
      <c r="J68" s="768">
        <f t="shared" si="70"/>
        <v>1.8573960051434901</v>
      </c>
      <c r="K68" s="810">
        <f>Capex_by_Driver!AU22/Thousands*$G$2-K69</f>
        <v>0.81181158100542694</v>
      </c>
      <c r="L68" s="769">
        <f>Capex_by_Driver!AV22/Thousands*$G$2-L69</f>
        <v>0.95133481800016995</v>
      </c>
      <c r="M68" s="769">
        <f>Capex_by_Driver!AW22/Thousands*$G$2-M69</f>
        <v>1.4009308124919271</v>
      </c>
      <c r="N68" s="769">
        <f>Capex_by_Driver!AX22/Thousands*$G$2-N69</f>
        <v>2.1665983146190095</v>
      </c>
      <c r="O68" s="769">
        <f>Capex_by_Driver!AY22/Thousands*$G$2-O69</f>
        <v>3.748149284873628</v>
      </c>
      <c r="P68" s="768">
        <f t="shared" si="71"/>
        <v>9.0788248109901613</v>
      </c>
      <c r="S68" s="768"/>
      <c r="T68" s="769">
        <v>11.231760023395111</v>
      </c>
      <c r="U68" s="769">
        <v>8.5722706399999993</v>
      </c>
      <c r="V68" s="769">
        <v>5.2949132347443637</v>
      </c>
      <c r="W68" s="769">
        <v>3.7086374554508925</v>
      </c>
      <c r="X68" s="769">
        <f>X47*X$80</f>
        <v>1.6676802084558329</v>
      </c>
      <c r="Y68" s="770">
        <f>Y47*Y$80</f>
        <v>1.8573960051434901</v>
      </c>
    </row>
    <row r="69" spans="3:25">
      <c r="C69" s="38" t="s">
        <v>717</v>
      </c>
      <c r="D69" s="768">
        <f t="shared" si="64"/>
        <v>0</v>
      </c>
      <c r="E69" s="760">
        <f t="shared" si="65"/>
        <v>0</v>
      </c>
      <c r="F69" s="760">
        <f t="shared" si="66"/>
        <v>0</v>
      </c>
      <c r="G69" s="760">
        <f t="shared" si="67"/>
        <v>0</v>
      </c>
      <c r="H69" s="760">
        <f t="shared" si="68"/>
        <v>0</v>
      </c>
      <c r="I69" s="760">
        <f t="shared" si="69"/>
        <v>0</v>
      </c>
      <c r="J69" s="768">
        <f t="shared" si="70"/>
        <v>0</v>
      </c>
      <c r="K69" s="810">
        <f>K48*K80</f>
        <v>2.806964711432542</v>
      </c>
      <c r="L69" s="769">
        <f t="shared" ref="L69:O69" si="72">L48*L80</f>
        <v>3.1172675261097007</v>
      </c>
      <c r="M69" s="769">
        <f t="shared" si="72"/>
        <v>0.78653951042971282</v>
      </c>
      <c r="N69" s="769">
        <f t="shared" si="72"/>
        <v>0.37472334311858435</v>
      </c>
      <c r="O69" s="769">
        <f t="shared" si="72"/>
        <v>0.29559717474427982</v>
      </c>
      <c r="P69" s="768">
        <f t="shared" si="71"/>
        <v>7.3810922658348197</v>
      </c>
      <c r="S69" s="768"/>
      <c r="T69" s="769">
        <v>0</v>
      </c>
      <c r="U69" s="769">
        <v>0</v>
      </c>
      <c r="V69" s="769">
        <v>0</v>
      </c>
      <c r="W69" s="769">
        <v>0</v>
      </c>
      <c r="X69" s="769">
        <v>0</v>
      </c>
      <c r="Y69" s="770">
        <v>0</v>
      </c>
    </row>
    <row r="70" spans="3:25">
      <c r="C70" s="38" t="s">
        <v>723</v>
      </c>
      <c r="D70" s="768">
        <f t="shared" si="64"/>
        <v>0</v>
      </c>
      <c r="E70" s="760">
        <f t="shared" si="65"/>
        <v>0.13622393688775022</v>
      </c>
      <c r="F70" s="760">
        <f t="shared" si="66"/>
        <v>4.8239687750956755</v>
      </c>
      <c r="G70" s="760">
        <f t="shared" si="67"/>
        <v>6.654642760482254</v>
      </c>
      <c r="H70" s="760">
        <f t="shared" si="68"/>
        <v>8.2668163257441574</v>
      </c>
      <c r="I70" s="760">
        <f t="shared" si="69"/>
        <v>8.6272527495666367</v>
      </c>
      <c r="J70" s="768">
        <f t="shared" si="70"/>
        <v>3.5586668957541385</v>
      </c>
      <c r="K70" s="810">
        <f>Capex_by_Driver!AU27/Thousands*$G$2</f>
        <v>4.8919622529674607</v>
      </c>
      <c r="L70" s="769">
        <f>Capex_by_Driver!AV27/Thousands*$G$2</f>
        <v>2.9627325168279852</v>
      </c>
      <c r="M70" s="769">
        <f>Capex_by_Driver!AW27/Thousands*$G$2</f>
        <v>0</v>
      </c>
      <c r="N70" s="769">
        <f>Capex_by_Driver!AX27/Thousands*$G$2</f>
        <v>0</v>
      </c>
      <c r="O70" s="769">
        <f>Capex_by_Driver!AY27/Thousands*$G$2</f>
        <v>0</v>
      </c>
      <c r="P70" s="768">
        <f t="shared" si="71"/>
        <v>7.8546947697954455</v>
      </c>
      <c r="S70" s="768"/>
      <c r="T70" s="769">
        <v>0.12508335211738908</v>
      </c>
      <c r="U70" s="769">
        <v>4.4855686182614036</v>
      </c>
      <c r="V70" s="769">
        <v>6.2792437404175914</v>
      </c>
      <c r="W70" s="769">
        <v>7.9569236820726159</v>
      </c>
      <c r="X70" s="769">
        <f>SUM(X100:X101)*X80+X102*X82</f>
        <v>8.4562255708876926</v>
      </c>
      <c r="Y70" s="770">
        <f>SUM(Y100:Y101)*Y80+Y102*Y82</f>
        <v>3.5586668957541385</v>
      </c>
    </row>
    <row r="71" spans="3:25">
      <c r="C71" s="38" t="s">
        <v>284</v>
      </c>
      <c r="D71" s="768">
        <f t="shared" si="64"/>
        <v>0</v>
      </c>
      <c r="E71" s="760">
        <f t="shared" si="65"/>
        <v>2.2388687923371964</v>
      </c>
      <c r="F71" s="760">
        <f t="shared" si="66"/>
        <v>4.4965795367867694</v>
      </c>
      <c r="G71" s="760">
        <f t="shared" si="67"/>
        <v>2.0666743771600329</v>
      </c>
      <c r="H71" s="760">
        <f t="shared" si="68"/>
        <v>2.0214797808711014</v>
      </c>
      <c r="I71" s="760">
        <f t="shared" si="69"/>
        <v>2.3875853605036252</v>
      </c>
      <c r="J71" s="768">
        <f t="shared" si="70"/>
        <v>0.7405524572252975</v>
      </c>
      <c r="K71" s="810">
        <f>Capex_by_Driver!AU34/Thousands*$G$2</f>
        <v>2.1213299328849589</v>
      </c>
      <c r="L71" s="769">
        <f>Capex_by_Driver!AV34/Thousands*$G$2</f>
        <v>2.3337984927848705</v>
      </c>
      <c r="M71" s="769">
        <f>Capex_by_Driver!AW34/Thousands*$G$2</f>
        <v>2.5687827038057343</v>
      </c>
      <c r="N71" s="769">
        <f>Capex_by_Driver!AX34/Thousands*$G$2</f>
        <v>2.623505536721586</v>
      </c>
      <c r="O71" s="769">
        <f>Capex_by_Driver!AY34/Thousands*$G$2</f>
        <v>2.5427931430826347</v>
      </c>
      <c r="P71" s="768">
        <f t="shared" si="71"/>
        <v>12.190209809279784</v>
      </c>
      <c r="S71" s="768"/>
      <c r="T71" s="769">
        <v>2.0557709598960354</v>
      </c>
      <c r="U71" s="769">
        <v>4.1811456500000048</v>
      </c>
      <c r="V71" s="769">
        <v>1.9500899767793278</v>
      </c>
      <c r="W71" s="769">
        <v>1.9457019132206641</v>
      </c>
      <c r="X71" s="769">
        <f>X50*X$82</f>
        <v>2.3402537243599411</v>
      </c>
      <c r="Y71" s="770">
        <f>Y50*Y$82</f>
        <v>0.7405524572252975</v>
      </c>
    </row>
    <row r="72" spans="3:25">
      <c r="C72" s="38" t="s">
        <v>731</v>
      </c>
      <c r="D72" s="768">
        <f t="shared" si="64"/>
        <v>0</v>
      </c>
      <c r="E72" s="760">
        <f t="shared" si="65"/>
        <v>0</v>
      </c>
      <c r="F72" s="760">
        <f t="shared" si="66"/>
        <v>0</v>
      </c>
      <c r="G72" s="760">
        <f t="shared" si="67"/>
        <v>0</v>
      </c>
      <c r="H72" s="760">
        <f t="shared" si="68"/>
        <v>0.52849382646453613</v>
      </c>
      <c r="I72" s="760">
        <f t="shared" si="69"/>
        <v>1.5292674712292644</v>
      </c>
      <c r="J72" s="768">
        <f t="shared" si="70"/>
        <v>0.58037801452540683</v>
      </c>
      <c r="K72" s="810">
        <f>Capex_by_Driver!AU35/Thousands*$G$2</f>
        <v>0.56297180611878028</v>
      </c>
      <c r="L72" s="769">
        <f>Capex_by_Driver!AV35/Thousands*$G$2</f>
        <v>0.28265006081668004</v>
      </c>
      <c r="M72" s="769">
        <f>Capex_by_Driver!AW35/Thousands*$G$2</f>
        <v>6.0738592391959979E-2</v>
      </c>
      <c r="N72" s="769">
        <f>Capex_by_Driver!AX35/Thousands*$G$2</f>
        <v>1.3689518307753224E-4</v>
      </c>
      <c r="O72" s="769">
        <f>Capex_by_Driver!AY35/Thousands*$G$2</f>
        <v>8.2897256225323041E-2</v>
      </c>
      <c r="P72" s="768">
        <f t="shared" si="71"/>
        <v>0.98939461073582091</v>
      </c>
      <c r="S72" s="768"/>
      <c r="T72" s="769">
        <v>0</v>
      </c>
      <c r="U72" s="769">
        <v>0</v>
      </c>
      <c r="V72" s="769">
        <v>0</v>
      </c>
      <c r="W72" s="769">
        <v>0.50868253000000008</v>
      </c>
      <c r="X72" s="769">
        <f>X51*X82</f>
        <v>1.4989511806739699</v>
      </c>
      <c r="Y72" s="770">
        <f>Y51*Y$82</f>
        <v>0.58037801452540683</v>
      </c>
    </row>
    <row r="73" spans="3:25">
      <c r="C73" s="38" t="s">
        <v>734</v>
      </c>
      <c r="D73" s="768">
        <f t="shared" si="64"/>
        <v>0</v>
      </c>
      <c r="E73" s="760">
        <f t="shared" si="65"/>
        <v>0</v>
      </c>
      <c r="F73" s="760">
        <f t="shared" si="66"/>
        <v>0</v>
      </c>
      <c r="G73" s="760">
        <f t="shared" si="67"/>
        <v>0</v>
      </c>
      <c r="H73" s="760">
        <f t="shared" si="68"/>
        <v>0</v>
      </c>
      <c r="I73" s="760">
        <f t="shared" si="69"/>
        <v>0</v>
      </c>
      <c r="J73" s="768">
        <f t="shared" si="70"/>
        <v>0.70423204197644973</v>
      </c>
      <c r="K73" s="810">
        <f>K52*K80</f>
        <v>0.7376127562755298</v>
      </c>
      <c r="L73" s="769">
        <f t="shared" ref="L73:O73" si="73">L52*L80</f>
        <v>0.17807860882413884</v>
      </c>
      <c r="M73" s="769">
        <f t="shared" si="73"/>
        <v>0.15640826170290384</v>
      </c>
      <c r="N73" s="769">
        <f t="shared" si="73"/>
        <v>0.17536551818398013</v>
      </c>
      <c r="O73" s="769">
        <f t="shared" si="73"/>
        <v>0.19129265536039891</v>
      </c>
      <c r="P73" s="768">
        <f t="shared" si="71"/>
        <v>1.4387578003469514</v>
      </c>
      <c r="S73" s="768"/>
      <c r="T73" s="769">
        <v>0</v>
      </c>
      <c r="U73" s="769">
        <v>0</v>
      </c>
      <c r="V73" s="769">
        <v>0</v>
      </c>
      <c r="W73" s="769">
        <v>0</v>
      </c>
      <c r="X73" s="769">
        <v>0</v>
      </c>
      <c r="Y73" s="770">
        <f>Y52*Y$80</f>
        <v>0.70423204197644973</v>
      </c>
    </row>
    <row r="74" spans="3:25">
      <c r="C74" s="38" t="s">
        <v>450</v>
      </c>
      <c r="D74" s="768">
        <f t="shared" si="64"/>
        <v>0</v>
      </c>
      <c r="E74" s="760">
        <f t="shared" si="65"/>
        <v>0.173364109701412</v>
      </c>
      <c r="F74" s="760">
        <f t="shared" si="66"/>
        <v>0.12001584374929929</v>
      </c>
      <c r="G74" s="760">
        <f t="shared" si="67"/>
        <v>0.17047344225315833</v>
      </c>
      <c r="H74" s="760">
        <f t="shared" si="68"/>
        <v>2.5415926662580652E-2</v>
      </c>
      <c r="I74" s="760">
        <f t="shared" si="69"/>
        <v>0</v>
      </c>
      <c r="J74" s="768">
        <f t="shared" si="70"/>
        <v>0</v>
      </c>
      <c r="K74" s="821"/>
      <c r="L74" s="822"/>
      <c r="M74" s="822"/>
      <c r="N74" s="822"/>
      <c r="O74" s="823"/>
      <c r="P74" s="768">
        <f t="shared" si="71"/>
        <v>0</v>
      </c>
      <c r="S74" s="768"/>
      <c r="T74" s="769">
        <v>0.15918614946628651</v>
      </c>
      <c r="U74" s="769">
        <v>0.11159676347725611</v>
      </c>
      <c r="V74" s="769">
        <v>0.16085676327094234</v>
      </c>
      <c r="W74" s="769">
        <v>2.4463176729054081E-2</v>
      </c>
      <c r="X74" s="769">
        <v>0</v>
      </c>
      <c r="Y74" s="770">
        <v>0</v>
      </c>
    </row>
    <row r="75" spans="3:25">
      <c r="C75" s="38" t="s">
        <v>453</v>
      </c>
      <c r="D75" s="768">
        <f t="shared" si="64"/>
        <v>0</v>
      </c>
      <c r="E75" s="760">
        <f t="shared" si="65"/>
        <v>0</v>
      </c>
      <c r="F75" s="760">
        <f t="shared" si="66"/>
        <v>0</v>
      </c>
      <c r="G75" s="760">
        <f t="shared" si="67"/>
        <v>0</v>
      </c>
      <c r="H75" s="760">
        <f t="shared" si="68"/>
        <v>0</v>
      </c>
      <c r="I75" s="760">
        <f t="shared" si="69"/>
        <v>0</v>
      </c>
      <c r="J75" s="768">
        <f t="shared" si="70"/>
        <v>0</v>
      </c>
      <c r="K75" s="821"/>
      <c r="L75" s="822"/>
      <c r="M75" s="822"/>
      <c r="N75" s="822"/>
      <c r="O75" s="823"/>
      <c r="P75" s="768">
        <f t="shared" si="71"/>
        <v>0</v>
      </c>
      <c r="S75" s="768"/>
      <c r="T75" s="769">
        <v>0</v>
      </c>
      <c r="U75" s="769">
        <v>0</v>
      </c>
      <c r="V75" s="769">
        <v>0</v>
      </c>
      <c r="W75" s="769">
        <v>0</v>
      </c>
      <c r="X75" s="769">
        <v>0</v>
      </c>
      <c r="Y75" s="770">
        <v>0</v>
      </c>
    </row>
    <row r="76" spans="3:25">
      <c r="C76" s="299" t="s">
        <v>587</v>
      </c>
      <c r="D76" s="768">
        <f t="shared" si="64"/>
        <v>0</v>
      </c>
      <c r="E76" s="760">
        <f t="shared" si="65"/>
        <v>0</v>
      </c>
      <c r="F76" s="760">
        <f t="shared" si="66"/>
        <v>0</v>
      </c>
      <c r="G76" s="760">
        <f t="shared" si="67"/>
        <v>0</v>
      </c>
      <c r="H76" s="760">
        <f t="shared" si="68"/>
        <v>0</v>
      </c>
      <c r="I76" s="760">
        <f t="shared" si="69"/>
        <v>0</v>
      </c>
      <c r="J76" s="768">
        <f t="shared" si="70"/>
        <v>0</v>
      </c>
      <c r="K76" s="824"/>
      <c r="L76" s="825"/>
      <c r="M76" s="825"/>
      <c r="N76" s="825"/>
      <c r="O76" s="826"/>
      <c r="P76" s="768">
        <f t="shared" si="71"/>
        <v>0</v>
      </c>
      <c r="S76" s="771"/>
      <c r="T76" s="772">
        <v>0</v>
      </c>
      <c r="U76" s="772">
        <v>0</v>
      </c>
      <c r="V76" s="772">
        <v>0</v>
      </c>
      <c r="W76" s="772">
        <v>0</v>
      </c>
      <c r="X76" s="772">
        <v>0</v>
      </c>
      <c r="Y76" s="773">
        <v>0</v>
      </c>
    </row>
    <row r="77" spans="3:25">
      <c r="C77" s="301" t="s">
        <v>832</v>
      </c>
      <c r="D77" s="817">
        <f>SUM(D65:D76)</f>
        <v>0</v>
      </c>
      <c r="E77" s="816">
        <f t="shared" ref="E77:J77" si="74">SUM(E65:E76)</f>
        <v>34.476459332063463</v>
      </c>
      <c r="F77" s="816">
        <f t="shared" si="74"/>
        <v>38.874242370511411</v>
      </c>
      <c r="G77" s="816">
        <f t="shared" si="74"/>
        <v>38.292132190440455</v>
      </c>
      <c r="H77" s="816">
        <f t="shared" si="74"/>
        <v>31.204913412429633</v>
      </c>
      <c r="I77" s="816">
        <f t="shared" si="74"/>
        <v>26.825663035125785</v>
      </c>
      <c r="J77" s="817">
        <f t="shared" si="74"/>
        <v>15.092491611615888</v>
      </c>
      <c r="K77" s="818">
        <f t="shared" ref="K77" si="75">SUM(K65:K76)</f>
        <v>30.109440114215026</v>
      </c>
      <c r="L77" s="819">
        <f t="shared" ref="L77" si="76">SUM(L65:L76)</f>
        <v>30.175752667281614</v>
      </c>
      <c r="M77" s="819">
        <f t="shared" ref="M77" si="77">SUM(M65:M76)</f>
        <v>28.895471299424134</v>
      </c>
      <c r="N77" s="819">
        <f t="shared" ref="N77" si="78">SUM(N65:N76)</f>
        <v>28.509793964210356</v>
      </c>
      <c r="O77" s="819">
        <f t="shared" ref="O77" si="79">SUM(O65:O76)</f>
        <v>28.381216985382164</v>
      </c>
      <c r="P77" s="820">
        <f t="shared" ref="P77" si="80">SUM(P65:P76)</f>
        <v>146.07167503051332</v>
      </c>
      <c r="S77" s="774">
        <f t="shared" ref="S77" si="81">SUM(S65:S76)</f>
        <v>0</v>
      </c>
      <c r="T77" s="775">
        <f t="shared" ref="T77" si="82">SUM(T65:T76)</f>
        <v>31.656926094764259</v>
      </c>
      <c r="U77" s="775">
        <f t="shared" ref="U77" si="83">SUM(U65:U76)</f>
        <v>36.147224363490089</v>
      </c>
      <c r="V77" s="775">
        <f t="shared" ref="V77" si="84">SUM(V65:V76)</f>
        <v>36.132011892797891</v>
      </c>
      <c r="W77" s="775">
        <f t="shared" ref="W77" si="85">SUM(W65:W76)</f>
        <v>30.035155584037472</v>
      </c>
      <c r="X77" s="828">
        <f t="shared" ref="X77" si="86">SUM(X65:X76)</f>
        <v>26.293869473691053</v>
      </c>
      <c r="Y77" s="827">
        <f>SUM(Y65:Y76)</f>
        <v>15.092491611615888</v>
      </c>
    </row>
    <row r="78" spans="3:25">
      <c r="E78" s="281">
        <f t="shared" ref="E78:F78" si="87">E77-E92</f>
        <v>2.9422957121290949E-2</v>
      </c>
      <c r="F78" s="281">
        <f t="shared" si="87"/>
        <v>0.28606547457835774</v>
      </c>
      <c r="G78" s="281">
        <f>G77-G92</f>
        <v>-1.13611093865984E-7</v>
      </c>
      <c r="H78" s="216">
        <f>H77-AusNet_Overheads!H17/Thousands*$G$2</f>
        <v>0</v>
      </c>
      <c r="I78" s="216">
        <f>I77-AusNet_Overheads!I17/Thousands*$G$2</f>
        <v>0</v>
      </c>
      <c r="J78" s="216">
        <f>J77-AusNet_Overheads!J17/Thousands*$G$2</f>
        <v>0</v>
      </c>
      <c r="K78" s="216">
        <f>K77-AusNet_Overheads!K17/Thousands*$G$2</f>
        <v>0</v>
      </c>
      <c r="L78" s="216">
        <f>L77-AusNet_Overheads!L17/Thousands*$G$2</f>
        <v>0</v>
      </c>
      <c r="M78" s="216">
        <f>M77-AusNet_Overheads!M17/Thousands*$G$2</f>
        <v>0</v>
      </c>
      <c r="N78" s="216">
        <f>N77-AusNet_Overheads!N17/Thousands*$G$2</f>
        <v>0</v>
      </c>
      <c r="O78" s="216">
        <f>O77-AusNet_Overheads!O17/Thousands*$G$2</f>
        <v>0</v>
      </c>
      <c r="P78" s="759">
        <f>P77-SUM(AusNet_Overheads!K17:O17)/Thousands*$G$2</f>
        <v>0</v>
      </c>
      <c r="T78" s="281">
        <f t="shared" ref="T78:U78" si="88">T77-T92</f>
        <v>2.701670638817788E-2</v>
      </c>
      <c r="U78" s="281">
        <f t="shared" si="88"/>
        <v>0.26599805582517178</v>
      </c>
      <c r="V78" s="281">
        <f>V77-V92</f>
        <v>-1.0720211207626562E-7</v>
      </c>
      <c r="W78" s="780">
        <v>0</v>
      </c>
      <c r="X78" s="759">
        <f>X77-'2.1 Exp Summary'!F36/Millions</f>
        <v>0</v>
      </c>
      <c r="Y78" s="759">
        <f>Y77-'2.1 Exp Summary'!G36/Millions</f>
        <v>0</v>
      </c>
    </row>
    <row r="79" spans="3:25">
      <c r="C79" s="1" t="s">
        <v>848</v>
      </c>
      <c r="I79" s="759"/>
      <c r="J79" s="759"/>
    </row>
    <row r="80" spans="3:25">
      <c r="C80" s="1" t="s">
        <v>455</v>
      </c>
      <c r="H80" s="232">
        <f>AusNet_Overheads!H20</f>
        <v>9.2701783377187957E-2</v>
      </c>
      <c r="I80" s="232">
        <f>AusNet_Overheads!I20</f>
        <v>8.2295387491894342E-2</v>
      </c>
      <c r="J80" s="232">
        <f>AusNet_Overheads!J20</f>
        <v>9.6935633860166584E-2</v>
      </c>
      <c r="K80" s="232">
        <f>AusNet_Overheads!K20</f>
        <v>0.10164913663243451</v>
      </c>
      <c r="L80" s="232">
        <f>AusNet_Overheads!L20</f>
        <v>9.6613411578022057E-2</v>
      </c>
      <c r="M80" s="232">
        <f>AusNet_Overheads!M20</f>
        <v>0.11686091502730135</v>
      </c>
      <c r="N80" s="232">
        <f>AusNet_Overheads!N20</f>
        <v>0.12961947852990877</v>
      </c>
      <c r="O80" s="232">
        <f>AusNet_Overheads!O20</f>
        <v>0.13604401099332633</v>
      </c>
      <c r="W80" s="232">
        <f>AusNet_Overheads!H20</f>
        <v>9.2701783377187957E-2</v>
      </c>
      <c r="X80" s="232">
        <f>AusNet_Overheads!I20</f>
        <v>8.2295387491894342E-2</v>
      </c>
      <c r="Y80" s="232">
        <f>AusNet_Overheads!J20</f>
        <v>9.6935633860166584E-2</v>
      </c>
    </row>
    <row r="81" spans="3:28">
      <c r="C81" s="1" t="s">
        <v>847</v>
      </c>
      <c r="H81" s="232">
        <f>AusNet_Overheads!H21</f>
        <v>7.8422110306589396E-2</v>
      </c>
      <c r="I81" s="232">
        <f>AusNet_Overheads!I21</f>
        <v>7.0375260011246041E-2</v>
      </c>
      <c r="J81" s="232">
        <f>AusNet_Overheads!J21</f>
        <v>8.2898493836675233E-2</v>
      </c>
      <c r="K81" s="232">
        <f>AusNet_Overheads!K21</f>
        <v>9.2774360144063206E-2</v>
      </c>
      <c r="L81" s="232">
        <f>AusNet_Overheads!L21</f>
        <v>8.2755267364929053E-2</v>
      </c>
      <c r="M81" s="232">
        <f>AusNet_Overheads!M21</f>
        <v>9.519604087552197E-2</v>
      </c>
      <c r="N81" s="232">
        <f>AusNet_Overheads!N21</f>
        <v>0.1021901055271988</v>
      </c>
      <c r="O81" s="232">
        <f>AusNet_Overheads!O21</f>
        <v>0.10541019145935256</v>
      </c>
      <c r="W81" s="232">
        <f>AusNet_Overheads!H21</f>
        <v>7.8422110306589396E-2</v>
      </c>
      <c r="X81" s="232">
        <f>AusNet_Overheads!I21</f>
        <v>7.0375260011246041E-2</v>
      </c>
      <c r="Y81" s="232">
        <f>AusNet_Overheads!J21</f>
        <v>8.2898493836675233E-2</v>
      </c>
    </row>
    <row r="82" spans="3:28">
      <c r="C82" s="1" t="s">
        <v>284</v>
      </c>
      <c r="H82" s="232">
        <f>AusNet_Overheads!H22</f>
        <v>5.9219230995973378E-2</v>
      </c>
      <c r="I82" s="232">
        <f>AusNet_Overheads!I22</f>
        <v>6.4103446000536829E-2</v>
      </c>
      <c r="J82" s="232">
        <f>AusNet_Overheads!J22</f>
        <v>2.9684535225751481E-2</v>
      </c>
      <c r="K82" s="232">
        <f>AusNet_Overheads!K22</f>
        <v>5.9464295439044815E-2</v>
      </c>
      <c r="L82" s="232">
        <f>AusNet_Overheads!L22</f>
        <v>8.606461798261314E-2</v>
      </c>
      <c r="M82" s="232">
        <f>AusNet_Overheads!M22</f>
        <v>7.406167158979983E-2</v>
      </c>
      <c r="N82" s="232">
        <f>AusNet_Overheads!N22</f>
        <v>9.8159908852808786E-2</v>
      </c>
      <c r="O82" s="232">
        <f>AusNet_Overheads!O22</f>
        <v>0.10004297500181081</v>
      </c>
      <c r="W82" s="232">
        <f>AusNet_Overheads!H22</f>
        <v>5.9219230995973378E-2</v>
      </c>
      <c r="X82" s="232">
        <f>AusNet_Overheads!I22</f>
        <v>6.4103446000536829E-2</v>
      </c>
      <c r="Y82" s="232">
        <f>AusNet_Overheads!J22</f>
        <v>2.9684535225751481E-2</v>
      </c>
    </row>
    <row r="83" spans="3:28">
      <c r="X83" s="669"/>
      <c r="Y83" s="669"/>
    </row>
    <row r="84" spans="3:28">
      <c r="S84" s="2" t="s">
        <v>836</v>
      </c>
      <c r="X84" s="669"/>
      <c r="Y84" s="669"/>
    </row>
    <row r="85" spans="3:28">
      <c r="C85" s="2" t="s">
        <v>836</v>
      </c>
      <c r="S85" s="2" t="s">
        <v>668</v>
      </c>
      <c r="X85" s="669"/>
      <c r="Y85" s="669"/>
    </row>
    <row r="86" spans="3:28">
      <c r="C86" s="1" t="s">
        <v>631</v>
      </c>
      <c r="D86" s="808">
        <v>2015</v>
      </c>
      <c r="E86" s="808">
        <v>2016</v>
      </c>
      <c r="F86" s="808">
        <v>2017</v>
      </c>
      <c r="G86" s="808">
        <v>2018</v>
      </c>
      <c r="H86" s="808">
        <v>2019</v>
      </c>
      <c r="T86" s="778">
        <v>2016</v>
      </c>
      <c r="U86" s="778">
        <v>2017</v>
      </c>
      <c r="V86" s="778">
        <v>2018</v>
      </c>
      <c r="W86" s="778">
        <v>2019</v>
      </c>
      <c r="X86" s="759"/>
      <c r="Y86" s="759"/>
    </row>
    <row r="87" spans="3:28">
      <c r="C87" s="1" t="s">
        <v>10</v>
      </c>
      <c r="D87" s="760"/>
      <c r="E87" s="760">
        <f t="shared" ref="E87:E93" si="89">T87*E$2</f>
        <v>74.829659336407019</v>
      </c>
      <c r="F87" s="760">
        <f t="shared" ref="F87:F93" si="90">U87*F$2</f>
        <v>59.544066770370115</v>
      </c>
      <c r="G87" s="760">
        <f t="shared" ref="G87:G93" si="91">V87*G$2</f>
        <v>51.611032736695769</v>
      </c>
      <c r="H87" s="760">
        <f t="shared" ref="H87:H93" si="92">W87*H$2</f>
        <v>50.69116691665895</v>
      </c>
      <c r="T87" s="760">
        <v>68.709984760701431</v>
      </c>
      <c r="U87" s="760">
        <v>55.367065949454989</v>
      </c>
      <c r="V87" s="760">
        <v>48.699572000000003</v>
      </c>
      <c r="W87" s="853">
        <v>48.790940867402348</v>
      </c>
      <c r="X87" s="759"/>
      <c r="Y87" s="759"/>
      <c r="AA87" s="39"/>
      <c r="AB87" s="39"/>
    </row>
    <row r="88" spans="3:28">
      <c r="C88" s="1" t="s">
        <v>32</v>
      </c>
      <c r="D88" s="760"/>
      <c r="E88" s="760">
        <f t="shared" si="89"/>
        <v>76.123643400224864</v>
      </c>
      <c r="F88" s="760">
        <f t="shared" si="90"/>
        <v>75.379077081262139</v>
      </c>
      <c r="G88" s="760">
        <f t="shared" si="91"/>
        <v>97.185732283109473</v>
      </c>
      <c r="H88" s="760">
        <f t="shared" si="92"/>
        <v>114.02576143740667</v>
      </c>
      <c r="T88" s="760">
        <v>69.898144991470474</v>
      </c>
      <c r="U88" s="760">
        <v>70.091254399239119</v>
      </c>
      <c r="V88" s="760">
        <v>91.703329999999994</v>
      </c>
      <c r="W88" s="760">
        <v>109.75135358000001</v>
      </c>
      <c r="AA88" s="39"/>
      <c r="AB88" s="39"/>
    </row>
    <row r="89" spans="3:28">
      <c r="C89" s="1" t="s">
        <v>150</v>
      </c>
      <c r="D89" s="760"/>
      <c r="E89" s="760">
        <f t="shared" si="89"/>
        <v>129.07056227356833</v>
      </c>
      <c r="F89" s="760">
        <f t="shared" si="90"/>
        <v>126.14038643039588</v>
      </c>
      <c r="G89" s="760">
        <f t="shared" si="91"/>
        <v>136.70910481360428</v>
      </c>
      <c r="H89" s="760">
        <f t="shared" si="92"/>
        <v>110.90510019675204</v>
      </c>
      <c r="T89" s="760">
        <v>118.51499052003925</v>
      </c>
      <c r="U89" s="760">
        <v>117.29167107975911</v>
      </c>
      <c r="V89" s="760">
        <v>128.99712600000001</v>
      </c>
      <c r="W89" s="853">
        <v>106.74767449109082</v>
      </c>
      <c r="AA89" s="39"/>
      <c r="AB89" s="39"/>
    </row>
    <row r="90" spans="3:28">
      <c r="C90" s="1" t="s">
        <v>480</v>
      </c>
      <c r="D90" s="760"/>
      <c r="E90" s="760">
        <f t="shared" si="89"/>
        <v>20.345508447531198</v>
      </c>
      <c r="F90" s="760">
        <f t="shared" si="90"/>
        <v>43.937316943483111</v>
      </c>
      <c r="G90" s="760">
        <f t="shared" si="91"/>
        <v>47.574959397361894</v>
      </c>
      <c r="H90" s="760">
        <f t="shared" si="92"/>
        <v>81.582684278399682</v>
      </c>
      <c r="T90" s="760">
        <v>18.681624208576995</v>
      </c>
      <c r="U90" s="760">
        <v>40.855125569999998</v>
      </c>
      <c r="V90" s="760">
        <v>44.891179999999999</v>
      </c>
      <c r="W90" s="760">
        <v>78.524448469999996</v>
      </c>
      <c r="AA90" s="39"/>
      <c r="AB90" s="39"/>
    </row>
    <row r="91" spans="3:28">
      <c r="C91" s="1" t="s">
        <v>407</v>
      </c>
      <c r="D91" s="760"/>
      <c r="E91" s="760">
        <f t="shared" si="89"/>
        <v>0</v>
      </c>
      <c r="F91" s="760">
        <f t="shared" si="90"/>
        <v>35.426335118723841</v>
      </c>
      <c r="G91" s="760">
        <f t="shared" si="91"/>
        <v>65.830145588815284</v>
      </c>
      <c r="H91" s="760">
        <f t="shared" si="92"/>
        <v>89.446424044443461</v>
      </c>
      <c r="T91" s="760">
        <v>0</v>
      </c>
      <c r="U91" s="760">
        <v>32.941186910026772</v>
      </c>
      <c r="V91" s="760">
        <v>62.116562000000002</v>
      </c>
      <c r="W91" s="760">
        <v>86.093405455197967</v>
      </c>
      <c r="X91" s="759"/>
      <c r="AA91" s="39"/>
      <c r="AB91" s="39"/>
    </row>
    <row r="92" spans="3:28">
      <c r="C92" s="1" t="s">
        <v>833</v>
      </c>
      <c r="D92" s="760"/>
      <c r="E92" s="760">
        <f t="shared" si="89"/>
        <v>34.447036374942172</v>
      </c>
      <c r="F92" s="760">
        <f t="shared" si="90"/>
        <v>38.588176895933053</v>
      </c>
      <c r="G92" s="760">
        <f t="shared" si="91"/>
        <v>38.292132304051549</v>
      </c>
      <c r="H92" s="760">
        <f t="shared" si="92"/>
        <v>31.204913412429633</v>
      </c>
      <c r="T92" s="760">
        <v>31.629909388376081</v>
      </c>
      <c r="U92" s="760">
        <v>35.881226307664917</v>
      </c>
      <c r="V92" s="760">
        <v>36.132012000000003</v>
      </c>
      <c r="W92" s="760">
        <v>30.035155584037472</v>
      </c>
      <c r="AA92" s="39"/>
      <c r="AB92" s="39"/>
    </row>
    <row r="93" spans="3:28">
      <c r="C93" s="1" t="s">
        <v>834</v>
      </c>
      <c r="D93" s="772"/>
      <c r="E93" s="772">
        <f t="shared" si="89"/>
        <v>22.567276771426243</v>
      </c>
      <c r="F93" s="772">
        <f t="shared" si="90"/>
        <v>36.010603170822975</v>
      </c>
      <c r="G93" s="772">
        <f t="shared" si="91"/>
        <v>58.054863516434793</v>
      </c>
      <c r="H93" s="772">
        <f t="shared" si="92"/>
        <v>82.688736616540453</v>
      </c>
      <c r="S93" s="42"/>
      <c r="T93" s="772">
        <v>20.721693200343267</v>
      </c>
      <c r="U93" s="772">
        <v>33.484468709999994</v>
      </c>
      <c r="V93" s="772">
        <v>54.779896000000001</v>
      </c>
      <c r="W93" s="772">
        <v>79.589038960000011</v>
      </c>
      <c r="AA93" s="39"/>
      <c r="AB93" s="39"/>
    </row>
    <row r="94" spans="3:28">
      <c r="C94" s="1" t="s">
        <v>841</v>
      </c>
      <c r="D94" s="761">
        <f>SUM(D87:D92)-D93</f>
        <v>0</v>
      </c>
      <c r="E94" s="761">
        <f t="shared" ref="E94:H94" si="93">SUM(E87:E92)-E93</f>
        <v>312.24913306124733</v>
      </c>
      <c r="F94" s="761">
        <f t="shared" si="93"/>
        <v>343.00475606934515</v>
      </c>
      <c r="G94" s="761">
        <f t="shared" si="93"/>
        <v>379.14824360720348</v>
      </c>
      <c r="H94" s="761">
        <f t="shared" si="93"/>
        <v>395.16731366954997</v>
      </c>
      <c r="S94" s="761">
        <f t="shared" ref="S94" si="94">SUM(S87:S92)-S93</f>
        <v>0</v>
      </c>
      <c r="T94" s="761">
        <f t="shared" ref="T94" si="95">SUM(T87:T92)-T93</f>
        <v>286.71296066882093</v>
      </c>
      <c r="U94" s="761">
        <f t="shared" ref="U94" si="96">SUM(U87:U92)-U93</f>
        <v>318.94306150614494</v>
      </c>
      <c r="V94" s="761">
        <f t="shared" ref="V94" si="97">SUM(V87:V92)-V93</f>
        <v>357.75988600000005</v>
      </c>
      <c r="W94" s="761">
        <f t="shared" ref="W94" si="98">SUM(W87:W92)-W93</f>
        <v>380.35393948772855</v>
      </c>
      <c r="AA94" s="39"/>
      <c r="AB94" s="39"/>
    </row>
    <row r="95" spans="3:28">
      <c r="C95" s="2" t="s">
        <v>842</v>
      </c>
      <c r="D95" s="831">
        <f>D94+D93</f>
        <v>0</v>
      </c>
      <c r="E95" s="831">
        <f t="shared" ref="E95:H95" si="99">E94+E93</f>
        <v>334.81640983267357</v>
      </c>
      <c r="F95" s="831">
        <f t="shared" si="99"/>
        <v>379.0153592401681</v>
      </c>
      <c r="G95" s="831">
        <f t="shared" si="99"/>
        <v>437.20310712363829</v>
      </c>
      <c r="H95" s="831">
        <f t="shared" si="99"/>
        <v>477.85605028609041</v>
      </c>
      <c r="S95" s="831">
        <f>S94+S93</f>
        <v>0</v>
      </c>
      <c r="T95" s="831">
        <f t="shared" ref="T95" si="100">T94+T93</f>
        <v>307.43465386916421</v>
      </c>
      <c r="U95" s="831">
        <f t="shared" ref="U95" si="101">U94+U93</f>
        <v>352.42753021614493</v>
      </c>
      <c r="V95" s="831">
        <f t="shared" ref="V95" si="102">V94+V93</f>
        <v>412.53978200000006</v>
      </c>
      <c r="W95" s="831">
        <f t="shared" ref="W95" si="103">W94+W93</f>
        <v>459.94297844772859</v>
      </c>
      <c r="X95" s="759"/>
      <c r="Y95" s="759"/>
    </row>
    <row r="96" spans="3:28">
      <c r="C96" s="2" t="s">
        <v>835</v>
      </c>
      <c r="D96" s="831">
        <f t="shared" ref="D96" si="104">S96*D$2</f>
        <v>0</v>
      </c>
      <c r="E96" s="831">
        <f t="shared" ref="E96" si="105">T96*E$2</f>
        <v>300.3693734577314</v>
      </c>
      <c r="F96" s="831">
        <f t="shared" ref="F96" si="106">U96*F$2</f>
        <v>340.42718234423512</v>
      </c>
      <c r="G96" s="831">
        <f t="shared" ref="G96" si="107">V96*G$2</f>
        <v>398.91097481958673</v>
      </c>
      <c r="H96" s="831">
        <f t="shared" ref="H96" si="108">W96*H$2</f>
        <v>446.65113687366079</v>
      </c>
      <c r="S96" s="830">
        <f>SUM(S87:S91)</f>
        <v>0</v>
      </c>
      <c r="T96" s="830">
        <f>SUM(T87:T91)</f>
        <v>275.80474448078814</v>
      </c>
      <c r="U96" s="830">
        <f t="shared" ref="U96:W96" si="109">SUM(U87:U91)</f>
        <v>316.54630390848001</v>
      </c>
      <c r="V96" s="830">
        <f t="shared" si="109"/>
        <v>376.40777000000003</v>
      </c>
      <c r="W96" s="852">
        <f t="shared" si="109"/>
        <v>429.90782286369114</v>
      </c>
      <c r="Z96" s="92"/>
    </row>
    <row r="97" spans="3:25">
      <c r="S97" s="1" t="s">
        <v>668</v>
      </c>
    </row>
    <row r="98" spans="3:25">
      <c r="C98" s="2" t="s">
        <v>865</v>
      </c>
      <c r="S98" s="986" t="s">
        <v>285</v>
      </c>
      <c r="T98" s="987"/>
      <c r="U98" s="987"/>
      <c r="V98" s="987"/>
      <c r="W98" s="988"/>
      <c r="X98" s="986" t="s">
        <v>286</v>
      </c>
      <c r="Y98" s="988"/>
    </row>
    <row r="99" spans="3:25">
      <c r="C99" s="1" t="s">
        <v>631</v>
      </c>
      <c r="D99" s="808">
        <v>2015</v>
      </c>
      <c r="E99" s="808">
        <v>2016</v>
      </c>
      <c r="F99" s="808">
        <v>2017</v>
      </c>
      <c r="G99" s="808">
        <v>2018</v>
      </c>
      <c r="H99" s="808">
        <v>2019</v>
      </c>
      <c r="I99" s="781">
        <v>2020</v>
      </c>
      <c r="J99" s="781" t="s">
        <v>696</v>
      </c>
      <c r="S99" s="781">
        <v>2015</v>
      </c>
      <c r="T99" s="778">
        <v>2016</v>
      </c>
      <c r="U99" s="778">
        <v>2017</v>
      </c>
      <c r="V99" s="778">
        <v>2018</v>
      </c>
      <c r="W99" s="778">
        <v>2019</v>
      </c>
      <c r="X99" s="781">
        <v>2020</v>
      </c>
      <c r="Y99" s="781" t="s">
        <v>696</v>
      </c>
    </row>
    <row r="100" spans="3:25">
      <c r="C100" s="1" t="s">
        <v>10</v>
      </c>
      <c r="D100" s="760">
        <f t="shared" ref="D100:D104" si="110">S100*D$2</f>
        <v>0</v>
      </c>
      <c r="E100" s="760">
        <f t="shared" ref="E100:E104" si="111">T100*E$2</f>
        <v>1.0787771059582922</v>
      </c>
      <c r="F100" s="760">
        <f t="shared" ref="F100:F104" si="112">U100*F$2</f>
        <v>26.171423534474243</v>
      </c>
      <c r="G100" s="760">
        <f t="shared" ref="G100:G104" si="113">V100*G$2</f>
        <v>55.565984699707741</v>
      </c>
      <c r="H100" s="760">
        <f t="shared" ref="H100:H104" si="114">W100*H$2</f>
        <v>77.888333597481989</v>
      </c>
      <c r="I100" s="760">
        <f t="shared" ref="I100:I104" si="115">X100*I$2</f>
        <v>88.035067106941938</v>
      </c>
      <c r="J100" s="760">
        <f t="shared" ref="J100:J104" si="116">Y100*J$2</f>
        <v>26.140489165794268</v>
      </c>
      <c r="T100" s="760">
        <v>0.99055320000000002</v>
      </c>
      <c r="U100" s="760">
        <v>24.335504969999999</v>
      </c>
      <c r="V100" s="760">
        <v>52.43141880999999</v>
      </c>
      <c r="W100" s="853">
        <v>74.968585455197982</v>
      </c>
      <c r="X100" s="760">
        <v>86.289854628628007</v>
      </c>
      <c r="Y100" s="760">
        <v>26.140489165794268</v>
      </c>
    </row>
    <row r="101" spans="3:25">
      <c r="C101" s="1" t="s">
        <v>150</v>
      </c>
      <c r="D101" s="760">
        <f t="shared" si="110"/>
        <v>0</v>
      </c>
      <c r="E101" s="760">
        <f t="shared" si="111"/>
        <v>9.7547752060334378E-2</v>
      </c>
      <c r="F101" s="760">
        <f t="shared" si="112"/>
        <v>9.2048148944712498</v>
      </c>
      <c r="G101" s="760">
        <f t="shared" si="113"/>
        <v>10.157331767860466</v>
      </c>
      <c r="H101" s="760">
        <f t="shared" si="114"/>
        <v>13.128492846937098</v>
      </c>
      <c r="I101" s="760">
        <f t="shared" si="115"/>
        <v>16.313113060632613</v>
      </c>
      <c r="J101" s="760">
        <f t="shared" si="116"/>
        <v>10.185400316075588</v>
      </c>
      <c r="T101" s="760">
        <v>8.9570159973256402E-2</v>
      </c>
      <c r="U101" s="760">
        <v>8.5590995200267432</v>
      </c>
      <c r="V101" s="760">
        <v>9.584340469999999</v>
      </c>
      <c r="W101" s="853">
        <v>12.636353770000001</v>
      </c>
      <c r="X101" s="760">
        <v>15.989720923735872</v>
      </c>
      <c r="Y101" s="760">
        <v>10.185400316075588</v>
      </c>
    </row>
    <row r="102" spans="3:25">
      <c r="C102" s="1" t="s">
        <v>284</v>
      </c>
      <c r="D102" s="760">
        <f t="shared" si="110"/>
        <v>0</v>
      </c>
      <c r="E102" s="760">
        <f t="shared" si="111"/>
        <v>0</v>
      </c>
      <c r="F102" s="760">
        <f t="shared" si="112"/>
        <v>0</v>
      </c>
      <c r="G102" s="760">
        <f t="shared" si="113"/>
        <v>0</v>
      </c>
      <c r="H102" s="760">
        <f t="shared" si="114"/>
        <v>0</v>
      </c>
      <c r="I102" s="760">
        <f t="shared" si="115"/>
        <v>0.62210116756828293</v>
      </c>
      <c r="J102" s="760">
        <f t="shared" si="116"/>
        <v>1.2597055338864105</v>
      </c>
      <c r="T102" s="760"/>
      <c r="U102" s="760">
        <v>0</v>
      </c>
      <c r="V102" s="760">
        <v>0</v>
      </c>
      <c r="W102" s="760">
        <v>0</v>
      </c>
      <c r="X102" s="760">
        <v>0.60976859651344451</v>
      </c>
      <c r="Y102" s="760">
        <v>1.2597055338864105</v>
      </c>
    </row>
    <row r="103" spans="3:25">
      <c r="C103" s="1" t="s">
        <v>450</v>
      </c>
      <c r="D103" s="760">
        <f t="shared" si="110"/>
        <v>0</v>
      </c>
      <c r="E103" s="760">
        <f t="shared" si="111"/>
        <v>0</v>
      </c>
      <c r="F103" s="760">
        <f t="shared" si="112"/>
        <v>0</v>
      </c>
      <c r="G103" s="760">
        <f t="shared" si="113"/>
        <v>0.10682941798661276</v>
      </c>
      <c r="H103" s="760">
        <f t="shared" si="114"/>
        <v>0</v>
      </c>
      <c r="I103" s="760">
        <f t="shared" si="115"/>
        <v>0</v>
      </c>
      <c r="J103" s="760">
        <f t="shared" si="116"/>
        <v>0</v>
      </c>
      <c r="S103" s="41"/>
      <c r="T103" s="769"/>
      <c r="U103" s="216">
        <v>0</v>
      </c>
      <c r="V103" s="769">
        <v>0.100803</v>
      </c>
      <c r="W103" s="769">
        <v>0</v>
      </c>
      <c r="X103" s="459">
        <v>0</v>
      </c>
      <c r="Y103" s="769">
        <v>0</v>
      </c>
    </row>
    <row r="104" spans="3:25">
      <c r="C104" s="1" t="s">
        <v>395</v>
      </c>
      <c r="D104" s="772">
        <f t="shared" si="110"/>
        <v>0</v>
      </c>
      <c r="E104" s="772">
        <f t="shared" si="111"/>
        <v>0</v>
      </c>
      <c r="F104" s="772">
        <f t="shared" si="112"/>
        <v>5.0096689778316265E-2</v>
      </c>
      <c r="G104" s="772">
        <f t="shared" si="113"/>
        <v>0</v>
      </c>
      <c r="H104" s="772">
        <f t="shared" si="114"/>
        <v>0</v>
      </c>
      <c r="I104" s="772">
        <f t="shared" si="115"/>
        <v>0</v>
      </c>
      <c r="J104" s="772">
        <f t="shared" si="116"/>
        <v>0</v>
      </c>
      <c r="S104" s="42"/>
      <c r="T104" s="772"/>
      <c r="U104" s="835">
        <v>4.6582419999999999E-2</v>
      </c>
      <c r="V104" s="772">
        <v>0</v>
      </c>
      <c r="W104" s="772">
        <v>0</v>
      </c>
      <c r="X104" s="270">
        <v>0</v>
      </c>
      <c r="Y104" s="772">
        <v>0</v>
      </c>
    </row>
    <row r="105" spans="3:25">
      <c r="C105" s="2" t="s">
        <v>146</v>
      </c>
      <c r="D105" s="830">
        <f t="shared" ref="D105:E105" si="117">SUM(D100:D104)</f>
        <v>0</v>
      </c>
      <c r="E105" s="830">
        <f t="shared" si="117"/>
        <v>1.1763248580186265</v>
      </c>
      <c r="F105" s="830">
        <f>SUM(F100:F104)</f>
        <v>35.426335118723806</v>
      </c>
      <c r="G105" s="830">
        <f t="shared" ref="G105:J105" si="118">SUM(G100:G104)</f>
        <v>65.830145885554828</v>
      </c>
      <c r="H105" s="830">
        <f t="shared" si="118"/>
        <v>91.016826444419081</v>
      </c>
      <c r="I105" s="830">
        <f t="shared" si="118"/>
        <v>104.97028133514284</v>
      </c>
      <c r="J105" s="830">
        <f t="shared" si="118"/>
        <v>37.585595015756269</v>
      </c>
      <c r="S105" s="831">
        <f t="shared" ref="S105:T105" si="119">SUM(S100:S104)</f>
        <v>0</v>
      </c>
      <c r="T105" s="831">
        <f t="shared" si="119"/>
        <v>1.0801233599732565</v>
      </c>
      <c r="U105" s="831">
        <f>SUM(U100:U104)</f>
        <v>32.941186910026744</v>
      </c>
      <c r="V105" s="831">
        <f t="shared" ref="V105:Y105" si="120">SUM(V100:V104)</f>
        <v>62.116562279999989</v>
      </c>
      <c r="W105" s="831">
        <f t="shared" si="120"/>
        <v>87.604939225197981</v>
      </c>
      <c r="X105" s="831">
        <f t="shared" si="120"/>
        <v>102.88934414887733</v>
      </c>
      <c r="Y105" s="831">
        <f t="shared" si="120"/>
        <v>37.585595015756269</v>
      </c>
    </row>
    <row r="106" spans="3:25">
      <c r="S106" s="1" t="s">
        <v>668</v>
      </c>
    </row>
    <row r="107" spans="3:25">
      <c r="C107" s="2" t="s">
        <v>873</v>
      </c>
      <c r="D107" s="808">
        <v>2015</v>
      </c>
      <c r="E107" s="808">
        <v>2016</v>
      </c>
      <c r="F107" s="808">
        <v>2017</v>
      </c>
      <c r="G107" s="808">
        <v>2018</v>
      </c>
      <c r="H107" s="808">
        <v>2019</v>
      </c>
      <c r="I107" s="797">
        <v>2020</v>
      </c>
      <c r="J107" s="797" t="s">
        <v>696</v>
      </c>
      <c r="S107" s="781">
        <v>2015</v>
      </c>
      <c r="T107" s="781">
        <v>2016</v>
      </c>
      <c r="U107" s="781">
        <v>2017</v>
      </c>
      <c r="V107" s="781">
        <v>2018</v>
      </c>
      <c r="W107" s="781">
        <v>2019</v>
      </c>
      <c r="X107" s="781">
        <v>2020</v>
      </c>
      <c r="Y107" s="781" t="s">
        <v>696</v>
      </c>
    </row>
    <row r="108" spans="3:25">
      <c r="C108" s="1" t="s">
        <v>849</v>
      </c>
      <c r="D108" s="760">
        <f t="shared" ref="D108:D110" si="121">S108*D$2</f>
        <v>0</v>
      </c>
      <c r="E108" s="760">
        <f t="shared" ref="E108:E110" si="122">T108*E$2</f>
        <v>13.560973572272786</v>
      </c>
      <c r="F108" s="760">
        <f t="shared" ref="F108:F110" si="123">U108*F$2</f>
        <v>38.22237231167864</v>
      </c>
      <c r="G108" s="760">
        <f t="shared" ref="G108:G110" si="124">V108*G$2</f>
        <v>29.464119119282671</v>
      </c>
      <c r="H108" s="760">
        <f t="shared" ref="H108:H110" si="125">W108*H$2</f>
        <v>33.419828704352298</v>
      </c>
      <c r="I108" s="760">
        <f t="shared" ref="I108:I110" si="126">X108*I$2</f>
        <v>37.245819210462273</v>
      </c>
      <c r="J108" s="760">
        <f t="shared" ref="J108:J110" si="127">Y108*J$2</f>
        <v>24.94741627562572</v>
      </c>
      <c r="T108" s="760">
        <v>12.451938118577001</v>
      </c>
      <c r="U108" s="760">
        <v>35.541082819999993</v>
      </c>
      <c r="V108" s="760">
        <v>27.802001130000008</v>
      </c>
      <c r="W108" s="760">
        <v>32.167041819999994</v>
      </c>
      <c r="X108" s="760">
        <v>36.507455844734821</v>
      </c>
      <c r="Y108" s="760">
        <v>24.94741627562572</v>
      </c>
    </row>
    <row r="109" spans="3:25">
      <c r="C109" s="1" t="s">
        <v>855</v>
      </c>
      <c r="D109" s="760">
        <f t="shared" si="121"/>
        <v>0</v>
      </c>
      <c r="E109" s="760">
        <f t="shared" si="122"/>
        <v>0</v>
      </c>
      <c r="F109" s="760">
        <f t="shared" si="123"/>
        <v>0</v>
      </c>
      <c r="G109" s="760">
        <f t="shared" si="124"/>
        <v>0</v>
      </c>
      <c r="H109" s="760">
        <f t="shared" si="125"/>
        <v>10.069245548795834</v>
      </c>
      <c r="I109" s="760">
        <f t="shared" si="126"/>
        <v>23.856244346309524</v>
      </c>
      <c r="J109" s="760">
        <f t="shared" si="127"/>
        <v>19.551527760553448</v>
      </c>
      <c r="T109" s="216">
        <v>0</v>
      </c>
      <c r="U109" s="216">
        <v>0</v>
      </c>
      <c r="V109" s="216">
        <v>0</v>
      </c>
      <c r="W109" s="760">
        <v>9.6917864399999996</v>
      </c>
      <c r="X109" s="760">
        <v>23.38331672</v>
      </c>
      <c r="Y109" s="760">
        <v>19.551527760553448</v>
      </c>
    </row>
    <row r="110" spans="3:25">
      <c r="C110" s="1" t="s">
        <v>850</v>
      </c>
      <c r="D110" s="772">
        <f t="shared" si="121"/>
        <v>0</v>
      </c>
      <c r="E110" s="772">
        <f t="shared" si="122"/>
        <v>0</v>
      </c>
      <c r="F110" s="772">
        <f t="shared" si="123"/>
        <v>0</v>
      </c>
      <c r="G110" s="772">
        <f t="shared" si="124"/>
        <v>0</v>
      </c>
      <c r="H110" s="772">
        <f t="shared" si="125"/>
        <v>0</v>
      </c>
      <c r="I110" s="772">
        <f t="shared" si="126"/>
        <v>0.62210116756828293</v>
      </c>
      <c r="J110" s="772">
        <f t="shared" si="127"/>
        <v>1.2597055338864105</v>
      </c>
      <c r="S110" s="42"/>
      <c r="T110" s="270">
        <v>0</v>
      </c>
      <c r="U110" s="270">
        <v>0</v>
      </c>
      <c r="V110" s="270">
        <v>0</v>
      </c>
      <c r="W110" s="772">
        <f>W102</f>
        <v>0</v>
      </c>
      <c r="X110" s="772">
        <f>X102</f>
        <v>0.60976859651344451</v>
      </c>
      <c r="Y110" s="772">
        <f t="shared" ref="Y110" si="128">Y102</f>
        <v>1.2597055338864105</v>
      </c>
    </row>
    <row r="111" spans="3:25">
      <c r="C111" s="2" t="s">
        <v>146</v>
      </c>
      <c r="D111" s="830">
        <f t="shared" ref="D111:I111" si="129">SUM(D108:D110)</f>
        <v>0</v>
      </c>
      <c r="E111" s="830">
        <f t="shared" si="129"/>
        <v>13.560973572272786</v>
      </c>
      <c r="F111" s="830">
        <f t="shared" si="129"/>
        <v>38.22237231167864</v>
      </c>
      <c r="G111" s="830">
        <f t="shared" si="129"/>
        <v>29.464119119282671</v>
      </c>
      <c r="H111" s="830">
        <f t="shared" si="129"/>
        <v>43.489074253148132</v>
      </c>
      <c r="I111" s="830">
        <f t="shared" si="129"/>
        <v>61.724164724340078</v>
      </c>
      <c r="J111" s="830">
        <f>SUM(J108:J110)</f>
        <v>45.758649570065579</v>
      </c>
      <c r="S111" s="831">
        <f t="shared" ref="S111:V111" si="130">SUM(S108:S110)</f>
        <v>0</v>
      </c>
      <c r="T111" s="831">
        <f t="shared" si="130"/>
        <v>12.451938118577001</v>
      </c>
      <c r="U111" s="831">
        <f t="shared" si="130"/>
        <v>35.541082819999993</v>
      </c>
      <c r="V111" s="831">
        <f t="shared" si="130"/>
        <v>27.802001130000008</v>
      </c>
      <c r="W111" s="831">
        <f>SUM(W108:W110)</f>
        <v>41.858828259999996</v>
      </c>
      <c r="X111" s="831">
        <f>SUM(X108:X110)</f>
        <v>60.500541161248265</v>
      </c>
      <c r="Y111" s="831">
        <f>SUM(Y108:Y110)</f>
        <v>45.758649570065579</v>
      </c>
    </row>
    <row r="112" spans="3:25">
      <c r="W112" s="761"/>
      <c r="X112" s="761"/>
      <c r="Y112" s="761"/>
    </row>
    <row r="113" spans="3:25">
      <c r="C113" s="1" t="s">
        <v>853</v>
      </c>
      <c r="H113" s="760">
        <f t="shared" ref="H113" si="131">W113*H$2</f>
        <v>2.575389533998218</v>
      </c>
      <c r="I113" s="760">
        <f t="shared" ref="I113" si="132">X113*I$2</f>
        <v>3.9567316603349743</v>
      </c>
      <c r="J113" s="760">
        <f t="shared" ref="J113" si="133">Y113*J$2</f>
        <v>1.3583242450454296</v>
      </c>
      <c r="W113" s="760">
        <f>AusNet_Overheads!H16/Thousands*'2.1 Exp Summary'!E22</f>
        <v>2.4788476199497183</v>
      </c>
      <c r="X113" s="760">
        <f>AusNet_Overheads!I16/Thousands*'2.1 Exp Summary'!F22</f>
        <v>3.8782931733333341</v>
      </c>
      <c r="Y113" s="760">
        <f>AusNet_Overheads!J16/Thousands*'2.1 Exp Summary'!G22</f>
        <v>1.3583242450454296</v>
      </c>
    </row>
    <row r="114" spans="3:25">
      <c r="C114" s="1" t="s">
        <v>852</v>
      </c>
      <c r="W114" s="108">
        <f>W113/W111</f>
        <v>5.9219230995973378E-2</v>
      </c>
      <c r="X114" s="108">
        <f>X113/X111</f>
        <v>6.4103446000536829E-2</v>
      </c>
      <c r="Y114" s="108">
        <f>Y113/Y111</f>
        <v>2.9684535225751481E-2</v>
      </c>
    </row>
  </sheetData>
  <dataConsolidate/>
  <mergeCells count="15">
    <mergeCell ref="S63:W63"/>
    <mergeCell ref="X63:Y63"/>
    <mergeCell ref="S98:W98"/>
    <mergeCell ref="X98:Y98"/>
    <mergeCell ref="AA42:AB42"/>
    <mergeCell ref="S41:Y41"/>
    <mergeCell ref="S42:W42"/>
    <mergeCell ref="X42:Y42"/>
    <mergeCell ref="D3:O3"/>
    <mergeCell ref="K4:O4"/>
    <mergeCell ref="D4:G4"/>
    <mergeCell ref="K28:O28"/>
    <mergeCell ref="D28:G28"/>
    <mergeCell ref="I4:J4"/>
    <mergeCell ref="I28:J28"/>
  </mergeCells>
  <hyperlinks>
    <hyperlink ref="B2" location="Contents!A1" display="Table of Contents" xr:uid="{00000000-0004-0000-2100-000000000000}"/>
  </hyperlinks>
  <pageMargins left="0.7" right="0.7" top="0.75" bottom="0.75" header="0.3" footer="0.3"/>
  <pageSetup paperSize="9" orientation="portrait" r:id="rId1"/>
  <ignoredErrors>
    <ignoredError sqref="S34:V34 T96:W96 X111 S77" formulaRange="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K18"/>
  <sheetViews>
    <sheetView zoomScale="85" zoomScaleNormal="85" workbookViewId="0">
      <selection activeCell="F18" sqref="F18"/>
    </sheetView>
  </sheetViews>
  <sheetFormatPr defaultColWidth="8.85546875" defaultRowHeight="15"/>
  <cols>
    <col min="1" max="2" width="3.42578125" style="1" customWidth="1"/>
    <col min="3" max="3" width="8.85546875" style="1"/>
    <col min="4" max="4" width="46.140625" style="1" customWidth="1"/>
    <col min="5" max="10" width="8.85546875" style="1"/>
    <col min="11" max="11" width="10" style="1" customWidth="1"/>
    <col min="12" max="16384" width="8.85546875" style="1"/>
  </cols>
  <sheetData>
    <row r="1" spans="3:11" ht="18.75">
      <c r="C1" s="10" t="s">
        <v>648</v>
      </c>
    </row>
    <row r="2" spans="3:11">
      <c r="C2" s="25" t="s">
        <v>6</v>
      </c>
      <c r="G2" s="100">
        <f>Escalators!$P$14</f>
        <v>1.0597841134352426</v>
      </c>
      <c r="H2" s="1" t="s">
        <v>580</v>
      </c>
    </row>
    <row r="3" spans="3:11">
      <c r="C3" s="25"/>
    </row>
    <row r="4" spans="3:11">
      <c r="C4" s="2" t="s">
        <v>693</v>
      </c>
      <c r="E4" s="405" t="s">
        <v>603</v>
      </c>
      <c r="K4" s="17" t="s">
        <v>146</v>
      </c>
    </row>
    <row r="5" spans="3:11">
      <c r="E5" s="357">
        <f>Stub</f>
        <v>44377</v>
      </c>
      <c r="F5" s="357">
        <f>Yr_1</f>
        <v>44742</v>
      </c>
      <c r="G5" s="357">
        <f>Yr_2</f>
        <v>45107</v>
      </c>
      <c r="H5" s="357">
        <f>Yr_3</f>
        <v>45473</v>
      </c>
      <c r="I5" s="357">
        <f>Yr_4</f>
        <v>45838</v>
      </c>
      <c r="J5" s="357">
        <f>Yr_5</f>
        <v>46203</v>
      </c>
      <c r="K5" s="17" t="str">
        <f>NReg_Period</f>
        <v>2022-26</v>
      </c>
    </row>
    <row r="6" spans="3:11">
      <c r="C6" s="6" t="s">
        <v>283</v>
      </c>
      <c r="D6" s="6" t="s">
        <v>416</v>
      </c>
      <c r="E6" s="47">
        <f>Augmentation!CS13</f>
        <v>0</v>
      </c>
      <c r="F6" s="47">
        <f>Augmentation!CT13</f>
        <v>3859.4492768157916</v>
      </c>
      <c r="G6" s="47">
        <f>Augmentation!CU13</f>
        <v>3862.4964542306166</v>
      </c>
      <c r="H6" s="47">
        <f>Augmentation!CV13</f>
        <v>3866.5165826111961</v>
      </c>
      <c r="I6" s="47">
        <f>Augmentation!CW13</f>
        <v>3872.6890437762809</v>
      </c>
      <c r="J6" s="47">
        <f>Augmentation!CX13</f>
        <v>3880.8936029756737</v>
      </c>
      <c r="K6" s="47">
        <f t="shared" ref="K6:K9" si="0">SUM(F6:J6)</f>
        <v>19342.044960409559</v>
      </c>
    </row>
    <row r="7" spans="3:11">
      <c r="C7" s="6" t="s">
        <v>283</v>
      </c>
      <c r="D7" s="6" t="s">
        <v>576</v>
      </c>
      <c r="E7" s="47">
        <f>Augmentation!CS14</f>
        <v>0</v>
      </c>
      <c r="F7" s="47">
        <f>Augmentation!CT14</f>
        <v>3799.1453818655446</v>
      </c>
      <c r="G7" s="47">
        <f>Augmentation!CU14</f>
        <v>3802.144947133263</v>
      </c>
      <c r="H7" s="47">
        <f>Augmentation!CV14</f>
        <v>3806.1022610078958</v>
      </c>
      <c r="I7" s="47">
        <f>Augmentation!CW14</f>
        <v>3812.1782774672761</v>
      </c>
      <c r="J7" s="47">
        <f>Augmentation!CX14</f>
        <v>3820.2546404291784</v>
      </c>
      <c r="K7" s="47">
        <f t="shared" si="0"/>
        <v>19039.825507903159</v>
      </c>
    </row>
    <row r="8" spans="3:11">
      <c r="C8" s="6" t="s">
        <v>283</v>
      </c>
      <c r="D8" s="6" t="s">
        <v>562</v>
      </c>
      <c r="E8" s="47">
        <f>Augmentation!CS15</f>
        <v>0</v>
      </c>
      <c r="F8" s="47">
        <f>Augmentation!CT15</f>
        <v>0</v>
      </c>
      <c r="G8" s="47">
        <f>Augmentation!CU15</f>
        <v>0</v>
      </c>
      <c r="H8" s="47">
        <f>Augmentation!CV15</f>
        <v>0</v>
      </c>
      <c r="I8" s="47">
        <f>Augmentation!CW15</f>
        <v>0</v>
      </c>
      <c r="J8" s="47">
        <f>Augmentation!CX15</f>
        <v>0</v>
      </c>
      <c r="K8" s="47">
        <f t="shared" si="0"/>
        <v>0</v>
      </c>
    </row>
    <row r="9" spans="3:11">
      <c r="C9" s="6" t="s">
        <v>601</v>
      </c>
      <c r="D9" s="6" t="s">
        <v>600</v>
      </c>
      <c r="E9" s="47">
        <f>ICT!BE9</f>
        <v>0</v>
      </c>
      <c r="F9" s="47">
        <f>ICT!BF9</f>
        <v>1256.4213698717813</v>
      </c>
      <c r="G9" s="47">
        <f>ICT!BG9</f>
        <v>1615.7476685043689</v>
      </c>
      <c r="H9" s="47">
        <f>ICT!BH9</f>
        <v>1910.1074312709225</v>
      </c>
      <c r="I9" s="47">
        <f>ICT!BI9</f>
        <v>2280.2999275422953</v>
      </c>
      <c r="J9" s="47">
        <f>ICT!BJ9</f>
        <v>2653.470318792999</v>
      </c>
      <c r="K9" s="47">
        <f t="shared" si="0"/>
        <v>9716.0467159823675</v>
      </c>
    </row>
    <row r="10" spans="3:11">
      <c r="C10" s="414" t="s">
        <v>146</v>
      </c>
      <c r="D10" s="302"/>
      <c r="E10" s="48">
        <f>SUM(E6:E9)</f>
        <v>0</v>
      </c>
      <c r="F10" s="48">
        <f t="shared" ref="F10:K10" si="1">SUM(F6:F9)</f>
        <v>8915.0160285531165</v>
      </c>
      <c r="G10" s="48">
        <f t="shared" si="1"/>
        <v>9280.389069868248</v>
      </c>
      <c r="H10" s="48">
        <f t="shared" si="1"/>
        <v>9582.7262748900139</v>
      </c>
      <c r="I10" s="48">
        <f t="shared" si="1"/>
        <v>9965.1672487858523</v>
      </c>
      <c r="J10" s="48">
        <f t="shared" si="1"/>
        <v>10354.618562197851</v>
      </c>
      <c r="K10" s="48">
        <f t="shared" si="1"/>
        <v>48097.917184295082</v>
      </c>
    </row>
    <row r="12" spans="3:11">
      <c r="C12" s="2" t="s">
        <v>694</v>
      </c>
      <c r="E12" s="405" t="s">
        <v>603</v>
      </c>
      <c r="K12" s="17" t="s">
        <v>146</v>
      </c>
    </row>
    <row r="13" spans="3:11">
      <c r="E13" s="357">
        <v>44377</v>
      </c>
      <c r="F13" s="357">
        <v>44742</v>
      </c>
      <c r="G13" s="357">
        <v>45107</v>
      </c>
      <c r="H13" s="357">
        <v>45473</v>
      </c>
      <c r="I13" s="357">
        <v>45838</v>
      </c>
      <c r="J13" s="357">
        <v>46203</v>
      </c>
      <c r="K13" s="17" t="str">
        <f>NReg_Period</f>
        <v>2022-26</v>
      </c>
    </row>
    <row r="14" spans="3:11">
      <c r="C14" s="6" t="s">
        <v>283</v>
      </c>
      <c r="D14" s="6" t="s">
        <v>416</v>
      </c>
      <c r="E14" s="47">
        <f>E6*$G$2</f>
        <v>0</v>
      </c>
      <c r="F14" s="47">
        <f t="shared" ref="F14:J14" si="2">F6*$G$2</f>
        <v>4090.1830301785117</v>
      </c>
      <c r="G14" s="47">
        <f t="shared" si="2"/>
        <v>4093.4123803935622</v>
      </c>
      <c r="H14" s="47">
        <f t="shared" si="2"/>
        <v>4097.67284858527</v>
      </c>
      <c r="I14" s="47">
        <f t="shared" si="2"/>
        <v>4104.2143248688235</v>
      </c>
      <c r="J14" s="47">
        <f t="shared" si="2"/>
        <v>4112.9093863660792</v>
      </c>
      <c r="K14" s="47">
        <f>SUM(F14:J14)</f>
        <v>20498.391970392244</v>
      </c>
    </row>
    <row r="15" spans="3:11">
      <c r="C15" s="6" t="s">
        <v>283</v>
      </c>
      <c r="D15" s="6" t="s">
        <v>576</v>
      </c>
      <c r="E15" s="47">
        <f t="shared" ref="E15:J15" si="3">E7*$G$2</f>
        <v>0</v>
      </c>
      <c r="F15" s="47">
        <f t="shared" si="3"/>
        <v>4026.2739203319725</v>
      </c>
      <c r="G15" s="47">
        <f t="shared" si="3"/>
        <v>4029.4528119499123</v>
      </c>
      <c r="H15" s="47">
        <f t="shared" si="3"/>
        <v>4033.6467103261252</v>
      </c>
      <c r="I15" s="47">
        <f t="shared" si="3"/>
        <v>4040.0859760427475</v>
      </c>
      <c r="J15" s="47">
        <f t="shared" si="3"/>
        <v>4048.6451772041082</v>
      </c>
      <c r="K15" s="47">
        <f t="shared" ref="K15:K17" si="4">SUM(F15:J15)</f>
        <v>20178.104595854864</v>
      </c>
    </row>
    <row r="16" spans="3:11">
      <c r="C16" s="6" t="s">
        <v>283</v>
      </c>
      <c r="D16" s="6" t="s">
        <v>562</v>
      </c>
      <c r="E16" s="47">
        <f t="shared" ref="E16:J16" si="5">E8*$G$2</f>
        <v>0</v>
      </c>
      <c r="F16" s="47">
        <f t="shared" si="5"/>
        <v>0</v>
      </c>
      <c r="G16" s="47">
        <f t="shared" si="5"/>
        <v>0</v>
      </c>
      <c r="H16" s="47">
        <f t="shared" si="5"/>
        <v>0</v>
      </c>
      <c r="I16" s="47">
        <f t="shared" si="5"/>
        <v>0</v>
      </c>
      <c r="J16" s="47">
        <f t="shared" si="5"/>
        <v>0</v>
      </c>
      <c r="K16" s="47">
        <f t="shared" si="4"/>
        <v>0</v>
      </c>
    </row>
    <row r="17" spans="3:11">
      <c r="C17" s="6" t="s">
        <v>601</v>
      </c>
      <c r="D17" s="6" t="s">
        <v>600</v>
      </c>
      <c r="E17" s="47">
        <f t="shared" ref="E17:J17" si="6">E9*$G$2</f>
        <v>0</v>
      </c>
      <c r="F17" s="47">
        <f t="shared" si="6"/>
        <v>1331.5354075706587</v>
      </c>
      <c r="G17" s="47">
        <f t="shared" si="6"/>
        <v>1712.3437104009629</v>
      </c>
      <c r="H17" s="47">
        <f t="shared" si="6"/>
        <v>2024.3015106155231</v>
      </c>
      <c r="I17" s="47">
        <f t="shared" si="6"/>
        <v>2416.6256370768592</v>
      </c>
      <c r="J17" s="47">
        <f t="shared" si="6"/>
        <v>2812.1056893287691</v>
      </c>
      <c r="K17" s="47">
        <f t="shared" si="4"/>
        <v>10296.911954992773</v>
      </c>
    </row>
    <row r="18" spans="3:11">
      <c r="C18" s="414" t="s">
        <v>146</v>
      </c>
      <c r="D18" s="302"/>
      <c r="E18" s="48">
        <f>SUM(E14:E17)</f>
        <v>0</v>
      </c>
      <c r="F18" s="48">
        <f t="shared" ref="F18" si="7">SUM(F14:F17)</f>
        <v>9447.9923580811428</v>
      </c>
      <c r="G18" s="48">
        <f t="shared" ref="G18" si="8">SUM(G14:G17)</f>
        <v>9835.2089027444381</v>
      </c>
      <c r="H18" s="48">
        <f t="shared" ref="H18" si="9">SUM(H14:H17)</f>
        <v>10155.621069526918</v>
      </c>
      <c r="I18" s="48">
        <f t="shared" ref="I18" si="10">SUM(I14:I17)</f>
        <v>10560.92593798843</v>
      </c>
      <c r="J18" s="48">
        <f t="shared" ref="J18:K18" si="11">SUM(J14:J17)</f>
        <v>10973.660252898957</v>
      </c>
      <c r="K18" s="48">
        <f t="shared" si="11"/>
        <v>50973.408521239879</v>
      </c>
    </row>
  </sheetData>
  <hyperlinks>
    <hyperlink ref="C2" location="Contents!A1" display="Table of Contents" xr:uid="{00000000-0004-0000-22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1:P58"/>
  <sheetViews>
    <sheetView zoomScale="85" zoomScaleNormal="85" workbookViewId="0">
      <selection activeCell="R12" sqref="R12"/>
    </sheetView>
  </sheetViews>
  <sheetFormatPr defaultColWidth="8.85546875" defaultRowHeight="15" outlineLevelCol="1"/>
  <cols>
    <col min="1" max="1" width="4.28515625" style="1" customWidth="1"/>
    <col min="2" max="2" width="3.85546875" style="1" customWidth="1"/>
    <col min="3" max="3" width="29.28515625" style="1" customWidth="1"/>
    <col min="4" max="6" width="9.28515625" style="1" customWidth="1" outlineLevel="1"/>
    <col min="7" max="7" width="8.7109375" style="1" customWidth="1"/>
    <col min="8" max="8" width="9.7109375" style="1" customWidth="1"/>
    <col min="9" max="9" width="10.28515625" style="1" customWidth="1"/>
    <col min="10" max="11" width="10.5703125" style="1" bestFit="1" customWidth="1"/>
    <col min="12" max="14" width="9.7109375" style="1" customWidth="1"/>
    <col min="15" max="15" width="10.7109375" style="1" customWidth="1"/>
    <col min="16" max="16" width="11.140625" style="1" customWidth="1"/>
    <col min="17" max="16384" width="8.85546875" style="1"/>
  </cols>
  <sheetData>
    <row r="1" spans="3:16" ht="18.75">
      <c r="C1" s="10" t="s">
        <v>646</v>
      </c>
      <c r="D1" s="10"/>
      <c r="E1" s="10"/>
      <c r="F1" s="10"/>
    </row>
    <row r="2" spans="3:16">
      <c r="C2" s="25" t="s">
        <v>6</v>
      </c>
      <c r="D2" s="25"/>
      <c r="E2" s="25"/>
      <c r="F2" s="25"/>
    </row>
    <row r="3" spans="3:16">
      <c r="C3" s="1" t="s">
        <v>863</v>
      </c>
      <c r="D3" s="100">
        <f>Escalators!K$17</f>
        <v>1.089065287920217</v>
      </c>
      <c r="E3" s="100">
        <f>Escalators!L$17</f>
        <v>1.075441975284158</v>
      </c>
      <c r="F3" s="100">
        <f>Escalators!M$17</f>
        <v>1.0597841134352426</v>
      </c>
      <c r="G3" s="100">
        <f>Escalators!N$17</f>
        <v>1.0389462882960341</v>
      </c>
      <c r="H3" s="100">
        <f>Escalators!O$17</f>
        <v>1.0202250019521406</v>
      </c>
      <c r="I3" s="100">
        <f>Escalators!P$17</f>
        <v>1</v>
      </c>
      <c r="J3" s="100">
        <f>Escalators!$P$14</f>
        <v>1.0597841134352426</v>
      </c>
    </row>
    <row r="4" spans="3:16">
      <c r="C4" s="2" t="s">
        <v>724</v>
      </c>
      <c r="D4" s="2"/>
      <c r="E4" s="2"/>
      <c r="F4" s="2"/>
      <c r="J4" s="129"/>
    </row>
    <row r="5" spans="3:16">
      <c r="C5" s="1" t="s">
        <v>859</v>
      </c>
      <c r="D5" s="1001" t="s">
        <v>285</v>
      </c>
      <c r="E5" s="1001"/>
      <c r="F5" s="1001"/>
      <c r="G5" s="1001"/>
      <c r="H5" s="1002" t="s">
        <v>286</v>
      </c>
      <c r="I5" s="1003"/>
      <c r="J5" s="992" t="s">
        <v>719</v>
      </c>
      <c r="K5" s="993"/>
      <c r="L5" s="993"/>
      <c r="M5" s="993"/>
      <c r="N5" s="994"/>
      <c r="O5" s="17" t="s">
        <v>146</v>
      </c>
      <c r="P5" s="17" t="s">
        <v>146</v>
      </c>
    </row>
    <row r="6" spans="3:16">
      <c r="C6" s="6" t="s">
        <v>296</v>
      </c>
      <c r="D6" s="17">
        <v>2016</v>
      </c>
      <c r="E6" s="17">
        <v>2017</v>
      </c>
      <c r="F6" s="17">
        <v>2018</v>
      </c>
      <c r="G6" s="17">
        <v>2019</v>
      </c>
      <c r="H6" s="17">
        <v>2020</v>
      </c>
      <c r="I6" s="17" t="s">
        <v>696</v>
      </c>
      <c r="J6" s="17" t="s">
        <v>615</v>
      </c>
      <c r="K6" s="17" t="s">
        <v>616</v>
      </c>
      <c r="L6" s="17" t="s">
        <v>617</v>
      </c>
      <c r="M6" s="17" t="s">
        <v>618</v>
      </c>
      <c r="N6" s="17" t="s">
        <v>619</v>
      </c>
      <c r="O6" s="17" t="str">
        <f>NReg_Period</f>
        <v>2022-26</v>
      </c>
      <c r="P6" s="17" t="s">
        <v>864</v>
      </c>
    </row>
    <row r="7" spans="3:16">
      <c r="C7" s="6" t="s">
        <v>687</v>
      </c>
      <c r="D7" s="755">
        <f>'[7]2a. Direct Capex by Tranche'!C9/Thousands*D$3</f>
        <v>1110.9470708129593</v>
      </c>
      <c r="E7" s="755">
        <f>'[7]2a. Direct Capex by Tranche'!D9/Thousands*E$3</f>
        <v>34553.244692024076</v>
      </c>
      <c r="F7" s="755">
        <f>'[7]2a. Direct Capex by Tranche'!E9/Thousands*F$3</f>
        <v>54700.045422917079</v>
      </c>
      <c r="G7" s="441">
        <v>19910.67419700653</v>
      </c>
      <c r="H7" s="441">
        <v>12134.647311889556</v>
      </c>
      <c r="I7" s="441">
        <v>5690.4977874487813</v>
      </c>
      <c r="J7" s="371">
        <f>SUMIFS(REFCL!CT$6:CT$47,REFCL!$D$6:$D$47,$C7)*$J$3</f>
        <v>0</v>
      </c>
      <c r="K7" s="371">
        <f>SUMIFS(REFCL!CU$6:CU$47,REFCL!$D$6:$D$47,$C7)*$J$3</f>
        <v>0</v>
      </c>
      <c r="L7" s="371">
        <f>SUMIFS(REFCL!CV$6:CV$47,REFCL!$D$6:$D$47,$C7)*$J$3</f>
        <v>0</v>
      </c>
      <c r="M7" s="371">
        <f>SUMIFS(REFCL!CW$6:CW$47,REFCL!$D$6:$D$47,$C7)*$J$3</f>
        <v>0</v>
      </c>
      <c r="N7" s="371">
        <f>SUMIFS(REFCL!CX$6:CX$47,REFCL!$D$6:$D$47,$C7)*$J$3</f>
        <v>0</v>
      </c>
      <c r="O7" s="756">
        <f>SUM(J7:N7)</f>
        <v>0</v>
      </c>
      <c r="P7" s="756">
        <f>SUM(D7:N7)</f>
        <v>128100.05648209898</v>
      </c>
    </row>
    <row r="8" spans="3:16">
      <c r="C8" s="6" t="s">
        <v>688</v>
      </c>
      <c r="D8" s="755">
        <f>'[7]2a. Direct Capex by Tranche'!C10/Thousands*D$3</f>
        <v>49.897235998566771</v>
      </c>
      <c r="E8" s="755">
        <f>'[7]2a. Direct Capex by Tranche'!D10/Thousands*E$3</f>
        <v>868.90199962836641</v>
      </c>
      <c r="F8" s="755">
        <f>'[7]2a. Direct Capex by Tranche'!E10/Thousands*F$3</f>
        <v>10859.075777550301</v>
      </c>
      <c r="G8" s="441">
        <v>63497.001724131376</v>
      </c>
      <c r="H8" s="441">
        <v>84543.185867101391</v>
      </c>
      <c r="I8" s="441">
        <v>16543.167140638612</v>
      </c>
      <c r="J8" s="371">
        <f>SUMIFS(REFCL!CT$6:CT$47,REFCL!$D$6:$D$47,$C8)*$J$3</f>
        <v>8324.2817083380251</v>
      </c>
      <c r="K8" s="371">
        <f>SUMIFS(REFCL!CU$6:CU$47,REFCL!$D$6:$D$47,$C8)*$J$3</f>
        <v>3562.7052712040104</v>
      </c>
      <c r="L8" s="371">
        <f>SUMIFS(REFCL!CV$6:CV$47,REFCL!$D$6:$D$47,$C8)*$J$3</f>
        <v>0</v>
      </c>
      <c r="M8" s="371">
        <f>SUMIFS(REFCL!CW$6:CW$47,REFCL!$D$6:$D$47,$C8)*$J$3</f>
        <v>0</v>
      </c>
      <c r="N8" s="371">
        <f>SUMIFS(REFCL!CX$6:CX$47,REFCL!$D$6:$D$47,$C8)*$J$3</f>
        <v>0</v>
      </c>
      <c r="O8" s="756">
        <f t="shared" ref="O8:O13" si="0">SUM(J8:N8)</f>
        <v>11886.986979542035</v>
      </c>
      <c r="P8" s="756">
        <f t="shared" ref="P8:P11" si="1">SUM(D8:N8)</f>
        <v>188248.21672459063</v>
      </c>
    </row>
    <row r="9" spans="3:16">
      <c r="C9" s="6" t="s">
        <v>405</v>
      </c>
      <c r="D9" s="755">
        <f>'[7]2a. Direct Capex by Tranche'!C11/Thousands*D$3</f>
        <v>15.480551207100561</v>
      </c>
      <c r="E9" s="755">
        <f>'[7]2a. Direct Capex by Tranche'!D11/Thousands*E$3</f>
        <v>4.1884270713614349</v>
      </c>
      <c r="F9" s="755">
        <f>'[7]2a. Direct Capex by Tranche'!E11/Thousands*F$3</f>
        <v>271.02468508744681</v>
      </c>
      <c r="G9" s="441">
        <v>7609.1505232811587</v>
      </c>
      <c r="H9" s="441">
        <v>8292.4481561519005</v>
      </c>
      <c r="I9" s="441">
        <f>15351.9300876689-I11</f>
        <v>13344.513467694936</v>
      </c>
      <c r="J9" s="371">
        <f>SUMIFS(REFCL!CT$6:CT$47,REFCL!$D$6:$D$47,$C9)*$J$3</f>
        <v>27161.730274639554</v>
      </c>
      <c r="K9" s="371">
        <f>SUMIFS(REFCL!CU$6:CU$47,REFCL!$D$6:$D$47,$C9)*$J$3</f>
        <v>9991.2140314779917</v>
      </c>
      <c r="L9" s="371">
        <f>SUMIFS(REFCL!CV$6:CV$47,REFCL!$D$6:$D$47,$C9)*$J$3</f>
        <v>0</v>
      </c>
      <c r="M9" s="371">
        <f>SUMIFS(REFCL!CW$6:CW$47,REFCL!$D$6:$D$47,$C9)*$J$3</f>
        <v>0</v>
      </c>
      <c r="N9" s="371">
        <f>SUMIFS(REFCL!CX$6:CX$47,REFCL!$D$6:$D$47,$C9)*$J$3</f>
        <v>0</v>
      </c>
      <c r="O9" s="756">
        <f t="shared" si="0"/>
        <v>37152.944306117548</v>
      </c>
      <c r="P9" s="756">
        <f t="shared" si="1"/>
        <v>66689.750116611453</v>
      </c>
    </row>
    <row r="10" spans="3:16">
      <c r="C10" s="943" t="s">
        <v>830</v>
      </c>
      <c r="D10" s="75"/>
      <c r="E10" s="75"/>
      <c r="F10" s="75"/>
      <c r="G10" s="441">
        <v>0</v>
      </c>
      <c r="H10" s="441">
        <v>0</v>
      </c>
      <c r="I10" s="441">
        <v>0</v>
      </c>
      <c r="J10" s="942">
        <f>SUMIFS(REFCL!CT$6:CT$47,REFCL!$D$6:$D$47,$C10)*$J$3</f>
        <v>-5178.3004027366214</v>
      </c>
      <c r="K10" s="942">
        <f>SUMIFS(REFCL!CU$6:CU$47,REFCL!$D$6:$D$47,$C10)*$J$3</f>
        <v>-2960.5702777007768</v>
      </c>
      <c r="L10" s="944">
        <f>SUMIFS(REFCL!CV$6:CV$47,REFCL!$D$6:$D$47,$C10)*$J$3</f>
        <v>0</v>
      </c>
      <c r="M10" s="944">
        <f>SUMIFS(REFCL!CW$6:CW$47,REFCL!$D$6:$D$47,$C10)*$J$3</f>
        <v>0</v>
      </c>
      <c r="N10" s="944">
        <f>SUMIFS(REFCL!CX$6:CX$47,REFCL!$D$6:$D$47,$C10)*$J$3</f>
        <v>0</v>
      </c>
      <c r="O10" s="942">
        <f t="shared" si="0"/>
        <v>-8138.8706804373978</v>
      </c>
      <c r="P10" s="942">
        <f t="shared" si="1"/>
        <v>-8138.8706804373978</v>
      </c>
    </row>
    <row r="11" spans="3:16">
      <c r="C11" s="943" t="s">
        <v>829</v>
      </c>
      <c r="D11" s="75"/>
      <c r="E11" s="75"/>
      <c r="F11" s="75"/>
      <c r="G11" s="441"/>
      <c r="H11" s="441"/>
      <c r="I11" s="941">
        <f>SUMIFS(REFCL!CS$6:CS$47,REFCL!$D$6:$D$47,$C11)*$J$3</f>
        <v>2007.4166199739634</v>
      </c>
      <c r="J11" s="941">
        <f>SUMIFS(REFCL!CT$6:CT$47,REFCL!$D$6:$D$47,$C11)*$J$3</f>
        <v>18497.71551745553</v>
      </c>
      <c r="K11" s="941">
        <f>SUMIFS(REFCL!CU$6:CU$47,REFCL!$D$6:$D$47,$C11)*$J$3</f>
        <v>20072.502314254139</v>
      </c>
      <c r="L11" s="944">
        <f>SUMIFS(REFCL!CV$6:CV$47,REFCL!$D$6:$D$47,$C11)*$J$3</f>
        <v>0</v>
      </c>
      <c r="M11" s="944">
        <f>SUMIFS(REFCL!CW$6:CW$47,REFCL!$D$6:$D$47,$C11)*$J$3</f>
        <v>0</v>
      </c>
      <c r="N11" s="944">
        <f>SUMIFS(REFCL!CX$6:CX$47,REFCL!$D$6:$D$47,$C11)*$J$3</f>
        <v>0</v>
      </c>
      <c r="O11" s="942">
        <f t="shared" si="0"/>
        <v>38570.21783170967</v>
      </c>
      <c r="P11" s="942">
        <f t="shared" si="1"/>
        <v>40577.634451683633</v>
      </c>
    </row>
    <row r="12" spans="3:16">
      <c r="C12" s="8" t="s">
        <v>730</v>
      </c>
      <c r="D12" s="488">
        <f t="shared" ref="D12:F12" si="2">SUM(D7:D11)</f>
        <v>1176.3248580186266</v>
      </c>
      <c r="E12" s="488">
        <f t="shared" si="2"/>
        <v>35426.335118723808</v>
      </c>
      <c r="F12" s="488">
        <f t="shared" si="2"/>
        <v>65830.145885554826</v>
      </c>
      <c r="G12" s="488">
        <f t="shared" ref="G12:I12" si="3">SUM(G7:G11)</f>
        <v>91016.826444419072</v>
      </c>
      <c r="H12" s="488">
        <f t="shared" si="3"/>
        <v>104970.28133514285</v>
      </c>
      <c r="I12" s="488">
        <f t="shared" si="3"/>
        <v>37585.595015756291</v>
      </c>
      <c r="J12" s="488">
        <f>SUM(J7:J11)</f>
        <v>48805.427097696491</v>
      </c>
      <c r="K12" s="488">
        <f t="shared" ref="K12:O12" si="4">SUM(K7:K11)</f>
        <v>30665.851339235363</v>
      </c>
      <c r="L12" s="488">
        <f t="shared" si="4"/>
        <v>0</v>
      </c>
      <c r="M12" s="488">
        <f t="shared" si="4"/>
        <v>0</v>
      </c>
      <c r="N12" s="488">
        <f t="shared" si="4"/>
        <v>0</v>
      </c>
      <c r="O12" s="488">
        <f t="shared" si="4"/>
        <v>79471.278436931854</v>
      </c>
      <c r="P12" s="488">
        <f t="shared" ref="P12" si="5">SUM(P7:P11)</f>
        <v>415476.7870945473</v>
      </c>
    </row>
    <row r="13" spans="3:16">
      <c r="C13" s="6" t="s">
        <v>645</v>
      </c>
      <c r="D13" s="6"/>
      <c r="E13" s="6"/>
      <c r="F13" s="6"/>
      <c r="G13" s="450">
        <f>SUMIFS(Augmentation!CQ$6:CQ$37,Augmentation!$B$6:$B$37,$C13)</f>
        <v>0</v>
      </c>
      <c r="H13" s="371">
        <f>SUMIFS(Augmentation!CR$6:CR$37,Augmentation!$B$6:$B$37,$C13)</f>
        <v>0</v>
      </c>
      <c r="I13" s="371">
        <f>SUMIFS(Augmentation!CS$6:CS$37,Augmentation!$B$6:$B$37,$C13)</f>
        <v>0</v>
      </c>
      <c r="J13" s="371">
        <f>SUMIFS(Augmentation!CT$6:CT$37,Augmentation!$B$6:$B$37,$C13)*$J$3</f>
        <v>27614.250395284591</v>
      </c>
      <c r="K13" s="371">
        <f>SUMIFS(Augmentation!CU$6:CU$37,Augmentation!$B$6:$B$37,$C13)*$J$3</f>
        <v>32265.370564958161</v>
      </c>
      <c r="L13" s="371">
        <f>SUMIFS(Augmentation!CV$6:CV$37,Augmentation!$B$6:$B$37,$C13)*$J$3</f>
        <v>6730.5609428606604</v>
      </c>
      <c r="M13" s="371">
        <f>SUMIFS(Augmentation!CW$6:CW$37,Augmentation!$B$6:$B$37,$C13)*$J$3</f>
        <v>2890.9493184862613</v>
      </c>
      <c r="N13" s="371">
        <f>SUMIFS(Augmentation!CX$6:CX$37,Augmentation!$B$6:$B$37,$C13)*$J$3</f>
        <v>2172.8054957066824</v>
      </c>
      <c r="O13" s="756">
        <f t="shared" si="0"/>
        <v>71673.936717296354</v>
      </c>
      <c r="P13" s="756">
        <f>SUM(D13:N13)</f>
        <v>71673.936717296354</v>
      </c>
    </row>
    <row r="14" spans="3:16">
      <c r="C14" s="8" t="s">
        <v>647</v>
      </c>
      <c r="D14" s="413">
        <f t="shared" ref="D14:F14" si="6">SUM(D12:D13)</f>
        <v>1176.3248580186266</v>
      </c>
      <c r="E14" s="413">
        <f t="shared" si="6"/>
        <v>35426.335118723808</v>
      </c>
      <c r="F14" s="413">
        <f t="shared" si="6"/>
        <v>65830.145885554826</v>
      </c>
      <c r="G14" s="413">
        <f>SUM(G12:G13)</f>
        <v>91016.826444419072</v>
      </c>
      <c r="H14" s="413">
        <f t="shared" ref="H14:O14" si="7">SUM(H12:H13)</f>
        <v>104970.28133514285</v>
      </c>
      <c r="I14" s="413">
        <f t="shared" si="7"/>
        <v>37585.595015756291</v>
      </c>
      <c r="J14" s="413">
        <f t="shared" si="7"/>
        <v>76419.677492981078</v>
      </c>
      <c r="K14" s="413">
        <f t="shared" si="7"/>
        <v>62931.221904193524</v>
      </c>
      <c r="L14" s="413">
        <f t="shared" si="7"/>
        <v>6730.5609428606604</v>
      </c>
      <c r="M14" s="413">
        <f t="shared" si="7"/>
        <v>2890.9493184862613</v>
      </c>
      <c r="N14" s="413">
        <f t="shared" si="7"/>
        <v>2172.8054957066824</v>
      </c>
      <c r="O14" s="413">
        <f t="shared" si="7"/>
        <v>151145.21515422821</v>
      </c>
      <c r="P14" s="413">
        <f t="shared" ref="P14" si="8">SUM(P12:P13)</f>
        <v>487150.72381184367</v>
      </c>
    </row>
    <row r="15" spans="3:16">
      <c r="C15" s="840" t="s">
        <v>782</v>
      </c>
      <c r="D15" s="158">
        <f>D14-'Capex_2016-2026'!E105*Thousands</f>
        <v>0</v>
      </c>
      <c r="E15" s="158">
        <f>E14-'Capex_2016-2026'!F105*Thousands</f>
        <v>0</v>
      </c>
      <c r="F15" s="158">
        <f>F14-'Capex_2016-2026'!G105*Thousands</f>
        <v>0</v>
      </c>
      <c r="G15" s="158">
        <f>G14-'Capex_2016-2026'!H105*Thousands</f>
        <v>0</v>
      </c>
      <c r="H15" s="158">
        <f>H14-'Capex_2016-2026'!I105*Thousands</f>
        <v>0</v>
      </c>
      <c r="I15" s="759">
        <f>I14-SUM('Capex_2016-2026'!J48:J49)*Thousands</f>
        <v>0</v>
      </c>
      <c r="J15" s="759">
        <f>J14-SUM('Capex_2016-2026'!K48:K49)*Thousands</f>
        <v>0</v>
      </c>
      <c r="K15" s="759">
        <f>K14-SUM('Capex_2016-2026'!L48:L49)*Thousands</f>
        <v>0</v>
      </c>
      <c r="L15" s="759">
        <f>L14-SUM('Capex_2016-2026'!M48:M49)*Thousands</f>
        <v>0</v>
      </c>
      <c r="M15" s="759">
        <f>M14-SUM('Capex_2016-2026'!N48:N49)*Thousands</f>
        <v>0</v>
      </c>
      <c r="N15" s="759">
        <f>N14-SUM('Capex_2016-2026'!O48:O49)*Thousands</f>
        <v>0</v>
      </c>
      <c r="O15" s="759">
        <f>O14-SUM('Capex_2016-2026'!P48:P49)*Thousands</f>
        <v>0</v>
      </c>
    </row>
    <row r="16" spans="3:16">
      <c r="C16" s="2" t="s">
        <v>725</v>
      </c>
      <c r="D16" s="2"/>
      <c r="E16" s="2"/>
      <c r="F16" s="2"/>
    </row>
    <row r="17" spans="3:15">
      <c r="C17" s="1" t="s">
        <v>859</v>
      </c>
      <c r="I17" s="992" t="s">
        <v>719</v>
      </c>
      <c r="J17" s="993"/>
      <c r="K17" s="993"/>
      <c r="L17" s="993"/>
      <c r="M17" s="994"/>
      <c r="N17" s="17" t="s">
        <v>146</v>
      </c>
    </row>
    <row r="18" spans="3:15">
      <c r="C18" s="6" t="s">
        <v>296</v>
      </c>
      <c r="D18" s="17" t="s">
        <v>862</v>
      </c>
      <c r="E18" s="17" t="s">
        <v>861</v>
      </c>
      <c r="F18" s="17" t="s">
        <v>860</v>
      </c>
      <c r="G18" s="17" t="s">
        <v>620</v>
      </c>
      <c r="H18" s="17" t="s">
        <v>614</v>
      </c>
      <c r="I18" s="17" t="s">
        <v>615</v>
      </c>
      <c r="J18" s="17" t="s">
        <v>616</v>
      </c>
      <c r="K18" s="17" t="s">
        <v>617</v>
      </c>
      <c r="L18" s="17" t="s">
        <v>618</v>
      </c>
      <c r="M18" s="17" t="s">
        <v>619</v>
      </c>
      <c r="N18" s="17" t="str">
        <f>NReg_Period</f>
        <v>2022-26</v>
      </c>
    </row>
    <row r="19" spans="3:15">
      <c r="C19" s="6" t="s">
        <v>687</v>
      </c>
      <c r="D19" s="441">
        <f t="shared" ref="D19" si="9">0.5*E7+0.5*D7</f>
        <v>17832.095881418518</v>
      </c>
      <c r="E19" s="441">
        <f t="shared" ref="E19:F19" si="10">0.5*F7+0.5*E7</f>
        <v>44626.645057470581</v>
      </c>
      <c r="F19" s="441">
        <f t="shared" si="10"/>
        <v>37305.359809961803</v>
      </c>
      <c r="G19" s="441">
        <f>0.5*H7+0.5*G7</f>
        <v>16022.660754448043</v>
      </c>
      <c r="H19" s="441">
        <f>I7+0.5*H7</f>
        <v>11757.821443393559</v>
      </c>
      <c r="I19" s="441">
        <f>J7</f>
        <v>0</v>
      </c>
      <c r="J19" s="441">
        <f t="shared" ref="J19:M19" si="11">K7</f>
        <v>0</v>
      </c>
      <c r="K19" s="441">
        <f t="shared" si="11"/>
        <v>0</v>
      </c>
      <c r="L19" s="441">
        <f t="shared" si="11"/>
        <v>0</v>
      </c>
      <c r="M19" s="441">
        <f t="shared" si="11"/>
        <v>0</v>
      </c>
      <c r="N19" s="412">
        <f>SUM(I19:M19)</f>
        <v>0</v>
      </c>
      <c r="O19" s="158"/>
    </row>
    <row r="20" spans="3:15">
      <c r="C20" s="6" t="s">
        <v>688</v>
      </c>
      <c r="D20" s="441">
        <f t="shared" ref="D20" si="12">0.5*E8+0.5*D8</f>
        <v>459.39961781346659</v>
      </c>
      <c r="E20" s="441">
        <f t="shared" ref="E20:F20" si="13">0.5*F8+0.5*E8</f>
        <v>5863.9888885893333</v>
      </c>
      <c r="F20" s="441">
        <f t="shared" si="13"/>
        <v>37178.038750840838</v>
      </c>
      <c r="G20" s="441">
        <f>0.5*H8+0.5*G8</f>
        <v>74020.093795616383</v>
      </c>
      <c r="H20" s="441">
        <f>I8+0.5*H8</f>
        <v>58814.760074189311</v>
      </c>
      <c r="I20" s="441">
        <f t="shared" ref="I20:M20" si="14">J8</f>
        <v>8324.2817083380251</v>
      </c>
      <c r="J20" s="441">
        <f t="shared" si="14"/>
        <v>3562.7052712040104</v>
      </c>
      <c r="K20" s="441">
        <f t="shared" si="14"/>
        <v>0</v>
      </c>
      <c r="L20" s="441">
        <f t="shared" si="14"/>
        <v>0</v>
      </c>
      <c r="M20" s="441">
        <f t="shared" si="14"/>
        <v>0</v>
      </c>
      <c r="N20" s="412">
        <f t="shared" ref="N20:N25" si="15">SUM(I20:M20)</f>
        <v>11886.986979542035</v>
      </c>
      <c r="O20" s="158"/>
    </row>
    <row r="21" spans="3:15">
      <c r="C21" s="6" t="s">
        <v>405</v>
      </c>
      <c r="D21" s="441">
        <f t="shared" ref="D21" si="16">0.5*E9+0.5*D9</f>
        <v>9.8344891392309979</v>
      </c>
      <c r="E21" s="441">
        <f t="shared" ref="E21:F21" si="17">0.5*F9+0.5*E9</f>
        <v>137.60655607940413</v>
      </c>
      <c r="F21" s="441">
        <f t="shared" si="17"/>
        <v>3940.0876041843026</v>
      </c>
      <c r="G21" s="441">
        <f>0.5*H9+0.5*G9</f>
        <v>7950.7993397165301</v>
      </c>
      <c r="H21" s="441">
        <f>I9+0.5*H9</f>
        <v>17490.737545770888</v>
      </c>
      <c r="I21" s="441">
        <f t="shared" ref="I21:M21" si="18">J9</f>
        <v>27161.730274639554</v>
      </c>
      <c r="J21" s="441">
        <f t="shared" si="18"/>
        <v>9991.2140314779917</v>
      </c>
      <c r="K21" s="441">
        <f t="shared" si="18"/>
        <v>0</v>
      </c>
      <c r="L21" s="441">
        <f t="shared" si="18"/>
        <v>0</v>
      </c>
      <c r="M21" s="441">
        <f t="shared" si="18"/>
        <v>0</v>
      </c>
      <c r="N21" s="412">
        <f t="shared" si="15"/>
        <v>37152.944306117548</v>
      </c>
      <c r="O21" s="158"/>
    </row>
    <row r="22" spans="3:15">
      <c r="C22" s="943" t="s">
        <v>830</v>
      </c>
      <c r="D22" s="441">
        <f t="shared" ref="D22" si="19">0.5*E10+0.5*D10</f>
        <v>0</v>
      </c>
      <c r="E22" s="441">
        <f t="shared" ref="E22:F22" si="20">0.5*F10+0.5*E10</f>
        <v>0</v>
      </c>
      <c r="F22" s="441">
        <f t="shared" si="20"/>
        <v>0</v>
      </c>
      <c r="G22" s="441">
        <f>0.5*H10+0.5*G10</f>
        <v>0</v>
      </c>
      <c r="H22" s="941">
        <f>I10+0.5*H10</f>
        <v>0</v>
      </c>
      <c r="I22" s="942">
        <f t="shared" ref="I22" si="21">J10</f>
        <v>-5178.3004027366214</v>
      </c>
      <c r="J22" s="942">
        <f t="shared" ref="J22" si="22">K10</f>
        <v>-2960.5702777007768</v>
      </c>
      <c r="K22" s="941">
        <f t="shared" ref="K22" si="23">L10</f>
        <v>0</v>
      </c>
      <c r="L22" s="941">
        <f t="shared" ref="L22" si="24">M10</f>
        <v>0</v>
      </c>
      <c r="M22" s="941">
        <f t="shared" ref="M22" si="25">N10</f>
        <v>0</v>
      </c>
      <c r="N22" s="942">
        <f t="shared" ref="N22" si="26">SUM(I22:M22)</f>
        <v>-8138.8706804373978</v>
      </c>
      <c r="O22" s="158"/>
    </row>
    <row r="23" spans="3:15">
      <c r="C23" s="943" t="s">
        <v>829</v>
      </c>
      <c r="D23" s="441">
        <f t="shared" ref="D23" si="27">0.5*E11+0.5*D11</f>
        <v>0</v>
      </c>
      <c r="E23" s="441">
        <f t="shared" ref="E23:F23" si="28">0.5*F11+0.5*E11</f>
        <v>0</v>
      </c>
      <c r="F23" s="441">
        <f t="shared" si="28"/>
        <v>0</v>
      </c>
      <c r="G23" s="441">
        <f>0.5*H11+0.5*G11</f>
        <v>0</v>
      </c>
      <c r="H23" s="941">
        <f>I11+0.5*H11</f>
        <v>2007.4166199739634</v>
      </c>
      <c r="I23" s="941">
        <f t="shared" ref="I23" si="29">J11</f>
        <v>18497.71551745553</v>
      </c>
      <c r="J23" s="941">
        <f t="shared" ref="J23" si="30">K11</f>
        <v>20072.502314254139</v>
      </c>
      <c r="K23" s="941">
        <f t="shared" ref="K23" si="31">L11</f>
        <v>0</v>
      </c>
      <c r="L23" s="941">
        <f t="shared" ref="L23" si="32">M11</f>
        <v>0</v>
      </c>
      <c r="M23" s="941">
        <f t="shared" ref="M23" si="33">N11</f>
        <v>0</v>
      </c>
      <c r="N23" s="945">
        <f t="shared" ref="N23" si="34">SUM(I23:M23)</f>
        <v>38570.21783170967</v>
      </c>
      <c r="O23" s="158"/>
    </row>
    <row r="24" spans="3:15">
      <c r="C24" s="8" t="s">
        <v>730</v>
      </c>
      <c r="D24" s="488">
        <f t="shared" ref="D24:N24" si="35">SUM(D19:D23)</f>
        <v>18301.329988371213</v>
      </c>
      <c r="E24" s="488">
        <f t="shared" si="35"/>
        <v>50628.240502139313</v>
      </c>
      <c r="F24" s="488">
        <f t="shared" si="35"/>
        <v>78423.486164986942</v>
      </c>
      <c r="G24" s="488">
        <f t="shared" si="35"/>
        <v>97993.553889780946</v>
      </c>
      <c r="H24" s="488">
        <f t="shared" si="35"/>
        <v>90070.73568332773</v>
      </c>
      <c r="I24" s="488">
        <f t="shared" si="35"/>
        <v>48805.427097696491</v>
      </c>
      <c r="J24" s="488">
        <f t="shared" si="35"/>
        <v>30665.851339235363</v>
      </c>
      <c r="K24" s="488">
        <f t="shared" si="35"/>
        <v>0</v>
      </c>
      <c r="L24" s="488">
        <f t="shared" si="35"/>
        <v>0</v>
      </c>
      <c r="M24" s="488">
        <f t="shared" si="35"/>
        <v>0</v>
      </c>
      <c r="N24" s="488">
        <f t="shared" si="35"/>
        <v>79471.278436931854</v>
      </c>
      <c r="O24" s="158"/>
    </row>
    <row r="25" spans="3:15">
      <c r="C25" s="6" t="s">
        <v>645</v>
      </c>
      <c r="D25" s="441">
        <f t="shared" ref="D25:E25" si="36">0.5*E13+0.5*D13</f>
        <v>0</v>
      </c>
      <c r="E25" s="441">
        <f t="shared" si="36"/>
        <v>0</v>
      </c>
      <c r="F25" s="441">
        <f t="shared" ref="F25" si="37">0.5*G13+0.5*F13</f>
        <v>0</v>
      </c>
      <c r="G25" s="441">
        <f t="shared" ref="G25" si="38">0.5*H13+0.5*G13</f>
        <v>0</v>
      </c>
      <c r="H25" s="441">
        <f t="shared" ref="H25" si="39">I13+0.5*H13</f>
        <v>0</v>
      </c>
      <c r="I25" s="441">
        <f t="shared" ref="I25:M25" si="40">J13</f>
        <v>27614.250395284591</v>
      </c>
      <c r="J25" s="441">
        <f t="shared" si="40"/>
        <v>32265.370564958161</v>
      </c>
      <c r="K25" s="441">
        <f t="shared" si="40"/>
        <v>6730.5609428606604</v>
      </c>
      <c r="L25" s="441">
        <f t="shared" si="40"/>
        <v>2890.9493184862613</v>
      </c>
      <c r="M25" s="441">
        <f t="shared" si="40"/>
        <v>2172.8054957066824</v>
      </c>
      <c r="N25" s="412">
        <f t="shared" si="15"/>
        <v>71673.936717296354</v>
      </c>
      <c r="O25" s="158"/>
    </row>
    <row r="26" spans="3:15">
      <c r="C26" s="8" t="s">
        <v>647</v>
      </c>
      <c r="D26" s="413">
        <f t="shared" ref="D26:F26" si="41">SUM(D24:D25)</f>
        <v>18301.329988371213</v>
      </c>
      <c r="E26" s="413">
        <f t="shared" si="41"/>
        <v>50628.240502139313</v>
      </c>
      <c r="F26" s="413">
        <f t="shared" si="41"/>
        <v>78423.486164986942</v>
      </c>
      <c r="G26" s="413">
        <f>SUM(G24:G25)</f>
        <v>97993.553889780946</v>
      </c>
      <c r="H26" s="413">
        <f t="shared" ref="H26:N26" si="42">SUM(H24:H25)</f>
        <v>90070.73568332773</v>
      </c>
      <c r="I26" s="413">
        <f t="shared" si="42"/>
        <v>76419.677492981078</v>
      </c>
      <c r="J26" s="413">
        <f t="shared" si="42"/>
        <v>62931.221904193524</v>
      </c>
      <c r="K26" s="413">
        <f t="shared" si="42"/>
        <v>6730.5609428606604</v>
      </c>
      <c r="L26" s="413">
        <f t="shared" si="42"/>
        <v>2890.9493184862613</v>
      </c>
      <c r="M26" s="413">
        <f t="shared" si="42"/>
        <v>2172.8054957066824</v>
      </c>
      <c r="N26" s="413">
        <f t="shared" si="42"/>
        <v>151145.21515422821</v>
      </c>
      <c r="O26" s="158"/>
    </row>
    <row r="28" spans="3:15">
      <c r="C28" s="2" t="s">
        <v>728</v>
      </c>
      <c r="D28" s="2"/>
      <c r="E28" s="2"/>
      <c r="F28" s="2"/>
    </row>
    <row r="29" spans="3:15">
      <c r="C29" s="162" t="s">
        <v>858</v>
      </c>
      <c r="D29" s="1001" t="s">
        <v>285</v>
      </c>
      <c r="E29" s="1001"/>
      <c r="F29" s="1001"/>
      <c r="G29" s="1001"/>
      <c r="H29" s="1002" t="s">
        <v>286</v>
      </c>
      <c r="I29" s="1003"/>
      <c r="J29" s="992" t="s">
        <v>719</v>
      </c>
      <c r="K29" s="993"/>
      <c r="L29" s="993"/>
      <c r="M29" s="993"/>
      <c r="N29" s="994"/>
      <c r="O29" s="17" t="s">
        <v>146</v>
      </c>
    </row>
    <row r="30" spans="3:15">
      <c r="C30" s="2" t="s">
        <v>451</v>
      </c>
      <c r="D30" s="17">
        <v>2016</v>
      </c>
      <c r="E30" s="17">
        <v>2017</v>
      </c>
      <c r="F30" s="17">
        <v>2018</v>
      </c>
      <c r="G30" s="17">
        <v>2019</v>
      </c>
      <c r="H30" s="17">
        <v>2020</v>
      </c>
      <c r="I30" s="17" t="s">
        <v>696</v>
      </c>
      <c r="J30" s="17" t="s">
        <v>615</v>
      </c>
      <c r="K30" s="17" t="s">
        <v>616</v>
      </c>
      <c r="L30" s="17" t="s">
        <v>617</v>
      </c>
      <c r="M30" s="17" t="s">
        <v>618</v>
      </c>
      <c r="N30" s="17" t="s">
        <v>619</v>
      </c>
      <c r="O30" s="17" t="s">
        <v>864</v>
      </c>
    </row>
    <row r="31" spans="3:15">
      <c r="C31" s="6" t="s">
        <v>33</v>
      </c>
      <c r="D31" s="755">
        <f>'Capex_2016-2026'!E100*Thousands</f>
        <v>1078.7771059582922</v>
      </c>
      <c r="E31" s="755">
        <f>'Capex_2016-2026'!F100*Thousands</f>
        <v>26171.423534474245</v>
      </c>
      <c r="F31" s="755">
        <f>'Capex_2016-2026'!G100*Thousands</f>
        <v>55565.98469970774</v>
      </c>
      <c r="G31" s="755">
        <f>'Capex_2016-2026'!H100*Thousands</f>
        <v>77888.333597481993</v>
      </c>
      <c r="H31" s="755">
        <f>'Capex_2016-2026'!I100*Thousands</f>
        <v>88035.067106941933</v>
      </c>
      <c r="I31" s="755">
        <f>'Capex_2016-2026'!J100*Thousands</f>
        <v>26140.489165794268</v>
      </c>
      <c r="J31" s="371">
        <f>SUM(Safety!Q28:Q30)*$J$3</f>
        <v>37661.767519809233</v>
      </c>
      <c r="K31" s="371">
        <f>SUM(Safety!R28:R30)*$J$3</f>
        <v>25543.023393536634</v>
      </c>
      <c r="L31" s="371">
        <f>SUM(Safety!S28:S30)*$J$3</f>
        <v>0</v>
      </c>
      <c r="M31" s="371">
        <f>SUM(Safety!T28:T30)*$J$3</f>
        <v>0</v>
      </c>
      <c r="N31" s="371">
        <f>SUM(Safety!U28:U30)*$J$3</f>
        <v>0</v>
      </c>
      <c r="O31" s="756">
        <f>SUM(D31:N31)</f>
        <v>338084.86612370436</v>
      </c>
    </row>
    <row r="32" spans="3:15">
      <c r="C32" s="6" t="s">
        <v>726</v>
      </c>
      <c r="D32" s="755">
        <f>'Capex_2016-2026'!E101*Thousands</f>
        <v>97.547752060334375</v>
      </c>
      <c r="E32" s="755">
        <f>'Capex_2016-2026'!F101*Thousands</f>
        <v>9204.8148944712502</v>
      </c>
      <c r="F32" s="755">
        <f>'Capex_2016-2026'!G101*Thousands</f>
        <v>10157.331767860465</v>
      </c>
      <c r="G32" s="755">
        <f>'Capex_2016-2026'!H101*Thousands</f>
        <v>13128.492846937097</v>
      </c>
      <c r="H32" s="755">
        <f>'Capex_2016-2026'!I101*Thousands</f>
        <v>16313.113060632613</v>
      </c>
      <c r="I32" s="755">
        <f>'Capex_2016-2026'!J101*Thousands</f>
        <v>10185.400316075589</v>
      </c>
      <c r="J32" s="371">
        <f>SUM(Safety!G28:G30)*$J$3</f>
        <v>10464.192178765521</v>
      </c>
      <c r="K32" s="371">
        <f>SUM(Safety!H28:H30)*$J$3</f>
        <v>5122.8279456987293</v>
      </c>
      <c r="L32" s="371">
        <f>SUM(Safety!I28:I30)*$J$3</f>
        <v>0</v>
      </c>
      <c r="M32" s="371">
        <f>SUM(Safety!J28:J30)*$J$3</f>
        <v>0</v>
      </c>
      <c r="N32" s="371">
        <f>SUM(Safety!K28:K30)*$J$3</f>
        <v>0</v>
      </c>
      <c r="O32" s="756">
        <f t="shared" ref="O32:O35" si="43">SUM(D32:N32)</f>
        <v>74673.720762501587</v>
      </c>
    </row>
    <row r="33" spans="3:15">
      <c r="C33" s="6" t="s">
        <v>857</v>
      </c>
      <c r="D33" s="755">
        <f>'Capex_2016-2026'!E102*Thousands</f>
        <v>0</v>
      </c>
      <c r="E33" s="755">
        <f>'Capex_2016-2026'!F102*Thousands</f>
        <v>0</v>
      </c>
      <c r="F33" s="755">
        <f>'Capex_2016-2026'!G102*Thousands</f>
        <v>0</v>
      </c>
      <c r="G33" s="755">
        <f>'Capex_2016-2026'!H102*Thousands</f>
        <v>0</v>
      </c>
      <c r="H33" s="755">
        <f>'Capex_2016-2026'!I102*Thousands</f>
        <v>622.1011675682829</v>
      </c>
      <c r="I33" s="755">
        <f>'Capex_2016-2026'!J102*Thousands</f>
        <v>1259.7055338864104</v>
      </c>
      <c r="J33" s="371">
        <f>Safety!G42*$J$3</f>
        <v>0</v>
      </c>
      <c r="K33" s="371">
        <f>Safety!H42*$J$3</f>
        <v>0</v>
      </c>
      <c r="L33" s="487">
        <v>0</v>
      </c>
      <c r="M33" s="487">
        <v>0</v>
      </c>
      <c r="N33" s="487">
        <v>0</v>
      </c>
      <c r="O33" s="756">
        <f t="shared" si="43"/>
        <v>1881.8067014546932</v>
      </c>
    </row>
    <row r="34" spans="3:15">
      <c r="C34" s="6" t="s">
        <v>856</v>
      </c>
      <c r="D34" s="755">
        <f>'Capex_2016-2026'!E103*Thousands</f>
        <v>0</v>
      </c>
      <c r="E34" s="755">
        <f>'Capex_2016-2026'!F103*Thousands</f>
        <v>0</v>
      </c>
      <c r="F34" s="755">
        <f>'Capex_2016-2026'!G103*Thousands</f>
        <v>106.82941798661275</v>
      </c>
      <c r="G34" s="755">
        <f>'Capex_2016-2026'!H103*Thousands</f>
        <v>0</v>
      </c>
      <c r="H34" s="755">
        <f>'Capex_2016-2026'!I103*Thousands</f>
        <v>0</v>
      </c>
      <c r="I34" s="755">
        <f>'Capex_2016-2026'!J103*Thousands</f>
        <v>0</v>
      </c>
      <c r="J34" s="371">
        <f>Safety!G43*$J$3</f>
        <v>0</v>
      </c>
      <c r="K34" s="371">
        <f>Safety!H43*$J$3</f>
        <v>0</v>
      </c>
      <c r="L34" s="487">
        <v>0</v>
      </c>
      <c r="M34" s="487">
        <v>0</v>
      </c>
      <c r="N34" s="487">
        <v>0</v>
      </c>
      <c r="O34" s="756">
        <f t="shared" si="43"/>
        <v>106.82941798661275</v>
      </c>
    </row>
    <row r="35" spans="3:15">
      <c r="C35" s="6" t="s">
        <v>395</v>
      </c>
      <c r="D35" s="755">
        <f>'Capex_2016-2026'!E104*Thousands</f>
        <v>0</v>
      </c>
      <c r="E35" s="755">
        <f>'Capex_2016-2026'!F104*Thousands</f>
        <v>50.096689778316268</v>
      </c>
      <c r="F35" s="755">
        <f>'Capex_2016-2026'!G104*Thousands</f>
        <v>0</v>
      </c>
      <c r="G35" s="755">
        <f>'Capex_2016-2026'!H104*Thousands</f>
        <v>0</v>
      </c>
      <c r="H35" s="755">
        <f>'Capex_2016-2026'!I104*Thousands</f>
        <v>0</v>
      </c>
      <c r="I35" s="755">
        <f>'Capex_2016-2026'!J104*Thousands</f>
        <v>0</v>
      </c>
      <c r="J35" s="371">
        <f>Safety!G44*$J$3</f>
        <v>679.46739912175065</v>
      </c>
      <c r="K35" s="371">
        <f>Safety!H44*$J$3</f>
        <v>0</v>
      </c>
      <c r="L35" s="371">
        <f>Safety!I44*$J$3</f>
        <v>0</v>
      </c>
      <c r="M35" s="371">
        <f>Safety!J44*$J$3</f>
        <v>0</v>
      </c>
      <c r="N35" s="371">
        <f>Safety!K44*$J$3</f>
        <v>0</v>
      </c>
      <c r="O35" s="756">
        <f t="shared" si="43"/>
        <v>729.56408890006696</v>
      </c>
    </row>
    <row r="36" spans="3:15">
      <c r="C36" s="8" t="s">
        <v>729</v>
      </c>
      <c r="D36" s="372">
        <f t="shared" ref="D36:F36" si="44">SUM(D31:D35)</f>
        <v>1176.3248580186266</v>
      </c>
      <c r="E36" s="372">
        <f t="shared" si="44"/>
        <v>35426.335118723808</v>
      </c>
      <c r="F36" s="372">
        <f t="shared" si="44"/>
        <v>65830.145885554812</v>
      </c>
      <c r="G36" s="372">
        <f t="shared" ref="G36:O36" si="45">SUM(G31:G35)</f>
        <v>91016.826444419086</v>
      </c>
      <c r="H36" s="372">
        <f t="shared" si="45"/>
        <v>104970.28133514283</v>
      </c>
      <c r="I36" s="372">
        <f t="shared" si="45"/>
        <v>37585.595015756269</v>
      </c>
      <c r="J36" s="372">
        <f t="shared" si="45"/>
        <v>48805.427097696505</v>
      </c>
      <c r="K36" s="372">
        <f t="shared" si="45"/>
        <v>30665.851339235363</v>
      </c>
      <c r="L36" s="372">
        <f t="shared" si="45"/>
        <v>0</v>
      </c>
      <c r="M36" s="372">
        <f t="shared" si="45"/>
        <v>0</v>
      </c>
      <c r="N36" s="372">
        <f t="shared" si="45"/>
        <v>0</v>
      </c>
      <c r="O36" s="372">
        <f t="shared" si="45"/>
        <v>415476.7870945473</v>
      </c>
    </row>
    <row r="37" spans="3:15">
      <c r="C37" s="840" t="s">
        <v>782</v>
      </c>
      <c r="D37" s="158">
        <f t="shared" ref="D37:F37" si="46">D36-D12</f>
        <v>0</v>
      </c>
      <c r="E37" s="158">
        <f t="shared" si="46"/>
        <v>0</v>
      </c>
      <c r="F37" s="158">
        <f t="shared" si="46"/>
        <v>0</v>
      </c>
      <c r="G37" s="158">
        <f t="shared" ref="G37:N37" si="47">G36-G12</f>
        <v>0</v>
      </c>
      <c r="H37" s="158">
        <f t="shared" si="47"/>
        <v>0</v>
      </c>
      <c r="I37" s="158">
        <f t="shared" si="47"/>
        <v>0</v>
      </c>
      <c r="J37" s="158">
        <f t="shared" si="47"/>
        <v>0</v>
      </c>
      <c r="K37" s="158">
        <f t="shared" si="47"/>
        <v>0</v>
      </c>
      <c r="L37" s="158">
        <f t="shared" si="47"/>
        <v>0</v>
      </c>
      <c r="M37" s="158">
        <f t="shared" si="47"/>
        <v>0</v>
      </c>
      <c r="N37" s="158">
        <f t="shared" si="47"/>
        <v>0</v>
      </c>
    </row>
    <row r="38" spans="3:15" ht="9.6" customHeight="1">
      <c r="G38" s="158"/>
      <c r="H38" s="158"/>
      <c r="I38" s="158"/>
      <c r="J38" s="158"/>
      <c r="K38" s="158"/>
    </row>
    <row r="39" spans="3:15">
      <c r="C39" s="2" t="s">
        <v>727</v>
      </c>
      <c r="D39" s="2"/>
      <c r="E39" s="2"/>
      <c r="F39" s="2"/>
      <c r="G39" s="158"/>
      <c r="H39" s="158"/>
    </row>
    <row r="40" spans="3:15">
      <c r="C40" s="162" t="s">
        <v>858</v>
      </c>
      <c r="D40" s="162"/>
      <c r="E40" s="162"/>
      <c r="F40" s="162"/>
      <c r="G40" s="158"/>
      <c r="H40" s="158"/>
      <c r="I40" s="992" t="s">
        <v>719</v>
      </c>
      <c r="J40" s="993"/>
      <c r="K40" s="993"/>
      <c r="L40" s="993"/>
      <c r="M40" s="994"/>
      <c r="N40" s="17" t="s">
        <v>146</v>
      </c>
    </row>
    <row r="41" spans="3:15">
      <c r="C41" s="2" t="s">
        <v>451</v>
      </c>
      <c r="D41" s="17" t="s">
        <v>862</v>
      </c>
      <c r="E41" s="17" t="s">
        <v>861</v>
      </c>
      <c r="F41" s="17" t="s">
        <v>860</v>
      </c>
      <c r="G41" s="381" t="s">
        <v>620</v>
      </c>
      <c r="H41" s="381" t="s">
        <v>614</v>
      </c>
      <c r="I41" s="381" t="s">
        <v>615</v>
      </c>
      <c r="J41" s="381" t="s">
        <v>616</v>
      </c>
      <c r="K41" s="381" t="s">
        <v>617</v>
      </c>
      <c r="L41" s="381" t="s">
        <v>618</v>
      </c>
      <c r="M41" s="381" t="s">
        <v>619</v>
      </c>
      <c r="N41" s="17" t="str">
        <f>NReg_Period</f>
        <v>2022-26</v>
      </c>
    </row>
    <row r="42" spans="3:15">
      <c r="C42" s="6" t="s">
        <v>33</v>
      </c>
      <c r="D42" s="371">
        <f t="shared" ref="D42:F42" si="48">0.5*D31+0.5*E31</f>
        <v>13625.100320216268</v>
      </c>
      <c r="E42" s="371">
        <f t="shared" si="48"/>
        <v>40868.704117090994</v>
      </c>
      <c r="F42" s="371">
        <f t="shared" si="48"/>
        <v>66727.159148594859</v>
      </c>
      <c r="G42" s="371">
        <f>0.5*G31+0.5*H31</f>
        <v>82961.700352211963</v>
      </c>
      <c r="H42" s="371">
        <f>0.5*H31+I31</f>
        <v>70158.022719265238</v>
      </c>
      <c r="I42" s="371">
        <f t="shared" ref="I42:M45" si="49">J31</f>
        <v>37661.767519809233</v>
      </c>
      <c r="J42" s="371">
        <f t="shared" si="49"/>
        <v>25543.023393536634</v>
      </c>
      <c r="K42" s="371">
        <f t="shared" si="49"/>
        <v>0</v>
      </c>
      <c r="L42" s="371">
        <f t="shared" si="49"/>
        <v>0</v>
      </c>
      <c r="M42" s="371">
        <f t="shared" si="49"/>
        <v>0</v>
      </c>
      <c r="N42" s="412">
        <f t="shared" ref="N42:N46" si="50">SUM(I42:M42)</f>
        <v>63204.790913345867</v>
      </c>
    </row>
    <row r="43" spans="3:15">
      <c r="C43" s="6" t="s">
        <v>726</v>
      </c>
      <c r="D43" s="371">
        <f t="shared" ref="D43:F43" si="51">0.5*D32+0.5*E32</f>
        <v>4651.1813232657923</v>
      </c>
      <c r="E43" s="371">
        <f t="shared" si="51"/>
        <v>9681.0733311658587</v>
      </c>
      <c r="F43" s="371">
        <f t="shared" si="51"/>
        <v>11642.912307398781</v>
      </c>
      <c r="G43" s="371">
        <f>0.5*G32+0.5*H32</f>
        <v>14720.802953784856</v>
      </c>
      <c r="H43" s="371">
        <f>0.5*H32+I32</f>
        <v>18341.956846391895</v>
      </c>
      <c r="I43" s="371">
        <f t="shared" si="49"/>
        <v>10464.192178765521</v>
      </c>
      <c r="J43" s="371">
        <f t="shared" si="49"/>
        <v>5122.8279456987293</v>
      </c>
      <c r="K43" s="371">
        <f t="shared" si="49"/>
        <v>0</v>
      </c>
      <c r="L43" s="371">
        <f t="shared" si="49"/>
        <v>0</v>
      </c>
      <c r="M43" s="371">
        <f t="shared" si="49"/>
        <v>0</v>
      </c>
      <c r="N43" s="412">
        <f t="shared" si="50"/>
        <v>15587.02012446425</v>
      </c>
    </row>
    <row r="44" spans="3:15">
      <c r="C44" s="6" t="s">
        <v>857</v>
      </c>
      <c r="D44" s="371">
        <f t="shared" ref="D44:F44" si="52">0.5*D33+0.5*E33</f>
        <v>0</v>
      </c>
      <c r="E44" s="371">
        <f t="shared" si="52"/>
        <v>0</v>
      </c>
      <c r="F44" s="371">
        <f t="shared" si="52"/>
        <v>0</v>
      </c>
      <c r="G44" s="371">
        <f>0.5*G33+0.5*H33</f>
        <v>311.05058378414145</v>
      </c>
      <c r="H44" s="371">
        <f>0.5*H33+I33</f>
        <v>1570.7561176705519</v>
      </c>
      <c r="I44" s="371">
        <f t="shared" si="49"/>
        <v>0</v>
      </c>
      <c r="J44" s="371">
        <f t="shared" si="49"/>
        <v>0</v>
      </c>
      <c r="K44" s="371">
        <f t="shared" si="49"/>
        <v>0</v>
      </c>
      <c r="L44" s="371">
        <f t="shared" si="49"/>
        <v>0</v>
      </c>
      <c r="M44" s="371">
        <f t="shared" si="49"/>
        <v>0</v>
      </c>
      <c r="N44" s="412">
        <f t="shared" ref="N44" si="53">SUM(I44:M44)</f>
        <v>0</v>
      </c>
    </row>
    <row r="45" spans="3:15">
      <c r="C45" s="6" t="s">
        <v>856</v>
      </c>
      <c r="D45" s="371">
        <f t="shared" ref="D45:F45" si="54">0.5*D34+0.5*E34</f>
        <v>0</v>
      </c>
      <c r="E45" s="371">
        <f t="shared" si="54"/>
        <v>53.414708993306377</v>
      </c>
      <c r="F45" s="371">
        <f t="shared" si="54"/>
        <v>53.414708993306377</v>
      </c>
      <c r="G45" s="371">
        <f>0.5*G34+0.5*H34</f>
        <v>0</v>
      </c>
      <c r="H45" s="371">
        <f>0.5*H34+I34</f>
        <v>0</v>
      </c>
      <c r="I45" s="371">
        <f t="shared" si="49"/>
        <v>0</v>
      </c>
      <c r="J45" s="371">
        <f t="shared" si="49"/>
        <v>0</v>
      </c>
      <c r="K45" s="371">
        <f t="shared" si="49"/>
        <v>0</v>
      </c>
      <c r="L45" s="371">
        <f t="shared" si="49"/>
        <v>0</v>
      </c>
      <c r="M45" s="371">
        <f t="shared" si="49"/>
        <v>0</v>
      </c>
      <c r="N45" s="412">
        <f t="shared" si="50"/>
        <v>0</v>
      </c>
    </row>
    <row r="46" spans="3:15">
      <c r="C46" s="6" t="s">
        <v>395</v>
      </c>
      <c r="D46" s="371">
        <f t="shared" ref="D46:F46" si="55">0.5*D35+0.5*E35</f>
        <v>25.048344889158134</v>
      </c>
      <c r="E46" s="371">
        <f t="shared" si="55"/>
        <v>25.048344889158134</v>
      </c>
      <c r="F46" s="371">
        <f t="shared" si="55"/>
        <v>0</v>
      </c>
      <c r="G46" s="371">
        <f>0.5*G35+0.5*H35</f>
        <v>0</v>
      </c>
      <c r="H46" s="371">
        <f>0.5*H35+I35</f>
        <v>0</v>
      </c>
      <c r="I46" s="371">
        <f t="shared" ref="I46:M46" si="56">J35</f>
        <v>679.46739912175065</v>
      </c>
      <c r="J46" s="371">
        <f t="shared" si="56"/>
        <v>0</v>
      </c>
      <c r="K46" s="371">
        <f t="shared" si="56"/>
        <v>0</v>
      </c>
      <c r="L46" s="371">
        <f t="shared" si="56"/>
        <v>0</v>
      </c>
      <c r="M46" s="371">
        <f t="shared" si="56"/>
        <v>0</v>
      </c>
      <c r="N46" s="412">
        <f t="shared" si="50"/>
        <v>679.46739912175065</v>
      </c>
    </row>
    <row r="47" spans="3:15">
      <c r="C47" s="8" t="s">
        <v>729</v>
      </c>
      <c r="D47" s="372">
        <f t="shared" ref="D47:F47" si="57">SUM(D42:D46)</f>
        <v>18301.329988371217</v>
      </c>
      <c r="E47" s="372">
        <f t="shared" si="57"/>
        <v>50628.240502139313</v>
      </c>
      <c r="F47" s="372">
        <f t="shared" si="57"/>
        <v>78423.486164986956</v>
      </c>
      <c r="G47" s="372">
        <f>SUM(G42:G46)</f>
        <v>97993.553889780975</v>
      </c>
      <c r="H47" s="372">
        <f t="shared" ref="H47:N47" si="58">SUM(H42:H46)</f>
        <v>90070.735683327686</v>
      </c>
      <c r="I47" s="372">
        <f t="shared" si="58"/>
        <v>48805.427097696505</v>
      </c>
      <c r="J47" s="372">
        <f t="shared" si="58"/>
        <v>30665.851339235363</v>
      </c>
      <c r="K47" s="372">
        <f t="shared" si="58"/>
        <v>0</v>
      </c>
      <c r="L47" s="372">
        <f t="shared" si="58"/>
        <v>0</v>
      </c>
      <c r="M47" s="372">
        <f t="shared" si="58"/>
        <v>0</v>
      </c>
      <c r="N47" s="372">
        <f t="shared" si="58"/>
        <v>79471.278436931869</v>
      </c>
    </row>
    <row r="48" spans="3:15">
      <c r="C48" s="840" t="s">
        <v>782</v>
      </c>
      <c r="D48" s="158">
        <f t="shared" ref="D48:F48" si="59">D47-D24</f>
        <v>0</v>
      </c>
      <c r="E48" s="158">
        <f t="shared" si="59"/>
        <v>0</v>
      </c>
      <c r="F48" s="158">
        <f t="shared" si="59"/>
        <v>0</v>
      </c>
      <c r="G48" s="158">
        <f t="shared" ref="G48:N48" si="60">G47-G24</f>
        <v>0</v>
      </c>
      <c r="H48" s="158">
        <f t="shared" si="60"/>
        <v>0</v>
      </c>
      <c r="I48" s="158">
        <f t="shared" si="60"/>
        <v>0</v>
      </c>
      <c r="J48" s="158">
        <f t="shared" si="60"/>
        <v>0</v>
      </c>
      <c r="K48" s="158">
        <f t="shared" si="60"/>
        <v>0</v>
      </c>
      <c r="L48" s="158">
        <f t="shared" si="60"/>
        <v>0</v>
      </c>
      <c r="M48" s="158">
        <f t="shared" si="60"/>
        <v>0</v>
      </c>
      <c r="N48" s="158">
        <f t="shared" si="60"/>
        <v>0</v>
      </c>
    </row>
    <row r="50" spans="3:14">
      <c r="C50" s="2" t="s">
        <v>736</v>
      </c>
      <c r="D50" s="2"/>
      <c r="E50" s="2"/>
      <c r="F50" s="2"/>
      <c r="G50" s="158"/>
      <c r="H50" s="158"/>
    </row>
    <row r="51" spans="3:14">
      <c r="C51" s="514" t="s">
        <v>645</v>
      </c>
      <c r="D51" s="514"/>
      <c r="E51" s="514"/>
      <c r="F51" s="514"/>
      <c r="G51" s="158"/>
      <c r="H51" s="158"/>
      <c r="N51" s="17" t="s">
        <v>146</v>
      </c>
    </row>
    <row r="52" spans="3:14">
      <c r="D52" s="879" t="s">
        <v>862</v>
      </c>
      <c r="E52" s="879" t="s">
        <v>861</v>
      </c>
      <c r="F52" s="879" t="s">
        <v>860</v>
      </c>
      <c r="G52" s="381" t="s">
        <v>620</v>
      </c>
      <c r="H52" s="381" t="s">
        <v>614</v>
      </c>
      <c r="I52" s="381" t="s">
        <v>615</v>
      </c>
      <c r="J52" s="381" t="s">
        <v>616</v>
      </c>
      <c r="K52" s="381" t="s">
        <v>617</v>
      </c>
      <c r="L52" s="381" t="s">
        <v>618</v>
      </c>
      <c r="M52" s="381" t="s">
        <v>619</v>
      </c>
      <c r="N52" s="17" t="str">
        <f>NReg_Period</f>
        <v>2022-26</v>
      </c>
    </row>
    <row r="53" spans="3:14">
      <c r="C53" s="6" t="s">
        <v>33</v>
      </c>
      <c r="D53" s="371">
        <v>0</v>
      </c>
      <c r="E53" s="371">
        <v>0</v>
      </c>
      <c r="F53" s="371">
        <v>0</v>
      </c>
      <c r="G53" s="371">
        <v>0</v>
      </c>
      <c r="H53" s="371">
        <v>0</v>
      </c>
      <c r="I53" s="371">
        <f>SUM(Safety!Q7:Q9)*$J$3</f>
        <v>26665.426748400383</v>
      </c>
      <c r="J53" s="371">
        <f>SUM(Safety!R7:R9)*$J$3</f>
        <v>32265.370564958161</v>
      </c>
      <c r="K53" s="371">
        <f>SUM(Safety!S7:S9)*$J$3</f>
        <v>6730.5609428606604</v>
      </c>
      <c r="L53" s="371">
        <f>SUM(Safety!T7:T9)*$J$3</f>
        <v>2890.9493184862613</v>
      </c>
      <c r="M53" s="371">
        <f>SUM(Safety!U7:U9)*$J$3</f>
        <v>2172.8054957066824</v>
      </c>
      <c r="N53" s="412">
        <f t="shared" ref="N53:N56" si="61">SUM(I53:M53)</f>
        <v>70725.113070412146</v>
      </c>
    </row>
    <row r="54" spans="3:14">
      <c r="C54" s="6" t="s">
        <v>726</v>
      </c>
      <c r="D54" s="371">
        <v>0</v>
      </c>
      <c r="E54" s="371">
        <v>0</v>
      </c>
      <c r="F54" s="371">
        <v>0</v>
      </c>
      <c r="G54" s="371">
        <v>0</v>
      </c>
      <c r="H54" s="371">
        <v>0</v>
      </c>
      <c r="I54" s="371">
        <v>0</v>
      </c>
      <c r="J54" s="371">
        <v>0</v>
      </c>
      <c r="K54" s="371">
        <v>0</v>
      </c>
      <c r="L54" s="371">
        <v>0</v>
      </c>
      <c r="M54" s="371">
        <v>0</v>
      </c>
      <c r="N54" s="412">
        <f t="shared" si="61"/>
        <v>0</v>
      </c>
    </row>
    <row r="55" spans="3:14">
      <c r="C55" s="6" t="s">
        <v>34</v>
      </c>
      <c r="D55" s="371">
        <v>0</v>
      </c>
      <c r="E55" s="371">
        <v>0</v>
      </c>
      <c r="F55" s="371">
        <v>0</v>
      </c>
      <c r="G55" s="371">
        <v>0</v>
      </c>
      <c r="H55" s="371">
        <v>0</v>
      </c>
      <c r="I55" s="371">
        <v>0</v>
      </c>
      <c r="J55" s="371">
        <v>0</v>
      </c>
      <c r="K55" s="371">
        <v>0</v>
      </c>
      <c r="L55" s="371">
        <v>0</v>
      </c>
      <c r="M55" s="371">
        <v>0</v>
      </c>
      <c r="N55" s="412">
        <f t="shared" si="61"/>
        <v>0</v>
      </c>
    </row>
    <row r="56" spans="3:14">
      <c r="C56" s="6" t="s">
        <v>395</v>
      </c>
      <c r="D56" s="371">
        <v>0</v>
      </c>
      <c r="E56" s="371">
        <v>0</v>
      </c>
      <c r="F56" s="371">
        <v>0</v>
      </c>
      <c r="G56" s="371">
        <v>0</v>
      </c>
      <c r="H56" s="371">
        <v>0</v>
      </c>
      <c r="I56" s="371">
        <f>Safety!Q10*$J$3</f>
        <v>948.82364688421103</v>
      </c>
      <c r="J56" s="371">
        <f>Safety!R10*$J$3</f>
        <v>0</v>
      </c>
      <c r="K56" s="371">
        <f>Safety!S10*$J$3</f>
        <v>0</v>
      </c>
      <c r="L56" s="371">
        <f>Safety!T10*$J$3</f>
        <v>0</v>
      </c>
      <c r="M56" s="371">
        <f>Safety!U10*$J$3</f>
        <v>0</v>
      </c>
      <c r="N56" s="412">
        <f t="shared" si="61"/>
        <v>948.82364688421103</v>
      </c>
    </row>
    <row r="57" spans="3:14">
      <c r="C57" s="8" t="s">
        <v>866</v>
      </c>
      <c r="D57" s="372">
        <f t="shared" ref="D57:F57" si="62">SUM(D53:D56)</f>
        <v>0</v>
      </c>
      <c r="E57" s="372">
        <f t="shared" si="62"/>
        <v>0</v>
      </c>
      <c r="F57" s="372">
        <f t="shared" si="62"/>
        <v>0</v>
      </c>
      <c r="G57" s="372">
        <f>SUM(G53:G56)</f>
        <v>0</v>
      </c>
      <c r="H57" s="372">
        <f t="shared" ref="H57:N57" si="63">SUM(H53:H56)</f>
        <v>0</v>
      </c>
      <c r="I57" s="372">
        <f t="shared" si="63"/>
        <v>27614.250395284595</v>
      </c>
      <c r="J57" s="372">
        <f t="shared" si="63"/>
        <v>32265.370564958161</v>
      </c>
      <c r="K57" s="372">
        <f t="shared" si="63"/>
        <v>6730.5609428606604</v>
      </c>
      <c r="L57" s="372">
        <f t="shared" si="63"/>
        <v>2890.9493184862613</v>
      </c>
      <c r="M57" s="372">
        <f t="shared" si="63"/>
        <v>2172.8054957066824</v>
      </c>
      <c r="N57" s="372">
        <f t="shared" si="63"/>
        <v>71673.936717296354</v>
      </c>
    </row>
    <row r="58" spans="3:14">
      <c r="C58" s="840" t="s">
        <v>782</v>
      </c>
      <c r="D58" s="158">
        <f t="shared" ref="D58:F58" si="64">D57-D25</f>
        <v>0</v>
      </c>
      <c r="E58" s="158">
        <f t="shared" si="64"/>
        <v>0</v>
      </c>
      <c r="F58" s="158">
        <f t="shared" si="64"/>
        <v>0</v>
      </c>
      <c r="G58" s="158">
        <f t="shared" ref="G58:N58" si="65">G57-G25</f>
        <v>0</v>
      </c>
      <c r="H58" s="158">
        <f t="shared" si="65"/>
        <v>0</v>
      </c>
      <c r="I58" s="158">
        <f t="shared" si="65"/>
        <v>0</v>
      </c>
      <c r="J58" s="158">
        <f t="shared" si="65"/>
        <v>0</v>
      </c>
      <c r="K58" s="158">
        <f t="shared" si="65"/>
        <v>0</v>
      </c>
      <c r="L58" s="158">
        <f t="shared" si="65"/>
        <v>0</v>
      </c>
      <c r="M58" s="158">
        <f t="shared" si="65"/>
        <v>0</v>
      </c>
      <c r="N58" s="158">
        <f t="shared" si="65"/>
        <v>0</v>
      </c>
    </row>
  </sheetData>
  <mergeCells count="8">
    <mergeCell ref="I40:M40"/>
    <mergeCell ref="D29:G29"/>
    <mergeCell ref="H29:I29"/>
    <mergeCell ref="D5:G5"/>
    <mergeCell ref="H5:I5"/>
    <mergeCell ref="J5:N5"/>
    <mergeCell ref="I17:M17"/>
    <mergeCell ref="J29:N29"/>
  </mergeCells>
  <phoneticPr fontId="49" type="noConversion"/>
  <hyperlinks>
    <hyperlink ref="C2" location="Contents!A1" display="Table of Contents" xr:uid="{00000000-0004-0000-2300-000000000000}"/>
  </hyperlinks>
  <pageMargins left="0.7" right="0.7" top="0.75" bottom="0.75" header="0.3" footer="0.3"/>
  <pageSetup paperSize="9" orientation="portrait" r:id="rId1"/>
  <ignoredErrors>
    <ignoredError sqref="D24:N24 O12:P12" formula="1"/>
    <ignoredError sqref="N54:N55 I53:M53" formulaRange="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theme="8" tint="-0.499984740745262"/>
  </sheetPr>
  <dimension ref="C3:C4"/>
  <sheetViews>
    <sheetView zoomScale="85" zoomScaleNormal="85" zoomScalePageLayoutView="125" workbookViewId="0">
      <selection activeCell="V33" sqref="V33"/>
    </sheetView>
  </sheetViews>
  <sheetFormatPr defaultColWidth="8.85546875" defaultRowHeight="15"/>
  <cols>
    <col min="1" max="1" width="8.85546875" style="22"/>
    <col min="2" max="2" width="5" style="22" customWidth="1"/>
    <col min="3" max="16384" width="8.85546875" style="22"/>
  </cols>
  <sheetData>
    <row r="3" spans="3:3" ht="18.75">
      <c r="C3" s="21" t="s">
        <v>28</v>
      </c>
    </row>
    <row r="4" spans="3:3">
      <c r="C4" s="26" t="s">
        <v>6</v>
      </c>
    </row>
  </sheetData>
  <hyperlinks>
    <hyperlink ref="C4" location="Contents!A1" display="Table of Contents" xr:uid="{00000000-0004-0000-24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dimension ref="B1:AL54"/>
  <sheetViews>
    <sheetView zoomScale="85" zoomScaleNormal="85" zoomScalePageLayoutView="125" workbookViewId="0">
      <selection activeCell="B2" sqref="B2"/>
    </sheetView>
  </sheetViews>
  <sheetFormatPr defaultColWidth="8.85546875" defaultRowHeight="15" outlineLevelCol="1"/>
  <cols>
    <col min="1" max="1" width="4.7109375" style="1" customWidth="1"/>
    <col min="2" max="2" width="5.85546875" style="1" customWidth="1"/>
    <col min="3" max="3" width="37.85546875" style="1" customWidth="1"/>
    <col min="4" max="4" width="13.5703125" style="1" hidden="1" customWidth="1" outlineLevel="1"/>
    <col min="5" max="5" width="15.140625" style="1" customWidth="1" collapsed="1"/>
    <col min="6" max="6" width="14.5703125" style="1" customWidth="1"/>
    <col min="7" max="7" width="13.85546875" style="1" customWidth="1"/>
    <col min="8" max="11" width="13.140625" style="1" customWidth="1"/>
    <col min="12" max="12" width="14.7109375" style="1" customWidth="1"/>
    <col min="13" max="13" width="4.85546875" style="1" customWidth="1"/>
    <col min="14" max="14" width="13.5703125" style="1" customWidth="1"/>
    <col min="15" max="16" width="9.7109375" style="1" customWidth="1"/>
    <col min="17" max="18" width="9.140625" style="1" customWidth="1"/>
    <col min="19" max="19" width="5.7109375" style="1" customWidth="1"/>
    <col min="20" max="20" width="12.7109375" style="1" customWidth="1"/>
    <col min="21" max="21" width="11" style="1" customWidth="1"/>
    <col min="22" max="22" width="12" style="1" customWidth="1"/>
    <col min="23" max="24" width="12.28515625" style="1" customWidth="1"/>
    <col min="25" max="29" width="12.7109375" style="1" bestFit="1" customWidth="1"/>
    <col min="30" max="30" width="14.28515625" style="1" bestFit="1" customWidth="1"/>
    <col min="31" max="36" width="8.85546875" style="1"/>
    <col min="37" max="37" width="12" style="1" customWidth="1"/>
    <col min="38" max="16384" width="8.85546875" style="1"/>
  </cols>
  <sheetData>
    <row r="1" spans="2:38" ht="18.75">
      <c r="B1" s="10" t="s">
        <v>29</v>
      </c>
      <c r="K1" s="39"/>
    </row>
    <row r="2" spans="2:38">
      <c r="B2" s="25" t="s">
        <v>6</v>
      </c>
    </row>
    <row r="3" spans="2:38">
      <c r="F3" s="297"/>
      <c r="G3" s="297"/>
      <c r="H3" s="297"/>
      <c r="I3" s="297"/>
      <c r="J3" s="297"/>
      <c r="K3" s="297"/>
      <c r="O3" s="41"/>
      <c r="P3" s="41"/>
      <c r="Q3" s="86"/>
      <c r="R3" s="86"/>
      <c r="S3" s="86"/>
      <c r="T3" s="86"/>
      <c r="U3" s="86"/>
      <c r="V3" s="86"/>
    </row>
    <row r="4" spans="2:38">
      <c r="B4" s="12"/>
      <c r="F4" s="157"/>
      <c r="G4" s="760"/>
      <c r="H4" s="760"/>
      <c r="I4" s="760"/>
      <c r="J4" s="760"/>
      <c r="K4" s="760"/>
      <c r="L4" s="761"/>
      <c r="O4" s="41"/>
      <c r="P4" s="41"/>
      <c r="Q4" s="303"/>
      <c r="R4" s="303"/>
      <c r="S4" s="303"/>
      <c r="T4" s="303"/>
      <c r="U4" s="303"/>
      <c r="V4" s="303"/>
    </row>
    <row r="5" spans="2:38">
      <c r="B5" s="12" t="s">
        <v>30</v>
      </c>
      <c r="G5" s="313"/>
      <c r="H5" s="313"/>
      <c r="I5" s="313"/>
      <c r="J5" s="313"/>
      <c r="K5" s="313"/>
      <c r="L5" s="313"/>
      <c r="O5" s="41"/>
      <c r="P5" s="41"/>
      <c r="Q5" s="41"/>
      <c r="R5" s="41"/>
      <c r="S5" s="41"/>
      <c r="T5" s="41"/>
      <c r="U5" s="41"/>
      <c r="V5" s="41"/>
    </row>
    <row r="6" spans="2:38">
      <c r="B6" s="2"/>
      <c r="O6" s="41"/>
      <c r="P6" s="41"/>
      <c r="Q6" s="41"/>
      <c r="R6" s="41"/>
      <c r="S6" s="41"/>
      <c r="T6" s="740"/>
      <c r="U6" s="41"/>
      <c r="V6" s="41"/>
    </row>
    <row r="7" spans="2:38" ht="27" customHeight="1">
      <c r="C7" s="2"/>
      <c r="D7" s="2"/>
      <c r="E7" s="1004" t="s">
        <v>596</v>
      </c>
      <c r="F7" s="1005"/>
      <c r="G7" s="1005"/>
      <c r="H7" s="1005"/>
      <c r="I7" s="1005"/>
      <c r="J7" s="1005"/>
      <c r="K7" s="1006"/>
      <c r="N7" s="738"/>
      <c r="O7" s="319"/>
      <c r="P7" s="319"/>
      <c r="Q7" s="319"/>
      <c r="R7" s="319"/>
      <c r="S7" s="319"/>
      <c r="T7" s="236"/>
      <c r="U7" s="41"/>
      <c r="V7" s="41"/>
    </row>
    <row r="8" spans="2:38" ht="15.75" thickBot="1">
      <c r="D8" s="381"/>
      <c r="E8" s="17" t="s">
        <v>620</v>
      </c>
      <c r="F8" s="331" t="s">
        <v>614</v>
      </c>
      <c r="G8" s="331">
        <f>Yr_1</f>
        <v>44742</v>
      </c>
      <c r="H8" s="331">
        <f>Yr_2</f>
        <v>45107</v>
      </c>
      <c r="I8" s="331">
        <f>Yr_3</f>
        <v>45473</v>
      </c>
      <c r="J8" s="331">
        <f>Yr_4</f>
        <v>45838</v>
      </c>
      <c r="K8" s="331">
        <f>Yr_5</f>
        <v>46203</v>
      </c>
      <c r="L8" s="18" t="str">
        <f>NReg_Period</f>
        <v>2022-26</v>
      </c>
      <c r="N8" s="739"/>
      <c r="O8" s="318"/>
      <c r="P8" s="324"/>
      <c r="Q8" s="324"/>
      <c r="R8" s="324"/>
      <c r="S8" s="324"/>
      <c r="T8" s="405"/>
      <c r="U8" s="236"/>
      <c r="V8" s="236"/>
      <c r="W8" s="324"/>
    </row>
    <row r="9" spans="2:38">
      <c r="C9" s="165" t="s">
        <v>31</v>
      </c>
      <c r="D9" s="378"/>
      <c r="E9" s="390">
        <f>0.5*E25*Escalators!N$17+0.5*F25*Escalators!O$17</f>
        <v>108673307.76564544</v>
      </c>
      <c r="F9" s="166">
        <f>0.5*F25*Escalators!O$17+G25*Escalators!P$17</f>
        <v>107370616.12933475</v>
      </c>
      <c r="G9" s="166">
        <v>139538294.88806623</v>
      </c>
      <c r="H9" s="166">
        <v>141052728.81655678</v>
      </c>
      <c r="I9" s="166">
        <v>137461437.656625</v>
      </c>
      <c r="J9" s="166">
        <v>121449645.38293687</v>
      </c>
      <c r="K9" s="167">
        <v>112841315.41072139</v>
      </c>
      <c r="L9" s="47">
        <f t="shared" ref="L9:L14" si="0">SUM(G9:K9)</f>
        <v>652343422.15490627</v>
      </c>
      <c r="N9" s="50"/>
      <c r="O9" s="111"/>
      <c r="P9" s="111"/>
      <c r="Q9" s="111"/>
      <c r="R9" s="111"/>
      <c r="S9" s="111"/>
      <c r="T9" s="50"/>
      <c r="U9" s="50"/>
      <c r="V9" s="50"/>
      <c r="W9" s="50"/>
      <c r="X9" s="216"/>
      <c r="Y9" s="670"/>
      <c r="Z9" s="670"/>
      <c r="AA9" s="670"/>
      <c r="AB9" s="670"/>
      <c r="AC9" s="726"/>
      <c r="AD9" s="726"/>
      <c r="AF9" s="726"/>
      <c r="AG9" s="726"/>
      <c r="AH9" s="726"/>
      <c r="AI9" s="726"/>
      <c r="AJ9" s="726"/>
      <c r="AK9" s="726"/>
      <c r="AL9" s="726"/>
    </row>
    <row r="10" spans="2:38">
      <c r="C10" s="168" t="s">
        <v>32</v>
      </c>
      <c r="D10" s="379"/>
      <c r="E10" s="391">
        <f>0.5*E26*Escalators!N$17+0.5*F26*Escalators!O$17</f>
        <v>109291945.84111518</v>
      </c>
      <c r="F10" s="169">
        <f>0.5*F26*Escalators!O$17+G26*Escalators!P$17</f>
        <v>105206215.5232731</v>
      </c>
      <c r="G10" s="169">
        <v>73337640.193779409</v>
      </c>
      <c r="H10" s="169">
        <v>113704549.08804047</v>
      </c>
      <c r="I10" s="169">
        <v>113730257.86264943</v>
      </c>
      <c r="J10" s="169">
        <v>114367260.99864781</v>
      </c>
      <c r="K10" s="170">
        <v>115036386.05272426</v>
      </c>
      <c r="L10" s="47">
        <f t="shared" si="0"/>
        <v>530176094.19584137</v>
      </c>
      <c r="N10" s="50"/>
      <c r="O10" s="111"/>
      <c r="P10" s="111"/>
      <c r="Q10" s="111"/>
      <c r="R10" s="111"/>
      <c r="S10" s="111"/>
      <c r="T10" s="50"/>
      <c r="U10" s="50"/>
      <c r="V10" s="50"/>
      <c r="W10" s="50"/>
      <c r="X10" s="216"/>
      <c r="Y10" s="670"/>
      <c r="Z10" s="670"/>
      <c r="AA10" s="670"/>
      <c r="AB10" s="670"/>
      <c r="AC10" s="726"/>
      <c r="AD10" s="726"/>
      <c r="AF10" s="726"/>
      <c r="AG10" s="726"/>
      <c r="AH10" s="726"/>
      <c r="AI10" s="726"/>
      <c r="AJ10" s="726"/>
      <c r="AK10" s="726"/>
      <c r="AL10" s="726"/>
    </row>
    <row r="11" spans="2:38">
      <c r="C11" s="168" t="s">
        <v>33</v>
      </c>
      <c r="D11" s="379"/>
      <c r="E11" s="391">
        <f>0.5*E27*Escalators!N$17+0.5*F27*Escalators!O$17</f>
        <v>127047458.53331175</v>
      </c>
      <c r="F11" s="169">
        <f>0.5*F27*Escalators!O$17+G27*Escalators!P$17</f>
        <v>115576164.4364159</v>
      </c>
      <c r="G11" s="169">
        <v>82743946.480442002</v>
      </c>
      <c r="H11" s="169">
        <v>78279505.929244682</v>
      </c>
      <c r="I11" s="169">
        <v>24737621.596924864</v>
      </c>
      <c r="J11" s="169">
        <v>17511796.870310251</v>
      </c>
      <c r="K11" s="170">
        <v>16473550.926820382</v>
      </c>
      <c r="L11" s="47">
        <f t="shared" si="0"/>
        <v>219746421.80374217</v>
      </c>
      <c r="N11" s="50"/>
      <c r="O11" s="111"/>
      <c r="P11" s="111"/>
      <c r="Q11" s="111"/>
      <c r="R11" s="111"/>
      <c r="S11" s="111"/>
      <c r="T11" s="50"/>
      <c r="U11" s="50"/>
      <c r="V11" s="50"/>
      <c r="W11" s="50"/>
      <c r="X11" s="216"/>
      <c r="Y11" s="670"/>
      <c r="Z11" s="670"/>
      <c r="AA11" s="670"/>
      <c r="AB11" s="670"/>
      <c r="AC11" s="726"/>
      <c r="AD11" s="726"/>
      <c r="AF11" s="726"/>
      <c r="AG11" s="726"/>
      <c r="AH11" s="726"/>
      <c r="AI11" s="726"/>
      <c r="AJ11" s="726"/>
      <c r="AK11" s="726"/>
      <c r="AL11" s="726"/>
    </row>
    <row r="12" spans="2:38">
      <c r="C12" s="168" t="s">
        <v>34</v>
      </c>
      <c r="D12" s="379"/>
      <c r="E12" s="391">
        <f>0.5*E28*Escalators!N$17+0.5*F28*Escalators!O$17</f>
        <v>73923390.357943565</v>
      </c>
      <c r="F12" s="169">
        <f>0.5*F28*Escalators!O$17+G28*Escalators!P$17</f>
        <v>83099778.26077722</v>
      </c>
      <c r="G12" s="169">
        <v>56345687.236014485</v>
      </c>
      <c r="H12" s="169">
        <v>37246648.322486527</v>
      </c>
      <c r="I12" s="169">
        <v>41504670.417142056</v>
      </c>
      <c r="J12" s="169">
        <v>36550141.733565047</v>
      </c>
      <c r="K12" s="170">
        <v>41566305.827300116</v>
      </c>
      <c r="L12" s="47">
        <f t="shared" si="0"/>
        <v>213213453.53650826</v>
      </c>
      <c r="N12" s="50"/>
      <c r="O12" s="111"/>
      <c r="P12" s="111"/>
      <c r="Q12" s="111"/>
      <c r="R12" s="111"/>
      <c r="S12" s="111"/>
      <c r="T12" s="50"/>
      <c r="U12" s="50"/>
      <c r="V12" s="50"/>
      <c r="W12" s="50"/>
      <c r="X12" s="216"/>
      <c r="Y12" s="670"/>
      <c r="Z12" s="670"/>
      <c r="AA12" s="670"/>
      <c r="AB12" s="670"/>
      <c r="AC12" s="726"/>
      <c r="AD12" s="726"/>
      <c r="AF12" s="726"/>
      <c r="AG12" s="726"/>
      <c r="AH12" s="726"/>
      <c r="AI12" s="726"/>
      <c r="AJ12" s="726"/>
      <c r="AK12" s="726"/>
      <c r="AL12" s="726"/>
    </row>
    <row r="13" spans="2:38">
      <c r="C13" s="168" t="s">
        <v>35</v>
      </c>
      <c r="D13" s="379"/>
      <c r="E13" s="392">
        <f>AusNet_Overheads!I32*Thousands*Escalators!$P$14</f>
        <v>24394833.357019562</v>
      </c>
      <c r="F13" s="169">
        <f>AusNet_Overheads!J32*Thousands*Escalators!$P$14</f>
        <v>23966076.165131919</v>
      </c>
      <c r="G13" s="169">
        <v>25314750.223901235</v>
      </c>
      <c r="H13" s="169">
        <v>25370503.028045785</v>
      </c>
      <c r="I13" s="169">
        <v>24294096.328994431</v>
      </c>
      <c r="J13" s="169">
        <v>23969835.055090923</v>
      </c>
      <c r="K13" s="170">
        <v>23861732.941892121</v>
      </c>
      <c r="L13" s="47">
        <f t="shared" si="0"/>
        <v>122810917.57792448</v>
      </c>
      <c r="N13" s="50"/>
      <c r="O13" s="111"/>
      <c r="P13" s="111"/>
      <c r="Q13" s="111"/>
      <c r="R13" s="111"/>
      <c r="S13" s="111"/>
      <c r="T13" s="50"/>
      <c r="U13" s="50"/>
      <c r="V13" s="50"/>
      <c r="W13" s="50"/>
      <c r="X13" s="216"/>
      <c r="Y13" s="670"/>
      <c r="Z13" s="670"/>
      <c r="AA13" s="670"/>
      <c r="AB13" s="670"/>
      <c r="AC13" s="726"/>
      <c r="AD13" s="726"/>
      <c r="AF13" s="726"/>
      <c r="AG13" s="726"/>
      <c r="AH13" s="726"/>
      <c r="AI13" s="726"/>
      <c r="AJ13" s="726"/>
      <c r="AK13" s="726"/>
      <c r="AL13" s="726"/>
    </row>
    <row r="14" spans="2:38" ht="15.75" thickBot="1">
      <c r="C14" s="377" t="s">
        <v>36</v>
      </c>
      <c r="D14" s="380"/>
      <c r="E14" s="392">
        <f>AusNet_Overheads!I33*Thousands*Escalators!$P$14</f>
        <v>4620454.8667581435</v>
      </c>
      <c r="F14" s="169">
        <f>AusNet_Overheads!J33*Thousands*Escalators!$P$14</f>
        <v>4539246.9640468583</v>
      </c>
      <c r="G14" s="169">
        <v>4794689.8903137874</v>
      </c>
      <c r="H14" s="169">
        <v>4805249.6392358253</v>
      </c>
      <c r="I14" s="169">
        <v>4601374.9704297036</v>
      </c>
      <c r="J14" s="169">
        <v>4539958.9091194291</v>
      </c>
      <c r="K14" s="170">
        <v>4519484.043490042</v>
      </c>
      <c r="L14" s="47">
        <f t="shared" si="0"/>
        <v>23260757.452588785</v>
      </c>
      <c r="N14" s="50"/>
      <c r="O14" s="111"/>
      <c r="P14" s="111"/>
      <c r="Q14" s="111"/>
      <c r="R14" s="111"/>
      <c r="S14" s="111"/>
      <c r="T14" s="50"/>
      <c r="U14" s="50"/>
      <c r="V14" s="50"/>
      <c r="W14" s="50"/>
      <c r="X14" s="216"/>
      <c r="Y14" s="670"/>
      <c r="Z14" s="670"/>
      <c r="AA14" s="670"/>
      <c r="AB14" s="670"/>
      <c r="AC14" s="726"/>
      <c r="AD14" s="726"/>
      <c r="AF14" s="726"/>
      <c r="AG14" s="726"/>
      <c r="AH14" s="726"/>
      <c r="AI14" s="726"/>
      <c r="AJ14" s="726"/>
      <c r="AK14" s="726"/>
      <c r="AL14" s="726"/>
    </row>
    <row r="15" spans="2:38" ht="26.25" thickBot="1">
      <c r="C15" s="382" t="s">
        <v>37</v>
      </c>
      <c r="D15" s="376"/>
      <c r="E15" s="393">
        <f t="shared" ref="E15:K15" si="1">SUM(E9:E14)</f>
        <v>447951390.72179359</v>
      </c>
      <c r="F15" s="171">
        <f t="shared" si="1"/>
        <v>439758097.47897977</v>
      </c>
      <c r="G15" s="171">
        <f t="shared" si="1"/>
        <v>382075008.91251713</v>
      </c>
      <c r="H15" s="171">
        <f t="shared" si="1"/>
        <v>400459184.82361007</v>
      </c>
      <c r="I15" s="171">
        <f t="shared" si="1"/>
        <v>346329458.83276546</v>
      </c>
      <c r="J15" s="171">
        <f t="shared" si="1"/>
        <v>318388638.94967031</v>
      </c>
      <c r="K15" s="172">
        <f t="shared" si="1"/>
        <v>314298775.20294839</v>
      </c>
      <c r="L15" s="174">
        <f>SUM(L9:L14)</f>
        <v>1761551066.7215114</v>
      </c>
      <c r="M15" s="246">
        <f>L15-RFM_PTRM!T17*Millions</f>
        <v>0</v>
      </c>
      <c r="N15" s="305"/>
      <c r="O15" s="111"/>
      <c r="P15" s="320"/>
      <c r="Q15" s="320"/>
      <c r="R15" s="320"/>
      <c r="S15" s="320"/>
      <c r="T15" s="305"/>
      <c r="U15" s="305"/>
      <c r="V15" s="305"/>
      <c r="W15" s="305"/>
      <c r="Y15" s="726"/>
      <c r="Z15" s="726"/>
      <c r="AA15" s="726"/>
      <c r="AB15" s="726"/>
      <c r="AC15" s="726"/>
      <c r="AD15" s="726"/>
      <c r="AF15" s="726"/>
      <c r="AG15" s="726"/>
      <c r="AH15" s="726"/>
      <c r="AI15" s="726"/>
      <c r="AJ15" s="726"/>
      <c r="AK15" s="726"/>
      <c r="AL15" s="726"/>
    </row>
    <row r="16" spans="2:38" ht="15.75" thickBot="1">
      <c r="C16" s="173" t="s">
        <v>38</v>
      </c>
      <c r="D16" s="173"/>
      <c r="E16" s="394">
        <f>(0.5*'Capex_2016-2026'!H20+0.5*'Capex_2016-2026'!I20)*Millions</f>
        <v>76600658.133974969</v>
      </c>
      <c r="F16" s="389">
        <f>(0.5*'Capex_2016-2026'!I20+'Capex_2016-2026'!J20)*Millions</f>
        <v>68907892.978158712</v>
      </c>
      <c r="G16" s="175">
        <f>RFM_PTRM!O29*Millions</f>
        <v>47308648.967655487</v>
      </c>
      <c r="H16" s="175">
        <f>RFM_PTRM!P29*Millions</f>
        <v>67815664.138763562</v>
      </c>
      <c r="I16" s="175">
        <f>RFM_PTRM!Q29*Millions</f>
        <v>68338519.264326811</v>
      </c>
      <c r="J16" s="175">
        <f>RFM_PTRM!R29*Millions</f>
        <v>68976827.60725005</v>
      </c>
      <c r="K16" s="176">
        <f>RFM_PTRM!S29*Millions</f>
        <v>69496898.176717281</v>
      </c>
      <c r="L16" s="47">
        <f>SUM(G16:K16)</f>
        <v>321936558.15471321</v>
      </c>
      <c r="M16" s="39">
        <f>L16-RFM_PTRM!T29*Millions</f>
        <v>0</v>
      </c>
      <c r="N16" s="50"/>
      <c r="O16" s="111"/>
      <c r="P16" s="50"/>
      <c r="Q16" s="50"/>
      <c r="R16" s="50"/>
      <c r="S16" s="50"/>
      <c r="T16" s="50"/>
      <c r="U16" s="50"/>
      <c r="V16" s="50"/>
      <c r="W16" s="50"/>
      <c r="X16" s="216"/>
      <c r="Y16" s="670"/>
      <c r="Z16" s="670"/>
      <c r="AA16" s="670"/>
      <c r="AB16" s="726"/>
      <c r="AC16" s="726"/>
      <c r="AD16" s="726"/>
      <c r="AF16" s="726"/>
      <c r="AG16" s="726"/>
      <c r="AH16" s="726"/>
      <c r="AI16" s="726"/>
      <c r="AJ16" s="726"/>
      <c r="AK16" s="726"/>
      <c r="AL16" s="726"/>
    </row>
    <row r="17" spans="3:38">
      <c r="O17" s="111"/>
      <c r="P17" s="157"/>
      <c r="Q17" s="157"/>
      <c r="R17" s="157"/>
      <c r="S17" s="157"/>
      <c r="T17" s="157"/>
      <c r="U17" s="107"/>
      <c r="V17" s="107"/>
      <c r="W17" s="107"/>
      <c r="Y17" s="726"/>
      <c r="Z17" s="726"/>
      <c r="AA17" s="726"/>
      <c r="AB17" s="726"/>
      <c r="AC17" s="726"/>
      <c r="AD17" s="726"/>
      <c r="AF17" s="726"/>
      <c r="AG17" s="726"/>
      <c r="AH17" s="726"/>
      <c r="AI17" s="726"/>
      <c r="AJ17" s="726"/>
      <c r="AK17" s="726"/>
      <c r="AL17" s="726"/>
    </row>
    <row r="18" spans="3:38">
      <c r="C18" s="716" t="s">
        <v>309</v>
      </c>
      <c r="D18" s="717">
        <f t="shared" ref="D18:E18" si="2">D15-D16</f>
        <v>0</v>
      </c>
      <c r="E18" s="717">
        <f t="shared" si="2"/>
        <v>371350732.58781862</v>
      </c>
      <c r="F18" s="717">
        <f>F15-F16</f>
        <v>370850204.50082105</v>
      </c>
      <c r="G18" s="717">
        <f t="shared" ref="G18:L18" si="3">G15-G16</f>
        <v>334766359.94486165</v>
      </c>
      <c r="H18" s="717">
        <f t="shared" si="3"/>
        <v>332643520.68484652</v>
      </c>
      <c r="I18" s="717">
        <f t="shared" si="3"/>
        <v>277990939.56843865</v>
      </c>
      <c r="J18" s="717">
        <f t="shared" si="3"/>
        <v>249411811.34242028</v>
      </c>
      <c r="K18" s="717">
        <f t="shared" si="3"/>
        <v>244801877.02623111</v>
      </c>
      <c r="L18" s="718">
        <f t="shared" si="3"/>
        <v>1439614508.5667982</v>
      </c>
      <c r="N18" s="50"/>
      <c r="O18" s="111"/>
      <c r="P18" s="321"/>
      <c r="Q18" s="321"/>
      <c r="R18" s="321"/>
      <c r="S18" s="321"/>
      <c r="T18" s="157"/>
      <c r="U18" s="107"/>
      <c r="V18" s="50"/>
      <c r="W18" s="50"/>
      <c r="Y18" s="726"/>
      <c r="Z18" s="726"/>
      <c r="AA18" s="726"/>
      <c r="AB18" s="726"/>
      <c r="AC18" s="726"/>
      <c r="AD18" s="726"/>
      <c r="AF18" s="726"/>
      <c r="AG18" s="726"/>
      <c r="AH18" s="726"/>
      <c r="AI18" s="726"/>
      <c r="AJ18" s="726"/>
      <c r="AK18" s="726"/>
      <c r="AL18" s="726"/>
    </row>
    <row r="19" spans="3:38">
      <c r="C19" s="280" t="s">
        <v>789</v>
      </c>
      <c r="D19" s="242"/>
      <c r="E19" s="511"/>
      <c r="F19" s="511"/>
      <c r="G19" s="50">
        <f>RFM_PTRM!Z59*1000000</f>
        <v>1348551.9755351893</v>
      </c>
      <c r="H19" s="50">
        <f>RFM_PTRM!AA59*1000000</f>
        <v>1348551.9755351893</v>
      </c>
      <c r="I19" s="50">
        <f>RFM_PTRM!AB59*1000000</f>
        <v>1348551.9755351893</v>
      </c>
      <c r="J19" s="50">
        <f>RFM_PTRM!AC59*1000000</f>
        <v>1348551.9755351893</v>
      </c>
      <c r="K19" s="50">
        <f>RFM_PTRM!AD59*1000000</f>
        <v>1348551.9755351893</v>
      </c>
      <c r="L19" s="719">
        <f>SUM(G19:K19)</f>
        <v>6742759.8776759468</v>
      </c>
      <c r="N19" s="39"/>
      <c r="O19" s="111"/>
      <c r="P19" s="157"/>
      <c r="Q19" s="157"/>
      <c r="R19" s="157"/>
      <c r="S19" s="157"/>
      <c r="T19" s="157"/>
      <c r="U19" s="107"/>
      <c r="V19" s="50"/>
      <c r="W19" s="50"/>
    </row>
    <row r="20" spans="3:38">
      <c r="C20" s="720" t="s">
        <v>799</v>
      </c>
      <c r="D20" s="721"/>
      <c r="E20" s="722"/>
      <c r="F20" s="722"/>
      <c r="G20" s="40">
        <f>G18-G19</f>
        <v>333417807.96932644</v>
      </c>
      <c r="H20" s="40">
        <f t="shared" ref="H20:K20" si="4">H18-H19</f>
        <v>331294968.70931131</v>
      </c>
      <c r="I20" s="40">
        <f t="shared" si="4"/>
        <v>276642387.59290344</v>
      </c>
      <c r="J20" s="40">
        <f t="shared" si="4"/>
        <v>248063259.3668851</v>
      </c>
      <c r="K20" s="40">
        <f t="shared" si="4"/>
        <v>243453325.05069593</v>
      </c>
      <c r="L20" s="723">
        <f>SUM(G20:K20)</f>
        <v>1432871748.6891222</v>
      </c>
      <c r="N20" s="39"/>
      <c r="O20" s="111"/>
      <c r="P20" s="157"/>
      <c r="Q20" s="157"/>
      <c r="R20" s="157"/>
      <c r="S20" s="157"/>
      <c r="T20" s="157"/>
      <c r="U20" s="107"/>
      <c r="V20" s="50"/>
      <c r="W20" s="50"/>
    </row>
    <row r="21" spans="3:38">
      <c r="O21" s="157"/>
      <c r="P21" s="157"/>
      <c r="Q21" s="157"/>
      <c r="R21" s="157"/>
      <c r="S21" s="157"/>
      <c r="T21" s="157"/>
      <c r="U21" s="107"/>
      <c r="V21" s="107"/>
      <c r="W21" s="107"/>
    </row>
    <row r="22" spans="3:38">
      <c r="C22" s="127" t="s">
        <v>621</v>
      </c>
      <c r="E22" s="404">
        <f>Escalators!N14</f>
        <v>1.0200566914516673</v>
      </c>
      <c r="F22" s="404">
        <f>Escalators!O14</f>
        <v>1.0387748892718842</v>
      </c>
      <c r="G22" s="728">
        <f>Escalators!P14</f>
        <v>1.0597841134352426</v>
      </c>
      <c r="H22" s="92"/>
      <c r="I22" s="403"/>
      <c r="J22" s="724"/>
      <c r="K22" s="724"/>
      <c r="M22" s="39"/>
      <c r="O22" s="157"/>
      <c r="P22" s="157"/>
      <c r="Q22" s="157"/>
      <c r="R22" s="157"/>
      <c r="S22" s="157"/>
      <c r="T22" s="157"/>
      <c r="U22" s="107"/>
      <c r="V22" s="107"/>
      <c r="W22" s="107"/>
    </row>
    <row r="23" spans="3:38">
      <c r="E23" s="260" t="s">
        <v>622</v>
      </c>
      <c r="F23" s="260" t="s">
        <v>623</v>
      </c>
      <c r="G23" s="403" t="s">
        <v>649</v>
      </c>
      <c r="H23" s="92"/>
      <c r="I23" s="1007"/>
      <c r="J23" s="1007"/>
      <c r="K23" s="724"/>
    </row>
    <row r="24" spans="3:38">
      <c r="C24" s="387" t="s">
        <v>624</v>
      </c>
      <c r="E24" s="2"/>
      <c r="F24" s="2"/>
      <c r="G24" s="41"/>
      <c r="H24" s="41"/>
      <c r="I24" s="86"/>
      <c r="J24" s="86"/>
      <c r="K24" s="86"/>
      <c r="L24" s="851"/>
    </row>
    <row r="25" spans="3:38">
      <c r="C25" s="386" t="s">
        <v>31</v>
      </c>
      <c r="E25" s="854">
        <f>('Capex_2016-2026'!W89+'Capex_2016-2026'!W101)*Millions</f>
        <v>119384028.26109082</v>
      </c>
      <c r="F25" s="791">
        <v>91463179.50359261</v>
      </c>
      <c r="G25" s="790">
        <v>60714104.885533869</v>
      </c>
      <c r="H25" s="50"/>
      <c r="I25" s="50"/>
      <c r="J25" s="50"/>
      <c r="K25" s="50"/>
      <c r="L25" s="39"/>
    </row>
    <row r="26" spans="3:38">
      <c r="C26" s="56" t="s">
        <v>32</v>
      </c>
      <c r="E26" s="790">
        <f>'Capex_2016-2026'!W88*10^6</f>
        <v>109751353.58000001</v>
      </c>
      <c r="F26" s="790">
        <v>102485363.56662291</v>
      </c>
      <c r="G26" s="790">
        <v>52927150.400861248</v>
      </c>
      <c r="H26" s="50"/>
      <c r="I26" s="50"/>
      <c r="J26" s="50"/>
      <c r="K26" s="50"/>
      <c r="L26" s="39"/>
    </row>
    <row r="27" spans="3:38">
      <c r="C27" s="56" t="s">
        <v>33</v>
      </c>
      <c r="E27" s="791">
        <f>('Capex_2016-2026'!W87+'Capex_2016-2026'!W100)*Millions-1511533.77</f>
        <v>122247992.55260032</v>
      </c>
      <c r="F27" s="791">
        <v>124566462.01503292</v>
      </c>
      <c r="G27" s="790">
        <v>52033254.960186794</v>
      </c>
      <c r="H27" s="50"/>
      <c r="I27" s="50"/>
      <c r="J27" s="50"/>
      <c r="K27" s="50"/>
      <c r="L27" s="39"/>
    </row>
    <row r="28" spans="3:38">
      <c r="C28" s="56" t="s">
        <v>34</v>
      </c>
      <c r="E28" s="789">
        <f>'Capex_2016-2026'!W90*Millions</f>
        <v>78524448.469999999</v>
      </c>
      <c r="F28" s="789">
        <v>64950472.994383581</v>
      </c>
      <c r="G28" s="789">
        <v>49967730.042033501</v>
      </c>
      <c r="H28" s="50"/>
      <c r="I28" s="50"/>
      <c r="J28" s="50"/>
      <c r="K28" s="50"/>
      <c r="L28" s="39"/>
    </row>
    <row r="29" spans="3:38">
      <c r="C29" s="2" t="s">
        <v>146</v>
      </c>
      <c r="E29" s="727">
        <f>SUM(E25:E28)</f>
        <v>429907822.86369121</v>
      </c>
      <c r="F29" s="201">
        <f>SUM(F25:F28)</f>
        <v>383465478.07963204</v>
      </c>
      <c r="G29" s="727">
        <f>SUM(G25:G28)</f>
        <v>215642240.28861541</v>
      </c>
      <c r="H29" s="112"/>
      <c r="I29" s="112"/>
      <c r="J29" s="112"/>
      <c r="K29" s="112"/>
      <c r="L29" s="112"/>
    </row>
    <row r="30" spans="3:38">
      <c r="E30" s="359">
        <f>E29-'Capex_2016-2026'!W96*Millions</f>
        <v>0</v>
      </c>
      <c r="F30" s="1" t="b">
        <v>1</v>
      </c>
      <c r="G30" s="796" t="b">
        <v>1</v>
      </c>
      <c r="H30" s="39"/>
      <c r="I30" s="39"/>
      <c r="J30" s="39"/>
      <c r="K30" s="39"/>
    </row>
    <row r="31" spans="3:38">
      <c r="C31" s="1" t="s">
        <v>637</v>
      </c>
      <c r="D31" s="304"/>
      <c r="E31" s="304"/>
      <c r="F31" s="50"/>
      <c r="G31" s="50"/>
      <c r="H31" s="50"/>
      <c r="I31" s="50"/>
      <c r="J31" s="725"/>
      <c r="K31" s="50"/>
    </row>
    <row r="32" spans="3:38">
      <c r="C32" s="396" t="s">
        <v>31</v>
      </c>
      <c r="D32" s="388"/>
      <c r="E32" s="788">
        <v>10625627.95340045</v>
      </c>
      <c r="F32" s="788">
        <v>6866707.6865073396</v>
      </c>
      <c r="G32" s="544">
        <v>7425557.3212055424</v>
      </c>
      <c r="H32" s="50"/>
      <c r="I32" s="50"/>
      <c r="J32" s="50"/>
      <c r="K32" s="50"/>
    </row>
    <row r="33" spans="3:11">
      <c r="C33" s="388" t="s">
        <v>32</v>
      </c>
      <c r="D33" s="388"/>
      <c r="E33" s="788">
        <v>6088167.7999882447</v>
      </c>
      <c r="F33" s="788">
        <v>4637333.2418474024</v>
      </c>
      <c r="G33" s="544">
        <v>2804930.5738652321</v>
      </c>
      <c r="H33" s="50"/>
      <c r="I33" s="50"/>
      <c r="J33" s="50"/>
      <c r="K33" s="50"/>
    </row>
    <row r="34" spans="3:11">
      <c r="C34" s="388" t="s">
        <v>33</v>
      </c>
      <c r="D34" s="388"/>
      <c r="E34" s="788">
        <v>10842512.210699061</v>
      </c>
      <c r="F34" s="788">
        <v>10911535.372002974</v>
      </c>
      <c r="G34" s="544">
        <v>3503679.4714996833</v>
      </c>
      <c r="H34" s="50"/>
      <c r="I34" s="50"/>
      <c r="J34" s="50"/>
      <c r="K34" s="50"/>
    </row>
    <row r="35" spans="3:11">
      <c r="C35" s="388" t="s">
        <v>34</v>
      </c>
      <c r="D35" s="41"/>
      <c r="E35" s="790">
        <v>2478847.6199497185</v>
      </c>
      <c r="F35" s="790">
        <v>3878293.1733333343</v>
      </c>
      <c r="G35" s="544">
        <v>1358324.2450454298</v>
      </c>
      <c r="H35" s="50"/>
      <c r="I35" s="50"/>
      <c r="J35" s="50"/>
      <c r="K35" s="50"/>
    </row>
    <row r="36" spans="3:11">
      <c r="C36" s="2" t="s">
        <v>146</v>
      </c>
      <c r="D36" s="304"/>
      <c r="E36" s="397">
        <f>SUM(E32:E35)</f>
        <v>30035155.584037472</v>
      </c>
      <c r="F36" s="397">
        <f>SUM(F32:F35)</f>
        <v>26293869.47369105</v>
      </c>
      <c r="G36" s="491">
        <f>SUM(G32:G35)</f>
        <v>15092491.611615887</v>
      </c>
      <c r="H36" s="112"/>
      <c r="I36" s="112"/>
      <c r="J36" s="112"/>
      <c r="K36" s="112"/>
    </row>
    <row r="37" spans="3:11">
      <c r="C37" s="41"/>
      <c r="D37" s="41"/>
      <c r="E37" s="265">
        <f>E36-'Capex_2016-2026'!W92*Millions</f>
        <v>0</v>
      </c>
      <c r="F37" s="41" t="b">
        <v>1</v>
      </c>
      <c r="G37" s="41" t="b">
        <v>1</v>
      </c>
      <c r="H37" s="50"/>
      <c r="I37" s="50"/>
      <c r="J37" s="50"/>
      <c r="K37" s="50"/>
    </row>
    <row r="38" spans="3:11">
      <c r="C38" s="1" t="s">
        <v>487</v>
      </c>
      <c r="D38" s="304"/>
      <c r="E38" s="304"/>
      <c r="F38" s="112"/>
      <c r="G38" s="112"/>
      <c r="H38" s="112"/>
      <c r="I38" s="112"/>
      <c r="J38" s="112"/>
      <c r="K38" s="112"/>
    </row>
    <row r="39" spans="3:11">
      <c r="C39" s="396" t="s">
        <v>31</v>
      </c>
      <c r="D39" s="41"/>
      <c r="E39" s="265">
        <f>E32/E$22</f>
        <v>10416703.34839808</v>
      </c>
      <c r="F39" s="415">
        <f>F32/F$22</f>
        <v>6610390.5258245794</v>
      </c>
      <c r="G39" s="415">
        <f>G32/G$22</f>
        <v>7006669.7802592376</v>
      </c>
      <c r="H39" s="50"/>
      <c r="I39" s="50"/>
      <c r="J39" s="50"/>
      <c r="K39" s="50"/>
    </row>
    <row r="40" spans="3:11">
      <c r="C40" s="388" t="s">
        <v>32</v>
      </c>
      <c r="D40" s="41"/>
      <c r="E40" s="265">
        <f t="shared" ref="E40:F42" si="5">E33/E$22</f>
        <v>5968460.2346209073</v>
      </c>
      <c r="F40" s="265">
        <f t="shared" si="5"/>
        <v>4464233.0977964634</v>
      </c>
      <c r="G40" s="265">
        <f t="shared" ref="G40" si="6">G33/G$22</f>
        <v>2646699.9630454695</v>
      </c>
      <c r="H40" s="50"/>
      <c r="I40" s="50"/>
      <c r="J40" s="50"/>
      <c r="K40" s="50"/>
    </row>
    <row r="41" spans="3:11">
      <c r="C41" s="388" t="s">
        <v>33</v>
      </c>
      <c r="D41" s="41"/>
      <c r="E41" s="265">
        <f t="shared" si="5"/>
        <v>10629323.155822663</v>
      </c>
      <c r="F41" s="265">
        <f t="shared" si="5"/>
        <v>10504234.829599388</v>
      </c>
      <c r="G41" s="265">
        <f t="shared" ref="G41" si="7">G34/G$22</f>
        <v>3306031.3200418372</v>
      </c>
      <c r="H41" s="50"/>
      <c r="I41" s="50"/>
      <c r="J41" s="50"/>
      <c r="K41" s="50"/>
    </row>
    <row r="42" spans="3:11">
      <c r="C42" s="388" t="s">
        <v>34</v>
      </c>
      <c r="E42" s="265">
        <f t="shared" si="5"/>
        <v>2430107.6996240378</v>
      </c>
      <c r="F42" s="265">
        <f t="shared" si="5"/>
        <v>3733526.1117562954</v>
      </c>
      <c r="G42" s="265">
        <f t="shared" ref="G42" si="8">G35/G$22</f>
        <v>1281699.0062650428</v>
      </c>
    </row>
    <row r="43" spans="3:11">
      <c r="C43" s="2" t="s">
        <v>146</v>
      </c>
      <c r="E43" s="397">
        <f>SUM(E39:E42)</f>
        <v>29444594.438465692</v>
      </c>
      <c r="F43" s="397">
        <f>SUM(F39:F42)</f>
        <v>25312384.564976726</v>
      </c>
      <c r="G43" s="397">
        <f>SUM(G39:G42)</f>
        <v>14241100.069611587</v>
      </c>
    </row>
    <row r="44" spans="3:11">
      <c r="E44" s="274">
        <f>E43-AusNet_Overheads!H28*Thousands</f>
        <v>0</v>
      </c>
      <c r="F44" s="726">
        <f>F43-AusNet_Overheads!I28*Thousands</f>
        <v>0</v>
      </c>
      <c r="G44" s="726">
        <f>G43-AusNet_Overheads!J28*Thousands</f>
        <v>0</v>
      </c>
    </row>
    <row r="46" spans="3:11">
      <c r="E46" s="158"/>
      <c r="F46" s="158"/>
      <c r="G46" s="158"/>
    </row>
    <row r="47" spans="3:11">
      <c r="E47" s="158"/>
      <c r="F47" s="158"/>
      <c r="G47" s="158"/>
    </row>
    <row r="48" spans="3:11">
      <c r="E48" s="158"/>
      <c r="F48" s="158"/>
      <c r="G48" s="158"/>
    </row>
    <row r="49" spans="5:7">
      <c r="E49" s="158"/>
      <c r="F49" s="158"/>
      <c r="G49" s="158"/>
    </row>
    <row r="51" spans="5:7">
      <c r="E51" s="274"/>
      <c r="F51" s="274"/>
      <c r="G51" s="274"/>
    </row>
    <row r="52" spans="5:7">
      <c r="E52" s="274"/>
      <c r="F52" s="274"/>
      <c r="G52" s="274"/>
    </row>
    <row r="53" spans="5:7">
      <c r="E53" s="274"/>
      <c r="F53" s="274"/>
      <c r="G53" s="670"/>
    </row>
    <row r="54" spans="5:7">
      <c r="E54" s="274"/>
      <c r="F54" s="274"/>
      <c r="G54" s="670"/>
    </row>
  </sheetData>
  <mergeCells count="2">
    <mergeCell ref="E7:K7"/>
    <mergeCell ref="I23:J23"/>
  </mergeCells>
  <hyperlinks>
    <hyperlink ref="B2" location="Contents!A1" display="Table of Contents" xr:uid="{00000000-0004-0000-2500-000000000000}"/>
  </hyperlinks>
  <pageMargins left="0.7" right="0.7" top="0.75" bottom="0.75" header="0.3" footer="0.3"/>
  <pageSetup paperSize="9" orientation="portrait" r:id="rId1"/>
  <ignoredErrors>
    <ignoredError sqref="F15:K15" formulaRange="1"/>
  </ignoredError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1:K45"/>
  <sheetViews>
    <sheetView zoomScale="85" zoomScaleNormal="85" workbookViewId="0">
      <selection activeCell="F7" sqref="F7"/>
    </sheetView>
  </sheetViews>
  <sheetFormatPr defaultColWidth="8.85546875" defaultRowHeight="15"/>
  <cols>
    <col min="1" max="1" width="5" style="1" customWidth="1"/>
    <col min="2" max="2" width="4.7109375" style="1" customWidth="1"/>
    <col min="3" max="3" width="37.85546875" style="1" customWidth="1"/>
    <col min="4" max="5" width="12.5703125" style="1" bestFit="1" customWidth="1"/>
    <col min="6" max="6" width="14.28515625" style="1" bestFit="1" customWidth="1"/>
    <col min="7" max="7" width="13" style="1" customWidth="1"/>
    <col min="8" max="10" width="12.5703125" style="1" bestFit="1" customWidth="1"/>
    <col min="11" max="11" width="39.28515625" style="1" customWidth="1"/>
    <col min="12" max="13" width="8.85546875" style="1"/>
    <col min="14" max="18" width="10.5703125" style="1" customWidth="1"/>
    <col min="19" max="16384" width="8.85546875" style="1"/>
  </cols>
  <sheetData>
    <row r="1" spans="3:11" ht="18.75">
      <c r="C1" s="10" t="s">
        <v>633</v>
      </c>
    </row>
    <row r="2" spans="3:11">
      <c r="C2" s="25" t="s">
        <v>6</v>
      </c>
      <c r="F2" s="100">
        <f>Escalators!$P$14</f>
        <v>1.0597841134352426</v>
      </c>
      <c r="G2" s="1" t="s">
        <v>580</v>
      </c>
    </row>
    <row r="4" spans="3:11">
      <c r="D4" s="983" t="s">
        <v>635</v>
      </c>
      <c r="E4" s="984"/>
      <c r="F4" s="984"/>
      <c r="G4" s="984"/>
      <c r="H4" s="984"/>
      <c r="I4" s="984"/>
      <c r="J4" s="985"/>
    </row>
    <row r="5" spans="3:11">
      <c r="C5" s="6"/>
      <c r="D5" s="17" t="s">
        <v>620</v>
      </c>
      <c r="E5" s="17" t="s">
        <v>614</v>
      </c>
      <c r="F5" s="17" t="s">
        <v>615</v>
      </c>
      <c r="G5" s="17" t="s">
        <v>616</v>
      </c>
      <c r="H5" s="17" t="s">
        <v>617</v>
      </c>
      <c r="I5" s="17" t="s">
        <v>618</v>
      </c>
      <c r="J5" s="17" t="s">
        <v>619</v>
      </c>
    </row>
    <row r="6" spans="3:11">
      <c r="C6" s="6" t="s">
        <v>31</v>
      </c>
      <c r="D6" s="371">
        <f>0.5*'2.1 Exp Summary'!F39+0.5*'2.1 Exp Summary'!E39</f>
        <v>8513546.9371113293</v>
      </c>
      <c r="E6" s="450">
        <f>'2.1 Exp Summary'!G39+0.5*'2.1 Exp Summary'!F39</f>
        <v>10311865.043171527</v>
      </c>
      <c r="F6" s="371">
        <f>Reg_Forecast!BE32*Thousands</f>
        <v>13383808.100837966</v>
      </c>
      <c r="G6" s="371">
        <f>Reg_Forecast!BF32*Thousands</f>
        <v>12858831.502185784</v>
      </c>
      <c r="H6" s="371">
        <f>Reg_Forecast!BG32*Thousands</f>
        <v>15157680.872806463</v>
      </c>
      <c r="I6" s="371">
        <f>Reg_Forecast!BH32*Thousands</f>
        <v>14854194.833276805</v>
      </c>
      <c r="J6" s="371">
        <f>Reg_Forecast!BI32*Thousands</f>
        <v>14485389.014255706</v>
      </c>
    </row>
    <row r="7" spans="3:11">
      <c r="C7" s="6" t="s">
        <v>32</v>
      </c>
      <c r="D7" s="371">
        <f>0.5*'2.1 Exp Summary'!F40+0.5*'2.1 Exp Summary'!E40</f>
        <v>5216346.6662086854</v>
      </c>
      <c r="E7" s="450">
        <f>'2.1 Exp Summary'!G40+0.5*'2.1 Exp Summary'!F40</f>
        <v>4878816.5119437017</v>
      </c>
      <c r="F7" s="371">
        <f>Reg_Forecast!BE33*Thousands</f>
        <v>4557853.2364697093</v>
      </c>
      <c r="G7" s="371">
        <f>Reg_Forecast!BF33*Thousands</f>
        <v>6009590.5997422375</v>
      </c>
      <c r="H7" s="371">
        <f>Reg_Forecast!BG33*Thousands</f>
        <v>6898781.9590823464</v>
      </c>
      <c r="I7" s="371">
        <f>Reg_Forecast!BH33*Thousands</f>
        <v>7429854.5825077677</v>
      </c>
      <c r="J7" s="371">
        <f>Reg_Forecast!BI33*Thousands</f>
        <v>7702524.8680026997</v>
      </c>
    </row>
    <row r="8" spans="3:11">
      <c r="C8" s="6" t="s">
        <v>33</v>
      </c>
      <c r="D8" s="371">
        <f>0.5*'2.1 Exp Summary'!F41+0.5*'2.1 Exp Summary'!E41</f>
        <v>10566778.992711026</v>
      </c>
      <c r="E8" s="450">
        <f>'2.1 Exp Summary'!G41+0.5*'2.1 Exp Summary'!F41</f>
        <v>8558148.7348415311</v>
      </c>
      <c r="F8" s="371">
        <f>Reg_Forecast!BE31*Thousands</f>
        <v>7936381.2069553519</v>
      </c>
      <c r="G8" s="371">
        <f>Reg_Forecast!BF31*Thousands</f>
        <v>7136217.6773453373</v>
      </c>
      <c r="H8" s="371">
        <f>Reg_Forecast!BG31*Thousands</f>
        <v>2727783.0067155603</v>
      </c>
      <c r="I8" s="371">
        <f>Reg_Forecast!BH31*Thousands</f>
        <v>2141822.98986689</v>
      </c>
      <c r="J8" s="371">
        <f>Reg_Forecast!BI31*Thousands</f>
        <v>2114702.338878206</v>
      </c>
    </row>
    <row r="9" spans="3:11">
      <c r="C9" s="6" t="s">
        <v>34</v>
      </c>
      <c r="D9" s="371">
        <f>0.5*'2.1 Exp Summary'!F42+0.5*'2.1 Exp Summary'!E42</f>
        <v>3081816.9056901666</v>
      </c>
      <c r="E9" s="450">
        <f>'2.1 Exp Summary'!G42+0.5*'2.1 Exp Summary'!F42</f>
        <v>3148462.0621431908</v>
      </c>
      <c r="F9" s="371">
        <f>Reg_Forecast!BE34*Thousands</f>
        <v>2532875.9933027262</v>
      </c>
      <c r="G9" s="371">
        <f>Reg_Forecast!BF34*Thousands</f>
        <v>2468850.514394342</v>
      </c>
      <c r="H9" s="371">
        <f>Reg_Forecast!BG34*Thousands</f>
        <v>2481185.8027143083</v>
      </c>
      <c r="I9" s="371">
        <f>Reg_Forecast!BH34*Thousands</f>
        <v>2475638.5745397187</v>
      </c>
      <c r="J9" s="371">
        <f>Reg_Forecast!BI34*Thousands</f>
        <v>2477571.0128328875</v>
      </c>
    </row>
    <row r="10" spans="3:11">
      <c r="C10" s="6" t="s">
        <v>634</v>
      </c>
      <c r="D10" s="410">
        <v>2861740.1104416251</v>
      </c>
      <c r="E10" s="410">
        <v>2780542.2482817834</v>
      </c>
      <c r="F10" s="674">
        <f>(-Base_Forecast!T13-AusNet_Overheads!K62)*AusNet_Overheads!K21*10^3</f>
        <v>0</v>
      </c>
      <c r="G10" s="674">
        <f>(-Base_Forecast!U13-AusNet_Overheads!L62)*AusNet_Overheads!L21*10^3</f>
        <v>0</v>
      </c>
      <c r="H10" s="674">
        <f>(-Base_Forecast!V13-AusNet_Overheads!M62)*AusNet_Overheads!M21*10^3</f>
        <v>0</v>
      </c>
      <c r="I10" s="674">
        <f>(-Base_Forecast!W13-AusNet_Overheads!N62)*AusNet_Overheads!N21*10^3</f>
        <v>0</v>
      </c>
      <c r="J10" s="674">
        <f>(-Base_Forecast!X13-AusNet_Overheads!O62)*AusNet_Overheads!O21*10^3</f>
        <v>0</v>
      </c>
      <c r="K10" s="1" t="s">
        <v>638</v>
      </c>
    </row>
    <row r="11" spans="3:11">
      <c r="C11" s="8" t="s">
        <v>146</v>
      </c>
      <c r="D11" s="372">
        <f>SUM(D6:D9)</f>
        <v>27378489.501721207</v>
      </c>
      <c r="E11" s="372">
        <f t="shared" ref="E11:J11" si="0">SUM(E6:E9)</f>
        <v>26897292.352099951</v>
      </c>
      <c r="F11" s="372">
        <f t="shared" si="0"/>
        <v>28410918.537565753</v>
      </c>
      <c r="G11" s="372">
        <f t="shared" si="0"/>
        <v>28473490.293667704</v>
      </c>
      <c r="H11" s="372">
        <f t="shared" si="0"/>
        <v>27265431.641318675</v>
      </c>
      <c r="I11" s="372">
        <f t="shared" si="0"/>
        <v>26901510.980191179</v>
      </c>
      <c r="J11" s="372">
        <f t="shared" si="0"/>
        <v>26780187.233969502</v>
      </c>
    </row>
    <row r="12" spans="3:11">
      <c r="D12" s="1" t="b">
        <f>ROUND(D11,5)=ROUND(AusNet_Overheads!I34*Thousands,5)</f>
        <v>1</v>
      </c>
      <c r="E12" s="1" t="b">
        <f>ROUND(E11,5)=ROUND(AusNet_Overheads!J34*Thousands,5)</f>
        <v>1</v>
      </c>
      <c r="F12" s="1" t="b">
        <f>ROUND(F11,5)=ROUND(AusNet_Overheads!K34*Thousands,5)</f>
        <v>1</v>
      </c>
      <c r="G12" s="1" t="b">
        <f>ROUND(G11,5)=ROUND(AusNet_Overheads!L34*Thousands,5)</f>
        <v>1</v>
      </c>
      <c r="H12" s="1" t="b">
        <f>ROUND(H11,5)=ROUND(AusNet_Overheads!M34*Thousands,5)</f>
        <v>1</v>
      </c>
      <c r="I12" s="1" t="b">
        <f>ROUND(I11,5)=ROUND(AusNet_Overheads!N34*Thousands,5)</f>
        <v>1</v>
      </c>
      <c r="J12" s="1" t="b">
        <f>ROUND(J11,5)=ROUND(AusNet_Overheads!O34*Thousands,5)</f>
        <v>1</v>
      </c>
    </row>
    <row r="13" spans="3:11">
      <c r="D13" s="84"/>
      <c r="E13" s="84"/>
    </row>
    <row r="15" spans="3:11">
      <c r="D15" s="983" t="s">
        <v>596</v>
      </c>
      <c r="E15" s="984"/>
      <c r="F15" s="984"/>
      <c r="G15" s="984"/>
      <c r="H15" s="984"/>
      <c r="I15" s="984"/>
      <c r="J15" s="985"/>
    </row>
    <row r="16" spans="3:11">
      <c r="C16" s="6"/>
      <c r="D16" s="17" t="s">
        <v>620</v>
      </c>
      <c r="E16" s="17" t="s">
        <v>614</v>
      </c>
      <c r="F16" s="17" t="s">
        <v>615</v>
      </c>
      <c r="G16" s="17" t="s">
        <v>616</v>
      </c>
      <c r="H16" s="17" t="s">
        <v>617</v>
      </c>
      <c r="I16" s="17" t="s">
        <v>618</v>
      </c>
      <c r="J16" s="17" t="s">
        <v>619</v>
      </c>
    </row>
    <row r="17" spans="3:11">
      <c r="C17" s="6" t="s">
        <v>31</v>
      </c>
      <c r="D17" s="371">
        <f t="shared" ref="D17:J21" si="1">D6*$F$2</f>
        <v>9022521.7929358557</v>
      </c>
      <c r="E17" s="371">
        <f t="shared" si="1"/>
        <v>10928350.752641406</v>
      </c>
      <c r="F17" s="371">
        <f t="shared" si="1"/>
        <v>14183947.202533983</v>
      </c>
      <c r="G17" s="371">
        <f t="shared" si="1"/>
        <v>13627585.343357131</v>
      </c>
      <c r="H17" s="371">
        <f t="shared" si="1"/>
        <v>16063869.385521531</v>
      </c>
      <c r="I17" s="371">
        <f t="shared" si="1"/>
        <v>15742239.70217862</v>
      </c>
      <c r="J17" s="371">
        <f t="shared" si="1"/>
        <v>15351385.154237587</v>
      </c>
    </row>
    <row r="18" spans="3:11">
      <c r="C18" s="6" t="s">
        <v>32</v>
      </c>
      <c r="D18" s="371">
        <f t="shared" si="1"/>
        <v>5528201.3270188551</v>
      </c>
      <c r="E18" s="371">
        <f t="shared" si="1"/>
        <v>5170492.2317234781</v>
      </c>
      <c r="F18" s="371">
        <f t="shared" si="1"/>
        <v>4830340.4513800023</v>
      </c>
      <c r="G18" s="371">
        <f t="shared" si="1"/>
        <v>6368868.6458565947</v>
      </c>
      <c r="H18" s="371">
        <f t="shared" si="1"/>
        <v>7311219.5222891308</v>
      </c>
      <c r="I18" s="371">
        <f t="shared" si="1"/>
        <v>7874041.8516757693</v>
      </c>
      <c r="J18" s="371">
        <f t="shared" si="1"/>
        <v>8163013.4884491498</v>
      </c>
    </row>
    <row r="19" spans="3:11">
      <c r="C19" s="6" t="s">
        <v>33</v>
      </c>
      <c r="D19" s="371">
        <f t="shared" si="1"/>
        <v>11198504.506656401</v>
      </c>
      <c r="E19" s="371">
        <f t="shared" si="1"/>
        <v>9069790.0696009751</v>
      </c>
      <c r="F19" s="371">
        <f t="shared" si="1"/>
        <v>8410850.7212972976</v>
      </c>
      <c r="G19" s="371">
        <f t="shared" si="1"/>
        <v>7562850.1244663345</v>
      </c>
      <c r="H19" s="371">
        <f t="shared" si="1"/>
        <v>2890861.0954157705</v>
      </c>
      <c r="I19" s="371">
        <f t="shared" si="1"/>
        <v>2269869.9784513027</v>
      </c>
      <c r="J19" s="371">
        <f t="shared" si="1"/>
        <v>2241127.9433874735</v>
      </c>
    </row>
    <row r="20" spans="3:11">
      <c r="C20" s="6" t="s">
        <v>34</v>
      </c>
      <c r="D20" s="371">
        <f t="shared" si="1"/>
        <v>3266060.597166596</v>
      </c>
      <c r="E20" s="371">
        <f t="shared" si="1"/>
        <v>3336690.0752129173</v>
      </c>
      <c r="F20" s="371">
        <f t="shared" si="1"/>
        <v>2684301.7390037393</v>
      </c>
      <c r="G20" s="371">
        <f t="shared" si="1"/>
        <v>2616448.5536015504</v>
      </c>
      <c r="H20" s="371">
        <f t="shared" si="1"/>
        <v>2629521.2961976938</v>
      </c>
      <c r="I20" s="371">
        <f t="shared" si="1"/>
        <v>2623642.4319046633</v>
      </c>
      <c r="J20" s="371">
        <f t="shared" si="1"/>
        <v>2625690.3993079579</v>
      </c>
    </row>
    <row r="21" spans="3:11">
      <c r="C21" s="6" t="s">
        <v>634</v>
      </c>
      <c r="D21" s="371">
        <f t="shared" si="1"/>
        <v>3032826.7058264511</v>
      </c>
      <c r="E21" s="371">
        <f t="shared" si="1"/>
        <v>2946774.5014645462</v>
      </c>
      <c r="F21" s="371">
        <f t="shared" si="1"/>
        <v>0</v>
      </c>
      <c r="G21" s="371">
        <f t="shared" si="1"/>
        <v>0</v>
      </c>
      <c r="H21" s="371">
        <f t="shared" si="1"/>
        <v>0</v>
      </c>
      <c r="I21" s="371">
        <f t="shared" si="1"/>
        <v>0</v>
      </c>
      <c r="J21" s="371">
        <f t="shared" si="1"/>
        <v>0</v>
      </c>
      <c r="K21" s="1" t="s">
        <v>638</v>
      </c>
    </row>
    <row r="22" spans="3:11">
      <c r="C22" s="8" t="s">
        <v>146</v>
      </c>
      <c r="D22" s="372">
        <f>SUM(D17:D20)</f>
        <v>29015288.223777711</v>
      </c>
      <c r="E22" s="372">
        <f t="shared" ref="E22:J22" si="2">SUM(E17:E20)</f>
        <v>28505323.129178777</v>
      </c>
      <c r="F22" s="372">
        <f t="shared" si="2"/>
        <v>30109440.114215024</v>
      </c>
      <c r="G22" s="372">
        <f t="shared" si="2"/>
        <v>30175752.667281613</v>
      </c>
      <c r="H22" s="372">
        <f t="shared" si="2"/>
        <v>28895471.299424127</v>
      </c>
      <c r="I22" s="372">
        <f t="shared" si="2"/>
        <v>28509793.964210358</v>
      </c>
      <c r="J22" s="372">
        <f t="shared" si="2"/>
        <v>28381216.985382169</v>
      </c>
    </row>
    <row r="23" spans="3:11">
      <c r="D23" s="1" t="b">
        <f t="shared" ref="D23:J23" si="3">D22=D11*$F$2</f>
        <v>1</v>
      </c>
      <c r="E23" s="1" t="b">
        <f t="shared" si="3"/>
        <v>1</v>
      </c>
      <c r="F23" s="1" t="b">
        <f t="shared" si="3"/>
        <v>1</v>
      </c>
      <c r="G23" s="1" t="b">
        <f t="shared" si="3"/>
        <v>1</v>
      </c>
      <c r="H23" s="1" t="b">
        <f t="shared" si="3"/>
        <v>1</v>
      </c>
      <c r="I23" s="1" t="b">
        <f t="shared" si="3"/>
        <v>1</v>
      </c>
      <c r="J23" s="1" t="b">
        <f t="shared" si="3"/>
        <v>1</v>
      </c>
    </row>
    <row r="29" spans="3:11">
      <c r="F29" s="39"/>
    </row>
    <row r="30" spans="3:11">
      <c r="F30" s="39"/>
    </row>
    <row r="32" spans="3:11">
      <c r="F32" s="158"/>
    </row>
    <row r="33" spans="6:6">
      <c r="F33" s="39"/>
    </row>
    <row r="34" spans="6:6">
      <c r="F34" s="39"/>
    </row>
    <row r="35" spans="6:6">
      <c r="F35" s="39"/>
    </row>
    <row r="36" spans="6:6">
      <c r="F36" s="39"/>
    </row>
    <row r="37" spans="6:6">
      <c r="F37" s="39"/>
    </row>
    <row r="42" spans="6:6">
      <c r="F42" s="158"/>
    </row>
    <row r="45" spans="6:6">
      <c r="F45" s="274"/>
    </row>
  </sheetData>
  <mergeCells count="2">
    <mergeCell ref="D4:J4"/>
    <mergeCell ref="D15:J15"/>
  </mergeCells>
  <hyperlinks>
    <hyperlink ref="C2" location="Contents!A1" display="Table of Contents" xr:uid="{00000000-0004-0000-26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dimension ref="A1:V44"/>
  <sheetViews>
    <sheetView zoomScale="70" zoomScaleNormal="70" zoomScalePageLayoutView="125" workbookViewId="0">
      <pane ySplit="8" topLeftCell="A9" activePane="bottomLeft" state="frozen"/>
      <selection activeCell="V33" sqref="V33"/>
      <selection pane="bottomLeft" activeCell="V33" sqref="V33"/>
    </sheetView>
  </sheetViews>
  <sheetFormatPr defaultColWidth="8.85546875" defaultRowHeight="15"/>
  <cols>
    <col min="1" max="1" width="4.42578125" style="1" customWidth="1"/>
    <col min="2" max="2" width="8.85546875" style="1"/>
    <col min="3" max="3" width="43.42578125" style="1" bestFit="1" customWidth="1"/>
    <col min="4" max="4" width="38.7109375" style="1" bestFit="1" customWidth="1"/>
    <col min="5" max="5" width="16" style="1" customWidth="1"/>
    <col min="6" max="7" width="17.28515625" style="1" customWidth="1"/>
    <col min="8" max="8" width="17" style="1" customWidth="1"/>
    <col min="9" max="9" width="17.42578125" style="1" bestFit="1" customWidth="1"/>
    <col min="10" max="10" width="16.42578125" style="1" customWidth="1"/>
    <col min="11" max="11" width="17.42578125" style="1" bestFit="1" customWidth="1"/>
    <col min="12" max="12" width="16.42578125" style="1" customWidth="1"/>
    <col min="13" max="13" width="19.5703125" style="1" customWidth="1"/>
    <col min="14" max="14" width="2.28515625" style="1" customWidth="1"/>
    <col min="15" max="15" width="1.28515625" style="1" customWidth="1"/>
    <col min="16" max="16" width="31.28515625" style="1" customWidth="1"/>
    <col min="17" max="17" width="14.28515625" style="1" bestFit="1" customWidth="1"/>
    <col min="18" max="22" width="13.140625" style="1" customWidth="1"/>
    <col min="23" max="16384" width="8.85546875" style="1"/>
  </cols>
  <sheetData>
    <row r="1" spans="1:22" ht="18.75">
      <c r="B1" s="10" t="s">
        <v>40</v>
      </c>
    </row>
    <row r="2" spans="1:22">
      <c r="A2" s="3"/>
      <c r="B2" s="25" t="s">
        <v>6</v>
      </c>
    </row>
    <row r="3" spans="1:22">
      <c r="G3" s="200" t="s">
        <v>354</v>
      </c>
      <c r="I3" s="100">
        <f>Escalators!$P$14</f>
        <v>1.0597841134352426</v>
      </c>
      <c r="J3" s="1" t="s">
        <v>580</v>
      </c>
    </row>
    <row r="5" spans="1:22" ht="15.75">
      <c r="C5" s="130" t="s">
        <v>325</v>
      </c>
      <c r="D5" s="130"/>
      <c r="E5" s="130"/>
      <c r="F5" s="130"/>
      <c r="G5" s="130"/>
      <c r="H5" s="130"/>
      <c r="I5" s="130"/>
      <c r="J5" s="130"/>
      <c r="K5" s="130"/>
      <c r="L5" s="130"/>
    </row>
    <row r="6" spans="1:22" ht="18.75" thickBot="1">
      <c r="C6" s="161" t="s">
        <v>612</v>
      </c>
      <c r="D6" s="131"/>
      <c r="E6" s="401"/>
      <c r="F6" s="401"/>
      <c r="G6" s="402"/>
      <c r="H6" s="402"/>
      <c r="I6" s="402"/>
      <c r="J6" s="402"/>
      <c r="K6" s="402"/>
      <c r="L6" s="402"/>
    </row>
    <row r="7" spans="1:22" ht="37.9" customHeight="1" thickBot="1">
      <c r="C7" s="132"/>
      <c r="D7" s="133"/>
      <c r="E7" s="134"/>
      <c r="F7" s="1008" t="s">
        <v>611</v>
      </c>
      <c r="G7" s="1009"/>
      <c r="H7" s="1009"/>
      <c r="I7" s="1009"/>
      <c r="J7" s="1009"/>
      <c r="K7" s="1009"/>
      <c r="L7" s="1010"/>
    </row>
    <row r="8" spans="1:22" ht="67.900000000000006" customHeight="1" thickBot="1">
      <c r="C8" s="135" t="s">
        <v>326</v>
      </c>
      <c r="D8" s="135" t="s">
        <v>43</v>
      </c>
      <c r="E8" s="136" t="s">
        <v>327</v>
      </c>
      <c r="F8" s="373" t="s">
        <v>620</v>
      </c>
      <c r="G8" s="374" t="s">
        <v>614</v>
      </c>
      <c r="H8" s="374">
        <f>Yr_1</f>
        <v>44742</v>
      </c>
      <c r="I8" s="374">
        <f>Yr_2</f>
        <v>45107</v>
      </c>
      <c r="J8" s="374">
        <f>Yr_3</f>
        <v>45473</v>
      </c>
      <c r="K8" s="374">
        <f>Yr_4</f>
        <v>45838</v>
      </c>
      <c r="L8" s="375">
        <f>Yr_5</f>
        <v>46203</v>
      </c>
      <c r="N8" s="214"/>
      <c r="O8" s="205"/>
    </row>
    <row r="9" spans="1:22">
      <c r="C9" s="137" t="s">
        <v>328</v>
      </c>
      <c r="D9" s="138" t="s">
        <v>329</v>
      </c>
      <c r="E9" s="139" t="s">
        <v>330</v>
      </c>
      <c r="F9" s="140"/>
      <c r="G9" s="141"/>
      <c r="H9" s="141"/>
      <c r="I9" s="141"/>
      <c r="J9" s="141"/>
      <c r="K9" s="141"/>
      <c r="L9" s="142"/>
    </row>
    <row r="10" spans="1:22">
      <c r="C10" s="143"/>
      <c r="D10" s="144"/>
      <c r="E10" s="145" t="s">
        <v>331</v>
      </c>
      <c r="F10" s="146">
        <f>(SUMIFS(ICT!BC$6:BC$36,ICT!$I$6:$I$36,$D9)*0.5+SUMIFS(Metering_SCS!BC$6:BC$36,Metering_SCS!$I$6:$I$36,$D9)*0.5+SUMIFS(ICT!BD$6:BD$36,ICT!$I$6:$I$36,$D9)*0.5+SUMIFS(Metering_SCS!BD$6:BD$36,Metering_SCS!$I$6:$I$36,$D9)*0.5)*Thousands*$I$3</f>
        <v>0</v>
      </c>
      <c r="G10" s="147">
        <f>(SUMIFS(ICT!BD$6:BD$36,ICT!$I$6:$I$36,$D9)*0.5+SUMIFS(Metering_SCS!BD$6:BD$36,Metering_SCS!$I$6:$I$36,$D9)*0.5+SUMIFS(ICT!BE$6:BE$36,ICT!$I$6:$I$36,$D9)+SUMIFS(Metering_SCS!BE$6:BE$36,Metering_SCS!$I$6:$I$36,$D9))*Thousands*$I$3</f>
        <v>0</v>
      </c>
      <c r="H10" s="147">
        <f>(SUMIFS(ICT!BF$6:BF$36,ICT!$I$6:$I$36,$D9)+SUMIFS(Metering_SCS!BF$6:BF$36,Metering_SCS!$I$6:$I$36,$D9))*Thousands*$I$3</f>
        <v>660946.37288906483</v>
      </c>
      <c r="I10" s="147">
        <f>(SUMIFS(ICT!BG$6:BG$36,ICT!$I$6:$I$36,$D9)+SUMIFS(Metering_SCS!BG$6:BG$36,Metering_SCS!$I$6:$I$36,$D9))*Thousands*$I$3</f>
        <v>149383.22884513397</v>
      </c>
      <c r="J10" s="147">
        <f>(SUMIFS(ICT!BH$6:BH$36,ICT!$I$6:$I$36,$D9)+SUMIFS(Metering_SCS!BH$6:BH$36,Metering_SCS!$I$6:$I$36,$D9))*Thousands*$I$3</f>
        <v>876019.6672379002</v>
      </c>
      <c r="K10" s="147">
        <f>(SUMIFS(ICT!BI$6:BI$36,ICT!$I$6:$I$36,$D9)+SUMIFS(Metering_SCS!BI$6:BI$36,Metering_SCS!$I$6:$I$36,$D9))*Thousands*$I$3</f>
        <v>214060.57061691745</v>
      </c>
      <c r="L10" s="148">
        <f>(SUMIFS(ICT!BJ$6:BJ$36,ICT!$I$6:$I$36,$D9)+SUMIFS(Metering_SCS!BJ$6:BJ$36,Metering_SCS!$I$6:$I$36,$D9))*Thousands*$I$3</f>
        <v>236047.4448173506</v>
      </c>
      <c r="M10" s="34"/>
    </row>
    <row r="11" spans="1:22">
      <c r="C11" s="143"/>
      <c r="D11" s="149" t="s">
        <v>332</v>
      </c>
      <c r="E11" s="150" t="s">
        <v>330</v>
      </c>
      <c r="F11" s="151"/>
      <c r="G11" s="152"/>
      <c r="H11" s="152"/>
      <c r="I11" s="152"/>
      <c r="J11" s="152"/>
      <c r="K11" s="152"/>
      <c r="L11" s="153"/>
    </row>
    <row r="12" spans="1:22">
      <c r="C12" s="143"/>
      <c r="D12" s="154"/>
      <c r="E12" s="145" t="s">
        <v>331</v>
      </c>
      <c r="F12" s="146">
        <v>24279171.991757546</v>
      </c>
      <c r="G12" s="147">
        <v>10495159.728894679</v>
      </c>
      <c r="H12" s="147">
        <f>(SUMIFS(ICT!BF$6:BF$36,ICT!$I$6:$I$36,$D11)+SUMIFS(Metering_SCS!BF$6:BF$36,Metering_SCS!$I$6:$I$36,$D11))*Thousands*$I$3</f>
        <v>16300039.082486298</v>
      </c>
      <c r="I12" s="147">
        <f>(SUMIFS(ICT!BG$6:BG$36,ICT!$I$6:$I$36,$D11)+SUMIFS(Metering_SCS!BG$6:BG$36,Metering_SCS!$I$6:$I$36,$D11))*Thousands*$I$3</f>
        <v>9663689.3438854013</v>
      </c>
      <c r="J12" s="147">
        <f>(SUMIFS(ICT!BH$6:BH$36,ICT!$I$6:$I$36,$D11)+SUMIFS(Metering_SCS!BH$6:BH$36,Metering_SCS!$I$6:$I$36,$D11))*Thousands*$I$3</f>
        <v>15040242.725796295</v>
      </c>
      <c r="K12" s="147">
        <f>(SUMIFS(ICT!BI$6:BI$36,ICT!$I$6:$I$36,$D11)+SUMIFS(Metering_SCS!BI$6:BI$36,Metering_SCS!$I$6:$I$36,$D11))*Thousands*$I$3</f>
        <v>7523348.5640861299</v>
      </c>
      <c r="L12" s="148">
        <f>(SUMIFS(ICT!BJ$6:BJ$36,ICT!$I$6:$I$36,$D11)+SUMIFS(Metering_SCS!BJ$6:BJ$36,Metering_SCS!$I$6:$I$36,$D11))*Thousands*$I$3</f>
        <v>7619436.3096272368</v>
      </c>
    </row>
    <row r="13" spans="1:22">
      <c r="C13" s="143"/>
      <c r="D13" s="398" t="s">
        <v>333</v>
      </c>
      <c r="E13" s="150" t="s">
        <v>330</v>
      </c>
      <c r="F13" s="151"/>
      <c r="G13" s="152"/>
      <c r="H13" s="152"/>
      <c r="I13" s="152"/>
      <c r="J13" s="152"/>
      <c r="K13" s="152"/>
      <c r="L13" s="153"/>
    </row>
    <row r="14" spans="1:22">
      <c r="C14" s="155"/>
      <c r="D14" s="154"/>
      <c r="E14" s="145" t="s">
        <v>331</v>
      </c>
      <c r="F14" s="146">
        <v>36857600.737728745</v>
      </c>
      <c r="G14" s="147">
        <v>43342706.530296862</v>
      </c>
      <c r="H14" s="147">
        <f>(SUMIFS(ICT!BF$6:BF$36,ICT!$I$6:$I$36,$D13)+SUMIFS(Metering_SCS!BF$6:BF$36,Metering_SCS!$I$6:$I$36,$D13))*Thousands*$I$3</f>
        <v>28180417.788111169</v>
      </c>
      <c r="I14" s="147">
        <f>(SUMIFS(ICT!BG$6:BG$36,ICT!$I$6:$I$36,$D13)+SUMIFS(Metering_SCS!BG$6:BG$36,Metering_SCS!$I$6:$I$36,$D13))*Thousands*$I$3</f>
        <v>20587905.37769885</v>
      </c>
      <c r="J14" s="147">
        <f>(SUMIFS(ICT!BH$6:BH$36,ICT!$I$6:$I$36,$D13)+SUMIFS(Metering_SCS!BH$6:BH$36,Metering_SCS!$I$6:$I$36,$D13))*Thousands*$I$3</f>
        <v>19588219.746683624</v>
      </c>
      <c r="K14" s="147">
        <f>(SUMIFS(ICT!BI$6:BI$36,ICT!$I$6:$I$36,$D13)+SUMIFS(Metering_SCS!BI$6:BI$36,Metering_SCS!$I$6:$I$36,$D13))*Thousands*$I$3</f>
        <v>18990839.317919575</v>
      </c>
      <c r="L14" s="148">
        <f>(SUMIFS(ICT!BJ$6:BJ$36,ICT!$I$6:$I$36,$D13)+SUMIFS(Metering_SCS!BJ$6:BJ$36,Metering_SCS!$I$6:$I$36,$D13))*Thousands*$I$3</f>
        <v>18390141.180843797</v>
      </c>
      <c r="P14" s="41"/>
      <c r="Q14" s="86"/>
      <c r="R14" s="41"/>
      <c r="S14" s="41"/>
      <c r="T14" s="41"/>
      <c r="U14" s="41"/>
      <c r="V14" s="41"/>
    </row>
    <row r="15" spans="1:22">
      <c r="C15" s="143" t="s">
        <v>235</v>
      </c>
      <c r="D15" s="156" t="s">
        <v>334</v>
      </c>
      <c r="E15" s="150" t="s">
        <v>330</v>
      </c>
      <c r="F15" s="151"/>
      <c r="G15" s="152"/>
      <c r="H15" s="152"/>
      <c r="I15" s="152"/>
      <c r="J15" s="152"/>
      <c r="K15" s="152"/>
      <c r="L15" s="153"/>
      <c r="N15" s="213"/>
      <c r="P15" s="41"/>
      <c r="Q15" s="86"/>
      <c r="R15" s="41"/>
      <c r="S15" s="41"/>
      <c r="T15" s="41"/>
      <c r="U15" s="41"/>
      <c r="V15" s="41"/>
    </row>
    <row r="16" spans="1:22">
      <c r="C16" s="143"/>
      <c r="D16" s="154"/>
      <c r="E16" s="145" t="s">
        <v>331</v>
      </c>
      <c r="F16" s="146">
        <v>804734.72066120047</v>
      </c>
      <c r="G16" s="147">
        <v>1039496.5145140061</v>
      </c>
      <c r="H16" s="147">
        <f>SUMIFS(Other_NN!BE$6:BE$36,Other_NN!$H$6:$H$36,$D$15)*Thousands*$I$3*R23</f>
        <v>1228667.1803818042</v>
      </c>
      <c r="I16" s="147">
        <f>SUMIFS(Other_NN!BF$6:BF$36,Other_NN!$H$6:$H$36,$D$15)*Thousands*$I$3*S23</f>
        <v>1265124.0646188075</v>
      </c>
      <c r="J16" s="147">
        <f>SUMIFS(Other_NN!BG$6:BG$36,Other_NN!$H$6:$H$36,$D$15)*Thousands*$I$3*T23</f>
        <v>1437264.3742929248</v>
      </c>
      <c r="K16" s="147">
        <f>SUMIFS(Other_NN!BH$6:BH$36,Other_NN!$H$6:$H$36,$D$15)*Thousands*$I$3*U23</f>
        <v>2476432.7749663615</v>
      </c>
      <c r="L16" s="148">
        <f>SUMIFS(Other_NN!BI$6:BI$36,Other_NN!$H$6:$H$36,$D$15)*Thousands*$I$3*V23</f>
        <v>1699235.0751537881</v>
      </c>
      <c r="N16" s="215"/>
      <c r="O16" s="84"/>
      <c r="P16" s="41"/>
      <c r="Q16" s="269"/>
      <c r="R16" s="269"/>
      <c r="S16" s="269"/>
      <c r="T16" s="269"/>
      <c r="U16" s="269"/>
      <c r="V16" s="269"/>
    </row>
    <row r="17" spans="3:22">
      <c r="C17" s="143"/>
      <c r="D17" s="149" t="s">
        <v>335</v>
      </c>
      <c r="E17" s="150" t="s">
        <v>330</v>
      </c>
      <c r="F17" s="151"/>
      <c r="G17" s="152"/>
      <c r="H17" s="152"/>
      <c r="I17" s="152"/>
      <c r="J17" s="152"/>
      <c r="K17" s="152"/>
      <c r="L17" s="153"/>
      <c r="N17" s="215"/>
      <c r="O17" s="84"/>
      <c r="P17" s="41"/>
      <c r="Q17" s="269"/>
      <c r="R17" s="269"/>
      <c r="S17" s="269"/>
      <c r="T17" s="269"/>
      <c r="U17" s="269"/>
      <c r="V17" s="269"/>
    </row>
    <row r="18" spans="3:22">
      <c r="C18" s="143"/>
      <c r="D18" s="154"/>
      <c r="E18" s="145" t="s">
        <v>331</v>
      </c>
      <c r="F18" s="146">
        <v>677056.8370242439</v>
      </c>
      <c r="G18" s="147">
        <v>874571.71182611806</v>
      </c>
      <c r="H18" s="147">
        <f>SUMIFS(Other_NN!BE$6:BE$36,Other_NN!$H$6:$H$36,$D$15)*Thousands*$I$3*R24</f>
        <v>668594.00132799812</v>
      </c>
      <c r="I18" s="147">
        <f>SUMIFS(Other_NN!BF$6:BF$36,Other_NN!$H$6:$H$36,$D$15)*Thousands*$I$3*S24</f>
        <v>453005.4507376781</v>
      </c>
      <c r="J18" s="147">
        <f>SUMIFS(Other_NN!BG$6:BG$36,Other_NN!$H$6:$H$36,$D$15)*Thousands*$I$3*T24</f>
        <v>531424.76519836974</v>
      </c>
      <c r="K18" s="147">
        <f>SUMIFS(Other_NN!BH$6:BH$36,Other_NN!$H$6:$H$36,$D$15)*Thousands*$I$3*U24</f>
        <v>1394198.7766976829</v>
      </c>
      <c r="L18" s="148">
        <f>SUMIFS(Other_NN!BI$6:BI$36,Other_NN!$H$6:$H$36,$D$15)*Thousands*$I$3*V24</f>
        <v>1158365.21970829</v>
      </c>
      <c r="N18" s="215"/>
      <c r="O18" s="84"/>
      <c r="P18" s="41"/>
      <c r="Q18" s="269"/>
      <c r="R18" s="269"/>
      <c r="S18" s="269"/>
      <c r="T18" s="269"/>
      <c r="U18" s="269"/>
      <c r="V18" s="269"/>
    </row>
    <row r="19" spans="3:22">
      <c r="C19" s="143"/>
      <c r="D19" s="149" t="s">
        <v>336</v>
      </c>
      <c r="E19" s="150" t="s">
        <v>330</v>
      </c>
      <c r="F19" s="151"/>
      <c r="G19" s="152"/>
      <c r="H19" s="152"/>
      <c r="I19" s="152"/>
      <c r="J19" s="152"/>
      <c r="K19" s="152"/>
      <c r="L19" s="153"/>
      <c r="N19" s="215"/>
      <c r="O19" s="84"/>
      <c r="P19" s="41"/>
      <c r="Q19" s="269"/>
      <c r="R19" s="269"/>
      <c r="S19" s="269"/>
      <c r="T19" s="269"/>
      <c r="U19" s="269"/>
      <c r="V19" s="269"/>
    </row>
    <row r="20" spans="3:22">
      <c r="C20" s="143"/>
      <c r="D20" s="154"/>
      <c r="E20" s="145" t="s">
        <v>331</v>
      </c>
      <c r="F20" s="146">
        <v>0</v>
      </c>
      <c r="G20" s="147">
        <v>0</v>
      </c>
      <c r="H20" s="147">
        <f>SUMIFS(Other_NN!BE$6:BE$36,Other_NN!$H$6:$H$36,$D$15)*Thousands*$I$3*R25</f>
        <v>0</v>
      </c>
      <c r="I20" s="147">
        <f>SUMIFS(Other_NN!BF$6:BF$36,Other_NN!$H$6:$H$36,$D$15)*Thousands*$I$3*S25</f>
        <v>0</v>
      </c>
      <c r="J20" s="147">
        <f>SUMIFS(Other_NN!BG$6:BG$36,Other_NN!$H$6:$H$36,$D$15)*Thousands*$I$3*T25</f>
        <v>0</v>
      </c>
      <c r="K20" s="147">
        <f>SUMIFS(Other_NN!BH$6:BH$36,Other_NN!$H$6:$H$36,$D$15)*Thousands*$I$3*U25</f>
        <v>0</v>
      </c>
      <c r="L20" s="148">
        <f>SUMIFS(Other_NN!BI$6:BI$36,Other_NN!$H$6:$H$36,$D$15)*Thousands*$I$3*V25</f>
        <v>0</v>
      </c>
      <c r="N20" s="215"/>
      <c r="O20" s="84"/>
      <c r="P20" s="41"/>
      <c r="Q20" s="269"/>
      <c r="R20" s="269"/>
      <c r="S20" s="269"/>
      <c r="T20" s="269"/>
      <c r="U20" s="269"/>
      <c r="V20" s="269"/>
    </row>
    <row r="21" spans="3:22">
      <c r="C21" s="143"/>
      <c r="D21" s="149" t="s">
        <v>337</v>
      </c>
      <c r="E21" s="150" t="s">
        <v>330</v>
      </c>
      <c r="F21" s="151"/>
      <c r="G21" s="152"/>
      <c r="H21" s="152"/>
      <c r="I21" s="152"/>
      <c r="J21" s="152"/>
      <c r="K21" s="152"/>
      <c r="L21" s="153"/>
      <c r="N21" s="215"/>
      <c r="O21" s="84"/>
      <c r="P21" s="41"/>
      <c r="Q21" s="269"/>
      <c r="R21" s="269"/>
      <c r="S21" s="269"/>
      <c r="T21" s="269"/>
      <c r="U21" s="269"/>
      <c r="V21" s="269"/>
    </row>
    <row r="22" spans="3:22">
      <c r="C22" s="143"/>
      <c r="D22" s="154"/>
      <c r="E22" s="145" t="s">
        <v>331</v>
      </c>
      <c r="F22" s="146">
        <v>141219.21371453573</v>
      </c>
      <c r="G22" s="147">
        <v>182416.48666290249</v>
      </c>
      <c r="H22" s="147">
        <f>SUMIFS(Other_NN!BE$6:BE$36,Other_NN!$H$6:$H$36,$D$15)*Thousands*$I$3*R26</f>
        <v>0</v>
      </c>
      <c r="I22" s="147">
        <f>SUMIFS(Other_NN!BF$6:BF$36,Other_NN!$H$6:$H$36,$D$15)*Thousands*$I$3*S26</f>
        <v>0</v>
      </c>
      <c r="J22" s="147">
        <f>SUMIFS(Other_NN!BG$6:BG$36,Other_NN!$H$6:$H$36,$D$15)*Thousands*$I$3*T26</f>
        <v>169278.54563002934</v>
      </c>
      <c r="K22" s="147">
        <f>SUMIFS(Other_NN!BH$6:BH$36,Other_NN!$H$6:$H$36,$D$15)*Thousands*$I$3*U26</f>
        <v>368923.10003727186</v>
      </c>
      <c r="L22" s="148">
        <f>SUMIFS(Other_NN!BI$6:BI$36,Other_NN!$H$6:$H$36,$D$15)*Thousands*$I$3*V26</f>
        <v>177763.64609095882</v>
      </c>
      <c r="N22" s="215"/>
      <c r="O22" s="84"/>
      <c r="P22" s="1" t="s">
        <v>733</v>
      </c>
      <c r="Q22" s="405" t="s">
        <v>614</v>
      </c>
      <c r="R22" s="405" t="s">
        <v>615</v>
      </c>
      <c r="S22" s="405" t="s">
        <v>616</v>
      </c>
      <c r="T22" s="405" t="s">
        <v>617</v>
      </c>
      <c r="U22" s="405" t="s">
        <v>618</v>
      </c>
      <c r="V22" s="405" t="s">
        <v>619</v>
      </c>
    </row>
    <row r="23" spans="3:22">
      <c r="C23" s="143"/>
      <c r="D23" s="149" t="s">
        <v>338</v>
      </c>
      <c r="E23" s="150" t="s">
        <v>330</v>
      </c>
      <c r="F23" s="151"/>
      <c r="G23" s="152"/>
      <c r="H23" s="152"/>
      <c r="I23" s="152"/>
      <c r="J23" s="152"/>
      <c r="K23" s="152"/>
      <c r="L23" s="153"/>
      <c r="N23" s="215"/>
      <c r="O23" s="84"/>
      <c r="P23" s="1" t="s">
        <v>334</v>
      </c>
      <c r="Q23" s="107">
        <v>0.46737485802767526</v>
      </c>
      <c r="R23" s="107">
        <v>0.60553333683309463</v>
      </c>
      <c r="S23" s="107">
        <v>0.67743200959886629</v>
      </c>
      <c r="T23" s="107">
        <v>0.62835906265232944</v>
      </c>
      <c r="U23" s="107">
        <v>0.55601997069735098</v>
      </c>
      <c r="V23" s="107">
        <v>0.53076523887886584</v>
      </c>
    </row>
    <row r="24" spans="3:22">
      <c r="C24" s="155"/>
      <c r="D24" s="154"/>
      <c r="E24" s="145" t="s">
        <v>331</v>
      </c>
      <c r="F24" s="146">
        <v>98807.822045944456</v>
      </c>
      <c r="G24" s="147">
        <v>127632.60237993546</v>
      </c>
      <c r="H24" s="147">
        <f>SUMIFS(Other_NN!BE$6:BE$36,Other_NN!$H$6:$H$36,$D$15)*Thousands*$I$3*R27</f>
        <v>131804.94173051021</v>
      </c>
      <c r="I24" s="147">
        <f>SUMIFS(Other_NN!BF$6:BF$36,Other_NN!$H$6:$H$36,$D$15)*Thousands*$I$3*S27</f>
        <v>149399.69302552807</v>
      </c>
      <c r="J24" s="147">
        <f>SUMIFS(Other_NN!BG$6:BG$36,Other_NN!$H$6:$H$36,$D$15)*Thousands*$I$3*T27</f>
        <v>149362.05947752506</v>
      </c>
      <c r="K24" s="147">
        <f>SUMIFS(Other_NN!BH$6:BH$36,Other_NN!$H$6:$H$36,$D$15)*Thousands*$I$3*U27</f>
        <v>214301.15470157392</v>
      </c>
      <c r="L24" s="148">
        <f>SUMIFS(Other_NN!BI$6:BI$36,Other_NN!$H$6:$H$36,$D$15)*Thousands*$I$3*V27</f>
        <v>166117.52520906221</v>
      </c>
      <c r="N24" s="215"/>
      <c r="O24" s="84"/>
      <c r="P24" s="1" t="s">
        <v>335</v>
      </c>
      <c r="Q24" s="107">
        <v>0.39322193383289628</v>
      </c>
      <c r="R24" s="107">
        <v>0.32950823711668242</v>
      </c>
      <c r="S24" s="107">
        <v>0.2425694059854368</v>
      </c>
      <c r="T24" s="107">
        <v>0.23233412954701502</v>
      </c>
      <c r="U24" s="107">
        <v>0.31303186212121514</v>
      </c>
      <c r="V24" s="107">
        <v>0.36182162288039904</v>
      </c>
    </row>
    <row r="25" spans="3:22">
      <c r="C25" s="143" t="s">
        <v>236</v>
      </c>
      <c r="D25" s="156" t="s">
        <v>339</v>
      </c>
      <c r="E25" s="150" t="s">
        <v>330</v>
      </c>
      <c r="F25" s="151"/>
      <c r="G25" s="152"/>
      <c r="H25" s="152"/>
      <c r="I25" s="152"/>
      <c r="J25" s="152"/>
      <c r="K25" s="152"/>
      <c r="L25" s="153"/>
      <c r="N25" s="92"/>
      <c r="O25" s="84"/>
      <c r="P25" s="84" t="s">
        <v>336</v>
      </c>
      <c r="Q25" s="107">
        <v>0</v>
      </c>
      <c r="R25" s="107">
        <v>0</v>
      </c>
      <c r="S25" s="107">
        <v>0</v>
      </c>
      <c r="T25" s="107">
        <v>0</v>
      </c>
      <c r="U25" s="107">
        <v>0</v>
      </c>
      <c r="V25" s="107">
        <v>0</v>
      </c>
    </row>
    <row r="26" spans="3:22">
      <c r="C26" s="155"/>
      <c r="D26" s="154"/>
      <c r="E26" s="145" t="s">
        <v>331</v>
      </c>
      <c r="F26" s="146">
        <v>18571114.13782401</v>
      </c>
      <c r="G26" s="147">
        <v>2327558.4328926932</v>
      </c>
      <c r="H26" s="147">
        <f>SUMIFS(Other_NN!BE$6:BE$36,Other_NN!$H$6:$H$36,$D25)*Thousands*$I$3</f>
        <v>4695466.6308977026</v>
      </c>
      <c r="I26" s="147">
        <f>SUMIFS(Other_NN!BF$6:BF$36,Other_NN!$H$6:$H$36,$D25)*Thousands*$I$3</f>
        <v>2126075.3013269776</v>
      </c>
      <c r="J26" s="147">
        <f>SUMIFS(Other_NN!BG$6:BG$36,Other_NN!$H$6:$H$36,$D25)*Thousands*$I$3</f>
        <v>859993.61237043061</v>
      </c>
      <c r="K26" s="147">
        <f>SUMIFS(Other_NN!BH$6:BH$36,Other_NN!$H$6:$H$36,$D25)*Thousands*$I$3</f>
        <v>2513945.6890031421</v>
      </c>
      <c r="L26" s="148">
        <f>SUMIFS(Other_NN!BI$6:BI$36,Other_NN!$H$6:$H$36,$D25)*Thousands*$I$3</f>
        <v>9263476.8666362558</v>
      </c>
      <c r="N26" s="92"/>
      <c r="O26" s="84"/>
      <c r="P26" s="84" t="s">
        <v>337</v>
      </c>
      <c r="Q26" s="107">
        <v>8.201747515800123E-2</v>
      </c>
      <c r="R26" s="107">
        <v>0</v>
      </c>
      <c r="S26" s="107">
        <v>0</v>
      </c>
      <c r="T26" s="107">
        <v>7.4007058243243093E-2</v>
      </c>
      <c r="U26" s="107">
        <v>8.2832295447667112E-2</v>
      </c>
      <c r="V26" s="107">
        <v>5.5525433450052085E-2</v>
      </c>
    </row>
    <row r="27" spans="3:22">
      <c r="C27" s="143" t="s">
        <v>234</v>
      </c>
      <c r="D27" s="400" t="s">
        <v>340</v>
      </c>
      <c r="E27" s="150" t="s">
        <v>330</v>
      </c>
      <c r="F27" s="151"/>
      <c r="G27" s="152"/>
      <c r="H27" s="152"/>
      <c r="I27" s="152"/>
      <c r="J27" s="152"/>
      <c r="K27" s="152"/>
      <c r="L27" s="153"/>
      <c r="N27" s="92"/>
      <c r="O27" s="84"/>
      <c r="P27" s="84" t="s">
        <v>338</v>
      </c>
      <c r="Q27" s="107">
        <v>5.738573298142724E-2</v>
      </c>
      <c r="R27" s="107">
        <v>6.4958426050223006E-2</v>
      </c>
      <c r="S27" s="107">
        <v>7.9998584415696877E-2</v>
      </c>
      <c r="T27" s="107">
        <v>6.5299749557412481E-2</v>
      </c>
      <c r="U27" s="107">
        <v>4.8115871733766795E-2</v>
      </c>
      <c r="V27" s="107">
        <v>5.1887704790683074E-2</v>
      </c>
    </row>
    <row r="28" spans="3:22">
      <c r="C28" s="155"/>
      <c r="D28" s="154"/>
      <c r="E28" s="145" t="s">
        <v>331</v>
      </c>
      <c r="F28" s="146">
        <v>0</v>
      </c>
      <c r="G28" s="147">
        <v>0</v>
      </c>
      <c r="H28" s="147">
        <f>SUMIFS(Other_NN!BE$6:BE$36,Other_NN!$H$6:$H$36,$D27)*Thousands*$I$3</f>
        <v>1272360.5918988204</v>
      </c>
      <c r="I28" s="147">
        <f>SUMIFS(Other_NN!BF$6:BF$36,Other_NN!$H$6:$H$36,$D27)*Thousands*$I$3</f>
        <v>1272630.8502214465</v>
      </c>
      <c r="J28" s="147">
        <f>SUMIFS(Other_NN!BG$6:BG$36,Other_NN!$H$6:$H$36,$D27)*Thousands*$I$3</f>
        <v>1272987.4008927627</v>
      </c>
      <c r="K28" s="147">
        <f>SUMIFS(Other_NN!BH$6:BH$36,Other_NN!$H$6:$H$36,$D27)*Thousands*$I$3</f>
        <v>1273534.8448954762</v>
      </c>
      <c r="L28" s="148">
        <f>SUMIFS(Other_NN!BI$6:BI$36,Other_NN!$H$6:$H$36,$D27)*Thousands*$I$3</f>
        <v>1274262.5184455379</v>
      </c>
      <c r="N28" s="92"/>
      <c r="O28" s="84"/>
      <c r="P28" s="84"/>
    </row>
    <row r="29" spans="3:22">
      <c r="C29" s="209" t="s">
        <v>358</v>
      </c>
      <c r="D29" s="210" t="s">
        <v>361</v>
      </c>
      <c r="E29" s="150" t="s">
        <v>330</v>
      </c>
      <c r="F29" s="151"/>
      <c r="G29" s="152"/>
      <c r="H29" s="152"/>
      <c r="I29" s="152"/>
      <c r="J29" s="152"/>
      <c r="K29" s="152"/>
      <c r="L29" s="153"/>
      <c r="N29" s="92"/>
      <c r="O29" s="84"/>
      <c r="P29" s="84"/>
    </row>
    <row r="30" spans="3:22">
      <c r="C30" s="209"/>
      <c r="D30" s="211"/>
      <c r="E30" s="145" t="s">
        <v>331</v>
      </c>
      <c r="F30" s="146">
        <v>1685092.4385715781</v>
      </c>
      <c r="G30" s="147">
        <v>1634660.719044741</v>
      </c>
      <c r="H30" s="147">
        <f>SUMIFS(Other_NN!BE$6:BE$36,Other_NN!$H$6:$H$36,$D29)*Thousands*$I$3</f>
        <v>1579099.6002851594</v>
      </c>
      <c r="I30" s="147">
        <f>SUMIFS(Other_NN!BF$6:BF$36,Other_NN!$H$6:$H$36,$D29)*Thousands*$I$3</f>
        <v>1579435.0121267</v>
      </c>
      <c r="J30" s="147">
        <f>SUMIFS(Other_NN!BG$6:BG$36,Other_NN!$H$6:$H$36,$D29)*Thousands*$I$3</f>
        <v>1579877.5195622037</v>
      </c>
      <c r="K30" s="147">
        <f>SUMIFS(Other_NN!BH$6:BH$36,Other_NN!$H$6:$H$36,$D29)*Thousands*$I$3</f>
        <v>1580556.9406409194</v>
      </c>
      <c r="L30" s="148">
        <f>SUMIFS(Other_NN!BI$6:BI$36,Other_NN!$H$6:$H$36,$D29)*Thousands*$I$3</f>
        <v>1581460.0407678457</v>
      </c>
      <c r="N30" s="92"/>
      <c r="O30" s="84"/>
      <c r="P30" s="84"/>
    </row>
    <row r="31" spans="3:22">
      <c r="C31" s="209"/>
      <c r="D31" s="210" t="s">
        <v>643</v>
      </c>
      <c r="E31" s="150" t="s">
        <v>330</v>
      </c>
      <c r="F31" s="151"/>
      <c r="G31" s="152"/>
      <c r="H31" s="152"/>
      <c r="I31" s="152"/>
      <c r="J31" s="152"/>
      <c r="K31" s="152"/>
      <c r="L31" s="153"/>
      <c r="N31" s="92"/>
      <c r="O31" s="84"/>
      <c r="P31" s="84"/>
    </row>
    <row r="32" spans="3:22">
      <c r="C32" s="209"/>
      <c r="D32" s="211"/>
      <c r="E32" s="145" t="s">
        <v>331</v>
      </c>
      <c r="F32" s="146">
        <f>REFCL_view!G46*Thousands</f>
        <v>0</v>
      </c>
      <c r="G32" s="147">
        <f>REFCL_view!H46*Thousands</f>
        <v>0</v>
      </c>
      <c r="H32" s="147">
        <f>Reg_Forecast!AU25*Thousands*$I$3</f>
        <v>1628291.0460059617</v>
      </c>
      <c r="I32" s="147">
        <f>Reg_Forecast!AV25*Thousands*$I$3</f>
        <v>0</v>
      </c>
      <c r="J32" s="147">
        <f>Reg_Forecast!AW25*Thousands*$I$3</f>
        <v>0</v>
      </c>
      <c r="K32" s="147">
        <f>Reg_Forecast!AX25*Thousands*$I$3</f>
        <v>0</v>
      </c>
      <c r="L32" s="148">
        <f>Reg_Forecast!AY25*Thousands*$I$3</f>
        <v>0</v>
      </c>
      <c r="N32" s="92"/>
      <c r="O32" s="84"/>
      <c r="P32" s="84"/>
    </row>
    <row r="33" spans="3:15">
      <c r="C33" s="209"/>
      <c r="D33" s="210" t="s">
        <v>644</v>
      </c>
      <c r="E33" s="150" t="s">
        <v>330</v>
      </c>
      <c r="F33" s="151"/>
      <c r="G33" s="152"/>
      <c r="H33" s="152"/>
      <c r="I33" s="152"/>
      <c r="J33" s="152"/>
      <c r="K33" s="152"/>
      <c r="L33" s="153"/>
      <c r="N33" s="92"/>
      <c r="O33" s="84"/>
    </row>
    <row r="34" spans="3:15">
      <c r="C34" s="209"/>
      <c r="D34" s="211"/>
      <c r="E34" s="145" t="s">
        <v>331</v>
      </c>
      <c r="F34" s="146">
        <f>REFCL_view!G45*Thousands</f>
        <v>0</v>
      </c>
      <c r="G34" s="147">
        <f>REFCL_view!H45*Thousands</f>
        <v>0</v>
      </c>
      <c r="H34" s="147"/>
      <c r="I34" s="147"/>
      <c r="J34" s="147"/>
      <c r="K34" s="147"/>
      <c r="L34" s="148"/>
      <c r="N34" s="92"/>
      <c r="O34" s="84"/>
    </row>
    <row r="35" spans="3:15">
      <c r="C35" s="206"/>
      <c r="D35" s="207"/>
      <c r="E35" s="208"/>
      <c r="F35" s="208"/>
      <c r="G35" s="212"/>
      <c r="H35" s="212"/>
      <c r="I35" s="212"/>
      <c r="J35" s="212"/>
      <c r="K35" s="212"/>
      <c r="L35" s="212"/>
      <c r="N35" s="92"/>
      <c r="O35" s="84"/>
    </row>
    <row r="36" spans="3:15">
      <c r="M36" s="439" t="str">
        <f>NReg_Period</f>
        <v>2022-26</v>
      </c>
      <c r="N36" s="204"/>
    </row>
    <row r="37" spans="3:15" ht="8.25" customHeight="1">
      <c r="G37" s="158"/>
      <c r="H37" s="158"/>
      <c r="I37" s="158"/>
      <c r="J37" s="158"/>
      <c r="K37" s="158"/>
      <c r="L37" s="158"/>
      <c r="M37" s="439"/>
      <c r="N37" s="213"/>
    </row>
    <row r="38" spans="3:15">
      <c r="E38" s="434" t="s">
        <v>613</v>
      </c>
      <c r="F38" s="435">
        <f>SUMIFS(F$9:F$34,$E$9:$E$34,"Capex ")</f>
        <v>83114797.899327785</v>
      </c>
      <c r="G38" s="435">
        <f t="shared" ref="G38:L38" si="0">SUMIFS(G$9:G$34,$E$9:$E$34,"Capex ")</f>
        <v>60024202.726511933</v>
      </c>
      <c r="H38" s="435">
        <f t="shared" si="0"/>
        <v>56345687.236014485</v>
      </c>
      <c r="I38" s="435">
        <f t="shared" si="0"/>
        <v>37246648.322486527</v>
      </c>
      <c r="J38" s="435">
        <f t="shared" si="0"/>
        <v>41504670.417142071</v>
      </c>
      <c r="K38" s="435">
        <f t="shared" si="0"/>
        <v>36550141.733565055</v>
      </c>
      <c r="L38" s="435">
        <f t="shared" si="0"/>
        <v>41566305.827300124</v>
      </c>
      <c r="M38" s="440">
        <f>SUM(H38:L38)</f>
        <v>213213453.53650826</v>
      </c>
      <c r="N38" s="201"/>
    </row>
    <row r="39" spans="3:15" ht="9" customHeight="1">
      <c r="E39" s="436"/>
      <c r="F39" s="436"/>
      <c r="G39" s="436"/>
      <c r="H39" s="436"/>
      <c r="I39" s="436"/>
      <c r="J39" s="436"/>
      <c r="K39" s="436"/>
      <c r="L39" s="436"/>
      <c r="M39" s="436"/>
    </row>
    <row r="40" spans="3:15">
      <c r="E40" s="434" t="s">
        <v>357</v>
      </c>
      <c r="F40" s="437">
        <f>'2.1 Exp Summary'!E12</f>
        <v>73923390.357943565</v>
      </c>
      <c r="G40" s="437">
        <f>'2.1 Exp Summary'!F12</f>
        <v>83099778.26077722</v>
      </c>
      <c r="H40" s="437">
        <f>'2.1 Exp Summary'!G12</f>
        <v>56345687.236014485</v>
      </c>
      <c r="I40" s="437">
        <f>'2.1 Exp Summary'!H12</f>
        <v>37246648.322486527</v>
      </c>
      <c r="J40" s="437">
        <f>'2.1 Exp Summary'!I12</f>
        <v>41504670.417142056</v>
      </c>
      <c r="K40" s="437">
        <f>'2.1 Exp Summary'!J12</f>
        <v>36550141.733565047</v>
      </c>
      <c r="L40" s="437">
        <f>'2.1 Exp Summary'!K12</f>
        <v>41566305.827300116</v>
      </c>
      <c r="M40" s="438">
        <f t="shared" ref="M40:M41" si="1">SUM(H40:L40)</f>
        <v>213213453.53650826</v>
      </c>
      <c r="N40" s="158"/>
    </row>
    <row r="41" spans="3:15">
      <c r="E41" s="434" t="s">
        <v>133</v>
      </c>
      <c r="F41" s="489">
        <f>F40-F38</f>
        <v>-9191407.5413842201</v>
      </c>
      <c r="G41" s="489">
        <f>G40-G38</f>
        <v>23075575.534265287</v>
      </c>
      <c r="H41" s="437">
        <f t="shared" ref="H41:L41" si="2">H40-H38</f>
        <v>0</v>
      </c>
      <c r="I41" s="437">
        <f t="shared" si="2"/>
        <v>0</v>
      </c>
      <c r="J41" s="437">
        <f t="shared" si="2"/>
        <v>0</v>
      </c>
      <c r="K41" s="437">
        <f t="shared" si="2"/>
        <v>0</v>
      </c>
      <c r="L41" s="437">
        <f t="shared" si="2"/>
        <v>0</v>
      </c>
      <c r="M41" s="438">
        <f t="shared" si="1"/>
        <v>0</v>
      </c>
      <c r="N41" s="158"/>
    </row>
    <row r="42" spans="3:15">
      <c r="E42" s="436"/>
      <c r="F42" s="436"/>
      <c r="G42" s="436"/>
      <c r="H42" s="436"/>
      <c r="I42" s="436"/>
      <c r="J42" s="436"/>
      <c r="K42" s="436"/>
      <c r="L42" s="436"/>
    </row>
    <row r="43" spans="3:15">
      <c r="E43" s="434" t="s">
        <v>363</v>
      </c>
      <c r="F43" s="438">
        <f t="shared" ref="F43:L43" si="3">F16+F18+F20+F22+F24</f>
        <v>1721818.5934459246</v>
      </c>
      <c r="G43" s="438">
        <f t="shared" si="3"/>
        <v>2224117.3153829621</v>
      </c>
      <c r="H43" s="438">
        <f t="shared" si="3"/>
        <v>2029066.1234403125</v>
      </c>
      <c r="I43" s="438">
        <f t="shared" si="3"/>
        <v>1867529.2083820137</v>
      </c>
      <c r="J43" s="438">
        <f t="shared" si="3"/>
        <v>2287329.7445988487</v>
      </c>
      <c r="K43" s="438">
        <f t="shared" si="3"/>
        <v>4453855.80640289</v>
      </c>
      <c r="L43" s="438">
        <f t="shared" si="3"/>
        <v>3201481.466162099</v>
      </c>
      <c r="M43" s="158"/>
      <c r="N43" s="158"/>
    </row>
    <row r="44" spans="3:15">
      <c r="E44" s="78"/>
      <c r="F44" s="78"/>
      <c r="G44" s="157"/>
      <c r="H44" s="157"/>
      <c r="I44" s="157"/>
      <c r="J44" s="157"/>
      <c r="K44" s="157"/>
      <c r="L44" s="157"/>
      <c r="M44" s="158"/>
      <c r="N44" s="158"/>
    </row>
  </sheetData>
  <mergeCells count="1">
    <mergeCell ref="F7:L7"/>
  </mergeCells>
  <dataValidations xWindow="141" yWindow="290" count="1">
    <dataValidation type="custom" operator="greaterThanOrEqual" allowBlank="1" showInputMessage="1" showErrorMessage="1" errorTitle="Expenditure" error="Must be $ value" promptTitle="Expenditure" prompt="Enter value in $0's" sqref="H9:L35 G9:G33 G35" xr:uid="{00000000-0002-0000-2700-000000000000}">
      <formula1>ISNUMBER(G9)</formula1>
    </dataValidation>
  </dataValidations>
  <hyperlinks>
    <hyperlink ref="B2" location="Contents!A1" display="Table of Contents" xr:uid="{00000000-0004-0000-2700-000000000000}"/>
  </hyperlinks>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1:K22"/>
  <sheetViews>
    <sheetView zoomScale="85" zoomScaleNormal="85" workbookViewId="0">
      <selection activeCell="V33" sqref="V33"/>
    </sheetView>
  </sheetViews>
  <sheetFormatPr defaultColWidth="8.85546875" defaultRowHeight="15"/>
  <cols>
    <col min="1" max="1" width="4.42578125" style="1" customWidth="1"/>
    <col min="2" max="2" width="2.5703125" style="1" customWidth="1"/>
    <col min="3" max="3" width="48.140625" style="1" bestFit="1" customWidth="1"/>
    <col min="4" max="10" width="13" style="1" customWidth="1"/>
    <col min="11" max="11" width="27.7109375" style="1" customWidth="1"/>
    <col min="12" max="16384" width="8.85546875" style="1"/>
  </cols>
  <sheetData>
    <row r="1" spans="3:11" ht="18.75">
      <c r="C1" s="10" t="s">
        <v>632</v>
      </c>
    </row>
    <row r="2" spans="3:11">
      <c r="C2" s="25" t="s">
        <v>6</v>
      </c>
      <c r="D2" s="100">
        <f>Escalators!$M$17</f>
        <v>1.0597841134352426</v>
      </c>
      <c r="E2" s="1" t="s">
        <v>580</v>
      </c>
    </row>
    <row r="4" spans="3:11">
      <c r="E4" s="405"/>
    </row>
    <row r="5" spans="3:11">
      <c r="C5" s="8" t="s">
        <v>553</v>
      </c>
      <c r="D5" s="17" t="s">
        <v>620</v>
      </c>
      <c r="E5" s="17" t="s">
        <v>614</v>
      </c>
      <c r="F5" s="17" t="s">
        <v>615</v>
      </c>
      <c r="G5" s="17" t="s">
        <v>616</v>
      </c>
      <c r="H5" s="17" t="s">
        <v>617</v>
      </c>
      <c r="I5" s="17" t="s">
        <v>618</v>
      </c>
      <c r="J5" s="17" t="s">
        <v>619</v>
      </c>
    </row>
    <row r="6" spans="3:11">
      <c r="C6" s="6" t="s">
        <v>625</v>
      </c>
      <c r="D6" s="371">
        <v>50817419.482761256</v>
      </c>
      <c r="E6" s="371">
        <v>48535454.719467454</v>
      </c>
      <c r="F6" s="371">
        <v>38899574.326979347</v>
      </c>
      <c r="G6" s="371">
        <v>34839286.396412596</v>
      </c>
      <c r="H6" s="371">
        <v>34175658.226288944</v>
      </c>
      <c r="I6" s="371">
        <v>32224272.739143837</v>
      </c>
      <c r="J6" s="371">
        <v>31877230.590279654</v>
      </c>
    </row>
    <row r="7" spans="3:11">
      <c r="C7" s="6" t="s">
        <v>626</v>
      </c>
      <c r="D7" s="371"/>
      <c r="E7" s="371"/>
      <c r="F7" s="371"/>
      <c r="G7" s="371"/>
      <c r="H7" s="371"/>
      <c r="I7" s="371"/>
      <c r="J7" s="371"/>
      <c r="K7" s="34"/>
    </row>
    <row r="8" spans="3:11">
      <c r="C8" s="6" t="s">
        <v>627</v>
      </c>
      <c r="D8" s="371"/>
      <c r="E8" s="371"/>
      <c r="F8" s="371"/>
      <c r="G8" s="371"/>
      <c r="H8" s="371"/>
      <c r="I8" s="371"/>
      <c r="J8" s="371"/>
    </row>
    <row r="9" spans="3:11">
      <c r="C9" s="6" t="s">
        <v>628</v>
      </c>
      <c r="D9" s="371">
        <f>'2.1 Exp Summary'!E18/$D$2-D6</f>
        <v>299584825.5406161</v>
      </c>
      <c r="E9" s="371">
        <f>'2.1 Exp Summary'!F18/$D$2-E6</f>
        <v>301394497.80522811</v>
      </c>
      <c r="F9" s="371">
        <f>'2.1 Exp Summary'!G18/$D$2-F6</f>
        <v>276982080.90913433</v>
      </c>
      <c r="G9" s="371">
        <f>'2.1 Exp Summary'!H18/$D$2-G6</f>
        <v>279039282.3307572</v>
      </c>
      <c r="H9" s="371">
        <f>'2.1 Exp Summary'!I18/$D$2-H6</f>
        <v>228133368.72009876</v>
      </c>
      <c r="I9" s="371">
        <f>'2.1 Exp Summary'!J18/$D$2-I6</f>
        <v>203117820.22162256</v>
      </c>
      <c r="J9" s="371">
        <f>'2.1 Exp Summary'!K18/$D$2-J6</f>
        <v>199114981.80731595</v>
      </c>
    </row>
    <row r="10" spans="3:11">
      <c r="C10" s="6" t="s">
        <v>629</v>
      </c>
      <c r="D10" s="371"/>
      <c r="E10" s="371"/>
      <c r="F10" s="371"/>
      <c r="G10" s="371"/>
      <c r="H10" s="371"/>
      <c r="I10" s="371"/>
      <c r="J10" s="371"/>
    </row>
    <row r="11" spans="3:11">
      <c r="C11" s="411" t="s">
        <v>630</v>
      </c>
      <c r="D11" s="372">
        <f>SUM(D6:D10)</f>
        <v>350402245.02337736</v>
      </c>
      <c r="E11" s="372">
        <f t="shared" ref="E11:J11" si="0">SUM(E6:E10)</f>
        <v>349929952.52469558</v>
      </c>
      <c r="F11" s="372">
        <f t="shared" si="0"/>
        <v>315881655.23611367</v>
      </c>
      <c r="G11" s="372">
        <f t="shared" si="0"/>
        <v>313878568.72716981</v>
      </c>
      <c r="H11" s="372">
        <f t="shared" si="0"/>
        <v>262309026.94638771</v>
      </c>
      <c r="I11" s="372">
        <f t="shared" si="0"/>
        <v>235342092.9607664</v>
      </c>
      <c r="J11" s="372">
        <f t="shared" si="0"/>
        <v>230992212.39759558</v>
      </c>
    </row>
    <row r="12" spans="3:11">
      <c r="D12" s="1" t="b">
        <f>D11='2.1 Exp Summary'!E18/$D$2</f>
        <v>1</v>
      </c>
      <c r="E12" s="1" t="b">
        <f>E11='2.1 Exp Summary'!F18/$D$2</f>
        <v>1</v>
      </c>
      <c r="F12" s="1" t="b">
        <f>F11='2.1 Exp Summary'!G18/$D$2</f>
        <v>1</v>
      </c>
      <c r="G12" s="1" t="b">
        <f>G11='2.1 Exp Summary'!H18/$D$2</f>
        <v>1</v>
      </c>
      <c r="H12" s="1" t="b">
        <f>H11='2.1 Exp Summary'!I18/$D$2</f>
        <v>1</v>
      </c>
      <c r="I12" s="1" t="b">
        <f>I11='2.1 Exp Summary'!J18/$D$2</f>
        <v>1</v>
      </c>
      <c r="J12" s="1" t="b">
        <f>J11='2.1 Exp Summary'!K18/$D$2</f>
        <v>1</v>
      </c>
    </row>
    <row r="14" spans="3:11">
      <c r="D14" s="1011"/>
      <c r="E14" s="1011"/>
      <c r="F14" s="1011"/>
      <c r="G14" s="1011"/>
      <c r="H14" s="1011"/>
      <c r="I14" s="1011"/>
      <c r="J14" s="1011"/>
    </row>
    <row r="15" spans="3:11">
      <c r="C15" s="8" t="s">
        <v>631</v>
      </c>
      <c r="D15" s="17" t="s">
        <v>620</v>
      </c>
      <c r="E15" s="17" t="s">
        <v>614</v>
      </c>
      <c r="F15" s="17" t="s">
        <v>615</v>
      </c>
      <c r="G15" s="17" t="s">
        <v>616</v>
      </c>
      <c r="H15" s="17" t="s">
        <v>617</v>
      </c>
      <c r="I15" s="17" t="s">
        <v>618</v>
      </c>
      <c r="J15" s="17" t="s">
        <v>619</v>
      </c>
    </row>
    <row r="16" spans="3:11">
      <c r="C16" s="6" t="s">
        <v>625</v>
      </c>
      <c r="D16" s="412">
        <f t="shared" ref="D16:J20" si="1">D6*$D$2</f>
        <v>53855493.853604965</v>
      </c>
      <c r="E16" s="412">
        <f t="shared" si="1"/>
        <v>51437103.850047179</v>
      </c>
      <c r="F16" s="412">
        <f t="shared" si="1"/>
        <v>41225150.891126134</v>
      </c>
      <c r="G16" s="412">
        <f t="shared" si="1"/>
        <v>36922122.246338628</v>
      </c>
      <c r="H16" s="412">
        <f t="shared" si="1"/>
        <v>36218819.654413484</v>
      </c>
      <c r="I16" s="412">
        <f t="shared" si="1"/>
        <v>34150772.315949008</v>
      </c>
      <c r="J16" s="412">
        <f t="shared" si="1"/>
        <v>33782982.559890315</v>
      </c>
    </row>
    <row r="17" spans="3:10">
      <c r="C17" s="6" t="s">
        <v>626</v>
      </c>
      <c r="D17" s="412">
        <f t="shared" si="1"/>
        <v>0</v>
      </c>
      <c r="E17" s="412">
        <f t="shared" si="1"/>
        <v>0</v>
      </c>
      <c r="F17" s="412">
        <f t="shared" si="1"/>
        <v>0</v>
      </c>
      <c r="G17" s="412">
        <f t="shared" si="1"/>
        <v>0</v>
      </c>
      <c r="H17" s="412">
        <f t="shared" si="1"/>
        <v>0</v>
      </c>
      <c r="I17" s="412">
        <f t="shared" si="1"/>
        <v>0</v>
      </c>
      <c r="J17" s="412">
        <f t="shared" si="1"/>
        <v>0</v>
      </c>
    </row>
    <row r="18" spans="3:10">
      <c r="C18" s="6" t="s">
        <v>627</v>
      </c>
      <c r="D18" s="412">
        <f t="shared" si="1"/>
        <v>0</v>
      </c>
      <c r="E18" s="412">
        <f t="shared" si="1"/>
        <v>0</v>
      </c>
      <c r="F18" s="412">
        <f t="shared" si="1"/>
        <v>0</v>
      </c>
      <c r="G18" s="412">
        <f t="shared" si="1"/>
        <v>0</v>
      </c>
      <c r="H18" s="412">
        <f t="shared" si="1"/>
        <v>0</v>
      </c>
      <c r="I18" s="412">
        <f t="shared" si="1"/>
        <v>0</v>
      </c>
      <c r="J18" s="412">
        <f t="shared" si="1"/>
        <v>0</v>
      </c>
    </row>
    <row r="19" spans="3:10">
      <c r="C19" s="6" t="s">
        <v>628</v>
      </c>
      <c r="D19" s="412">
        <f t="shared" si="1"/>
        <v>317495238.73421365</v>
      </c>
      <c r="E19" s="412">
        <f t="shared" si="1"/>
        <v>319413100.65077382</v>
      </c>
      <c r="F19" s="412">
        <f t="shared" si="1"/>
        <v>293541209.05373555</v>
      </c>
      <c r="G19" s="412">
        <f t="shared" si="1"/>
        <v>295721398.43850785</v>
      </c>
      <c r="H19" s="412">
        <f t="shared" si="1"/>
        <v>241772119.91402516</v>
      </c>
      <c r="I19" s="412">
        <f t="shared" si="1"/>
        <v>215261039.02647126</v>
      </c>
      <c r="J19" s="412">
        <f t="shared" si="1"/>
        <v>211018894.46634078</v>
      </c>
    </row>
    <row r="20" spans="3:10">
      <c r="C20" s="6" t="s">
        <v>629</v>
      </c>
      <c r="D20" s="412">
        <f t="shared" si="1"/>
        <v>0</v>
      </c>
      <c r="E20" s="412">
        <f t="shared" si="1"/>
        <v>0</v>
      </c>
      <c r="F20" s="412">
        <f t="shared" si="1"/>
        <v>0</v>
      </c>
      <c r="G20" s="412">
        <f t="shared" si="1"/>
        <v>0</v>
      </c>
      <c r="H20" s="412">
        <f t="shared" si="1"/>
        <v>0</v>
      </c>
      <c r="I20" s="412">
        <f t="shared" si="1"/>
        <v>0</v>
      </c>
      <c r="J20" s="412">
        <f t="shared" si="1"/>
        <v>0</v>
      </c>
    </row>
    <row r="21" spans="3:10">
      <c r="C21" s="411" t="s">
        <v>630</v>
      </c>
      <c r="D21" s="372">
        <f>SUM(D16:D20)</f>
        <v>371350732.58781862</v>
      </c>
      <c r="E21" s="372">
        <f t="shared" ref="E21:J21" si="2">SUM(E16:E20)</f>
        <v>370850204.50082099</v>
      </c>
      <c r="F21" s="372">
        <f t="shared" si="2"/>
        <v>334766359.94486171</v>
      </c>
      <c r="G21" s="372">
        <f t="shared" si="2"/>
        <v>332643520.68484646</v>
      </c>
      <c r="H21" s="372">
        <f t="shared" si="2"/>
        <v>277990939.56843865</v>
      </c>
      <c r="I21" s="372">
        <f t="shared" si="2"/>
        <v>249411811.34242028</v>
      </c>
      <c r="J21" s="372">
        <f t="shared" si="2"/>
        <v>244801877.02623111</v>
      </c>
    </row>
    <row r="22" spans="3:10">
      <c r="D22" s="158" t="b">
        <f>D21='2.1 Exp Summary'!E18</f>
        <v>1</v>
      </c>
      <c r="E22" s="158" t="b">
        <f>E21='2.1 Exp Summary'!F18</f>
        <v>1</v>
      </c>
      <c r="F22" s="158" t="b">
        <f>F21='2.1 Exp Summary'!G18</f>
        <v>1</v>
      </c>
      <c r="G22" s="158" t="b">
        <f>G21='2.1 Exp Summary'!H18</f>
        <v>0</v>
      </c>
      <c r="H22" s="158" t="b">
        <f>H21='2.1 Exp Summary'!I18</f>
        <v>1</v>
      </c>
      <c r="I22" s="158" t="b">
        <f>I21='2.1 Exp Summary'!J18</f>
        <v>1</v>
      </c>
      <c r="J22" s="158" t="b">
        <f>J21='2.1 Exp Summary'!K18</f>
        <v>1</v>
      </c>
    </row>
  </sheetData>
  <mergeCells count="1">
    <mergeCell ref="D14:J14"/>
  </mergeCells>
  <hyperlinks>
    <hyperlink ref="C2" location="Contents!A1" display="Table of Contents" xr:uid="{00000000-0004-0000-2800-000000000000}"/>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B1:N30"/>
  <sheetViews>
    <sheetView zoomScale="85" zoomScaleNormal="85" workbookViewId="0">
      <selection activeCell="I11" sqref="I11"/>
    </sheetView>
  </sheetViews>
  <sheetFormatPr defaultColWidth="8.85546875" defaultRowHeight="15" outlineLevelCol="1"/>
  <cols>
    <col min="1" max="1" width="5.28515625" style="1" customWidth="1"/>
    <col min="2" max="2" width="23.85546875" style="1" customWidth="1"/>
    <col min="3" max="3" width="64.7109375" style="1" customWidth="1"/>
    <col min="4" max="6" width="11" style="1" hidden="1" customWidth="1" outlineLevel="1"/>
    <col min="7" max="7" width="12" style="1" customWidth="1" collapsed="1"/>
    <col min="8" max="13" width="12" style="1" customWidth="1"/>
    <col min="14" max="16384" width="8.85546875" style="1"/>
  </cols>
  <sheetData>
    <row r="1" spans="2:13" ht="21">
      <c r="B1" s="10" t="s">
        <v>316</v>
      </c>
      <c r="C1" s="501"/>
    </row>
    <row r="2" spans="2:13">
      <c r="B2" s="25" t="s">
        <v>6</v>
      </c>
      <c r="G2" s="162" t="s">
        <v>354</v>
      </c>
      <c r="J2" s="100">
        <f>Escalators!$M$17</f>
        <v>1.0597841134352426</v>
      </c>
      <c r="K2" s="1" t="s">
        <v>580</v>
      </c>
    </row>
    <row r="4" spans="2:13" ht="15.75">
      <c r="B4" s="113" t="s">
        <v>312</v>
      </c>
      <c r="C4" s="113"/>
      <c r="D4" s="113"/>
      <c r="E4" s="113"/>
      <c r="F4" s="113"/>
      <c r="G4" s="113"/>
      <c r="H4" s="113"/>
      <c r="I4" s="113"/>
      <c r="J4" s="113"/>
      <c r="K4" s="113"/>
      <c r="L4" s="113"/>
      <c r="M4" s="113"/>
    </row>
    <row r="5" spans="2:13" ht="15.75" thickBot="1">
      <c r="B5" s="2"/>
      <c r="D5" s="114"/>
      <c r="E5" s="114"/>
      <c r="F5" s="114"/>
      <c r="G5" s="114"/>
      <c r="H5" s="114"/>
      <c r="K5" s="102"/>
      <c r="L5" s="102"/>
      <c r="M5" s="102"/>
    </row>
    <row r="6" spans="2:13" ht="15.75" customHeight="1" thickBot="1">
      <c r="B6" s="1014"/>
      <c r="C6" s="1015"/>
      <c r="D6" s="1024" t="s">
        <v>313</v>
      </c>
      <c r="E6" s="1025"/>
      <c r="F6" s="1025"/>
      <c r="G6" s="448"/>
      <c r="H6" s="449"/>
      <c r="I6" s="1018" t="s">
        <v>314</v>
      </c>
      <c r="J6" s="1019"/>
      <c r="K6" s="1019"/>
      <c r="L6" s="1019"/>
      <c r="M6" s="1020"/>
    </row>
    <row r="7" spans="2:13" ht="29.25" customHeight="1" thickBot="1">
      <c r="B7" s="1016"/>
      <c r="C7" s="1017"/>
      <c r="D7" s="442"/>
      <c r="E7" s="443"/>
      <c r="F7" s="443"/>
      <c r="G7" s="1021" t="s">
        <v>665</v>
      </c>
      <c r="H7" s="1022"/>
      <c r="I7" s="1022"/>
      <c r="J7" s="1022"/>
      <c r="K7" s="1022"/>
      <c r="L7" s="1022"/>
      <c r="M7" s="1023"/>
    </row>
    <row r="8" spans="2:13" ht="15.75" thickBot="1">
      <c r="B8" s="115" t="s">
        <v>315</v>
      </c>
      <c r="C8" s="116" t="s">
        <v>24</v>
      </c>
      <c r="D8" s="117"/>
      <c r="E8" s="118"/>
      <c r="F8" s="444"/>
      <c r="G8" s="445" t="s">
        <v>620</v>
      </c>
      <c r="H8" s="446" t="s">
        <v>614</v>
      </c>
      <c r="I8" s="446" t="s">
        <v>615</v>
      </c>
      <c r="J8" s="446" t="s">
        <v>616</v>
      </c>
      <c r="K8" s="446" t="s">
        <v>617</v>
      </c>
      <c r="L8" s="446" t="s">
        <v>618</v>
      </c>
      <c r="M8" s="447" t="s">
        <v>619</v>
      </c>
    </row>
    <row r="9" spans="2:13" ht="25.5">
      <c r="B9" s="119" t="s">
        <v>689</v>
      </c>
      <c r="C9" s="119" t="s">
        <v>690</v>
      </c>
      <c r="D9" s="189"/>
      <c r="E9" s="188"/>
      <c r="F9" s="188"/>
      <c r="G9" s="189">
        <v>0</v>
      </c>
      <c r="H9" s="188">
        <v>744232.95130400872</v>
      </c>
      <c r="I9" s="188">
        <v>1820062.0937740889</v>
      </c>
      <c r="J9" s="188">
        <v>2759649.0090841921</v>
      </c>
      <c r="K9" s="188">
        <v>4874907.0102447495</v>
      </c>
      <c r="L9" s="188">
        <v>9639997.6668420304</v>
      </c>
      <c r="M9" s="190">
        <v>20378013.592118409</v>
      </c>
    </row>
    <row r="10" spans="2:13">
      <c r="B10" s="120" t="s">
        <v>407</v>
      </c>
      <c r="C10" s="120" t="s">
        <v>691</v>
      </c>
      <c r="D10" s="191"/>
      <c r="E10" s="192"/>
      <c r="F10" s="192"/>
      <c r="G10" s="191">
        <f>REFCL_view!G21*Thousands</f>
        <v>7950799.3397165304</v>
      </c>
      <c r="H10" s="192">
        <f>REFCL_view!H21*Thousands</f>
        <v>17490737.545770887</v>
      </c>
      <c r="I10" s="192">
        <f>REFCL_view!I21*Thousands</f>
        <v>27161730.274639554</v>
      </c>
      <c r="J10" s="192">
        <f>REFCL_view!J21*Thousands</f>
        <v>9991214.0314779915</v>
      </c>
      <c r="K10" s="192">
        <f>REFCL_view!K21*Thousands</f>
        <v>0</v>
      </c>
      <c r="L10" s="192">
        <f>REFCL_view!L21*Thousands</f>
        <v>0</v>
      </c>
      <c r="M10" s="193">
        <f>REFCL_view!M21*Thousands</f>
        <v>0</v>
      </c>
    </row>
    <row r="11" spans="2:13">
      <c r="B11" s="120" t="s">
        <v>645</v>
      </c>
      <c r="C11" s="120" t="s">
        <v>692</v>
      </c>
      <c r="D11" s="191"/>
      <c r="E11" s="192"/>
      <c r="F11" s="192"/>
      <c r="G11" s="191">
        <f>REFCL_view!G25*Thousands</f>
        <v>0</v>
      </c>
      <c r="H11" s="192">
        <f>REFCL_view!H25*Thousands</f>
        <v>0</v>
      </c>
      <c r="I11" s="192">
        <f>REFCL_view!I25*Thousands</f>
        <v>27614250.395284589</v>
      </c>
      <c r="J11" s="192">
        <f>REFCL_view!J25*Thousands</f>
        <v>32265370.564958159</v>
      </c>
      <c r="K11" s="192">
        <f>REFCL_view!K25*Thousands</f>
        <v>6730560.9428606601</v>
      </c>
      <c r="L11" s="192">
        <f>REFCL_view!L25*Thousands</f>
        <v>2890949.3184862612</v>
      </c>
      <c r="M11" s="193">
        <f>REFCL_view!M25*Thousands</f>
        <v>2172805.4957066826</v>
      </c>
    </row>
    <row r="12" spans="2:13">
      <c r="B12" s="120"/>
      <c r="C12" s="120"/>
      <c r="D12" s="191"/>
      <c r="E12" s="192"/>
      <c r="F12" s="192"/>
      <c r="G12" s="191"/>
      <c r="H12" s="192"/>
      <c r="I12" s="192"/>
      <c r="J12" s="192"/>
      <c r="K12" s="192"/>
      <c r="L12" s="192"/>
      <c r="M12" s="193"/>
    </row>
    <row r="13" spans="2:13">
      <c r="B13" s="120"/>
      <c r="C13" s="120"/>
      <c r="D13" s="191"/>
      <c r="E13" s="192"/>
      <c r="F13" s="192"/>
      <c r="G13" s="191"/>
      <c r="H13" s="192"/>
      <c r="I13" s="192"/>
      <c r="J13" s="192"/>
      <c r="K13" s="192"/>
      <c r="L13" s="192"/>
      <c r="M13" s="193"/>
    </row>
    <row r="14" spans="2:13">
      <c r="B14" s="120"/>
      <c r="C14" s="120"/>
      <c r="D14" s="191"/>
      <c r="E14" s="192"/>
      <c r="F14" s="192"/>
      <c r="G14" s="191"/>
      <c r="H14" s="192"/>
      <c r="I14" s="192"/>
      <c r="J14" s="192"/>
      <c r="K14" s="192"/>
      <c r="L14" s="192"/>
      <c r="M14" s="193"/>
    </row>
    <row r="15" spans="2:13">
      <c r="B15" s="120"/>
      <c r="C15" s="120"/>
      <c r="D15" s="191"/>
      <c r="E15" s="192"/>
      <c r="F15" s="192"/>
      <c r="G15" s="191"/>
      <c r="H15" s="192"/>
      <c r="I15" s="192"/>
      <c r="J15" s="192"/>
      <c r="K15" s="192"/>
      <c r="L15" s="192"/>
      <c r="M15" s="193"/>
    </row>
    <row r="16" spans="2:13">
      <c r="B16" s="120"/>
      <c r="C16" s="120"/>
      <c r="D16" s="191"/>
      <c r="E16" s="192"/>
      <c r="F16" s="192"/>
      <c r="G16" s="191"/>
      <c r="H16" s="192"/>
      <c r="I16" s="192"/>
      <c r="J16" s="192"/>
      <c r="K16" s="192"/>
      <c r="L16" s="192"/>
      <c r="M16" s="193"/>
    </row>
    <row r="17" spans="2:14">
      <c r="B17" s="120"/>
      <c r="C17" s="120"/>
      <c r="D17" s="191"/>
      <c r="E17" s="192"/>
      <c r="F17" s="192"/>
      <c r="G17" s="191"/>
      <c r="H17" s="192"/>
      <c r="I17" s="192"/>
      <c r="J17" s="192"/>
      <c r="K17" s="192"/>
      <c r="L17" s="192"/>
      <c r="M17" s="193"/>
    </row>
    <row r="18" spans="2:14">
      <c r="B18" s="120"/>
      <c r="C18" s="120"/>
      <c r="D18" s="191"/>
      <c r="E18" s="192"/>
      <c r="F18" s="192"/>
      <c r="G18" s="191"/>
      <c r="H18" s="192"/>
      <c r="I18" s="192"/>
      <c r="J18" s="192"/>
      <c r="K18" s="192"/>
      <c r="L18" s="192"/>
      <c r="M18" s="193"/>
      <c r="N18" s="502"/>
    </row>
    <row r="19" spans="2:14">
      <c r="B19" s="120"/>
      <c r="C19" s="120"/>
      <c r="D19" s="191"/>
      <c r="E19" s="192"/>
      <c r="F19" s="192"/>
      <c r="G19" s="191"/>
      <c r="H19" s="192"/>
      <c r="I19" s="192"/>
      <c r="J19" s="192"/>
      <c r="K19" s="192"/>
      <c r="L19" s="192"/>
      <c r="M19" s="193"/>
    </row>
    <row r="20" spans="2:14">
      <c r="B20" s="120"/>
      <c r="C20" s="120"/>
      <c r="D20" s="191"/>
      <c r="E20" s="192"/>
      <c r="F20" s="192"/>
      <c r="G20" s="191"/>
      <c r="H20" s="192"/>
      <c r="I20" s="192"/>
      <c r="J20" s="192"/>
      <c r="K20" s="192"/>
      <c r="L20" s="192"/>
      <c r="M20" s="193"/>
    </row>
    <row r="21" spans="2:14">
      <c r="B21" s="120"/>
      <c r="C21" s="120"/>
      <c r="D21" s="191"/>
      <c r="E21" s="192"/>
      <c r="F21" s="192"/>
      <c r="G21" s="191"/>
      <c r="H21" s="192"/>
      <c r="I21" s="192"/>
      <c r="J21" s="192"/>
      <c r="K21" s="192"/>
      <c r="L21" s="192"/>
      <c r="M21" s="193"/>
    </row>
    <row r="22" spans="2:14">
      <c r="B22" s="120"/>
      <c r="C22" s="120"/>
      <c r="D22" s="191"/>
      <c r="E22" s="192"/>
      <c r="F22" s="192"/>
      <c r="G22" s="191"/>
      <c r="H22" s="192"/>
      <c r="I22" s="192"/>
      <c r="J22" s="192"/>
      <c r="K22" s="192"/>
      <c r="L22" s="192"/>
      <c r="M22" s="193"/>
    </row>
    <row r="23" spans="2:14">
      <c r="B23" s="120"/>
      <c r="C23" s="120"/>
      <c r="D23" s="191"/>
      <c r="E23" s="192"/>
      <c r="F23" s="192"/>
      <c r="G23" s="191"/>
      <c r="H23" s="192"/>
      <c r="I23" s="192"/>
      <c r="J23" s="192"/>
      <c r="K23" s="192"/>
      <c r="L23" s="192"/>
      <c r="M23" s="193"/>
    </row>
    <row r="24" spans="2:14" ht="15.75" thickBot="1">
      <c r="B24" s="121"/>
      <c r="C24" s="122"/>
      <c r="D24" s="194"/>
      <c r="E24" s="195"/>
      <c r="F24" s="195"/>
      <c r="G24" s="194"/>
      <c r="H24" s="195"/>
      <c r="I24" s="195"/>
      <c r="J24" s="195"/>
      <c r="K24" s="195"/>
      <c r="L24" s="195"/>
      <c r="M24" s="196"/>
    </row>
    <row r="25" spans="2:14" ht="19.5" thickBot="1">
      <c r="B25" s="1012" t="s">
        <v>146</v>
      </c>
      <c r="C25" s="1013"/>
      <c r="D25" s="197">
        <f>SUM(D9:D24)</f>
        <v>0</v>
      </c>
      <c r="E25" s="198">
        <f t="shared" ref="E25:M25" si="0">SUM(E9:E24)</f>
        <v>0</v>
      </c>
      <c r="F25" s="198">
        <f t="shared" si="0"/>
        <v>0</v>
      </c>
      <c r="G25" s="197">
        <f t="shared" si="0"/>
        <v>7950799.3397165304</v>
      </c>
      <c r="H25" s="198">
        <f t="shared" si="0"/>
        <v>18234970.497074895</v>
      </c>
      <c r="I25" s="198">
        <f t="shared" si="0"/>
        <v>56596042.763698235</v>
      </c>
      <c r="J25" s="198">
        <f t="shared" si="0"/>
        <v>45016233.605520338</v>
      </c>
      <c r="K25" s="198">
        <f t="shared" si="0"/>
        <v>11605467.953105409</v>
      </c>
      <c r="L25" s="198">
        <f t="shared" si="0"/>
        <v>12530946.985328291</v>
      </c>
      <c r="M25" s="199">
        <f t="shared" si="0"/>
        <v>22550819.08782509</v>
      </c>
    </row>
    <row r="27" spans="2:14">
      <c r="C27" s="78"/>
    </row>
    <row r="29" spans="2:14">
      <c r="H29" s="39"/>
      <c r="I29" s="39"/>
      <c r="J29" s="39"/>
      <c r="K29" s="39"/>
      <c r="L29" s="39"/>
      <c r="M29" s="39"/>
    </row>
    <row r="30" spans="2:14">
      <c r="H30" s="39"/>
      <c r="I30" s="39"/>
      <c r="J30" s="39"/>
      <c r="K30" s="39"/>
      <c r="L30" s="39"/>
      <c r="M30" s="39"/>
    </row>
  </sheetData>
  <mergeCells count="5">
    <mergeCell ref="B25:C25"/>
    <mergeCell ref="B6:C7"/>
    <mergeCell ref="I6:M6"/>
    <mergeCell ref="G7:M7"/>
    <mergeCell ref="D6:F6"/>
  </mergeCells>
  <hyperlinks>
    <hyperlink ref="B2" location="Contents!A1" display="Table of Contents" xr:uid="{00000000-0004-0000-2900-000000000000}"/>
  </hyperlinks>
  <pageMargins left="0.7" right="0.7" top="0.75" bottom="0.75" header="0.3" footer="0.3"/>
  <pageSetup paperSize="9" scale="63" orientation="landscape" verticalDpi="0" r:id="rId1"/>
  <colBreaks count="1" manualBreakCount="1">
    <brk id="13" max="1048575" man="1"/>
  </colBreaks>
  <ignoredErrors>
    <ignoredError sqref="G10:M11"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theme="6" tint="0.59999389629810485"/>
  </sheetPr>
  <dimension ref="C3:C4"/>
  <sheetViews>
    <sheetView zoomScale="115" zoomScaleNormal="115" zoomScalePageLayoutView="125" workbookViewId="0">
      <selection activeCell="V33" sqref="V33"/>
    </sheetView>
  </sheetViews>
  <sheetFormatPr defaultColWidth="8.85546875" defaultRowHeight="15"/>
  <cols>
    <col min="1" max="1" width="8.85546875" style="22"/>
    <col min="2" max="2" width="5" style="22" customWidth="1"/>
    <col min="3" max="16384" width="8.85546875" style="22"/>
  </cols>
  <sheetData>
    <row r="3" spans="3:3" ht="18.75">
      <c r="C3" s="21" t="s">
        <v>347</v>
      </c>
    </row>
    <row r="4" spans="3:3">
      <c r="C4" s="26" t="s">
        <v>6</v>
      </c>
    </row>
  </sheetData>
  <hyperlinks>
    <hyperlink ref="C4" location="Contents!A1" display="Table of Contents" xr:uid="{00000000-0004-0000-2A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B1:S40"/>
  <sheetViews>
    <sheetView zoomScale="85" zoomScaleNormal="85" workbookViewId="0">
      <selection activeCell="H9" sqref="H9"/>
    </sheetView>
  </sheetViews>
  <sheetFormatPr defaultRowHeight="15"/>
  <cols>
    <col min="1" max="1" width="5.7109375" customWidth="1"/>
    <col min="2" max="2" width="35.42578125" bestFit="1" customWidth="1"/>
  </cols>
  <sheetData>
    <row r="1" spans="2:19">
      <c r="B1" t="s">
        <v>318</v>
      </c>
      <c r="G1" s="969" t="s">
        <v>737</v>
      </c>
      <c r="H1" s="969"/>
    </row>
    <row r="2" spans="2:19">
      <c r="C2" s="257"/>
      <c r="D2" s="257"/>
      <c r="E2" s="257" t="s">
        <v>636</v>
      </c>
      <c r="F2" s="513"/>
      <c r="G2" s="513"/>
      <c r="H2" s="513"/>
      <c r="I2" s="513"/>
      <c r="J2" s="513"/>
      <c r="L2" s="257"/>
      <c r="M2" s="257"/>
      <c r="N2" s="257" t="s">
        <v>636</v>
      </c>
      <c r="O2" s="513"/>
      <c r="P2" s="513"/>
      <c r="Q2" s="513"/>
      <c r="R2" s="513"/>
      <c r="S2" s="513"/>
    </row>
    <row r="3" spans="2:19">
      <c r="C3" s="354">
        <f>CP_Yr_4</f>
        <v>43800</v>
      </c>
      <c r="D3" s="354">
        <f>CP_Yr_5</f>
        <v>44166</v>
      </c>
      <c r="E3" s="354">
        <f>Stub</f>
        <v>44377</v>
      </c>
      <c r="F3" s="354">
        <f>Yr_1</f>
        <v>44742</v>
      </c>
      <c r="G3" s="354">
        <f>Yr_2</f>
        <v>45107</v>
      </c>
      <c r="H3" s="354">
        <f>Yr_3</f>
        <v>45473</v>
      </c>
      <c r="I3" s="354">
        <f>Yr_4</f>
        <v>45838</v>
      </c>
      <c r="J3" s="354">
        <f>Yr_5</f>
        <v>46203</v>
      </c>
      <c r="L3" s="354">
        <f>CP_Yr_4</f>
        <v>43800</v>
      </c>
      <c r="M3" s="354">
        <f>CP_Yr_5</f>
        <v>44166</v>
      </c>
      <c r="N3" s="354">
        <f>Stub</f>
        <v>44377</v>
      </c>
      <c r="O3" s="354">
        <f>Yr_1</f>
        <v>44742</v>
      </c>
      <c r="P3" s="354">
        <f>Yr_2</f>
        <v>45107</v>
      </c>
      <c r="Q3" s="354">
        <f>Yr_3</f>
        <v>45473</v>
      </c>
      <c r="R3" s="354">
        <f>Yr_4</f>
        <v>45838</v>
      </c>
      <c r="S3" s="354">
        <f>Yr_5</f>
        <v>46203</v>
      </c>
    </row>
    <row r="4" spans="2:19">
      <c r="B4" t="s">
        <v>190</v>
      </c>
      <c r="C4" s="123">
        <f>SUMPRODUCT((Stations!$I$7:$I$38=Repex_Analysis!$B4)*Stations!J$7:J$38)+SUMPRODUCT((Lines!$I$7:$I$37=Repex_Analysis!$B4)*Lines!J$7:J$37)+SUMPRODUCT((ESL_1!$I$7:$I$37=Repex_Analysis!$B4)*ESL_1!J$7:J$37)</f>
        <v>0</v>
      </c>
      <c r="D4" s="123">
        <f>SUMPRODUCT((Stations!$I$7:$I$38=Repex_Analysis!$B4)*Stations!K$7:K$38)+SUMPRODUCT((Lines!$I$7:$I$37=Repex_Analysis!$B4)*Lines!K$7:K$37)+SUMPRODUCT((ESL_1!$I$7:$I$37=Repex_Analysis!$B4)*ESL_1!K$7:K$37)</f>
        <v>0</v>
      </c>
      <c r="E4" s="123">
        <f>SUMPRODUCT((Stations!$I$7:$I$38=Repex_Analysis!$B4)*Stations!L$7:L$38)+SUMPRODUCT((Lines!$I$7:$I$37=Repex_Analysis!$B4)*Lines!L$7:L$37)+SUMPRODUCT((ESL_1!$I$7:$I$37=Repex_Analysis!$B4)*ESL_1!L$7:L$37)</f>
        <v>0</v>
      </c>
      <c r="F4" s="871"/>
      <c r="G4" s="871"/>
      <c r="H4" s="871"/>
      <c r="I4" s="871"/>
      <c r="J4" s="871"/>
    </row>
    <row r="5" spans="2:19">
      <c r="B5" t="s">
        <v>191</v>
      </c>
      <c r="C5" s="123">
        <f>SUMPRODUCT((Stations!$I$7:$I$38=Repex_Analysis!$B5)*Stations!J$7:J$38)+SUMPRODUCT((Lines!$I$7:$I$37=Repex_Analysis!$B5)*Lines!J$7:J$37)+SUMPRODUCT((ESL_1!$I$7:$I$37=Repex_Analysis!$B5)*ESL_1!J$7:J$37)</f>
        <v>0</v>
      </c>
      <c r="D5" s="123">
        <f>SUMPRODUCT((Stations!$I$7:$I$38=Repex_Analysis!$B5)*Stations!K$7:K$38)+SUMPRODUCT((Lines!$I$7:$I$37=Repex_Analysis!$B5)*Lines!K$7:K$37)+SUMPRODUCT((ESL_1!$I$7:$I$37=Repex_Analysis!$B5)*ESL_1!K$7:K$37)</f>
        <v>0</v>
      </c>
      <c r="E5" s="123">
        <f>SUMPRODUCT((Stations!$I$7:$I$38=Repex_Analysis!$B5)*Stations!L$7:L$38)+SUMPRODUCT((Lines!$I$7:$I$37=Repex_Analysis!$B5)*Lines!L$7:L$37)+SUMPRODUCT((ESL_1!$I$7:$I$37=Repex_Analysis!$B5)*ESL_1!L$7:L$37)</f>
        <v>0</v>
      </c>
      <c r="F5" s="871"/>
      <c r="G5" s="871"/>
      <c r="H5" s="871"/>
      <c r="I5" s="871"/>
      <c r="J5" s="871"/>
    </row>
    <row r="6" spans="2:19">
      <c r="B6" t="s">
        <v>192</v>
      </c>
      <c r="C6" s="123">
        <f>SUMPRODUCT((Stations!$I$7:$I$38=Repex_Analysis!$B6)*Stations!J$7:J$38)+SUMPRODUCT((Lines!$I$7:$I$37=Repex_Analysis!$B6)*Lines!J$7:J$37)+SUMPRODUCT((ESL_1!$I$7:$I$37=Repex_Analysis!$B6)*ESL_1!J$7:J$37)</f>
        <v>0</v>
      </c>
      <c r="D6" s="123">
        <f>SUMPRODUCT((Stations!$I$7:$I$38=Repex_Analysis!$B6)*Stations!K$7:K$38)+SUMPRODUCT((Lines!$I$7:$I$37=Repex_Analysis!$B6)*Lines!K$7:K$37)+SUMPRODUCT((ESL_1!$I$7:$I$37=Repex_Analysis!$B6)*ESL_1!K$7:K$37)</f>
        <v>0</v>
      </c>
      <c r="E6" s="123">
        <f>SUMPRODUCT((Stations!$I$7:$I$38=Repex_Analysis!$B6)*Stations!L$7:L$38)+SUMPRODUCT((Lines!$I$7:$I$37=Repex_Analysis!$B6)*Lines!L$7:L$37)+SUMPRODUCT((ESL_1!$I$7:$I$37=Repex_Analysis!$B6)*ESL_1!L$7:L$37)</f>
        <v>0</v>
      </c>
      <c r="F6" s="871"/>
      <c r="G6" s="871"/>
      <c r="H6" s="871"/>
      <c r="I6" s="871"/>
      <c r="J6" s="871"/>
    </row>
    <row r="7" spans="2:19">
      <c r="B7" s="83" t="s">
        <v>193</v>
      </c>
      <c r="C7" s="55">
        <f>SUMPRODUCT((Stations!$I$7:$I$38=Repex_Analysis!$B7)*Stations!J$7:J$38)+SUMPRODUCT((Lines!$I$7:$I$37=Repex_Analysis!$B7)*Lines!J$7:J$37)+SUMPRODUCT((ESL_1!$I$7:$I$37=Repex_Analysis!$B7)*ESL_1!J$7:J$37)</f>
        <v>0</v>
      </c>
      <c r="D7" s="55">
        <f>SUMPRODUCT((Stations!$I$7:$I$38=Repex_Analysis!$B7)*Stations!K$7:K$38)+SUMPRODUCT((Lines!$I$7:$I$37=Repex_Analysis!$B7)*Lines!K$7:K$37)+SUMPRODUCT((ESL_1!$I$7:$I$37=Repex_Analysis!$B7)*ESL_1!K$7:K$37)</f>
        <v>0</v>
      </c>
      <c r="E7" s="55">
        <f>SUMPRODUCT((Stations!$I$7:$I$38=Repex_Analysis!$B7)*Stations!L$7:L$38)+SUMPRODUCT((Lines!$I$7:$I$37=Repex_Analysis!$B7)*Lines!L$7:L$37)+SUMPRODUCT((ESL_1!$I$7:$I$37=Repex_Analysis!$B7)*ESL_1!L$7:L$37)</f>
        <v>0</v>
      </c>
      <c r="F7" s="871"/>
      <c r="G7" s="871"/>
      <c r="H7" s="871"/>
      <c r="I7" s="871"/>
      <c r="J7" s="871"/>
      <c r="K7" s="219" t="s">
        <v>366</v>
      </c>
    </row>
    <row r="8" spans="2:19">
      <c r="B8" t="s">
        <v>272</v>
      </c>
      <c r="C8" s="218">
        <f>SUMPRODUCT((Stations!$I$7:$I$38=Repex_Analysis!$B8)*Stations!J$7:J$38)+SUMPRODUCT((Lines!$I$7:$I$37=Repex_Analysis!$B8)*Lines!J$7:J$37)+SUMPRODUCT((ESL_1!$I$7:$I$37=Repex_Analysis!$B8)*ESL_1!J$7:J$37)</f>
        <v>0</v>
      </c>
      <c r="D8" s="218">
        <f>SUMPRODUCT((Stations!$I$7:$I$38=Repex_Analysis!$B8)*Stations!K$7:K$38)+SUMPRODUCT((Lines!$I$7:$I$37=Repex_Analysis!$B8)*Lines!K$7:K$37)+SUMPRODUCT((ESL_1!$I$7:$I$37=Repex_Analysis!$B8)*ESL_1!K$7:K$37)</f>
        <v>0</v>
      </c>
      <c r="E8" s="218">
        <f>SUMPRODUCT((Stations!$I$7:$I$38=Repex_Analysis!$B8)*Stations!L$7:L$38)+SUMPRODUCT((Lines!$I$7:$I$37=Repex_Analysis!$B8)*Lines!L$7:L$37)+SUMPRODUCT((ESL_1!$I$7:$I$37=Repex_Analysis!$B8)*ESL_1!L$7:L$37)</f>
        <v>0</v>
      </c>
      <c r="F8" s="871"/>
      <c r="G8" s="871"/>
      <c r="H8" s="871"/>
      <c r="I8" s="871"/>
      <c r="J8" s="871"/>
    </row>
    <row r="9" spans="2:19">
      <c r="B9" t="s">
        <v>270</v>
      </c>
      <c r="C9" s="123">
        <f>SUMPRODUCT((Stations!$I$7:$I$38=Repex_Analysis!$B9)*Stations!J$7:J$38)+SUMPRODUCT((Lines!$I$7:$I$37=Repex_Analysis!$B9)*Lines!J$7:J$37)+SUMPRODUCT((ESL_1!$I$7:$I$37=Repex_Analysis!$B9)*ESL_1!J$7:J$37)</f>
        <v>0</v>
      </c>
      <c r="D9" s="123">
        <f>SUMPRODUCT((Stations!$I$7:$I$38=Repex_Analysis!$B9)*Stations!K$7:K$38)+SUMPRODUCT((Lines!$I$7:$I$37=Repex_Analysis!$B9)*Lines!K$7:K$37)+SUMPRODUCT((ESL_1!$I$7:$I$37=Repex_Analysis!$B9)*ESL_1!K$7:K$37)</f>
        <v>0</v>
      </c>
      <c r="E9" s="123">
        <f>SUMPRODUCT((Stations!$I$7:$I$38=Repex_Analysis!$B9)*Stations!L$7:L$38)+SUMPRODUCT((Lines!$I$7:$I$37=Repex_Analysis!$B9)*Lines!L$7:L$37)+SUMPRODUCT((ESL_1!$I$7:$I$37=Repex_Analysis!$B9)*ESL_1!L$7:L$37)</f>
        <v>0</v>
      </c>
      <c r="F9" s="871"/>
      <c r="G9" s="871"/>
      <c r="H9" s="871"/>
      <c r="I9" s="871"/>
      <c r="J9" s="871"/>
    </row>
    <row r="10" spans="2:19">
      <c r="B10" t="s">
        <v>471</v>
      </c>
      <c r="C10" s="123">
        <f>SUMPRODUCT((Stations!$I$7:$I$38=Repex_Analysis!$B10)*Stations!J$7:J$38)+SUMPRODUCT((Lines!$I$7:$I$37=Repex_Analysis!$B10)*Lines!J$7:J$37)+SUMPRODUCT((ESL_1!$I$7:$I$37=Repex_Analysis!$B10)*ESL_1!J$7:J$37)</f>
        <v>0</v>
      </c>
      <c r="D10" s="123">
        <f>SUMPRODUCT((Stations!$I$7:$I$38=Repex_Analysis!$B10)*Stations!K$7:K$38)+SUMPRODUCT((Lines!$I$7:$I$37=Repex_Analysis!$B10)*Lines!K$7:K$37)+SUMPRODUCT((ESL_1!$I$7:$I$37=Repex_Analysis!$B10)*ESL_1!K$7:K$37)</f>
        <v>0</v>
      </c>
      <c r="E10" s="123">
        <f>SUMPRODUCT((Stations!$I$7:$I$38=Repex_Analysis!$B10)*Stations!L$7:L$38)+SUMPRODUCT((Lines!$I$7:$I$37=Repex_Analysis!$B10)*Lines!L$7:L$37)+SUMPRODUCT((ESL_1!$I$7:$I$37=Repex_Analysis!$B10)*ESL_1!L$7:L$37)</f>
        <v>0</v>
      </c>
      <c r="F10" s="871"/>
      <c r="G10" s="871"/>
      <c r="H10" s="871"/>
      <c r="I10" s="871"/>
      <c r="J10" s="871"/>
    </row>
    <row r="11" spans="2:19">
      <c r="B11" t="s">
        <v>103</v>
      </c>
      <c r="C11" s="123">
        <f>SUMPRODUCT((Stations!$I$7:$I$38=Repex_Analysis!$B11)*Stations!J$7:J$38)+SUMPRODUCT((Lines!$I$7:$I$37=Repex_Analysis!$B11)*Lines!J$7:J$37)+SUMPRODUCT((ESL_1!$I$7:$I$37=Repex_Analysis!$B11)*ESL_1!J$7:J$37)</f>
        <v>0</v>
      </c>
      <c r="D11" s="123">
        <f>SUMPRODUCT((Stations!$I$7:$I$38=Repex_Analysis!$B11)*Stations!K$7:K$38)+SUMPRODUCT((Lines!$I$7:$I$37=Repex_Analysis!$B11)*Lines!K$7:K$37)+SUMPRODUCT((ESL_1!$I$7:$I$37=Repex_Analysis!$B11)*ESL_1!K$7:K$37)</f>
        <v>0</v>
      </c>
      <c r="E11" s="123">
        <f>SUMPRODUCT((Stations!$I$7:$I$38=Repex_Analysis!$B11)*Stations!L$7:L$38)+SUMPRODUCT((Lines!$I$7:$I$37=Repex_Analysis!$B11)*Lines!L$7:L$37)+SUMPRODUCT((ESL_1!$I$7:$I$37=Repex_Analysis!$B11)*ESL_1!L$7:L$37)</f>
        <v>0</v>
      </c>
      <c r="F11" s="871"/>
      <c r="G11" s="871"/>
      <c r="H11" s="871"/>
      <c r="I11" s="871"/>
      <c r="J11" s="871"/>
    </row>
    <row r="12" spans="2:19">
      <c r="B12" t="s">
        <v>194</v>
      </c>
      <c r="C12" s="123">
        <f>SUMPRODUCT((Stations!$I$7:$I$38=Repex_Analysis!$B12)*Stations!J$7:J$38)+SUMPRODUCT((Lines!$I$7:$I$37=Repex_Analysis!$B12)*Lines!J$7:J$37)+SUMPRODUCT((ESL_1!$I$7:$I$37=Repex_Analysis!$B12)*ESL_1!J$7:J$37)</f>
        <v>0</v>
      </c>
      <c r="D12" s="123">
        <f>SUMPRODUCT((Stations!$I$7:$I$38=Repex_Analysis!$B12)*Stations!K$7:K$38)+SUMPRODUCT((Lines!$I$7:$I$37=Repex_Analysis!$B12)*Lines!K$7:K$37)+SUMPRODUCT((ESL_1!$I$7:$I$37=Repex_Analysis!$B12)*ESL_1!K$7:K$37)</f>
        <v>0</v>
      </c>
      <c r="E12" s="123">
        <f>SUMPRODUCT((Stations!$I$7:$I$38=Repex_Analysis!$B12)*Stations!L$7:L$38)+SUMPRODUCT((Lines!$I$7:$I$37=Repex_Analysis!$B12)*Lines!L$7:L$37)+SUMPRODUCT((ESL_1!$I$7:$I$37=Repex_Analysis!$B12)*ESL_1!L$7:L$37)</f>
        <v>0</v>
      </c>
      <c r="F12" s="871"/>
      <c r="G12" s="871"/>
      <c r="H12" s="871"/>
      <c r="I12" s="871"/>
      <c r="J12" s="871"/>
    </row>
    <row r="13" spans="2:19">
      <c r="B13" t="s">
        <v>195</v>
      </c>
      <c r="C13" s="123">
        <f>SUMPRODUCT((Stations!$I$7:$I$38=Repex_Analysis!$B13)*Stations!J$7:J$38)+SUMPRODUCT((Lines!$I$7:$I$37=Repex_Analysis!$B13)*Lines!J$7:J$37)+SUMPRODUCT((ESL_1!$I$7:$I$37=Repex_Analysis!$B13)*ESL_1!J$7:J$37)</f>
        <v>0</v>
      </c>
      <c r="D13" s="123">
        <f>SUMPRODUCT((Stations!$I$7:$I$38=Repex_Analysis!$B13)*Stations!K$7:K$38)+SUMPRODUCT((Lines!$I$7:$I$37=Repex_Analysis!$B13)*Lines!K$7:K$37)+SUMPRODUCT((ESL_1!$I$7:$I$37=Repex_Analysis!$B13)*ESL_1!K$7:K$37)</f>
        <v>0</v>
      </c>
      <c r="E13" s="123">
        <f>SUMPRODUCT((Stations!$I$7:$I$38=Repex_Analysis!$B13)*Stations!L$7:L$38)+SUMPRODUCT((Lines!$I$7:$I$37=Repex_Analysis!$B13)*Lines!L$7:L$37)+SUMPRODUCT((ESL_1!$I$7:$I$37=Repex_Analysis!$B13)*ESL_1!L$7:L$37)</f>
        <v>0</v>
      </c>
      <c r="F13" s="871"/>
      <c r="G13" s="871"/>
      <c r="H13" s="871"/>
      <c r="I13" s="871"/>
      <c r="J13" s="871"/>
    </row>
    <row r="14" spans="2:19">
      <c r="B14" t="s">
        <v>196</v>
      </c>
      <c r="C14" s="123">
        <f>SUMPRODUCT((Stations!$I$7:$I$38=Repex_Analysis!$B14)*Stations!J$7:J$38)+SUMPRODUCT((Lines!$I$7:$I$37=Repex_Analysis!$B14)*Lines!J$7:J$37)+SUMPRODUCT((ESL_1!$I$7:$I$37=Repex_Analysis!$B14)*ESL_1!J$7:J$37)</f>
        <v>0</v>
      </c>
      <c r="D14" s="123">
        <f>SUMPRODUCT((Stations!$I$7:$I$38=Repex_Analysis!$B14)*Stations!K$7:K$38)+SUMPRODUCT((Lines!$I$7:$I$37=Repex_Analysis!$B14)*Lines!K$7:K$37)+SUMPRODUCT((ESL_1!$I$7:$I$37=Repex_Analysis!$B14)*ESL_1!K$7:K$37)</f>
        <v>0</v>
      </c>
      <c r="E14" s="123">
        <f>SUMPRODUCT((Stations!$I$7:$I$38=Repex_Analysis!$B14)*Stations!L$7:L$38)+SUMPRODUCT((Lines!$I$7:$I$37=Repex_Analysis!$B14)*Lines!L$7:L$37)+SUMPRODUCT((ESL_1!$I$7:$I$37=Repex_Analysis!$B14)*ESL_1!L$7:L$37)</f>
        <v>0</v>
      </c>
      <c r="F14" s="871"/>
      <c r="G14" s="871"/>
      <c r="H14" s="871"/>
      <c r="I14" s="871"/>
      <c r="J14" s="871"/>
      <c r="L14" t="s">
        <v>319</v>
      </c>
    </row>
    <row r="15" spans="2:19">
      <c r="B15" s="83" t="s">
        <v>197</v>
      </c>
      <c r="C15" s="55">
        <f>SUMPRODUCT((Stations!$I$7:$I$38=Repex_Analysis!$B15)*Stations!J$7:J$38)+SUMPRODUCT((Lines!$I$7:$I$37=Repex_Analysis!$B15)*Lines!J$7:J$37)+SUMPRODUCT((ESL_1!$I$7:$I$37=Repex_Analysis!$B15)*ESL_1!J$7:J$37)</f>
        <v>0</v>
      </c>
      <c r="D15" s="55">
        <f>SUMPRODUCT((Stations!$I$7:$I$38=Repex_Analysis!$B15)*Stations!K$7:K$38)+SUMPRODUCT((Lines!$I$7:$I$37=Repex_Analysis!$B15)*Lines!K$7:K$37)+SUMPRODUCT((ESL_1!$I$7:$I$37=Repex_Analysis!$B15)*ESL_1!K$7:K$37)</f>
        <v>0</v>
      </c>
      <c r="E15" s="55">
        <f>SUMPRODUCT((Stations!$I$7:$I$38=Repex_Analysis!$B15)*Stations!L$7:L$38)+SUMPRODUCT((Lines!$I$7:$I$37=Repex_Analysis!$B15)*Lines!L$7:L$37)+SUMPRODUCT((ESL_1!$I$7:$I$37=Repex_Analysis!$B15)*ESL_1!L$7:L$37)</f>
        <v>0</v>
      </c>
      <c r="F15" s="871"/>
      <c r="G15" s="871"/>
      <c r="H15" s="871"/>
      <c r="I15" s="871"/>
      <c r="J15" s="871"/>
      <c r="L15" s="55">
        <f>SUMIFS(Lines!J$7:J$37,Lines!$C$7:$C$37,"=*ABC*")+SUMIFS(ESL_1!J$7:J$37,ESL_1!$C$7:$C$37,"=*ABC*")+SUM(ESL_1!J26:J28)</f>
        <v>0</v>
      </c>
      <c r="M15" s="55">
        <f>SUMIFS(Lines!K$7:K$37,Lines!$C$7:$C$37,"=*ABC*")+SUMIFS(ESL_1!K$7:K$37,ESL_1!$C$7:$C$37,"=*ABC*")+SUM(ESL_1!K26:K28)</f>
        <v>0</v>
      </c>
      <c r="N15" s="55">
        <f>SUMIFS(Lines!L$7:L$37,Lines!$C$7:$C$37,"=*ABC*")+SUMIFS(ESL_1!L$7:L$37,ESL_1!$C$7:$C$37,"=*ABC*")+SUM(ESL_1!L26:L28)</f>
        <v>0</v>
      </c>
      <c r="O15" s="871"/>
      <c r="P15" s="871"/>
      <c r="Q15" s="871"/>
      <c r="R15" s="871"/>
      <c r="S15" s="871"/>
    </row>
    <row r="16" spans="2:19">
      <c r="B16" t="s">
        <v>187</v>
      </c>
      <c r="C16" s="123">
        <f>SUMPRODUCT((Stations!$I$7:$I$38=Repex_Analysis!$B16)*Stations!J$7:J$38)+SUMPRODUCT((Lines!$I$7:$I$37=Repex_Analysis!$B16)*Lines!J$7:J$37)+SUMPRODUCT((ESL_1!$I$7:$I$37=Repex_Analysis!$B16)*ESL_1!J$7:J$37)</f>
        <v>0</v>
      </c>
      <c r="D16" s="123">
        <f>SUMPRODUCT((Stations!$I$7:$I$38=Repex_Analysis!$B16)*Stations!K$7:K$38)+SUMPRODUCT((Lines!$I$7:$I$37=Repex_Analysis!$B16)*Lines!K$7:K$37)+SUMPRODUCT((ESL_1!$I$7:$I$37=Repex_Analysis!$B16)*ESL_1!K$7:K$37)</f>
        <v>0</v>
      </c>
      <c r="E16" s="123">
        <f>SUMPRODUCT((Stations!$I$7:$I$38=Repex_Analysis!$B16)*Stations!L$7:L$38)+SUMPRODUCT((Lines!$I$7:$I$37=Repex_Analysis!$B16)*Lines!L$7:L$37)+SUMPRODUCT((ESL_1!$I$7:$I$37=Repex_Analysis!$B16)*ESL_1!L$7:L$37)</f>
        <v>0</v>
      </c>
      <c r="F16" s="871"/>
      <c r="G16" s="871"/>
      <c r="H16" s="871"/>
      <c r="I16" s="871"/>
      <c r="J16" s="871"/>
      <c r="L16" s="123"/>
      <c r="M16" s="123"/>
      <c r="N16" s="123"/>
      <c r="O16" s="123"/>
      <c r="P16" s="123"/>
      <c r="Q16" s="123"/>
      <c r="R16" s="123"/>
    </row>
    <row r="17" spans="2:11">
      <c r="B17" t="s">
        <v>198</v>
      </c>
      <c r="C17" s="123">
        <f>SUMPRODUCT((Stations!$I$7:$I$38=Repex_Analysis!$B17)*Stations!J$7:J$38)+SUMPRODUCT((Lines!$I$7:$I$37=Repex_Analysis!$B17)*Lines!J$7:J$37)+SUMPRODUCT((ESL_1!$I$7:$I$37=Repex_Analysis!$B17)*ESL_1!J$7:J$37)</f>
        <v>0</v>
      </c>
      <c r="D17" s="123">
        <f>SUMPRODUCT((Stations!$I$7:$I$38=Repex_Analysis!$B17)*Stations!K$7:K$38)+SUMPRODUCT((Lines!$I$7:$I$37=Repex_Analysis!$B17)*Lines!K$7:K$37)+SUMPRODUCT((ESL_1!$I$7:$I$37=Repex_Analysis!$B17)*ESL_1!K$7:K$37)</f>
        <v>0</v>
      </c>
      <c r="E17" s="123">
        <f>SUMPRODUCT((Stations!$I$7:$I$38=Repex_Analysis!$B17)*Stations!L$7:L$38)+SUMPRODUCT((Lines!$I$7:$I$37=Repex_Analysis!$B17)*Lines!L$7:L$37)+SUMPRODUCT((ESL_1!$I$7:$I$37=Repex_Analysis!$B17)*ESL_1!L$7:L$37)</f>
        <v>0</v>
      </c>
      <c r="F17" s="871"/>
      <c r="G17" s="871"/>
      <c r="H17" s="871"/>
      <c r="I17" s="871"/>
      <c r="J17" s="871"/>
    </row>
    <row r="18" spans="2:11">
      <c r="B18" t="s">
        <v>199</v>
      </c>
      <c r="C18" s="123">
        <f>SUMPRODUCT((Stations!$I$7:$I$38=Repex_Analysis!$B18)*Stations!J$7:J$38)+SUMPRODUCT((Lines!$I$7:$I$37=Repex_Analysis!$B18)*Lines!J$7:J$37)+SUMPRODUCT((ESL_1!$I$7:$I$37=Repex_Analysis!$B18)*ESL_1!J$7:J$37)</f>
        <v>0</v>
      </c>
      <c r="D18" s="123">
        <f>SUMPRODUCT((Stations!$I$7:$I$38=Repex_Analysis!$B18)*Stations!K$7:K$38)+SUMPRODUCT((Lines!$I$7:$I$37=Repex_Analysis!$B18)*Lines!K$7:K$37)+SUMPRODUCT((ESL_1!$I$7:$I$37=Repex_Analysis!$B18)*ESL_1!K$7:K$37)</f>
        <v>0</v>
      </c>
      <c r="E18" s="123">
        <f>SUMPRODUCT((Stations!$I$7:$I$38=Repex_Analysis!$B18)*Stations!L$7:L$38)+SUMPRODUCT((Lines!$I$7:$I$37=Repex_Analysis!$B18)*Lines!L$7:L$37)+SUMPRODUCT((ESL_1!$I$7:$I$37=Repex_Analysis!$B18)*ESL_1!L$7:L$37)</f>
        <v>0</v>
      </c>
      <c r="F18" s="871"/>
      <c r="G18" s="871"/>
      <c r="H18" s="871"/>
      <c r="I18" s="871"/>
      <c r="J18" s="871"/>
    </row>
    <row r="19" spans="2:11">
      <c r="B19" t="s">
        <v>249</v>
      </c>
      <c r="C19" s="123">
        <f>SUMPRODUCT((Stations!$I$7:$I$38=Repex_Analysis!$B19)*Stations!J$7:J$38)+SUMPRODUCT((Lines!$I$7:$I$37=Repex_Analysis!$B19)*Lines!J$7:J$37)+SUMPRODUCT((ESL_1!$I$7:$I$37=Repex_Analysis!$B19)*ESL_1!J$7:J$37)</f>
        <v>0</v>
      </c>
      <c r="D19" s="123">
        <f>SUMPRODUCT((Stations!$I$7:$I$38=Repex_Analysis!$B19)*Stations!K$7:K$38)+SUMPRODUCT((Lines!$I$7:$I$37=Repex_Analysis!$B19)*Lines!K$7:K$37)+SUMPRODUCT((ESL_1!$I$7:$I$37=Repex_Analysis!$B19)*ESL_1!K$7:K$37)</f>
        <v>0</v>
      </c>
      <c r="E19" s="123">
        <f>SUMPRODUCT((Stations!$I$7:$I$38=Repex_Analysis!$B19)*Stations!L$7:L$38)+SUMPRODUCT((Lines!$I$7:$I$37=Repex_Analysis!$B19)*Lines!L$7:L$37)+SUMPRODUCT((ESL_1!$I$7:$I$37=Repex_Analysis!$B19)*ESL_1!L$7:L$37)</f>
        <v>0</v>
      </c>
      <c r="F19" s="871"/>
      <c r="G19" s="871"/>
      <c r="H19" s="871"/>
      <c r="I19" s="871"/>
      <c r="J19" s="871"/>
    </row>
    <row r="20" spans="2:11">
      <c r="B20" s="129" t="s">
        <v>200</v>
      </c>
      <c r="C20" s="218">
        <f>SUMPRODUCT((Stations!$I$7:$I$38=Repex_Analysis!$B20)*Stations!J$7:J$38)+SUMPRODUCT((Lines!$I$7:$I$37=Repex_Analysis!$B20)*Lines!J$7:J$37)+SUMPRODUCT((ESL_1!$I$7:$I$37=Repex_Analysis!$B20)*ESL_1!J$7:J$37)</f>
        <v>0</v>
      </c>
      <c r="D20" s="218">
        <f>SUMPRODUCT((Stations!$I$7:$I$38=Repex_Analysis!$B20)*Stations!K$7:K$38)+SUMPRODUCT((Lines!$I$7:$I$37=Repex_Analysis!$B20)*Lines!K$7:K$37)+SUMPRODUCT((ESL_1!$I$7:$I$37=Repex_Analysis!$B20)*ESL_1!K$7:K$37)</f>
        <v>0</v>
      </c>
      <c r="E20" s="218">
        <f>SUMPRODUCT((Stations!$I$7:$I$38=Repex_Analysis!$B20)*Stations!L$7:L$38)+SUMPRODUCT((Lines!$I$7:$I$37=Repex_Analysis!$B20)*Lines!L$7:L$37)+SUMPRODUCT((ESL_1!$I$7:$I$37=Repex_Analysis!$B20)*ESL_1!L$7:L$37)</f>
        <v>0</v>
      </c>
      <c r="F20" s="871"/>
      <c r="G20" s="871"/>
      <c r="H20" s="871"/>
      <c r="I20" s="871"/>
      <c r="J20" s="871"/>
      <c r="K20" s="124"/>
    </row>
    <row r="21" spans="2:11">
      <c r="B21" s="129" t="s">
        <v>201</v>
      </c>
      <c r="C21" s="218">
        <f>SUMPRODUCT((Stations!$I$7:$I$38=Repex_Analysis!$B21)*Stations!J$7:J$38)+SUMPRODUCT((Lines!$I$7:$I$37=Repex_Analysis!$B21)*Lines!J$7:J$37)+SUMPRODUCT((ESL_1!$I$7:$I$37=Repex_Analysis!$B21)*ESL_1!J$7:J$37)</f>
        <v>0</v>
      </c>
      <c r="D21" s="218">
        <f>SUMPRODUCT((Stations!$I$7:$I$38=Repex_Analysis!$B21)*Stations!K$7:K$38)+SUMPRODUCT((Lines!$I$7:$I$37=Repex_Analysis!$B21)*Lines!K$7:K$37)+SUMPRODUCT((ESL_1!$I$7:$I$37=Repex_Analysis!$B21)*ESL_1!K$7:K$37)</f>
        <v>0</v>
      </c>
      <c r="E21" s="218">
        <f>SUMPRODUCT((Stations!$I$7:$I$38=Repex_Analysis!$B21)*Stations!L$7:L$38)+SUMPRODUCT((Lines!$I$7:$I$37=Repex_Analysis!$B21)*Lines!L$7:L$37)+SUMPRODUCT((ESL_1!$I$7:$I$37=Repex_Analysis!$B21)*ESL_1!L$7:L$37)</f>
        <v>0</v>
      </c>
      <c r="F21" s="871"/>
      <c r="G21" s="871"/>
      <c r="H21" s="871"/>
      <c r="I21" s="871"/>
      <c r="J21" s="871"/>
      <c r="K21" s="124"/>
    </row>
    <row r="22" spans="2:11">
      <c r="B22" t="s">
        <v>202</v>
      </c>
      <c r="C22" s="123">
        <f>SUMPRODUCT((Stations!$I$7:$I$38=Repex_Analysis!$B22)*Stations!J$7:J$38)+SUMPRODUCT((Lines!$I$7:$I$37=Repex_Analysis!$B22)*Lines!J$7:J$37)+SUMPRODUCT((ESL_1!$I$7:$I$37=Repex_Analysis!$B22)*ESL_1!J$7:J$37)</f>
        <v>0</v>
      </c>
      <c r="D22" s="123">
        <f>SUMPRODUCT((Stations!$I$7:$I$38=Repex_Analysis!$B22)*Stations!K$7:K$38)+SUMPRODUCT((Lines!$I$7:$I$37=Repex_Analysis!$B22)*Lines!K$7:K$37)+SUMPRODUCT((ESL_1!$I$7:$I$37=Repex_Analysis!$B22)*ESL_1!K$7:K$37)</f>
        <v>0</v>
      </c>
      <c r="E22" s="123">
        <f>SUMPRODUCT((Stations!$I$7:$I$38=Repex_Analysis!$B22)*Stations!L$7:L$38)+SUMPRODUCT((Lines!$I$7:$I$37=Repex_Analysis!$B22)*Lines!L$7:L$37)+SUMPRODUCT((ESL_1!$I$7:$I$37=Repex_Analysis!$B22)*ESL_1!L$7:L$37)</f>
        <v>0</v>
      </c>
      <c r="F22" s="871"/>
      <c r="G22" s="871"/>
      <c r="H22" s="871"/>
      <c r="I22" s="871"/>
      <c r="J22" s="871"/>
    </row>
    <row r="23" spans="2:11">
      <c r="B23" t="s">
        <v>203</v>
      </c>
      <c r="C23" s="123">
        <f>SUMPRODUCT((Stations!$I$7:$I$38=Repex_Analysis!$B23)*Stations!J$7:J$38)+SUMPRODUCT((Lines!$I$7:$I$37=Repex_Analysis!$B23)*Lines!J$7:J$37)+SUMPRODUCT((ESL_1!$I$7:$I$37=Repex_Analysis!$B23)*ESL_1!J$7:J$37)</f>
        <v>0</v>
      </c>
      <c r="D23" s="123">
        <f>SUMPRODUCT((Stations!$I$7:$I$38=Repex_Analysis!$B23)*Stations!K$7:K$38)+SUMPRODUCT((Lines!$I$7:$I$37=Repex_Analysis!$B23)*Lines!K$7:K$37)+SUMPRODUCT((ESL_1!$I$7:$I$37=Repex_Analysis!$B23)*ESL_1!K$7:K$37)</f>
        <v>0</v>
      </c>
      <c r="E23" s="123">
        <f>SUMPRODUCT((Stations!$I$7:$I$38=Repex_Analysis!$B23)*Stations!L$7:L$38)+SUMPRODUCT((Lines!$I$7:$I$37=Repex_Analysis!$B23)*Lines!L$7:L$37)+SUMPRODUCT((ESL_1!$I$7:$I$37=Repex_Analysis!$B23)*ESL_1!L$7:L$37)</f>
        <v>0</v>
      </c>
      <c r="F23" s="871"/>
      <c r="G23" s="871"/>
      <c r="H23" s="871"/>
      <c r="I23" s="871"/>
      <c r="J23" s="871"/>
      <c r="K23" t="s">
        <v>672</v>
      </c>
    </row>
    <row r="24" spans="2:11">
      <c r="B24" t="s">
        <v>186</v>
      </c>
      <c r="C24" s="123">
        <f>SUMPRODUCT((Stations!$I$7:$I$38=Repex_Analysis!$B24)*Stations!J$7:J$38)+SUMPRODUCT((Lines!$I$7:$I$37=Repex_Analysis!$B24)*Lines!J$7:J$37)+SUMPRODUCT((ESL_1!$I$7:$I$37=Repex_Analysis!$B24)*ESL_1!J$7:J$37)</f>
        <v>0</v>
      </c>
      <c r="D24" s="123">
        <f>SUMPRODUCT((Stations!$I$7:$I$38=Repex_Analysis!$B24)*Stations!K$7:K$38)+SUMPRODUCT((Lines!$I$7:$I$37=Repex_Analysis!$B24)*Lines!K$7:K$37)+SUMPRODUCT((ESL_1!$I$7:$I$37=Repex_Analysis!$B24)*ESL_1!K$7:K$37)</f>
        <v>0</v>
      </c>
      <c r="E24" s="123">
        <f>SUMPRODUCT((Stations!$I$7:$I$38=Repex_Analysis!$B24)*Stations!L$7:L$38)+SUMPRODUCT((Lines!$I$7:$I$37=Repex_Analysis!$B24)*Lines!L$7:L$37)+SUMPRODUCT((ESL_1!$I$7:$I$37=Repex_Analysis!$B24)*ESL_1!L$7:L$37)</f>
        <v>0</v>
      </c>
      <c r="F24" s="871"/>
      <c r="G24" s="871"/>
      <c r="H24" s="871"/>
      <c r="I24" s="871"/>
      <c r="J24" s="871"/>
    </row>
    <row r="25" spans="2:11">
      <c r="B25" t="s">
        <v>247</v>
      </c>
      <c r="C25" s="123">
        <f>SUMPRODUCT((Stations!$I$7:$I$38=Repex_Analysis!$B25)*Stations!J$7:J$38)+SUMPRODUCT((Lines!$I$7:$I$37=Repex_Analysis!$B25)*Lines!J$7:J$37)+SUMPRODUCT((ESL_1!$I$7:$I$37=Repex_Analysis!$B25)*ESL_1!J$7:J$37)</f>
        <v>0</v>
      </c>
      <c r="D25" s="123">
        <f>SUMPRODUCT((Stations!$I$7:$I$38=Repex_Analysis!$B25)*Stations!K$7:K$38)+SUMPRODUCT((Lines!$I$7:$I$37=Repex_Analysis!$B25)*Lines!K$7:K$37)+SUMPRODUCT((ESL_1!$I$7:$I$37=Repex_Analysis!$B25)*ESL_1!K$7:K$37)</f>
        <v>0</v>
      </c>
      <c r="E25" s="123">
        <f>SUMPRODUCT((Stations!$I$7:$I$38=Repex_Analysis!$B25)*Stations!L$7:L$38)+SUMPRODUCT((Lines!$I$7:$I$37=Repex_Analysis!$B25)*Lines!L$7:L$37)+SUMPRODUCT((ESL_1!$I$7:$I$37=Repex_Analysis!$B25)*ESL_1!L$7:L$37)</f>
        <v>0</v>
      </c>
      <c r="F25" s="871"/>
      <c r="G25" s="871"/>
      <c r="H25" s="871"/>
      <c r="I25" s="871"/>
      <c r="J25" s="871"/>
    </row>
    <row r="26" spans="2:11">
      <c r="B26" t="s">
        <v>242</v>
      </c>
      <c r="C26" s="123">
        <f>SUMPRODUCT((Stations!$I$7:$I$38=Repex_Analysis!$B26)*Stations!J$7:J$38)+SUMPRODUCT((Lines!$I$7:$I$37=Repex_Analysis!$B26)*Lines!J$7:J$37)+SUMPRODUCT((ESL_1!$I$7:$I$37=Repex_Analysis!$B26)*ESL_1!J$7:J$37)</f>
        <v>0</v>
      </c>
      <c r="D26" s="123">
        <f>SUMPRODUCT((Stations!$I$7:$I$38=Repex_Analysis!$B26)*Stations!K$7:K$38)+SUMPRODUCT((Lines!$I$7:$I$37=Repex_Analysis!$B26)*Lines!K$7:K$37)+SUMPRODUCT((ESL_1!$I$7:$I$37=Repex_Analysis!$B26)*ESL_1!K$7:K$37)</f>
        <v>0</v>
      </c>
      <c r="E26" s="123">
        <f>SUMPRODUCT((Stations!$I$7:$I$38=Repex_Analysis!$B26)*Stations!L$7:L$38)+SUMPRODUCT((Lines!$I$7:$I$37=Repex_Analysis!$B26)*Lines!L$7:L$37)+SUMPRODUCT((ESL_1!$I$7:$I$37=Repex_Analysis!$B26)*ESL_1!L$7:L$37)</f>
        <v>0</v>
      </c>
      <c r="F26" s="871"/>
      <c r="G26" s="871"/>
      <c r="H26" s="871"/>
      <c r="I26" s="871"/>
      <c r="J26" s="871"/>
    </row>
    <row r="27" spans="2:11">
      <c r="B27" t="s">
        <v>243</v>
      </c>
      <c r="C27" s="123">
        <f>SUMPRODUCT((Stations!$I$7:$I$38=Repex_Analysis!$B27)*Stations!J$7:J$38)+SUMPRODUCT((Lines!$I$7:$I$37=Repex_Analysis!$B27)*Lines!J$7:J$37)+SUMPRODUCT((ESL_1!$I$7:$I$37=Repex_Analysis!$B27)*ESL_1!J$7:J$37)</f>
        <v>0</v>
      </c>
      <c r="D27" s="123">
        <f>SUMPRODUCT((Stations!$I$7:$I$38=Repex_Analysis!$B27)*Stations!K$7:K$38)+SUMPRODUCT((Lines!$I$7:$I$37=Repex_Analysis!$B27)*Lines!K$7:K$37)+SUMPRODUCT((ESL_1!$I$7:$I$37=Repex_Analysis!$B27)*ESL_1!K$7:K$37)</f>
        <v>0</v>
      </c>
      <c r="E27" s="123">
        <f>SUMPRODUCT((Stations!$I$7:$I$38=Repex_Analysis!$B27)*Stations!L$7:L$38)+SUMPRODUCT((Lines!$I$7:$I$37=Repex_Analysis!$B27)*Lines!L$7:L$37)+SUMPRODUCT((ESL_1!$I$7:$I$37=Repex_Analysis!$B27)*ESL_1!L$7:L$37)</f>
        <v>0</v>
      </c>
      <c r="F27" s="871"/>
      <c r="G27" s="871"/>
      <c r="H27" s="871"/>
      <c r="I27" s="871"/>
      <c r="J27" s="871"/>
    </row>
    <row r="28" spans="2:11">
      <c r="B28" t="s">
        <v>204</v>
      </c>
      <c r="C28" s="123">
        <f>SUMPRODUCT((Stations!$I$7:$I$38=Repex_Analysis!$B28)*Stations!J$7:J$38)+SUMPRODUCT((Lines!$I$7:$I$37=Repex_Analysis!$B28)*Lines!J$7:J$37)+SUMPRODUCT((ESL_1!$I$7:$I$37=Repex_Analysis!$B28)*ESL_1!J$7:J$37)</f>
        <v>0</v>
      </c>
      <c r="D28" s="123">
        <f>SUMPRODUCT((Stations!$I$7:$I$38=Repex_Analysis!$B28)*Stations!K$7:K$38)+SUMPRODUCT((Lines!$I$7:$I$37=Repex_Analysis!$B28)*Lines!K$7:K$37)+SUMPRODUCT((ESL_1!$I$7:$I$37=Repex_Analysis!$B28)*ESL_1!K$7:K$37)</f>
        <v>0</v>
      </c>
      <c r="E28" s="123">
        <f>SUMPRODUCT((Stations!$I$7:$I$38=Repex_Analysis!$B28)*Stations!L$7:L$38)+SUMPRODUCT((Lines!$I$7:$I$37=Repex_Analysis!$B28)*Lines!L$7:L$37)+SUMPRODUCT((ESL_1!$I$7:$I$37=Repex_Analysis!$B28)*ESL_1!L$7:L$37)</f>
        <v>0</v>
      </c>
      <c r="F28" s="871"/>
      <c r="G28" s="871"/>
      <c r="H28" s="871"/>
      <c r="I28" s="871"/>
      <c r="J28" s="871"/>
    </row>
    <row r="29" spans="2:11">
      <c r="B29" t="s">
        <v>271</v>
      </c>
      <c r="C29" s="123">
        <f>SUMPRODUCT((Stations!$I$7:$I$38=Repex_Analysis!$B29)*Stations!J$7:J$38)+SUMPRODUCT((Lines!$I$7:$I$37=Repex_Analysis!$B29)*Lines!J$7:J$37)+SUMPRODUCT((ESL_1!$I$7:$I$37=Repex_Analysis!$B29)*ESL_1!J$7:J$37)</f>
        <v>0</v>
      </c>
      <c r="D29" s="123">
        <f>SUMPRODUCT((Stations!$I$7:$I$38=Repex_Analysis!$B29)*Stations!K$7:K$38)+SUMPRODUCT((Lines!$I$7:$I$37=Repex_Analysis!$B29)*Lines!K$7:K$37)+SUMPRODUCT((ESL_1!$I$7:$I$37=Repex_Analysis!$B29)*ESL_1!K$7:K$37)</f>
        <v>0</v>
      </c>
      <c r="E29" s="123">
        <f>SUMPRODUCT((Stations!$I$7:$I$38=Repex_Analysis!$B29)*Stations!L$7:L$38)+SUMPRODUCT((Lines!$I$7:$I$37=Repex_Analysis!$B29)*Lines!L$7:L$37)+SUMPRODUCT((ESL_1!$I$7:$I$37=Repex_Analysis!$B29)*ESL_1!L$7:L$37)</f>
        <v>0</v>
      </c>
      <c r="F29" s="871"/>
      <c r="G29" s="871"/>
      <c r="H29" s="871"/>
      <c r="I29" s="871"/>
      <c r="J29" s="871"/>
    </row>
    <row r="30" spans="2:11">
      <c r="B30" t="s">
        <v>239</v>
      </c>
      <c r="C30" s="123">
        <f>SUMPRODUCT((Stations!$I$7:$I$38=Repex_Analysis!$B30)*Stations!J$7:J$38)+SUMPRODUCT((Lines!$I$7:$I$37=Repex_Analysis!$B30)*Lines!J$7:J$37)+SUMPRODUCT((ESL_1!$I$7:$I$37=Repex_Analysis!$B30)*ESL_1!J$7:J$37)</f>
        <v>0</v>
      </c>
      <c r="D30" s="123">
        <f>SUMPRODUCT((Stations!$I$7:$I$38=Repex_Analysis!$B30)*Stations!K$7:K$38)+SUMPRODUCT((Lines!$I$7:$I$37=Repex_Analysis!$B30)*Lines!K$7:K$37)+SUMPRODUCT((ESL_1!$I$7:$I$37=Repex_Analysis!$B30)*ESL_1!K$7:K$37)</f>
        <v>0</v>
      </c>
      <c r="E30" s="123">
        <f>SUMPRODUCT((Stations!$I$7:$I$38=Repex_Analysis!$B30)*Stations!L$7:L$38)+SUMPRODUCT((Lines!$I$7:$I$37=Repex_Analysis!$B30)*Lines!L$7:L$37)+SUMPRODUCT((ESL_1!$I$7:$I$37=Repex_Analysis!$B30)*ESL_1!L$7:L$37)</f>
        <v>0</v>
      </c>
      <c r="F30" s="871"/>
      <c r="G30" s="871"/>
      <c r="H30" s="871"/>
      <c r="I30" s="871"/>
      <c r="J30" s="871"/>
    </row>
    <row r="31" spans="2:11">
      <c r="B31" t="s">
        <v>240</v>
      </c>
      <c r="C31" s="123">
        <f>SUMPRODUCT((Stations!$I$7:$I$38=Repex_Analysis!$B31)*Stations!J$7:J$38)+SUMPRODUCT((Lines!$I$7:$I$37=Repex_Analysis!$B31)*Lines!J$7:J$37)+SUMPRODUCT((ESL_1!$I$7:$I$37=Repex_Analysis!$B31)*ESL_1!J$7:J$37)</f>
        <v>0</v>
      </c>
      <c r="D31" s="123">
        <f>SUMPRODUCT((Stations!$I$7:$I$38=Repex_Analysis!$B31)*Stations!K$7:K$38)+SUMPRODUCT((Lines!$I$7:$I$37=Repex_Analysis!$B31)*Lines!K$7:K$37)+SUMPRODUCT((ESL_1!$I$7:$I$37=Repex_Analysis!$B31)*ESL_1!K$7:K$37)</f>
        <v>0</v>
      </c>
      <c r="E31" s="123">
        <f>SUMPRODUCT((Stations!$I$7:$I$38=Repex_Analysis!$B31)*Stations!L$7:L$38)+SUMPRODUCT((Lines!$I$7:$I$37=Repex_Analysis!$B31)*Lines!L$7:L$37)+SUMPRODUCT((ESL_1!$I$7:$I$37=Repex_Analysis!$B31)*ESL_1!L$7:L$37)</f>
        <v>0</v>
      </c>
      <c r="F31" s="871"/>
      <c r="G31" s="871"/>
      <c r="H31" s="871"/>
      <c r="I31" s="871"/>
      <c r="J31" s="871"/>
    </row>
    <row r="32" spans="2:11">
      <c r="B32" t="s">
        <v>244</v>
      </c>
      <c r="C32" s="123">
        <f>SUMPRODUCT((Stations!$I$7:$I$38=Repex_Analysis!$B32)*Stations!J$7:J$38)+SUMPRODUCT((Lines!$I$7:$I$37=Repex_Analysis!$B32)*Lines!J$7:J$37)+SUMPRODUCT((ESL_1!$I$7:$I$37=Repex_Analysis!$B32)*ESL_1!J$7:J$37)</f>
        <v>0</v>
      </c>
      <c r="D32" s="123">
        <f>SUMPRODUCT((Stations!$I$7:$I$38=Repex_Analysis!$B32)*Stations!K$7:K$38)+SUMPRODUCT((Lines!$I$7:$I$37=Repex_Analysis!$B32)*Lines!K$7:K$37)+SUMPRODUCT((ESL_1!$I$7:$I$37=Repex_Analysis!$B32)*ESL_1!K$7:K$37)</f>
        <v>0</v>
      </c>
      <c r="E32" s="123">
        <f>SUMPRODUCT((Stations!$I$7:$I$38=Repex_Analysis!$B32)*Stations!L$7:L$38)+SUMPRODUCT((Lines!$I$7:$I$37=Repex_Analysis!$B32)*Lines!L$7:L$37)+SUMPRODUCT((ESL_1!$I$7:$I$37=Repex_Analysis!$B32)*ESL_1!L$7:L$37)</f>
        <v>0</v>
      </c>
      <c r="F32" s="871"/>
      <c r="G32" s="871"/>
      <c r="H32" s="871"/>
      <c r="I32" s="871"/>
      <c r="J32" s="871"/>
    </row>
    <row r="33" spans="2:10">
      <c r="B33" t="s">
        <v>245</v>
      </c>
      <c r="C33" s="123">
        <f>SUMPRODUCT((Stations!$I$7:$I$38=Repex_Analysis!$B33)*Stations!J$7:J$38)+SUMPRODUCT((Lines!$I$7:$I$37=Repex_Analysis!$B33)*Lines!J$7:J$37)+SUMPRODUCT((ESL_1!$I$7:$I$37=Repex_Analysis!$B33)*ESL_1!J$7:J$37)</f>
        <v>0</v>
      </c>
      <c r="D33" s="123">
        <f>SUMPRODUCT((Stations!$I$7:$I$38=Repex_Analysis!$B33)*Stations!K$7:K$38)+SUMPRODUCT((Lines!$I$7:$I$37=Repex_Analysis!$B33)*Lines!K$7:K$37)+SUMPRODUCT((ESL_1!$I$7:$I$37=Repex_Analysis!$B33)*ESL_1!K$7:K$37)</f>
        <v>0</v>
      </c>
      <c r="E33" s="123">
        <f>SUMPRODUCT((Stations!$I$7:$I$38=Repex_Analysis!$B33)*Stations!L$7:L$38)+SUMPRODUCT((Lines!$I$7:$I$37=Repex_Analysis!$B33)*Lines!L$7:L$37)+SUMPRODUCT((ESL_1!$I$7:$I$37=Repex_Analysis!$B33)*ESL_1!L$7:L$37)</f>
        <v>0</v>
      </c>
      <c r="F33" s="871"/>
      <c r="G33" s="871"/>
      <c r="H33" s="871"/>
      <c r="I33" s="871"/>
      <c r="J33" s="871"/>
    </row>
    <row r="34" spans="2:10">
      <c r="B34" t="s">
        <v>209</v>
      </c>
      <c r="C34" s="123">
        <f>SUMPRODUCT((Stations!$I$7:$I$38=Repex_Analysis!$B34)*Stations!J$7:J$38)+SUMPRODUCT((Lines!$I$7:$I$37=Repex_Analysis!$B34)*Lines!J$7:J$37)+SUMPRODUCT((ESL_1!$I$7:$I$37=Repex_Analysis!$B34)*ESL_1!J$7:J$37)</f>
        <v>0</v>
      </c>
      <c r="D34" s="123">
        <f>SUMPRODUCT((Stations!$I$7:$I$38=Repex_Analysis!$B34)*Stations!K$7:K$38)+SUMPRODUCT((Lines!$I$7:$I$37=Repex_Analysis!$B34)*Lines!K$7:K$37)+SUMPRODUCT((ESL_1!$I$7:$I$37=Repex_Analysis!$B34)*ESL_1!K$7:K$37)</f>
        <v>0</v>
      </c>
      <c r="E34" s="123">
        <f>SUMPRODUCT((Stations!$I$7:$I$38=Repex_Analysis!$B34)*Stations!L$7:L$38)+SUMPRODUCT((Lines!$I$7:$I$37=Repex_Analysis!$B34)*Lines!L$7:L$37)+SUMPRODUCT((ESL_1!$I$7:$I$37=Repex_Analysis!$B34)*ESL_1!L$7:L$37)</f>
        <v>0</v>
      </c>
      <c r="F34" s="871"/>
      <c r="G34" s="871"/>
      <c r="H34" s="871"/>
      <c r="I34" s="871"/>
      <c r="J34" s="871"/>
    </row>
    <row r="35" spans="2:10">
      <c r="B35" t="s">
        <v>246</v>
      </c>
      <c r="C35" s="123">
        <f>SUMPRODUCT((Stations!$I$7:$I$38=Repex_Analysis!$B35)*Stations!J$7:J$38)+SUMPRODUCT((Lines!$I$7:$I$37=Repex_Analysis!$B35)*Lines!J$7:J$37)+SUMPRODUCT((ESL_1!$I$7:$I$37=Repex_Analysis!$B35)*ESL_1!J$7:J$37)</f>
        <v>0</v>
      </c>
      <c r="D35" s="123">
        <f>SUMPRODUCT((Stations!$I$7:$I$38=Repex_Analysis!$B35)*Stations!K$7:K$38)+SUMPRODUCT((Lines!$I$7:$I$37=Repex_Analysis!$B35)*Lines!K$7:K$37)+SUMPRODUCT((ESL_1!$I$7:$I$37=Repex_Analysis!$B35)*ESL_1!K$7:K$37)</f>
        <v>0</v>
      </c>
      <c r="E35" s="123">
        <f>SUMPRODUCT((Stations!$I$7:$I$38=Repex_Analysis!$B35)*Stations!L$7:L$38)+SUMPRODUCT((Lines!$I$7:$I$37=Repex_Analysis!$B35)*Lines!L$7:L$37)+SUMPRODUCT((ESL_1!$I$7:$I$37=Repex_Analysis!$B35)*ESL_1!L$7:L$37)</f>
        <v>0</v>
      </c>
      <c r="F35" s="871"/>
      <c r="G35" s="871"/>
      <c r="H35" s="871"/>
      <c r="I35" s="871"/>
      <c r="J35" s="871"/>
    </row>
    <row r="36" spans="2:10">
      <c r="B36" t="s">
        <v>248</v>
      </c>
      <c r="C36" s="123">
        <f>SUMPRODUCT((Stations!$I$7:$I$38=Repex_Analysis!$B36)*Stations!J$7:J$38)+SUMPRODUCT((Lines!$I$7:$I$37=Repex_Analysis!$B36)*Lines!J$7:J$37)+SUMPRODUCT((ESL_1!$I$7:$I$37=Repex_Analysis!$B36)*ESL_1!J$7:J$37)</f>
        <v>0</v>
      </c>
      <c r="D36" s="123">
        <f>SUMPRODUCT((Stations!$I$7:$I$38=Repex_Analysis!$B36)*Stations!K$7:K$38)+SUMPRODUCT((Lines!$I$7:$I$37=Repex_Analysis!$B36)*Lines!K$7:K$37)+SUMPRODUCT((ESL_1!$I$7:$I$37=Repex_Analysis!$B36)*ESL_1!K$7:K$37)</f>
        <v>0</v>
      </c>
      <c r="E36" s="123">
        <f>SUMPRODUCT((Stations!$I$7:$I$38=Repex_Analysis!$B36)*Stations!L$7:L$38)+SUMPRODUCT((Lines!$I$7:$I$37=Repex_Analysis!$B36)*Lines!L$7:L$37)+SUMPRODUCT((ESL_1!$I$7:$I$37=Repex_Analysis!$B36)*ESL_1!L$7:L$37)</f>
        <v>0</v>
      </c>
      <c r="F36" s="871"/>
      <c r="G36" s="871"/>
      <c r="H36" s="871"/>
      <c r="I36" s="871"/>
      <c r="J36" s="871"/>
    </row>
    <row r="37" spans="2:10">
      <c r="B37" t="s">
        <v>238</v>
      </c>
      <c r="C37" s="123">
        <f>SUMPRODUCT((Stations!$I$7:$I$38=Repex_Analysis!$B37)*Stations!J$7:J$38)+SUMPRODUCT((Lines!$I$7:$I$37=Repex_Analysis!$B37)*Lines!J$7:J$37)+SUMPRODUCT((ESL_1!$I$7:$I$37=Repex_Analysis!$B37)*ESL_1!J$7:J$37)</f>
        <v>0</v>
      </c>
      <c r="D37" s="123">
        <f>SUMPRODUCT((Stations!$I$7:$I$38=Repex_Analysis!$B37)*Stations!K$7:K$38)+SUMPRODUCT((Lines!$I$7:$I$37=Repex_Analysis!$B37)*Lines!K$7:K$37)+SUMPRODUCT((ESL_1!$I$7:$I$37=Repex_Analysis!$B37)*ESL_1!K$7:K$37)</f>
        <v>0</v>
      </c>
      <c r="E37" s="123">
        <f>SUMPRODUCT((Stations!$I$7:$I$38=Repex_Analysis!$B37)*Stations!L$7:L$38)+SUMPRODUCT((Lines!$I$7:$I$37=Repex_Analysis!$B37)*Lines!L$7:L$37)+SUMPRODUCT((ESL_1!$I$7:$I$37=Repex_Analysis!$B37)*ESL_1!L$7:L$37)</f>
        <v>0</v>
      </c>
      <c r="F37" s="871"/>
      <c r="G37" s="871"/>
      <c r="H37" s="871"/>
      <c r="I37" s="871"/>
      <c r="J37" s="871"/>
    </row>
    <row r="38" spans="2:10">
      <c r="B38" t="s">
        <v>251</v>
      </c>
      <c r="C38" s="123">
        <f>SUMPRODUCT((Stations!$I$7:$I$38=Repex_Analysis!$B38)*Stations!J$7:J$38)+SUMPRODUCT((Lines!$I$7:$I$37=Repex_Analysis!$B38)*Lines!J$7:J$37)+SUMPRODUCT((ESL_1!$I$7:$I$37=Repex_Analysis!$B38)*ESL_1!J$7:J$37)</f>
        <v>0</v>
      </c>
      <c r="D38" s="123">
        <f>SUMPRODUCT((Stations!$I$7:$I$38=Repex_Analysis!$B38)*Stations!K$7:K$38)+SUMPRODUCT((Lines!$I$7:$I$37=Repex_Analysis!$B38)*Lines!K$7:K$37)+SUMPRODUCT((ESL_1!$I$7:$I$37=Repex_Analysis!$B38)*ESL_1!K$7:K$37)</f>
        <v>0</v>
      </c>
      <c r="E38" s="123">
        <f>SUMPRODUCT((Stations!$I$7:$I$38=Repex_Analysis!$B38)*Stations!L$7:L$38)+SUMPRODUCT((Lines!$I$7:$I$37=Repex_Analysis!$B38)*Lines!L$7:L$37)+SUMPRODUCT((ESL_1!$I$7:$I$37=Repex_Analysis!$B38)*ESL_1!L$7:L$37)</f>
        <v>0</v>
      </c>
      <c r="F38" s="871"/>
      <c r="G38" s="871"/>
      <c r="H38" s="871"/>
      <c r="I38" s="871"/>
      <c r="J38" s="871"/>
    </row>
    <row r="39" spans="2:10">
      <c r="B39" t="s">
        <v>252</v>
      </c>
      <c r="C39" s="123">
        <f>SUMPRODUCT((Stations!$I$7:$I$38=Repex_Analysis!$B39)*Stations!J$7:J$38)+SUMPRODUCT((Lines!$I$7:$I$37=Repex_Analysis!$B39)*Lines!J$7:J$37)+SUMPRODUCT((ESL_1!$I$7:$I$37=Repex_Analysis!$B39)*ESL_1!J$7:J$37)</f>
        <v>0</v>
      </c>
      <c r="D39" s="123">
        <f>SUMPRODUCT((Stations!$I$7:$I$38=Repex_Analysis!$B39)*Stations!K$7:K$38)+SUMPRODUCT((Lines!$I$7:$I$37=Repex_Analysis!$B39)*Lines!K$7:K$37)+SUMPRODUCT((ESL_1!$I$7:$I$37=Repex_Analysis!$B39)*ESL_1!K$7:K$37)</f>
        <v>0</v>
      </c>
      <c r="E39" s="123">
        <f>SUMPRODUCT((Stations!$I$7:$I$38=Repex_Analysis!$B39)*Stations!L$7:L$38)+SUMPRODUCT((Lines!$I$7:$I$37=Repex_Analysis!$B39)*Lines!L$7:L$37)+SUMPRODUCT((ESL_1!$I$7:$I$37=Repex_Analysis!$B39)*ESL_1!L$7:L$37)</f>
        <v>0</v>
      </c>
      <c r="F39" s="871"/>
      <c r="G39" s="871"/>
      <c r="H39" s="871"/>
      <c r="I39" s="871"/>
      <c r="J39" s="871"/>
    </row>
    <row r="40" spans="2:10">
      <c r="B40" t="s">
        <v>5</v>
      </c>
      <c r="C40" s="123">
        <f>SUMPRODUCT((Stations!$I$7:$I$38=Repex_Analysis!$B40)*Stations!J$7:J$38)+SUMPRODUCT((Lines!$I$7:$I$37=Repex_Analysis!$B40)*Lines!J$7:J$37)+SUMPRODUCT((ESL_1!$I$7:$I$37=Repex_Analysis!$B40)*ESL_1!J$7:J$37)</f>
        <v>0</v>
      </c>
      <c r="D40" s="123">
        <f>SUMPRODUCT((Stations!$I$7:$I$38=Repex_Analysis!$B40)*Stations!K$7:K$38)+SUMPRODUCT((Lines!$I$7:$I$37=Repex_Analysis!$B40)*Lines!K$7:K$37)+SUMPRODUCT((ESL_1!$I$7:$I$37=Repex_Analysis!$B40)*ESL_1!K$7:K$37)</f>
        <v>0</v>
      </c>
      <c r="E40" s="123">
        <f>SUMPRODUCT((Stations!$I$7:$I$38=Repex_Analysis!$B40)*Stations!L$7:L$38)+SUMPRODUCT((Lines!$I$7:$I$37=Repex_Analysis!$B40)*Lines!L$7:L$37)+SUMPRODUCT((ESL_1!$I$7:$I$37=Repex_Analysis!$B40)*ESL_1!L$7:L$37)</f>
        <v>0</v>
      </c>
      <c r="F40" s="871"/>
      <c r="G40" s="871"/>
      <c r="H40" s="871"/>
      <c r="I40" s="871"/>
      <c r="J40" s="871"/>
    </row>
  </sheetData>
  <mergeCells count="1">
    <mergeCell ref="G1:H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BD764640DCAB4BA9ED62F0782D91CF" ma:contentTypeVersion="12" ma:contentTypeDescription="Create a new document." ma:contentTypeScope="" ma:versionID="210c3fccee18fefade404d8bb91d4c6a">
  <xsd:schema xmlns:xsd="http://www.w3.org/2001/XMLSchema" xmlns:xs="http://www.w3.org/2001/XMLSchema" xmlns:p="http://schemas.microsoft.com/office/2006/metadata/properties" xmlns:ns3="32d2fb17-4728-4018-b5d0-4d4d2a15d7ae" xmlns:ns4="83c2e568-c785-4033-82bf-0046c7f117c2" targetNamespace="http://schemas.microsoft.com/office/2006/metadata/properties" ma:root="true" ma:fieldsID="c3561d535ae5fe6e79541b8e73d684e3" ns3:_="" ns4:_="">
    <xsd:import namespace="32d2fb17-4728-4018-b5d0-4d4d2a15d7ae"/>
    <xsd:import namespace="83c2e568-c785-4033-82bf-0046c7f117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2fb17-4728-4018-b5d0-4d4d2a15d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c2e568-c785-4033-82bf-0046c7f117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B65D7D-0B08-445D-9088-BBAAE4434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2fb17-4728-4018-b5d0-4d4d2a15d7ae"/>
    <ds:schemaRef ds:uri="83c2e568-c785-4033-82bf-0046c7f117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E2EDA-88DE-48CA-A832-DF4873134D9F}">
  <ds:schemaRefs>
    <ds:schemaRef ds:uri="http://schemas.microsoft.com/sharepoint/v3/contenttype/forms"/>
  </ds:schemaRefs>
</ds:datastoreItem>
</file>

<file path=customXml/itemProps3.xml><?xml version="1.0" encoding="utf-8"?>
<ds:datastoreItem xmlns:ds="http://schemas.openxmlformats.org/officeDocument/2006/customXml" ds:itemID="{5795839C-2C16-47FB-9EB2-2D4B0B5588E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83c2e568-c785-4033-82bf-0046c7f117c2"/>
    <ds:schemaRef ds:uri="http://purl.org/dc/dcmitype/"/>
    <ds:schemaRef ds:uri="32d2fb17-4728-4018-b5d0-4d4d2a15d7a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27</vt:i4>
      </vt:variant>
    </vt:vector>
  </HeadingPairs>
  <TitlesOfParts>
    <vt:vector size="70" baseType="lpstr">
      <vt:lpstr>Inputs to Connections Model</vt:lpstr>
      <vt:lpstr>Input from Connections Model</vt:lpstr>
      <vt:lpstr>Contents</vt:lpstr>
      <vt:lpstr>Assumptions</vt:lpstr>
      <vt:lpstr>Lookups -&gt;</vt:lpstr>
      <vt:lpstr>Lab_Mat</vt:lpstr>
      <vt:lpstr>Escalators</vt:lpstr>
      <vt:lpstr>Lookups</vt:lpstr>
      <vt:lpstr>START</vt:lpstr>
      <vt:lpstr>Inputs -&gt;</vt:lpstr>
      <vt:lpstr>Augmentation</vt:lpstr>
      <vt:lpstr>Connections</vt:lpstr>
      <vt:lpstr>Major_Rebuilds</vt:lpstr>
      <vt:lpstr>Stations</vt:lpstr>
      <vt:lpstr>Lines</vt:lpstr>
      <vt:lpstr>PC&amp;A</vt:lpstr>
      <vt:lpstr>SCADA&amp;Comms</vt:lpstr>
      <vt:lpstr>ESL_1</vt:lpstr>
      <vt:lpstr>ESL_2</vt:lpstr>
      <vt:lpstr>REFCL</vt:lpstr>
      <vt:lpstr>ICT</vt:lpstr>
      <vt:lpstr>Metering_SCS</vt:lpstr>
      <vt:lpstr>Other_NN</vt:lpstr>
      <vt:lpstr>Downer_Contract</vt:lpstr>
      <vt:lpstr>Aggregations &amp; Alloc -&gt;</vt:lpstr>
      <vt:lpstr>Base_Forecast</vt:lpstr>
      <vt:lpstr>Reg_Forecast</vt:lpstr>
      <vt:lpstr>Capex_by_Driver</vt:lpstr>
      <vt:lpstr>Safety</vt:lpstr>
      <vt:lpstr>AusNet_Overheads</vt:lpstr>
      <vt:lpstr>Outputs -&gt;</vt:lpstr>
      <vt:lpstr>RFM_PTRM</vt:lpstr>
      <vt:lpstr>Capex_2016-2026</vt:lpstr>
      <vt:lpstr>DER</vt:lpstr>
      <vt:lpstr>REFCL_view</vt:lpstr>
      <vt:lpstr>RIN Template -&gt;</vt:lpstr>
      <vt:lpstr>2.1 Exp Summary</vt:lpstr>
      <vt:lpstr>2.1.8 Cap Overheads</vt:lpstr>
      <vt:lpstr>2.6 Non-Network</vt:lpstr>
      <vt:lpstr>2.11 Labour</vt:lpstr>
      <vt:lpstr>2.17 Step Changes</vt:lpstr>
      <vt:lpstr>Other -&gt;</vt:lpstr>
      <vt:lpstr>Repex_Analysis</vt:lpstr>
      <vt:lpstr>Act_Type_Augex</vt:lpstr>
      <vt:lpstr>Act_Type_Augex_Splits</vt:lpstr>
      <vt:lpstr>Act_Type_Connections</vt:lpstr>
      <vt:lpstr>Act_Type_Connections_Splits</vt:lpstr>
      <vt:lpstr>Act_Type_Repex</vt:lpstr>
      <vt:lpstr>Act_Type_Repex_Splits</vt:lpstr>
      <vt:lpstr>CP_Yr_4</vt:lpstr>
      <vt:lpstr>CP_Yr_5</vt:lpstr>
      <vt:lpstr>CReg_Period</vt:lpstr>
      <vt:lpstr>Direct_Cost_Splits_Network</vt:lpstr>
      <vt:lpstr>Direct_Cost_Splits_Non_Ntwk</vt:lpstr>
      <vt:lpstr>Direct_Cost_Type</vt:lpstr>
      <vt:lpstr>Mat_Type</vt:lpstr>
      <vt:lpstr>Millions</vt:lpstr>
      <vt:lpstr>NReg_Period</vt:lpstr>
      <vt:lpstr>'2.17 Step Changes'!Print_Area</vt:lpstr>
      <vt:lpstr>Contents!Print_Area</vt:lpstr>
      <vt:lpstr>RIN_Asset_Cat_Network</vt:lpstr>
      <vt:lpstr>RIN_Asset_Cat_Non_Ntwk</vt:lpstr>
      <vt:lpstr>Stub</vt:lpstr>
      <vt:lpstr>Downer_Contract!Thousands</vt:lpstr>
      <vt:lpstr>Thousands</vt:lpstr>
      <vt:lpstr>Yr_1</vt:lpstr>
      <vt:lpstr>Yr_2</vt:lpstr>
      <vt:lpstr>Yr_3</vt:lpstr>
      <vt:lpstr>Yr_4</vt:lpstr>
      <vt:lpstr>Yr_5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2020-09-14T05:19:57Z</dcterms:created>
  <dcterms:modified xsi:type="dcterms:W3CDTF">2020-12-14T03:00:45Z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0x01010057BD764640DCAB4BA9ED62F0782D91CF</vt:lpwstr>
  </property>
</Properties>
</file>