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12"/>
  <workbookPr codeName="ThisWorkbook"/>
  <mc:AlternateContent xmlns:mc="http://schemas.openxmlformats.org/markup-compatibility/2006">
    <mc:Choice Requires="x15">
      <x15ac:absPath xmlns:x15ac="http://schemas.microsoft.com/office/spreadsheetml/2010/11/ac" url="https://apamscloud.sharepoint.com/teams/RegAndPolicy/Shared Documents/Murraylink/2023 Reset/Revenue Reset/Revised Proposal/"/>
    </mc:Choice>
  </mc:AlternateContent>
  <xr:revisionPtr revIDLastSave="0" documentId="11_023364605C52368434C02C9A275CEAA185391E59" xr6:coauthVersionLast="47" xr6:coauthVersionMax="47" xr10:uidLastSave="{00000000-0000-0000-0000-000000000000}"/>
  <bookViews>
    <workbookView xWindow="-28920" yWindow="-4680" windowWidth="29040" windowHeight="15840" firstSheet="5" activeTab="5" xr2:uid="{00000000-000D-0000-FFFF-FFFF00000000}"/>
  </bookViews>
  <sheets>
    <sheet name="1.0 Data" sheetId="1" r:id="rId1"/>
    <sheet name="1.1 Input" sheetId="8" r:id="rId2"/>
    <sheet name="1.2 AER Forecast" sheetId="15" r:id="rId3"/>
    <sheet name="2.0 Capex Real Dollars" sheetId="4" r:id="rId4"/>
    <sheet name="2.1 Capex Nominal Dollars" sheetId="5" r:id="rId5"/>
    <sheet name="3.0 Outputs" sheetId="7" r:id="rId6"/>
    <sheet name="3.1 RIN" sheetId="9" r:id="rId7"/>
    <sheet name="3.1 Forecast vs Actual" sheetId="16" r:id="rId8"/>
  </sheets>
  <externalReferences>
    <externalReference r:id="rId9"/>
  </externalReferences>
  <definedNames>
    <definedName name="_xlnm._FilterDatabase" localSheetId="0" hidden="1">'1.0 Data'!$O$8:$Z$8</definedName>
    <definedName name="CRCP_y1">'[1]AER lookups'!$G$39</definedName>
    <definedName name="CRCP_y2">'[1]AER lookups'!$G$40</definedName>
    <definedName name="CRCP_y3">'[1]AER lookups'!$G$41</definedName>
    <definedName name="CRCP_y4">'[1]AER lookups'!$G$42</definedName>
    <definedName name="CRCP_y5">'[1]AER lookups'!$G$43</definedName>
    <definedName name="dms_DollarReal">'[1]AER ETL'!$C$31</definedName>
    <definedName name="FRCP_y1">'[1]Business &amp; other details'!$AL$42</definedName>
    <definedName name="FRCP_y2">'[1]AER lookups'!$I$40</definedName>
    <definedName name="FRCP_y3">'[1]AER lookups'!$I$41</definedName>
    <definedName name="FRCP_y4">'[1]AER lookups'!$I$42</definedName>
    <definedName name="FRCP_y5">'[1]AER lookups'!$I$43</definedName>
  </definedNames>
  <calcPr calcId="162913" calcCompleted="0"/>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O120" i="7" l="1" a="1"/>
  <c r="O120" i="7" s="1"/>
  <c r="O121" i="7" s="1" a="1"/>
  <c r="O121" i="7" s="1"/>
  <c r="U119" i="7"/>
  <c r="S121" i="7" l="1"/>
  <c r="T121" i="7"/>
  <c r="T120" i="7"/>
  <c r="S120" i="7"/>
  <c r="O122" i="7" a="1"/>
  <c r="O122" i="7" s="1"/>
  <c r="O123" i="7" l="1" a="1"/>
  <c r="O123" i="7" s="1"/>
  <c r="O124" i="7" s="1" a="1"/>
  <c r="O124" i="7" s="1"/>
  <c r="T122" i="7"/>
  <c r="S122" i="7"/>
  <c r="O125" i="7" l="1" a="1"/>
  <c r="O125" i="7" s="1"/>
  <c r="O126" i="7" s="1" a="1"/>
  <c r="O126" i="7" s="1"/>
  <c r="T124" i="7"/>
  <c r="S124" i="7"/>
  <c r="T123" i="7"/>
  <c r="S123" i="7"/>
  <c r="T126" i="7" l="1"/>
  <c r="S126" i="7"/>
  <c r="S125" i="7"/>
  <c r="T125" i="7"/>
  <c r="O127" i="7" a="1"/>
  <c r="O127" i="7" s="1"/>
  <c r="S127" i="7" l="1"/>
  <c r="S128" i="7" s="1"/>
  <c r="T127" i="7"/>
  <c r="T128" i="7" s="1"/>
  <c r="G108" i="7" l="1"/>
  <c r="F108" i="7"/>
  <c r="E109" i="7"/>
  <c r="E108" i="7"/>
  <c r="E107" i="7"/>
  <c r="E101" i="7" l="1"/>
  <c r="E106" i="7" s="1"/>
  <c r="E113" i="7"/>
  <c r="F101" i="7"/>
  <c r="G101" i="7"/>
  <c r="M101" i="7"/>
  <c r="K106" i="7" s="1"/>
  <c r="G113" i="7" l="1"/>
  <c r="G106" i="7"/>
  <c r="F113" i="7"/>
  <c r="F106" i="7"/>
  <c r="C40" i="5" l="1"/>
  <c r="D40" i="5"/>
  <c r="I40" i="5"/>
  <c r="C41" i="5"/>
  <c r="A40" i="5"/>
  <c r="B40" i="5" s="1"/>
  <c r="A41" i="5"/>
  <c r="B41" i="5" s="1"/>
  <c r="D41" i="5"/>
  <c r="I41" i="5"/>
  <c r="K94" i="7" l="1"/>
  <c r="B81" i="15"/>
  <c r="B67" i="15"/>
  <c r="D71" i="15"/>
  <c r="E67" i="15" l="1"/>
  <c r="F67" i="15"/>
  <c r="F81" i="15"/>
  <c r="G96" i="7" s="1"/>
  <c r="J24" i="16" l="1"/>
  <c r="J23" i="16"/>
  <c r="V112" i="5" l="1"/>
  <c r="O112" i="5"/>
  <c r="N112" i="5"/>
  <c r="L112" i="5"/>
  <c r="T88" i="1" a="1"/>
  <c r="T88" i="1" s="1"/>
  <c r="Q8" i="1"/>
  <c r="A5" i="1"/>
  <c r="Q61" i="1" l="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O53" i="7" l="1"/>
  <c r="O55" i="7"/>
  <c r="O56" i="7"/>
  <c r="O57" i="7"/>
  <c r="O58" i="7"/>
  <c r="O59" i="7"/>
  <c r="O38" i="7"/>
  <c r="O40" i="7"/>
  <c r="O41" i="7"/>
  <c r="O42" i="7"/>
  <c r="O43" i="7"/>
  <c r="O44" i="7"/>
  <c r="L118" i="4"/>
  <c r="L124" i="5" s="1"/>
  <c r="L120" i="4"/>
  <c r="L126" i="5" s="1"/>
  <c r="L121" i="4"/>
  <c r="L127" i="5" s="1"/>
  <c r="L122" i="4"/>
  <c r="L128" i="5" s="1"/>
  <c r="L123" i="4"/>
  <c r="L129" i="5" s="1"/>
  <c r="L124" i="4"/>
  <c r="L130" i="5" s="1"/>
  <c r="L125" i="4"/>
  <c r="L131" i="5" s="1"/>
  <c r="L80" i="4"/>
  <c r="L80" i="5" s="1"/>
  <c r="L82" i="4"/>
  <c r="L82" i="5" s="1"/>
  <c r="L83" i="4"/>
  <c r="L83" i="5" s="1"/>
  <c r="L84" i="4"/>
  <c r="L84" i="5" s="1"/>
  <c r="L85" i="4"/>
  <c r="L85" i="5" s="1"/>
  <c r="L86" i="4"/>
  <c r="L86" i="5" s="1"/>
  <c r="L87" i="4"/>
  <c r="L87" i="5" s="1"/>
  <c r="E51" i="7"/>
  <c r="O51" i="7"/>
  <c r="A43" i="4"/>
  <c r="A43" i="5" s="1"/>
  <c r="A40" i="15"/>
  <c r="A56" i="15" s="1"/>
  <c r="O131" i="5"/>
  <c r="N131" i="5"/>
  <c r="O130" i="5"/>
  <c r="N130" i="5"/>
  <c r="O129" i="5"/>
  <c r="N129" i="5"/>
  <c r="O128" i="5"/>
  <c r="N128" i="5"/>
  <c r="O127" i="5"/>
  <c r="N127" i="5"/>
  <c r="O126" i="5"/>
  <c r="N126" i="5"/>
  <c r="O125" i="5"/>
  <c r="N125" i="5"/>
  <c r="O124" i="5"/>
  <c r="N124" i="5"/>
  <c r="O123" i="5"/>
  <c r="N123" i="5"/>
  <c r="L132" i="5"/>
  <c r="N132" i="5"/>
  <c r="O132" i="5"/>
  <c r="L134" i="5"/>
  <c r="L121" i="5"/>
  <c r="L88" i="5"/>
  <c r="J115" i="4"/>
  <c r="U100" i="5"/>
  <c r="U121" i="5" s="1"/>
  <c r="O91" i="5"/>
  <c r="N91" i="5"/>
  <c r="M91" i="5"/>
  <c r="L91" i="5"/>
  <c r="U77" i="5"/>
  <c r="L66" i="5"/>
  <c r="L43" i="5"/>
  <c r="O96" i="5"/>
  <c r="N96" i="5"/>
  <c r="O95" i="5"/>
  <c r="N95" i="5"/>
  <c r="O94" i="5"/>
  <c r="N94" i="5"/>
  <c r="O93" i="5"/>
  <c r="N93" i="5"/>
  <c r="O87" i="5"/>
  <c r="N87" i="5"/>
  <c r="O86" i="5"/>
  <c r="N86" i="5"/>
  <c r="O85" i="5"/>
  <c r="N85" i="5"/>
  <c r="O84" i="5"/>
  <c r="N84" i="5"/>
  <c r="O83" i="5"/>
  <c r="N83" i="5"/>
  <c r="O82" i="5"/>
  <c r="N82" i="5"/>
  <c r="O81" i="5"/>
  <c r="N81" i="5"/>
  <c r="O80" i="5"/>
  <c r="N80" i="5"/>
  <c r="O79" i="5"/>
  <c r="N79" i="5"/>
  <c r="O97" i="5"/>
  <c r="N97" i="5"/>
  <c r="L97" i="5"/>
  <c r="O88" i="5"/>
  <c r="N88" i="5"/>
  <c r="J100" i="5"/>
  <c r="J77" i="5"/>
  <c r="A88" i="5"/>
  <c r="B88" i="5" s="1"/>
  <c r="C88" i="5"/>
  <c r="D88" i="5"/>
  <c r="A67" i="4"/>
  <c r="A67" i="5" s="1"/>
  <c r="C79" i="5"/>
  <c r="D79" i="5"/>
  <c r="C80" i="5"/>
  <c r="D80" i="5"/>
  <c r="C81" i="5"/>
  <c r="D81" i="5"/>
  <c r="C82" i="5"/>
  <c r="D82" i="5"/>
  <c r="C83" i="5"/>
  <c r="D83" i="5"/>
  <c r="C84" i="5"/>
  <c r="D84" i="5"/>
  <c r="C85" i="5"/>
  <c r="D85" i="5"/>
  <c r="C86" i="5"/>
  <c r="D86" i="5"/>
  <c r="C87" i="5"/>
  <c r="D87" i="5"/>
  <c r="C93" i="5"/>
  <c r="D93" i="5"/>
  <c r="C94" i="5"/>
  <c r="D94" i="5"/>
  <c r="C95" i="5"/>
  <c r="D95" i="5"/>
  <c r="C96" i="5"/>
  <c r="D96" i="5"/>
  <c r="C97" i="5"/>
  <c r="D97" i="5"/>
  <c r="A44" i="5"/>
  <c r="A66" i="5"/>
  <c r="A76" i="5"/>
  <c r="A90" i="5"/>
  <c r="A97" i="5"/>
  <c r="B97" i="5" s="1"/>
  <c r="A99" i="5"/>
  <c r="M41" i="1"/>
  <c r="J8" i="4"/>
  <c r="J8" i="5" s="1"/>
  <c r="U8" i="4"/>
  <c r="U45" i="4" s="1"/>
  <c r="U68" i="4" s="1"/>
  <c r="U68" i="5" s="1"/>
  <c r="A94" i="4"/>
  <c r="A94" i="5" s="1"/>
  <c r="A95" i="4"/>
  <c r="A96" i="4"/>
  <c r="A93" i="4"/>
  <c r="A93" i="5" s="1"/>
  <c r="C47" i="1"/>
  <c r="U8" i="5" l="1"/>
  <c r="U45" i="5"/>
  <c r="J45" i="4"/>
  <c r="J68" i="4" s="1"/>
  <c r="J68" i="5" s="1"/>
  <c r="B93" i="5"/>
  <c r="L93" i="4"/>
  <c r="L93" i="5" s="1"/>
  <c r="B94" i="5"/>
  <c r="L96" i="4"/>
  <c r="L96" i="5" s="1"/>
  <c r="A96" i="5"/>
  <c r="L95" i="4"/>
  <c r="L95" i="5" s="1"/>
  <c r="A95" i="5"/>
  <c r="L94" i="4"/>
  <c r="L94" i="5" s="1"/>
  <c r="Q120" i="7" l="1"/>
  <c r="R120" i="7"/>
  <c r="P120" i="7"/>
  <c r="O63" i="1"/>
  <c r="AB63" i="1" s="1" a="1"/>
  <c r="AB63" i="1" s="1"/>
  <c r="Z10" i="1"/>
  <c r="O62" i="1"/>
  <c r="AB62" i="1" s="1" a="1"/>
  <c r="AB62" i="1" s="1"/>
  <c r="R62" i="1"/>
  <c r="R61" i="1"/>
  <c r="L10" i="4" a="1"/>
  <c r="L10" i="4" s="1"/>
  <c r="J45" i="5"/>
  <c r="B96" i="5"/>
  <c r="B95" i="5"/>
  <c r="S10" i="4" l="1"/>
  <c r="T10" i="4"/>
  <c r="U120" i="7"/>
  <c r="P10" i="4"/>
  <c r="R10" i="4"/>
  <c r="Q10" i="4"/>
  <c r="R63" i="1"/>
  <c r="O64" i="1"/>
  <c r="AB64" i="1" s="1" a="1"/>
  <c r="AB64" i="1" s="1"/>
  <c r="Z11" i="1"/>
  <c r="O10" i="4" a="1"/>
  <c r="O10" i="4" s="1"/>
  <c r="N10" i="4" a="1"/>
  <c r="N10" i="4" s="1"/>
  <c r="A82" i="1"/>
  <c r="B82" i="1" s="1"/>
  <c r="A81" i="1"/>
  <c r="A80" i="1"/>
  <c r="A79" i="1"/>
  <c r="A78" i="1"/>
  <c r="A77" i="1"/>
  <c r="A76" i="1"/>
  <c r="B76" i="1" s="1"/>
  <c r="A75" i="1"/>
  <c r="B75" i="1" s="1"/>
  <c r="A74" i="1"/>
  <c r="A73" i="1"/>
  <c r="A72" i="1"/>
  <c r="B72" i="1" s="1"/>
  <c r="A71" i="1"/>
  <c r="A70" i="1"/>
  <c r="A69" i="1"/>
  <c r="A68" i="1"/>
  <c r="A67" i="1"/>
  <c r="B67" i="1" s="1"/>
  <c r="A66" i="1"/>
  <c r="B66" i="1" s="1"/>
  <c r="A65" i="1"/>
  <c r="A64" i="1"/>
  <c r="B64" i="1" s="1"/>
  <c r="A63" i="1"/>
  <c r="A62" i="1"/>
  <c r="B62" i="1" s="1"/>
  <c r="B66" i="5" s="1"/>
  <c r="P61" i="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A61" i="1"/>
  <c r="T60" i="1"/>
  <c r="S60" i="1"/>
  <c r="P60" i="1"/>
  <c r="O60" i="1"/>
  <c r="O65" i="1" l="1"/>
  <c r="AB65" i="1" s="1" a="1"/>
  <c r="AB65" i="1" s="1"/>
  <c r="Q121" i="7"/>
  <c r="R121" i="7"/>
  <c r="P121" i="7"/>
  <c r="Z12" i="1"/>
  <c r="R65" i="1"/>
  <c r="U64" i="1"/>
  <c r="Y64" i="1"/>
  <c r="V64" i="1"/>
  <c r="W64" i="1"/>
  <c r="X64" i="1"/>
  <c r="X63" i="1"/>
  <c r="U63" i="1"/>
  <c r="Y63" i="1"/>
  <c r="V63" i="1"/>
  <c r="W63" i="1"/>
  <c r="W62" i="1"/>
  <c r="X62" i="1"/>
  <c r="U62" i="1"/>
  <c r="Y62" i="1"/>
  <c r="V62" i="1"/>
  <c r="B63" i="1"/>
  <c r="B67" i="5" s="1"/>
  <c r="B71" i="1"/>
  <c r="B76" i="5" s="1"/>
  <c r="B70" i="1"/>
  <c r="B61" i="1"/>
  <c r="B65" i="1"/>
  <c r="B68" i="1"/>
  <c r="B69" i="1"/>
  <c r="B79" i="1"/>
  <c r="B81" i="1"/>
  <c r="B78" i="1"/>
  <c r="B80" i="1"/>
  <c r="B73" i="1"/>
  <c r="B74" i="1"/>
  <c r="B77" i="1"/>
  <c r="U121" i="7" l="1"/>
  <c r="Z13" i="1"/>
  <c r="R64" i="1"/>
  <c r="L11" i="4" a="1"/>
  <c r="L11" i="4" s="1"/>
  <c r="O66" i="1"/>
  <c r="AB66" i="1" s="1" a="1"/>
  <c r="AB66" i="1" s="1"/>
  <c r="Z63" i="1"/>
  <c r="Z62" i="1"/>
  <c r="Z64" i="1"/>
  <c r="R66" i="9"/>
  <c r="U25" i="7"/>
  <c r="O26" i="7"/>
  <c r="O27" i="7"/>
  <c r="O28" i="7"/>
  <c r="U31" i="7"/>
  <c r="L44" i="4"/>
  <c r="M45" i="4"/>
  <c r="K10" i="16"/>
  <c r="K11" i="16"/>
  <c r="K12" i="16"/>
  <c r="K13" i="16"/>
  <c r="K14" i="16"/>
  <c r="K15" i="16"/>
  <c r="K16" i="16"/>
  <c r="K17" i="16"/>
  <c r="K18" i="16"/>
  <c r="K19" i="16"/>
  <c r="K9" i="16"/>
  <c r="B53" i="15"/>
  <c r="J41" i="15"/>
  <c r="A5" i="15"/>
  <c r="J20" i="16"/>
  <c r="Q8" i="16"/>
  <c r="Q24" i="16" s="1"/>
  <c r="D35" i="15"/>
  <c r="D52" i="15" s="1"/>
  <c r="D26" i="15"/>
  <c r="D43" i="15" s="1"/>
  <c r="D27" i="15"/>
  <c r="D44" i="15" s="1"/>
  <c r="D28" i="15"/>
  <c r="D45" i="15" s="1"/>
  <c r="D29" i="15"/>
  <c r="D46" i="15" s="1"/>
  <c r="D30" i="15"/>
  <c r="D47" i="15" s="1"/>
  <c r="D31" i="15"/>
  <c r="D48" i="15" s="1"/>
  <c r="D32" i="15"/>
  <c r="D49" i="15" s="1"/>
  <c r="D33" i="15"/>
  <c r="D50" i="15" s="1"/>
  <c r="D34" i="15"/>
  <c r="D51" i="15" s="1"/>
  <c r="D25" i="15"/>
  <c r="D42" i="15" s="1"/>
  <c r="E71" i="7"/>
  <c r="E76" i="7" s="1"/>
  <c r="E81" i="7" s="1"/>
  <c r="E70" i="7"/>
  <c r="E75" i="7" s="1"/>
  <c r="E69" i="7"/>
  <c r="E74" i="7" s="1"/>
  <c r="E79" i="7" s="1"/>
  <c r="A5" i="4"/>
  <c r="S11" i="4" l="1"/>
  <c r="T11" i="4"/>
  <c r="P11" i="4"/>
  <c r="Q11" i="4"/>
  <c r="R11" i="4"/>
  <c r="R66" i="1"/>
  <c r="O11" i="4" a="1"/>
  <c r="O11" i="4" s="1"/>
  <c r="O67" i="1"/>
  <c r="AB67" i="1" s="1" a="1"/>
  <c r="AB67" i="1" s="1"/>
  <c r="M68" i="4"/>
  <c r="M45" i="5"/>
  <c r="L67" i="4"/>
  <c r="L67" i="5" s="1"/>
  <c r="L44" i="5"/>
  <c r="J74" i="7"/>
  <c r="H74" i="7"/>
  <c r="I74" i="7"/>
  <c r="F74" i="7"/>
  <c r="G74" i="7"/>
  <c r="E80" i="7"/>
  <c r="A87" i="4"/>
  <c r="A87" i="5" s="1"/>
  <c r="E57" i="7"/>
  <c r="V67" i="1" l="1"/>
  <c r="E59" i="7"/>
  <c r="E54" i="7"/>
  <c r="E53" i="7"/>
  <c r="E52" i="7"/>
  <c r="E56" i="7"/>
  <c r="E58" i="7"/>
  <c r="U67" i="1"/>
  <c r="L12" i="4" a="1"/>
  <c r="L12" i="4" s="1"/>
  <c r="R67" i="1"/>
  <c r="W67" i="1"/>
  <c r="Y67" i="1"/>
  <c r="Z15" i="1"/>
  <c r="X67" i="1"/>
  <c r="B87" i="5"/>
  <c r="A80" i="4"/>
  <c r="A80" i="5" s="1"/>
  <c r="A85" i="4"/>
  <c r="A85" i="5" s="1"/>
  <c r="E42" i="7"/>
  <c r="A84" i="4"/>
  <c r="A84" i="5" s="1"/>
  <c r="E37" i="7"/>
  <c r="C20" i="8"/>
  <c r="A79" i="4"/>
  <c r="A79" i="5" s="1"/>
  <c r="E41" i="7"/>
  <c r="A83" i="4"/>
  <c r="A83" i="5" s="1"/>
  <c r="E44" i="7"/>
  <c r="A86" i="4"/>
  <c r="A86" i="5" s="1"/>
  <c r="E39" i="7"/>
  <c r="C22" i="8"/>
  <c r="A81" i="4"/>
  <c r="A81" i="5" s="1"/>
  <c r="M68" i="5"/>
  <c r="M100" i="5" s="1"/>
  <c r="M77" i="4"/>
  <c r="M77" i="5" s="1"/>
  <c r="E43" i="7"/>
  <c r="E38" i="7"/>
  <c r="E11" i="7"/>
  <c r="P32" i="9"/>
  <c r="P33" i="9"/>
  <c r="P36" i="9"/>
  <c r="P37" i="9"/>
  <c r="P40" i="9"/>
  <c r="P41" i="9"/>
  <c r="P44" i="9"/>
  <c r="P45" i="9"/>
  <c r="P48" i="9"/>
  <c r="P49" i="9"/>
  <c r="O12" i="4" l="1" a="1"/>
  <c r="O12" i="4" s="1"/>
  <c r="S12" i="4"/>
  <c r="T12" i="4"/>
  <c r="Z67" i="1"/>
  <c r="Z16" i="1"/>
  <c r="O69" i="1"/>
  <c r="AB69" i="1" s="1" a="1"/>
  <c r="AB69" i="1" s="1"/>
  <c r="O68" i="1"/>
  <c r="AB68" i="1" s="1" a="1"/>
  <c r="AB68" i="1" s="1"/>
  <c r="B81" i="5"/>
  <c r="B86" i="5"/>
  <c r="B83" i="5"/>
  <c r="B79" i="5"/>
  <c r="B84" i="5"/>
  <c r="B85" i="5"/>
  <c r="B80" i="5"/>
  <c r="N11" i="4" a="1"/>
  <c r="N11" i="4" s="1"/>
  <c r="L79" i="4"/>
  <c r="L79" i="5" s="1"/>
  <c r="O52" i="7"/>
  <c r="O37" i="7"/>
  <c r="L117" i="4"/>
  <c r="L123" i="5" s="1"/>
  <c r="L119" i="4"/>
  <c r="L125" i="5" s="1"/>
  <c r="L81" i="4"/>
  <c r="L81" i="5" s="1"/>
  <c r="O54" i="7"/>
  <c r="O39" i="7"/>
  <c r="A62" i="16"/>
  <c r="A82" i="16" s="1"/>
  <c r="A106" i="16" s="1"/>
  <c r="H23" i="16"/>
  <c r="H46" i="16" s="1"/>
  <c r="H62" i="16" s="1"/>
  <c r="H82" i="16" s="1"/>
  <c r="H106" i="16" s="1"/>
  <c r="A58" i="16"/>
  <c r="B8" i="16"/>
  <c r="A5" i="16"/>
  <c r="F8" i="15"/>
  <c r="F24" i="15" s="1"/>
  <c r="F41" i="15" s="1"/>
  <c r="G8" i="15"/>
  <c r="G24" i="15" s="1"/>
  <c r="G41" i="15" s="1"/>
  <c r="H8" i="15"/>
  <c r="H24" i="15" s="1"/>
  <c r="H41" i="15" s="1"/>
  <c r="I8" i="15"/>
  <c r="I24" i="15" s="1"/>
  <c r="I41" i="15" s="1"/>
  <c r="E8" i="15"/>
  <c r="E24" i="15" s="1"/>
  <c r="E41" i="15" s="1"/>
  <c r="A24" i="15"/>
  <c r="A41" i="15" s="1"/>
  <c r="A57" i="15" s="1"/>
  <c r="A71" i="15" s="1"/>
  <c r="B24" i="15"/>
  <c r="B41" i="15" s="1"/>
  <c r="B57" i="15" s="1"/>
  <c r="B71" i="15" s="1"/>
  <c r="C24" i="15"/>
  <c r="C41" i="15" s="1"/>
  <c r="C57" i="15" s="1"/>
  <c r="C71" i="15" s="1"/>
  <c r="D24" i="15"/>
  <c r="D41" i="15" s="1"/>
  <c r="D57" i="15" s="1"/>
  <c r="A5" i="9"/>
  <c r="A5" i="7"/>
  <c r="A5" i="5"/>
  <c r="A5" i="8"/>
  <c r="W69" i="1" l="1"/>
  <c r="N12" i="4" a="1"/>
  <c r="N12" i="4" s="1"/>
  <c r="Y69" i="1"/>
  <c r="V69" i="1"/>
  <c r="U69" i="1"/>
  <c r="Z17" i="1"/>
  <c r="R68" i="1"/>
  <c r="L13" i="4" a="1"/>
  <c r="L13" i="4" s="1"/>
  <c r="X69" i="1"/>
  <c r="O70" i="1"/>
  <c r="AB70" i="1" s="1" a="1"/>
  <c r="AB70" i="1" s="1"/>
  <c r="R69" i="1"/>
  <c r="A35" i="15"/>
  <c r="A34" i="15"/>
  <c r="A51" i="15" s="1"/>
  <c r="A33" i="15"/>
  <c r="A17" i="16" s="1"/>
  <c r="J17" i="16" s="1"/>
  <c r="A32" i="15"/>
  <c r="A49" i="15" s="1"/>
  <c r="A31" i="15"/>
  <c r="A30" i="15"/>
  <c r="A14" i="16" s="1"/>
  <c r="J14" i="16" s="1"/>
  <c r="A29" i="15"/>
  <c r="A28" i="15"/>
  <c r="A45" i="15" s="1"/>
  <c r="A27" i="15"/>
  <c r="A11" i="16" s="1"/>
  <c r="J11" i="16" s="1"/>
  <c r="C35" i="15"/>
  <c r="C52" i="15" s="1"/>
  <c r="C32" i="15"/>
  <c r="C49" i="15" s="1"/>
  <c r="C30" i="15"/>
  <c r="C47" i="15" s="1"/>
  <c r="C28" i="15"/>
  <c r="C45" i="15" s="1"/>
  <c r="C34" i="15"/>
  <c r="C51" i="15" s="1"/>
  <c r="C33" i="15"/>
  <c r="C50" i="15" s="1"/>
  <c r="C31" i="15"/>
  <c r="C48" i="15" s="1"/>
  <c r="C29" i="15"/>
  <c r="C46" i="15" s="1"/>
  <c r="C27" i="15"/>
  <c r="C44" i="15" s="1"/>
  <c r="C25" i="15"/>
  <c r="C42" i="15" s="1"/>
  <c r="I20" i="15"/>
  <c r="J13" i="15"/>
  <c r="J17" i="15"/>
  <c r="J19" i="15"/>
  <c r="E20" i="15"/>
  <c r="J9" i="15"/>
  <c r="F20" i="15"/>
  <c r="J10" i="15"/>
  <c r="J14" i="15"/>
  <c r="G20" i="15"/>
  <c r="J11" i="15"/>
  <c r="J15" i="15"/>
  <c r="J18" i="15"/>
  <c r="H20" i="15"/>
  <c r="J12" i="15"/>
  <c r="J16" i="15"/>
  <c r="A19" i="16"/>
  <c r="J19" i="16" s="1"/>
  <c r="A52" i="15"/>
  <c r="A15" i="16"/>
  <c r="J15" i="16" s="1"/>
  <c r="A48" i="15"/>
  <c r="A13" i="16"/>
  <c r="J13" i="16" s="1"/>
  <c r="A46" i="15"/>
  <c r="A47" i="15"/>
  <c r="D8" i="16"/>
  <c r="M8" i="16" s="1"/>
  <c r="M24" i="16" s="1"/>
  <c r="C8" i="16"/>
  <c r="L8" i="16" s="1"/>
  <c r="L24" i="16" s="1"/>
  <c r="G8" i="16"/>
  <c r="E5" i="15"/>
  <c r="I5" i="15"/>
  <c r="A26" i="15"/>
  <c r="B23" i="16"/>
  <c r="B46" i="16" s="1"/>
  <c r="B62" i="16" s="1"/>
  <c r="B82" i="16" s="1"/>
  <c r="B106" i="16" s="1"/>
  <c r="K8" i="16"/>
  <c r="K24" i="16" s="1"/>
  <c r="E8" i="16"/>
  <c r="F5" i="15"/>
  <c r="G5" i="15"/>
  <c r="A25" i="15"/>
  <c r="A42" i="15" s="1"/>
  <c r="H5" i="15"/>
  <c r="A23" i="8"/>
  <c r="C26" i="15"/>
  <c r="C43" i="15" s="1"/>
  <c r="F8" i="16"/>
  <c r="A44" i="15" l="1"/>
  <c r="T13" i="4"/>
  <c r="S13" i="4"/>
  <c r="A16" i="16"/>
  <c r="J16" i="16" s="1"/>
  <c r="A50" i="15"/>
  <c r="A18" i="16"/>
  <c r="J18" i="16" s="1"/>
  <c r="A57" i="16"/>
  <c r="E55" i="7"/>
  <c r="A12" i="16"/>
  <c r="J12" i="16" s="1"/>
  <c r="Z69" i="1"/>
  <c r="R70" i="1"/>
  <c r="N13" i="4" a="1"/>
  <c r="N13" i="4" s="1"/>
  <c r="O13" i="4" a="1"/>
  <c r="O13" i="4" s="1"/>
  <c r="O71" i="1"/>
  <c r="AB71" i="1" s="1" a="1"/>
  <c r="AB71" i="1" s="1"/>
  <c r="A54" i="16"/>
  <c r="J20" i="15"/>
  <c r="A82" i="4"/>
  <c r="A82" i="5" s="1"/>
  <c r="A56" i="16"/>
  <c r="A53" i="16"/>
  <c r="A51" i="16"/>
  <c r="A52" i="16"/>
  <c r="C23" i="16"/>
  <c r="C46" i="16" s="1"/>
  <c r="C62" i="16" s="1"/>
  <c r="C82" i="16" s="1"/>
  <c r="C106" i="16" s="1"/>
  <c r="D23" i="16"/>
  <c r="D46" i="16" s="1"/>
  <c r="D62" i="16" s="1"/>
  <c r="D82" i="16" s="1"/>
  <c r="D106" i="16" s="1"/>
  <c r="A55" i="16"/>
  <c r="A10" i="16"/>
  <c r="A43" i="15"/>
  <c r="A49" i="16"/>
  <c r="E40" i="7"/>
  <c r="F23" i="16"/>
  <c r="F46" i="16" s="1"/>
  <c r="F62" i="16" s="1"/>
  <c r="F82" i="16" s="1"/>
  <c r="F106" i="16" s="1"/>
  <c r="O8" i="16"/>
  <c r="O24" i="16" s="1"/>
  <c r="N8" i="16"/>
  <c r="N24" i="16" s="1"/>
  <c r="E23" i="16"/>
  <c r="E46" i="16" s="1"/>
  <c r="E62" i="16" s="1"/>
  <c r="E82" i="16" s="1"/>
  <c r="E106" i="16" s="1"/>
  <c r="G23" i="16"/>
  <c r="G46" i="16" s="1"/>
  <c r="G62" i="16" s="1"/>
  <c r="G82" i="16" s="1"/>
  <c r="G106" i="16" s="1"/>
  <c r="P8" i="16"/>
  <c r="P24" i="16" s="1"/>
  <c r="A50" i="16" l="1"/>
  <c r="R71" i="1"/>
  <c r="V71" i="1"/>
  <c r="B82" i="5"/>
  <c r="J10" i="16"/>
  <c r="A48" i="16"/>
  <c r="Z20" i="1" l="1"/>
  <c r="R72" i="1"/>
  <c r="O72" i="1"/>
  <c r="AB72" i="1" s="1" a="1"/>
  <c r="AB72" i="1" s="1"/>
  <c r="R124" i="7" l="1"/>
  <c r="Q124" i="7"/>
  <c r="P124" i="7"/>
  <c r="R73" i="1"/>
  <c r="O73" i="1"/>
  <c r="AB73" i="1" s="1" a="1"/>
  <c r="AB73" i="1" s="1"/>
  <c r="U72" i="1"/>
  <c r="Y72" i="1"/>
  <c r="X72" i="1"/>
  <c r="W72" i="1"/>
  <c r="V72" i="1"/>
  <c r="Z21" i="1"/>
  <c r="O75" i="1"/>
  <c r="AB75" i="1" s="1" a="1"/>
  <c r="AB75" i="1" s="1"/>
  <c r="U124" i="7" l="1"/>
  <c r="Z23" i="1"/>
  <c r="O74" i="1"/>
  <c r="AB74" i="1" s="1" a="1"/>
  <c r="AB74" i="1" s="1"/>
  <c r="R74" i="1"/>
  <c r="X73" i="1"/>
  <c r="U73" i="1"/>
  <c r="W73" i="1"/>
  <c r="V73" i="1"/>
  <c r="Y73" i="1"/>
  <c r="Z72" i="1"/>
  <c r="Z22" i="1"/>
  <c r="V75" i="1"/>
  <c r="W75" i="1"/>
  <c r="U75" i="1"/>
  <c r="Y75" i="1"/>
  <c r="X75" i="1"/>
  <c r="R75" i="1"/>
  <c r="V65" i="1"/>
  <c r="W65" i="1"/>
  <c r="X65" i="1"/>
  <c r="U65" i="1"/>
  <c r="Y65" i="1"/>
  <c r="U68" i="1"/>
  <c r="Y68" i="1"/>
  <c r="V68" i="1"/>
  <c r="W68" i="1"/>
  <c r="X68" i="1"/>
  <c r="R76" i="1" l="1"/>
  <c r="O76" i="1"/>
  <c r="AB76" i="1" s="1" a="1"/>
  <c r="AB76" i="1" s="1"/>
  <c r="Y76" i="1" s="1"/>
  <c r="Z24" i="1"/>
  <c r="O77" i="1"/>
  <c r="AB77" i="1" s="1" a="1"/>
  <c r="AB77" i="1" s="1"/>
  <c r="W74" i="1"/>
  <c r="Y74" i="1"/>
  <c r="V74" i="1"/>
  <c r="X74" i="1"/>
  <c r="U74" i="1"/>
  <c r="Z73" i="1"/>
  <c r="Z75" i="1"/>
  <c r="Z68" i="1"/>
  <c r="Z65" i="1"/>
  <c r="V76" i="1" l="1"/>
  <c r="W77" i="1"/>
  <c r="X76" i="1"/>
  <c r="W76" i="1"/>
  <c r="U76" i="1"/>
  <c r="U77" i="1"/>
  <c r="V77" i="1"/>
  <c r="Y77" i="1"/>
  <c r="R77" i="1"/>
  <c r="Z25" i="1"/>
  <c r="X77" i="1"/>
  <c r="O78" i="1"/>
  <c r="AB78" i="1" s="1" a="1"/>
  <c r="AB78" i="1" s="1"/>
  <c r="Z74" i="1"/>
  <c r="Z76" i="1" l="1"/>
  <c r="V78" i="1"/>
  <c r="Z77" i="1"/>
  <c r="Z26" i="1"/>
  <c r="R78" i="1"/>
  <c r="X78" i="1"/>
  <c r="U78" i="1"/>
  <c r="Y78" i="1"/>
  <c r="W78" i="1"/>
  <c r="O79" i="1"/>
  <c r="AB79" i="1" s="1" a="1"/>
  <c r="AB79" i="1" s="1"/>
  <c r="C9" i="8"/>
  <c r="F8" i="4"/>
  <c r="F8" i="8" s="1"/>
  <c r="G8" i="4"/>
  <c r="G8" i="8" s="1"/>
  <c r="H8" i="4"/>
  <c r="H8" i="8" s="1"/>
  <c r="I8" i="4"/>
  <c r="E8" i="4"/>
  <c r="E8" i="8" s="1"/>
  <c r="Y79" i="1" l="1"/>
  <c r="Z78" i="1"/>
  <c r="Z27" i="1"/>
  <c r="V79" i="1"/>
  <c r="U79" i="1"/>
  <c r="R79" i="1"/>
  <c r="X79" i="1"/>
  <c r="W79" i="1"/>
  <c r="O80" i="1"/>
  <c r="AB80" i="1" s="1" a="1"/>
  <c r="AB80" i="1" s="1"/>
  <c r="W80" i="1" s="1"/>
  <c r="I8" i="8"/>
  <c r="D9" i="8"/>
  <c r="U80" i="1" l="1"/>
  <c r="Z28" i="1"/>
  <c r="R80" i="1"/>
  <c r="Y80" i="1"/>
  <c r="V80" i="1"/>
  <c r="Z79" i="1"/>
  <c r="X80" i="1"/>
  <c r="O81" i="1"/>
  <c r="AB81" i="1" s="1" a="1"/>
  <c r="AB81" i="1" s="1"/>
  <c r="R81" i="1"/>
  <c r="E9" i="8"/>
  <c r="Z80" i="1" l="1"/>
  <c r="X81" i="1"/>
  <c r="W81" i="1"/>
  <c r="V81" i="1"/>
  <c r="Y81" i="1"/>
  <c r="U81" i="1"/>
  <c r="Z29" i="1"/>
  <c r="O82" i="1"/>
  <c r="AB82" i="1" s="1" a="1"/>
  <c r="AB82" i="1" s="1"/>
  <c r="W82" i="1" s="1"/>
  <c r="F9" i="8"/>
  <c r="Z81" i="1" l="1"/>
  <c r="V82" i="1"/>
  <c r="Z30" i="1"/>
  <c r="X82" i="1"/>
  <c r="U82" i="1"/>
  <c r="Y82" i="1"/>
  <c r="R82" i="1"/>
  <c r="G9" i="8"/>
  <c r="R83" i="1" l="1"/>
  <c r="O83" i="1"/>
  <c r="AB83" i="1" s="1" a="1"/>
  <c r="AB83" i="1" s="1"/>
  <c r="U83" i="1" s="1"/>
  <c r="Z31" i="1"/>
  <c r="Z82" i="1"/>
  <c r="O84" i="1"/>
  <c r="AB84" i="1" s="1" a="1"/>
  <c r="AB84" i="1" s="1"/>
  <c r="H9" i="8"/>
  <c r="Y83" i="1" l="1"/>
  <c r="W83" i="1"/>
  <c r="X83" i="1"/>
  <c r="V83" i="1"/>
  <c r="Z32" i="1"/>
  <c r="R84" i="1"/>
  <c r="O85" i="1"/>
  <c r="AB85" i="1" s="1" a="1"/>
  <c r="AB85" i="1" s="1"/>
  <c r="Y84" i="1"/>
  <c r="W84" i="1"/>
  <c r="U84" i="1"/>
  <c r="V84" i="1"/>
  <c r="X84" i="1"/>
  <c r="I9" i="8"/>
  <c r="I12" i="8" s="1"/>
  <c r="W85" i="1" l="1"/>
  <c r="Z83" i="1"/>
  <c r="Z33" i="1"/>
  <c r="R85" i="1"/>
  <c r="U85" i="1"/>
  <c r="Y85" i="1"/>
  <c r="V85" i="1"/>
  <c r="X85" i="1"/>
  <c r="O86" i="1"/>
  <c r="AB86" i="1" s="1" a="1"/>
  <c r="AB86" i="1" s="1"/>
  <c r="Y86" i="1" s="1"/>
  <c r="O87" i="1"/>
  <c r="AB87" i="1" s="1" a="1"/>
  <c r="AB87" i="1" s="1"/>
  <c r="Z84" i="1"/>
  <c r="J9" i="8"/>
  <c r="R86" i="1" l="1"/>
  <c r="W86" i="1"/>
  <c r="X86" i="1"/>
  <c r="Z34" i="1"/>
  <c r="Z85" i="1"/>
  <c r="U86" i="1"/>
  <c r="V86" i="1"/>
  <c r="K9" i="8"/>
  <c r="O88" i="1" l="1"/>
  <c r="AB88" i="1" s="1" a="1"/>
  <c r="AB88" i="1" s="1"/>
  <c r="Z86" i="1"/>
  <c r="R87" i="1"/>
  <c r="L9" i="8"/>
  <c r="R88" i="1" l="1"/>
  <c r="L14" i="4" a="1"/>
  <c r="L14" i="4" s="1"/>
  <c r="M9" i="8"/>
  <c r="S14" i="4" l="1"/>
  <c r="T14" i="4"/>
  <c r="Q14" i="4"/>
  <c r="P14" i="4"/>
  <c r="R14" i="4"/>
  <c r="O14" i="4" a="1"/>
  <c r="O14" i="4" s="1"/>
  <c r="N14" i="4" a="1"/>
  <c r="N14" i="4" s="1"/>
  <c r="L15" i="4" a="1"/>
  <c r="L15" i="4" s="1"/>
  <c r="N9" i="8"/>
  <c r="L16" i="4" l="1" a="1"/>
  <c r="L16" i="4" s="1"/>
  <c r="N16" i="4" s="1" a="1"/>
  <c r="N16" i="4" s="1"/>
  <c r="S15" i="4"/>
  <c r="T15" i="4"/>
  <c r="O15" i="4" a="1"/>
  <c r="O15" i="4" s="1"/>
  <c r="N15" i="4" a="1"/>
  <c r="N15" i="4" s="1"/>
  <c r="L17" i="4" l="1" a="1"/>
  <c r="L17" i="4" s="1"/>
  <c r="N17" i="4" s="1" a="1"/>
  <c r="N17" i="4" s="1"/>
  <c r="O16" i="4" a="1"/>
  <c r="O16" i="4" s="1"/>
  <c r="S16" i="4"/>
  <c r="T16" i="4"/>
  <c r="Q8" i="4"/>
  <c r="R8" i="4"/>
  <c r="S8" i="4"/>
  <c r="T8" i="4"/>
  <c r="P8" i="4"/>
  <c r="O17" i="4" l="1" a="1"/>
  <c r="O17" i="4" s="1"/>
  <c r="L18" i="4" a="1"/>
  <c r="L18" i="4" s="1"/>
  <c r="L19" i="4" s="1" a="1"/>
  <c r="L19" i="4" s="1"/>
  <c r="S17" i="4"/>
  <c r="T17" i="4"/>
  <c r="L8" i="8"/>
  <c r="R45" i="4"/>
  <c r="J8" i="8"/>
  <c r="P45" i="4"/>
  <c r="K8" i="8"/>
  <c r="Q45" i="4"/>
  <c r="M8" i="8"/>
  <c r="S45" i="4"/>
  <c r="N8" i="8"/>
  <c r="T45" i="4"/>
  <c r="T19" i="4" l="1"/>
  <c r="P19" i="4"/>
  <c r="Q19" i="4"/>
  <c r="R19" i="4"/>
  <c r="S19" i="4"/>
  <c r="O18" i="4" a="1"/>
  <c r="O18" i="4" s="1"/>
  <c r="N18" i="4" a="1"/>
  <c r="N18" i="4" s="1"/>
  <c r="S18" i="4"/>
  <c r="Q18" i="4"/>
  <c r="R18" i="4"/>
  <c r="T18" i="4"/>
  <c r="P18" i="4"/>
  <c r="L20" i="4" a="1"/>
  <c r="L20" i="4" s="1"/>
  <c r="N19" i="4" a="1"/>
  <c r="N19" i="4" s="1"/>
  <c r="O19" i="4" a="1"/>
  <c r="O19" i="4" s="1"/>
  <c r="S68" i="4"/>
  <c r="S68" i="5" s="1"/>
  <c r="S45" i="5"/>
  <c r="T68" i="4"/>
  <c r="T68" i="5" s="1"/>
  <c r="T45" i="5"/>
  <c r="Q68" i="4"/>
  <c r="Q68" i="5" s="1"/>
  <c r="Q45" i="5"/>
  <c r="R68" i="4"/>
  <c r="R68" i="5" s="1"/>
  <c r="R45" i="5"/>
  <c r="P68" i="4"/>
  <c r="P68" i="5" s="1"/>
  <c r="P45" i="5"/>
  <c r="S20" i="4" l="1"/>
  <c r="P20" i="4"/>
  <c r="T20" i="4"/>
  <c r="Q20" i="4"/>
  <c r="R20" i="4"/>
  <c r="M20" i="4"/>
  <c r="O20" i="4" a="1"/>
  <c r="O20" i="4" s="1"/>
  <c r="N20" i="4" a="1"/>
  <c r="N20" i="4" s="1"/>
  <c r="L21" i="4" a="1"/>
  <c r="L21" i="4" s="1"/>
  <c r="P21" i="4" l="1"/>
  <c r="R21" i="4"/>
  <c r="S21" i="4"/>
  <c r="Q21" i="4"/>
  <c r="T21" i="4"/>
  <c r="M21" i="4"/>
  <c r="O21" i="4" a="1"/>
  <c r="O21" i="4" s="1"/>
  <c r="N21" i="4" a="1"/>
  <c r="N21" i="4" s="1"/>
  <c r="L22" i="4" a="1"/>
  <c r="L22" i="4" s="1"/>
  <c r="E61" i="1"/>
  <c r="M129" i="5"/>
  <c r="P22" i="4" l="1"/>
  <c r="Q22" i="4"/>
  <c r="S22" i="4"/>
  <c r="T22" i="4"/>
  <c r="R22" i="4"/>
  <c r="M22" i="4"/>
  <c r="N22" i="4" a="1"/>
  <c r="N22" i="4" s="1"/>
  <c r="O22" i="4" a="1"/>
  <c r="O22" i="4" s="1"/>
  <c r="L23" i="4" a="1"/>
  <c r="L23" i="4" s="1"/>
  <c r="D61" i="1"/>
  <c r="M94" i="5"/>
  <c r="M87" i="5"/>
  <c r="M128" i="5"/>
  <c r="M85" i="5"/>
  <c r="M84" i="5"/>
  <c r="M123" i="5"/>
  <c r="M121" i="5"/>
  <c r="M82" i="5"/>
  <c r="M95" i="5"/>
  <c r="M127" i="5"/>
  <c r="M112" i="5"/>
  <c r="M131" i="5"/>
  <c r="M132" i="5"/>
  <c r="M97" i="5"/>
  <c r="M93" i="5"/>
  <c r="M86" i="5"/>
  <c r="M83" i="5"/>
  <c r="M124" i="5"/>
  <c r="M88" i="5"/>
  <c r="B47" i="1"/>
  <c r="M80" i="5"/>
  <c r="M81" i="5"/>
  <c r="M125" i="5"/>
  <c r="M130" i="5"/>
  <c r="M126" i="5"/>
  <c r="M79" i="5"/>
  <c r="M96" i="5"/>
  <c r="L24" i="4" l="1" a="1"/>
  <c r="L24" i="4" s="1"/>
  <c r="M24" i="4" s="1"/>
  <c r="S23" i="4"/>
  <c r="T23" i="4"/>
  <c r="P23" i="4"/>
  <c r="Q23" i="4"/>
  <c r="R23" i="4"/>
  <c r="N23" i="4" a="1"/>
  <c r="N23" i="4" s="1"/>
  <c r="O23" i="4" a="1"/>
  <c r="O23" i="4" s="1"/>
  <c r="M23" i="4"/>
  <c r="O24" i="4" l="1" a="1"/>
  <c r="O24" i="4" s="1"/>
  <c r="N24" i="4" a="1"/>
  <c r="N24" i="4" s="1"/>
  <c r="L25" i="4" a="1"/>
  <c r="L25" i="4" s="1"/>
  <c r="O25" i="4" s="1" a="1"/>
  <c r="O25" i="4" s="1"/>
  <c r="R24" i="4"/>
  <c r="P24" i="4"/>
  <c r="T24" i="4"/>
  <c r="Q24" i="4"/>
  <c r="S24" i="4"/>
  <c r="M25" i="4" l="1"/>
  <c r="N25" i="4" a="1"/>
  <c r="N25" i="4" s="1"/>
  <c r="P25" i="4"/>
  <c r="Q25" i="4"/>
  <c r="T25" i="4"/>
  <c r="R25" i="4"/>
  <c r="S25" i="4"/>
  <c r="G16" i="9"/>
  <c r="H19" i="9"/>
  <c r="K16" i="9"/>
  <c r="G20" i="9"/>
  <c r="I16" i="9"/>
  <c r="K20" i="9"/>
  <c r="J17" i="9"/>
  <c r="I17" i="9"/>
  <c r="H20" i="9"/>
  <c r="I19" i="9"/>
  <c r="K17" i="9"/>
  <c r="G17" i="9"/>
  <c r="J19" i="9"/>
  <c r="K19" i="9"/>
  <c r="J20" i="9"/>
  <c r="H16" i="9"/>
  <c r="I20" i="9"/>
  <c r="J16" i="9"/>
  <c r="G19" i="9"/>
  <c r="H17" i="9"/>
  <c r="Q39" i="7"/>
  <c r="S40" i="7"/>
  <c r="R41" i="7"/>
  <c r="Q40" i="7"/>
  <c r="P39" i="7"/>
  <c r="P40" i="7"/>
  <c r="R39" i="7"/>
  <c r="R40" i="7"/>
  <c r="T40" i="7" l="1"/>
  <c r="Q41" i="7"/>
  <c r="S39" i="7"/>
  <c r="P41" i="7"/>
  <c r="T39" i="7"/>
  <c r="T41" i="7"/>
  <c r="S41" i="7"/>
  <c r="Q8" i="5" l="1"/>
  <c r="Q8" i="7" s="1"/>
  <c r="Q119" i="7" s="1"/>
  <c r="R8" i="5"/>
  <c r="R8" i="7" s="1"/>
  <c r="R119" i="7" s="1"/>
  <c r="S8" i="5"/>
  <c r="S8" i="7" s="1"/>
  <c r="S119" i="7" s="1"/>
  <c r="T8" i="5"/>
  <c r="T8" i="7" s="1"/>
  <c r="T119" i="7" s="1"/>
  <c r="P8" i="5"/>
  <c r="P8" i="7" s="1"/>
  <c r="P119" i="7" s="1"/>
  <c r="F8" i="5"/>
  <c r="G8" i="5"/>
  <c r="H8" i="5"/>
  <c r="I8" i="5"/>
  <c r="E8" i="5"/>
  <c r="F8" i="7" s="1"/>
  <c r="R31" i="7" l="1"/>
  <c r="R25" i="7"/>
  <c r="Q31" i="7"/>
  <c r="Q25" i="7"/>
  <c r="S25" i="7"/>
  <c r="S31" i="7"/>
  <c r="P25" i="7"/>
  <c r="P31" i="7"/>
  <c r="T25" i="7"/>
  <c r="T31" i="7"/>
  <c r="K28" i="7" l="1"/>
  <c r="K23" i="7" l="1"/>
  <c r="K18" i="7"/>
  <c r="K86" i="7" l="1"/>
  <c r="C45" i="4" l="1"/>
  <c r="D45" i="4"/>
  <c r="E45" i="4"/>
  <c r="B45" i="4"/>
  <c r="B68" i="4" s="1"/>
  <c r="A45" i="4"/>
  <c r="D45" i="5" l="1"/>
  <c r="D68" i="4"/>
  <c r="D68" i="5" s="1"/>
  <c r="C68" i="4"/>
  <c r="C68" i="5" s="1"/>
  <c r="C45" i="5"/>
  <c r="A45" i="5"/>
  <c r="A68" i="4"/>
  <c r="A68" i="5" s="1"/>
  <c r="B68" i="5" s="1"/>
  <c r="E45" i="5"/>
  <c r="E68" i="4"/>
  <c r="E68" i="5" s="1"/>
  <c r="U51" i="7" l="1"/>
  <c r="K51" i="7"/>
  <c r="K10" i="7"/>
  <c r="K13" i="7"/>
  <c r="O8" i="5"/>
  <c r="D10" i="4"/>
  <c r="D10" i="5" l="1"/>
  <c r="A10" i="4"/>
  <c r="C10" i="4" s="1" a="1"/>
  <c r="C10" i="4" s="1"/>
  <c r="A10" i="5" l="1"/>
  <c r="B10" i="5" s="1"/>
  <c r="B10" i="4"/>
  <c r="B96" i="4" s="1"/>
  <c r="A24" i="16"/>
  <c r="C10" i="5"/>
  <c r="B95" i="4" l="1"/>
  <c r="B81" i="4"/>
  <c r="B85" i="4"/>
  <c r="B94" i="4"/>
  <c r="B82" i="4"/>
  <c r="B86" i="4"/>
  <c r="B93" i="4"/>
  <c r="B83" i="4"/>
  <c r="B87" i="4"/>
  <c r="B80" i="4"/>
  <c r="B84" i="4"/>
  <c r="B79" i="4"/>
  <c r="B24" i="16"/>
  <c r="A41" i="1"/>
  <c r="A54" i="1" s="1"/>
  <c r="K36" i="7" l="1"/>
  <c r="K67" i="7"/>
  <c r="U36" i="7" l="1"/>
  <c r="U22" i="7" l="1"/>
  <c r="U19" i="7"/>
  <c r="U16" i="7"/>
  <c r="U13" i="7"/>
  <c r="O61" i="1" l="1"/>
  <c r="S88" i="1" s="1" a="1"/>
  <c r="S88" i="1" s="1"/>
  <c r="U91" i="4"/>
  <c r="U91" i="5" s="1"/>
  <c r="J91" i="4"/>
  <c r="J91" i="5" s="1"/>
  <c r="F28" i="7"/>
  <c r="S61" i="1" l="1" a="1"/>
  <c r="S61" i="1" s="1"/>
  <c r="T65" i="1" a="1"/>
  <c r="T65" i="1" s="1"/>
  <c r="S65" i="1" a="1"/>
  <c r="S65" i="1" s="1"/>
  <c r="AB61" i="1" a="1"/>
  <c r="AB61" i="1" s="1"/>
  <c r="T61" i="1" a="1"/>
  <c r="T61" i="1" s="1"/>
  <c r="S81" i="1" a="1"/>
  <c r="S81" i="1" s="1"/>
  <c r="S87" i="1" a="1"/>
  <c r="S87" i="1" s="1"/>
  <c r="T78" i="1" a="1"/>
  <c r="T78" i="1" s="1"/>
  <c r="S82" i="1" a="1"/>
  <c r="S82" i="1" s="1"/>
  <c r="S76" i="1" a="1"/>
  <c r="S76" i="1" s="1"/>
  <c r="S84" i="1" a="1"/>
  <c r="S84" i="1" s="1"/>
  <c r="S71" i="1" a="1"/>
  <c r="S71" i="1" s="1"/>
  <c r="S63" i="1" a="1"/>
  <c r="S63" i="1" s="1"/>
  <c r="T81" i="1" a="1"/>
  <c r="T81" i="1" s="1"/>
  <c r="T64" i="1" a="1"/>
  <c r="T64" i="1" s="1"/>
  <c r="T80" i="1" a="1"/>
  <c r="T80" i="1" s="1"/>
  <c r="T66" i="1" a="1"/>
  <c r="T66" i="1" s="1"/>
  <c r="T82" i="1" a="1"/>
  <c r="T82" i="1" s="1"/>
  <c r="T68" i="1" a="1"/>
  <c r="T68" i="1" s="1"/>
  <c r="S86" i="1" a="1"/>
  <c r="S86" i="1" s="1"/>
  <c r="S70" i="1" a="1"/>
  <c r="S70" i="1" s="1"/>
  <c r="T62" i="1" a="1"/>
  <c r="T62" i="1" s="1"/>
  <c r="S64" i="1" a="1"/>
  <c r="S64" i="1" s="1"/>
  <c r="S77" i="1" a="1"/>
  <c r="S77" i="1" s="1"/>
  <c r="S83" i="1" a="1"/>
  <c r="S83" i="1" s="1"/>
  <c r="S75" i="1" a="1"/>
  <c r="S75" i="1" s="1"/>
  <c r="S85" i="1" a="1"/>
  <c r="S85" i="1" s="1"/>
  <c r="S80" i="1" a="1"/>
  <c r="S80" i="1" s="1"/>
  <c r="T77" i="1" a="1"/>
  <c r="T77" i="1" s="1"/>
  <c r="T76" i="1" a="1"/>
  <c r="T76" i="1" s="1"/>
  <c r="T79" i="1" a="1"/>
  <c r="T79" i="1" s="1"/>
  <c r="S74" i="1" a="1"/>
  <c r="S74" i="1" s="1"/>
  <c r="S62" i="1" a="1"/>
  <c r="S62" i="1" s="1"/>
  <c r="T87" i="1" a="1"/>
  <c r="T87" i="1" s="1"/>
  <c r="S69" i="1" a="1"/>
  <c r="S69" i="1" s="1"/>
  <c r="S67" i="1" a="1"/>
  <c r="S67" i="1" s="1"/>
  <c r="T85" i="1" a="1"/>
  <c r="T85" i="1" s="1"/>
  <c r="T70" i="1" a="1"/>
  <c r="T70" i="1" s="1"/>
  <c r="S73" i="1" a="1"/>
  <c r="S73" i="1" s="1"/>
  <c r="T73" i="1" a="1"/>
  <c r="T73" i="1" s="1"/>
  <c r="S72" i="1" a="1"/>
  <c r="S72" i="1" s="1"/>
  <c r="T75" i="1" a="1"/>
  <c r="T75" i="1" s="1"/>
  <c r="S78" i="1" a="1"/>
  <c r="S78" i="1" s="1"/>
  <c r="T74" i="1" a="1"/>
  <c r="T74" i="1" s="1"/>
  <c r="S66" i="1" a="1"/>
  <c r="S66" i="1" s="1"/>
  <c r="T63" i="1" a="1"/>
  <c r="T63" i="1" s="1"/>
  <c r="S68" i="1" a="1"/>
  <c r="S68" i="1" s="1"/>
  <c r="S79" i="1" a="1"/>
  <c r="S79" i="1" s="1"/>
  <c r="T71" i="1" a="1"/>
  <c r="T71" i="1" s="1"/>
  <c r="T84" i="1" a="1"/>
  <c r="T84" i="1" s="1"/>
  <c r="T67" i="1" a="1"/>
  <c r="T67" i="1" s="1"/>
  <c r="T83" i="1" a="1"/>
  <c r="T83" i="1" s="1"/>
  <c r="T69" i="1" a="1"/>
  <c r="T69" i="1" s="1"/>
  <c r="T86" i="1" a="1"/>
  <c r="T86" i="1" s="1"/>
  <c r="T72" i="1" a="1"/>
  <c r="T72" i="1" s="1"/>
  <c r="F23" i="7"/>
  <c r="F18" i="7"/>
  <c r="F51" i="7"/>
  <c r="F13" i="7"/>
  <c r="F10" i="7"/>
  <c r="F36" i="7"/>
  <c r="F67" i="7"/>
  <c r="F86" i="7" s="1"/>
  <c r="H94" i="7" s="1"/>
  <c r="H101" i="7" s="1"/>
  <c r="H113" i="7" l="1"/>
  <c r="H106" i="7"/>
  <c r="S8" i="1"/>
  <c r="H13" i="8"/>
  <c r="E12" i="8"/>
  <c r="G12" i="8"/>
  <c r="U71" i="1" l="1"/>
  <c r="E14" i="8"/>
  <c r="H40" i="5"/>
  <c r="H41" i="5"/>
  <c r="F12" i="8"/>
  <c r="H12" i="8"/>
  <c r="D12" i="8"/>
  <c r="C12" i="8"/>
  <c r="N8" i="5"/>
  <c r="L8" i="5"/>
  <c r="O11" i="5"/>
  <c r="O12" i="5"/>
  <c r="O13" i="5"/>
  <c r="O8" i="4"/>
  <c r="O45" i="4" s="1"/>
  <c r="N8" i="4"/>
  <c r="N45" i="4" s="1"/>
  <c r="L45" i="4"/>
  <c r="E77" i="4"/>
  <c r="X70" i="1" l="1"/>
  <c r="Y70" i="1"/>
  <c r="D15" i="8"/>
  <c r="E15" i="8" s="1"/>
  <c r="F15" i="8" s="1"/>
  <c r="G15" i="8" s="1"/>
  <c r="H15" i="8" s="1"/>
  <c r="I15" i="8" s="1"/>
  <c r="G13" i="8"/>
  <c r="F14" i="8"/>
  <c r="G14" i="8" s="1"/>
  <c r="H14" i="8" s="1"/>
  <c r="I14" i="8" s="1"/>
  <c r="O10" i="5"/>
  <c r="O68" i="4"/>
  <c r="O45" i="5"/>
  <c r="L68" i="4"/>
  <c r="L45" i="5"/>
  <c r="N68" i="4"/>
  <c r="N45" i="5"/>
  <c r="N102" i="4"/>
  <c r="N102" i="5" s="1"/>
  <c r="N10" i="5"/>
  <c r="E91" i="4"/>
  <c r="E77" i="5"/>
  <c r="O105" i="4"/>
  <c r="O105" i="5" s="1"/>
  <c r="O104" i="4"/>
  <c r="O104" i="5" s="1"/>
  <c r="O103" i="4"/>
  <c r="O103" i="5" s="1"/>
  <c r="C14" i="8"/>
  <c r="O102" i="4"/>
  <c r="O102" i="5" s="1"/>
  <c r="L11" i="5"/>
  <c r="M11" i="5" s="1"/>
  <c r="L12" i="5"/>
  <c r="M12" i="5" s="1"/>
  <c r="L13" i="5"/>
  <c r="M13" i="5" s="1"/>
  <c r="L10" i="5"/>
  <c r="M10" i="5" s="1"/>
  <c r="P8" i="1"/>
  <c r="T8" i="1"/>
  <c r="O8" i="1"/>
  <c r="V70" i="1" l="1"/>
  <c r="Q125" i="7"/>
  <c r="Q15" i="4"/>
  <c r="W70" i="1"/>
  <c r="G40" i="5"/>
  <c r="G41" i="5"/>
  <c r="F13" i="8"/>
  <c r="B14" i="8"/>
  <c r="L77" i="5"/>
  <c r="L68" i="5"/>
  <c r="L100" i="5" s="1"/>
  <c r="N68" i="5"/>
  <c r="N100" i="5" s="1"/>
  <c r="N77" i="4"/>
  <c r="N77" i="5" s="1"/>
  <c r="O77" i="4"/>
  <c r="O77" i="5" s="1"/>
  <c r="O68" i="5"/>
  <c r="O100" i="5" s="1"/>
  <c r="E100" i="4"/>
  <c r="E91" i="5"/>
  <c r="M12" i="4"/>
  <c r="M104" i="4" s="1"/>
  <c r="L104" i="4"/>
  <c r="M13" i="4"/>
  <c r="M105" i="4" s="1"/>
  <c r="L105" i="4"/>
  <c r="M10" i="4"/>
  <c r="L102" i="4"/>
  <c r="M11" i="4"/>
  <c r="M103" i="4" s="1"/>
  <c r="L103" i="4"/>
  <c r="G8" i="7"/>
  <c r="G10" i="7" s="1"/>
  <c r="F45" i="4"/>
  <c r="H41" i="1"/>
  <c r="F77" i="4"/>
  <c r="T103" i="4" l="1"/>
  <c r="P103" i="4"/>
  <c r="S103" i="4"/>
  <c r="R103" i="4"/>
  <c r="Q103" i="4"/>
  <c r="P125" i="7"/>
  <c r="P15" i="4"/>
  <c r="Z18" i="1"/>
  <c r="U70" i="1"/>
  <c r="E13" i="8"/>
  <c r="D13" i="8" s="1"/>
  <c r="C13" i="8" s="1"/>
  <c r="F40" i="5"/>
  <c r="F41" i="5"/>
  <c r="E81" i="15"/>
  <c r="F96" i="7" s="1"/>
  <c r="L102" i="5"/>
  <c r="M102" i="5" s="1"/>
  <c r="L103" i="5"/>
  <c r="M103" i="5" s="1"/>
  <c r="L105" i="5"/>
  <c r="M105" i="5" s="1"/>
  <c r="L104" i="5"/>
  <c r="M104" i="5" s="1"/>
  <c r="N103" i="4"/>
  <c r="N103" i="5" s="1"/>
  <c r="N11" i="5"/>
  <c r="N105" i="4"/>
  <c r="N105" i="5" s="1"/>
  <c r="N13" i="5"/>
  <c r="N104" i="4"/>
  <c r="N104" i="5" s="1"/>
  <c r="N12" i="5"/>
  <c r="M81" i="4"/>
  <c r="M96" i="4"/>
  <c r="F45" i="5"/>
  <c r="F68" i="4"/>
  <c r="F68" i="5" s="1"/>
  <c r="F91" i="4"/>
  <c r="F77" i="5"/>
  <c r="E115" i="4"/>
  <c r="E100" i="5"/>
  <c r="M80" i="4"/>
  <c r="B32" i="15"/>
  <c r="B18" i="16"/>
  <c r="B56" i="16" s="1"/>
  <c r="M85" i="4"/>
  <c r="B17" i="16"/>
  <c r="B55" i="16" s="1"/>
  <c r="B12" i="16"/>
  <c r="B50" i="16" s="1"/>
  <c r="B26" i="15"/>
  <c r="M95" i="4"/>
  <c r="B13" i="16"/>
  <c r="B51" i="16" s="1"/>
  <c r="B19" i="16"/>
  <c r="B57" i="16" s="1"/>
  <c r="B14" i="16"/>
  <c r="B52" i="16" s="1"/>
  <c r="B27" i="15"/>
  <c r="B30" i="15"/>
  <c r="B25" i="15"/>
  <c r="A23" i="15" s="1"/>
  <c r="M79" i="4"/>
  <c r="M84" i="4"/>
  <c r="M94" i="4"/>
  <c r="B9" i="16"/>
  <c r="B15" i="16"/>
  <c r="B53" i="16" s="1"/>
  <c r="B10" i="16"/>
  <c r="B31" i="15"/>
  <c r="B34" i="15"/>
  <c r="B29" i="15"/>
  <c r="M82" i="4"/>
  <c r="M83" i="4"/>
  <c r="M93" i="4"/>
  <c r="B16" i="16"/>
  <c r="B54" i="16" s="1"/>
  <c r="B11" i="16"/>
  <c r="B35" i="15"/>
  <c r="B36" i="15" s="1"/>
  <c r="B28" i="15"/>
  <c r="B33" i="15"/>
  <c r="M86" i="4"/>
  <c r="M87" i="4"/>
  <c r="M122" i="4"/>
  <c r="M118" i="4"/>
  <c r="M121" i="4"/>
  <c r="M119" i="4"/>
  <c r="M125" i="4"/>
  <c r="M117" i="4"/>
  <c r="M128" i="4" s="1"/>
  <c r="M120" i="4"/>
  <c r="M102" i="4"/>
  <c r="M124" i="4"/>
  <c r="M123" i="4"/>
  <c r="G51" i="7"/>
  <c r="G28" i="7"/>
  <c r="G36" i="7"/>
  <c r="G23" i="7"/>
  <c r="H8" i="7"/>
  <c r="H10" i="7" s="1"/>
  <c r="G67" i="7"/>
  <c r="G86" i="7" s="1"/>
  <c r="I94" i="7" s="1"/>
  <c r="I101" i="7" s="1"/>
  <c r="G13" i="7"/>
  <c r="G18" i="7"/>
  <c r="G45" i="4"/>
  <c r="I41" i="1"/>
  <c r="G77" i="4"/>
  <c r="Z70" i="1" l="1"/>
  <c r="E41" i="5"/>
  <c r="J41" i="5" s="1"/>
  <c r="E40" i="5"/>
  <c r="J40" i="5" s="1"/>
  <c r="I113" i="7"/>
  <c r="I106" i="7"/>
  <c r="B13" i="8"/>
  <c r="E30" i="15" s="1"/>
  <c r="B49" i="16"/>
  <c r="K27" i="16"/>
  <c r="B48" i="16"/>
  <c r="K26" i="16"/>
  <c r="B47" i="16"/>
  <c r="K25" i="16"/>
  <c r="G91" i="4"/>
  <c r="G77" i="5"/>
  <c r="G68" i="4"/>
  <c r="G68" i="5" s="1"/>
  <c r="G45" i="5"/>
  <c r="F100" i="4"/>
  <c r="F91" i="5"/>
  <c r="B20" i="16"/>
  <c r="B58" i="16" s="1"/>
  <c r="B102" i="16" s="1"/>
  <c r="H36" i="7"/>
  <c r="H23" i="7"/>
  <c r="H13" i="7"/>
  <c r="H51" i="7"/>
  <c r="H18" i="7"/>
  <c r="H67" i="7"/>
  <c r="H86" i="7" s="1"/>
  <c r="J94" i="7" s="1"/>
  <c r="J101" i="7" s="1"/>
  <c r="I8" i="7"/>
  <c r="H28" i="7"/>
  <c r="H45" i="4"/>
  <c r="J41" i="1"/>
  <c r="H77" i="4"/>
  <c r="I23" i="7" l="1"/>
  <c r="K113" i="7"/>
  <c r="J113" i="7"/>
  <c r="J106" i="7"/>
  <c r="F31" i="15"/>
  <c r="D15" i="16" s="1"/>
  <c r="H27" i="15"/>
  <c r="F11" i="16" s="1"/>
  <c r="E34" i="15"/>
  <c r="E51" i="15" s="1"/>
  <c r="I28" i="15"/>
  <c r="I45" i="15" s="1"/>
  <c r="P12" i="16" s="1"/>
  <c r="F27" i="15"/>
  <c r="D11" i="16" s="1"/>
  <c r="H26" i="15"/>
  <c r="K103" i="7" s="1"/>
  <c r="I27" i="15"/>
  <c r="I44" i="15" s="1"/>
  <c r="P11" i="16" s="1"/>
  <c r="G27" i="15"/>
  <c r="G44" i="15" s="1"/>
  <c r="N11" i="16" s="1"/>
  <c r="F29" i="15"/>
  <c r="F46" i="15" s="1"/>
  <c r="M13" i="16" s="1"/>
  <c r="G25" i="15"/>
  <c r="E9" i="16" s="1"/>
  <c r="H35" i="15"/>
  <c r="F19" i="16" s="1"/>
  <c r="F35" i="15"/>
  <c r="F52" i="15" s="1"/>
  <c r="I30" i="15"/>
  <c r="I47" i="15" s="1"/>
  <c r="P14" i="16" s="1"/>
  <c r="G30" i="15"/>
  <c r="E14" i="16" s="1"/>
  <c r="G35" i="15"/>
  <c r="E19" i="16" s="1"/>
  <c r="H25" i="15"/>
  <c r="F9" i="16" s="1"/>
  <c r="E32" i="15"/>
  <c r="C16" i="16" s="1"/>
  <c r="E27" i="15"/>
  <c r="E44" i="15" s="1"/>
  <c r="E29" i="15"/>
  <c r="C13" i="16" s="1"/>
  <c r="H29" i="15"/>
  <c r="H46" i="15" s="1"/>
  <c r="O13" i="16" s="1"/>
  <c r="G28" i="15"/>
  <c r="E12" i="16" s="1"/>
  <c r="G26" i="15"/>
  <c r="J103" i="7" s="1"/>
  <c r="J108" i="7" s="1"/>
  <c r="G33" i="15"/>
  <c r="E17" i="16" s="1"/>
  <c r="E35" i="15"/>
  <c r="E52" i="15" s="1"/>
  <c r="G32" i="15"/>
  <c r="E16" i="16" s="1"/>
  <c r="I33" i="15"/>
  <c r="G17" i="16" s="1"/>
  <c r="I29" i="15"/>
  <c r="G13" i="16" s="1"/>
  <c r="I35" i="15"/>
  <c r="I52" i="15" s="1"/>
  <c r="H31" i="15"/>
  <c r="F15" i="16" s="1"/>
  <c r="F25" i="15"/>
  <c r="D9" i="16" s="1"/>
  <c r="H30" i="15"/>
  <c r="F14" i="16" s="1"/>
  <c r="H28" i="15"/>
  <c r="H45" i="15" s="1"/>
  <c r="O12" i="16" s="1"/>
  <c r="I32" i="15"/>
  <c r="I49" i="15" s="1"/>
  <c r="P16" i="16" s="1"/>
  <c r="H33" i="15"/>
  <c r="F17" i="16" s="1"/>
  <c r="E31" i="15"/>
  <c r="C15" i="16" s="1"/>
  <c r="G31" i="15"/>
  <c r="G48" i="15" s="1"/>
  <c r="N15" i="16" s="1"/>
  <c r="F28" i="15"/>
  <c r="D12" i="16" s="1"/>
  <c r="I31" i="15"/>
  <c r="I48" i="15" s="1"/>
  <c r="P15" i="16" s="1"/>
  <c r="F30" i="15"/>
  <c r="D14" i="16" s="1"/>
  <c r="F32" i="15"/>
  <c r="F49" i="15" s="1"/>
  <c r="M16" i="16" s="1"/>
  <c r="H32" i="15"/>
  <c r="F16" i="16" s="1"/>
  <c r="E33" i="15"/>
  <c r="C17" i="16" s="1"/>
  <c r="I26" i="15"/>
  <c r="L103" i="7" s="1"/>
  <c r="G29" i="15"/>
  <c r="E13" i="16" s="1"/>
  <c r="E25" i="15"/>
  <c r="C9" i="16" s="1"/>
  <c r="F26" i="15"/>
  <c r="I103" i="7" s="1"/>
  <c r="I108" i="7" s="1"/>
  <c r="I34" i="15"/>
  <c r="G18" i="16" s="1"/>
  <c r="H34" i="15"/>
  <c r="F18" i="16" s="1"/>
  <c r="I25" i="15"/>
  <c r="G9" i="16" s="1"/>
  <c r="F33" i="15"/>
  <c r="D17" i="16" s="1"/>
  <c r="E28" i="15"/>
  <c r="C12" i="16" s="1"/>
  <c r="F34" i="15"/>
  <c r="D18" i="16" s="1"/>
  <c r="E26" i="15"/>
  <c r="H103" i="7" s="1"/>
  <c r="H108" i="7" s="1"/>
  <c r="G34" i="15"/>
  <c r="E18" i="16" s="1"/>
  <c r="F115" i="4"/>
  <c r="F100" i="5"/>
  <c r="H91" i="4"/>
  <c r="H77" i="5"/>
  <c r="H68" i="4"/>
  <c r="H68" i="5" s="1"/>
  <c r="H45" i="5"/>
  <c r="G100" i="4"/>
  <c r="G91" i="5"/>
  <c r="B78" i="16"/>
  <c r="C14" i="16"/>
  <c r="E47" i="15"/>
  <c r="H52" i="15"/>
  <c r="F45" i="15"/>
  <c r="M12" i="16" s="1"/>
  <c r="F50" i="15"/>
  <c r="M17" i="16" s="1"/>
  <c r="D13" i="16"/>
  <c r="G14" i="16"/>
  <c r="I10" i="7"/>
  <c r="I51" i="7"/>
  <c r="I67" i="7"/>
  <c r="I86" i="7" s="1"/>
  <c r="K101" i="7" s="1"/>
  <c r="I13" i="7"/>
  <c r="I36" i="7"/>
  <c r="I18" i="7"/>
  <c r="J8" i="7"/>
  <c r="J23" i="7" s="1"/>
  <c r="I28" i="7"/>
  <c r="I45" i="4"/>
  <c r="K41" i="1"/>
  <c r="I77" i="4"/>
  <c r="P51" i="7"/>
  <c r="E42" i="15" l="1"/>
  <c r="G45" i="15"/>
  <c r="G16" i="16"/>
  <c r="H48" i="15"/>
  <c r="O15" i="16" s="1"/>
  <c r="H47" i="15"/>
  <c r="O14" i="16" s="1"/>
  <c r="E43" i="15"/>
  <c r="E46" i="15"/>
  <c r="I43" i="15"/>
  <c r="P10" i="16" s="1"/>
  <c r="G50" i="15"/>
  <c r="N17" i="16" s="1"/>
  <c r="H49" i="15"/>
  <c r="O16" i="16" s="1"/>
  <c r="C18" i="16"/>
  <c r="H18" i="16" s="1"/>
  <c r="C10" i="16"/>
  <c r="G11" i="16"/>
  <c r="I51" i="15"/>
  <c r="P18" i="16" s="1"/>
  <c r="G52" i="15"/>
  <c r="H76" i="7" s="1"/>
  <c r="K108" i="7"/>
  <c r="E50" i="15"/>
  <c r="F10" i="16"/>
  <c r="G49" i="15"/>
  <c r="H44" i="15"/>
  <c r="O11" i="16" s="1"/>
  <c r="F48" i="15"/>
  <c r="M15" i="16" s="1"/>
  <c r="I42" i="15"/>
  <c r="P9" i="16" s="1"/>
  <c r="E49" i="15"/>
  <c r="L16" i="16" s="1"/>
  <c r="F44" i="15"/>
  <c r="M11" i="16" s="1"/>
  <c r="E10" i="16"/>
  <c r="C19" i="16"/>
  <c r="I46" i="15"/>
  <c r="P13" i="16" s="1"/>
  <c r="E11" i="16"/>
  <c r="I50" i="15"/>
  <c r="P17" i="16" s="1"/>
  <c r="G51" i="15"/>
  <c r="N18" i="16" s="1"/>
  <c r="F43" i="15"/>
  <c r="M10" i="16" s="1"/>
  <c r="F42" i="15"/>
  <c r="M9" i="16" s="1"/>
  <c r="C11" i="16"/>
  <c r="G47" i="15"/>
  <c r="N14" i="16" s="1"/>
  <c r="H50" i="15"/>
  <c r="O17" i="16" s="1"/>
  <c r="G15" i="16"/>
  <c r="D10" i="16"/>
  <c r="G43" i="15"/>
  <c r="N10" i="16" s="1"/>
  <c r="H43" i="15"/>
  <c r="O10" i="16" s="1"/>
  <c r="G42" i="15"/>
  <c r="D16" i="16"/>
  <c r="H16" i="16" s="1"/>
  <c r="G19" i="16"/>
  <c r="E15" i="16"/>
  <c r="F13" i="16"/>
  <c r="H13" i="16" s="1"/>
  <c r="F51" i="15"/>
  <c r="M18" i="16" s="1"/>
  <c r="H51" i="15"/>
  <c r="O18" i="16" s="1"/>
  <c r="G46" i="15"/>
  <c r="N13" i="16" s="1"/>
  <c r="H42" i="15"/>
  <c r="O9" i="16" s="1"/>
  <c r="D19" i="16"/>
  <c r="G12" i="16"/>
  <c r="F12" i="16"/>
  <c r="G10" i="16"/>
  <c r="E45" i="15"/>
  <c r="L12" i="16" s="1"/>
  <c r="F47" i="15"/>
  <c r="M14" i="16" s="1"/>
  <c r="E48" i="15"/>
  <c r="M103" i="7"/>
  <c r="G115" i="4"/>
  <c r="G100" i="5"/>
  <c r="H100" i="4"/>
  <c r="H91" i="5"/>
  <c r="I45" i="5"/>
  <c r="I68" i="4"/>
  <c r="I68" i="5" s="1"/>
  <c r="I91" i="4"/>
  <c r="I77" i="5"/>
  <c r="L11" i="16"/>
  <c r="F76" i="7"/>
  <c r="L19" i="16"/>
  <c r="L14" i="16"/>
  <c r="N12" i="16"/>
  <c r="L10" i="16"/>
  <c r="H14" i="16"/>
  <c r="N16" i="16"/>
  <c r="L9" i="16"/>
  <c r="M19" i="16"/>
  <c r="G76" i="7"/>
  <c r="J76" i="7"/>
  <c r="P19" i="16"/>
  <c r="O19" i="16"/>
  <c r="I76" i="7"/>
  <c r="L13" i="16"/>
  <c r="L18" i="16"/>
  <c r="L17" i="16"/>
  <c r="J48" i="15"/>
  <c r="H17" i="16"/>
  <c r="J10" i="7"/>
  <c r="J67" i="7"/>
  <c r="J86" i="7" s="1"/>
  <c r="L101" i="7" s="1"/>
  <c r="J36" i="7"/>
  <c r="J51" i="7"/>
  <c r="J18" i="7"/>
  <c r="J13" i="7"/>
  <c r="J28" i="7"/>
  <c r="L41" i="1"/>
  <c r="P77" i="4"/>
  <c r="P22" i="7"/>
  <c r="P10" i="7"/>
  <c r="P16" i="7"/>
  <c r="P36" i="7"/>
  <c r="P13" i="7"/>
  <c r="P19" i="7"/>
  <c r="Q16" i="16" l="1"/>
  <c r="Q17" i="16"/>
  <c r="J49" i="15"/>
  <c r="G53" i="15"/>
  <c r="H25" i="7" s="1"/>
  <c r="N19" i="16"/>
  <c r="J46" i="15"/>
  <c r="J51" i="15"/>
  <c r="J52" i="15"/>
  <c r="Q10" i="16"/>
  <c r="J75" i="7"/>
  <c r="N9" i="16"/>
  <c r="N20" i="16" s="1"/>
  <c r="H15" i="7" s="1"/>
  <c r="Q11" i="16"/>
  <c r="Q14" i="16"/>
  <c r="J44" i="15"/>
  <c r="I53" i="15"/>
  <c r="J25" i="7" s="1"/>
  <c r="E53" i="15"/>
  <c r="F25" i="7" s="1"/>
  <c r="H10" i="16"/>
  <c r="F75" i="7"/>
  <c r="J50" i="15"/>
  <c r="Q18" i="16"/>
  <c r="J45" i="15"/>
  <c r="H75" i="7"/>
  <c r="H11" i="16"/>
  <c r="H15" i="16"/>
  <c r="J43" i="15"/>
  <c r="L15" i="16"/>
  <c r="Q15" i="16" s="1"/>
  <c r="Q13" i="16"/>
  <c r="Q12" i="16"/>
  <c r="I75" i="7"/>
  <c r="H12" i="16"/>
  <c r="H19" i="16"/>
  <c r="H53" i="15"/>
  <c r="I25" i="7" s="1"/>
  <c r="J42" i="15"/>
  <c r="J47" i="15"/>
  <c r="F53" i="15"/>
  <c r="G25" i="7" s="1"/>
  <c r="G75" i="7"/>
  <c r="O20" i="16"/>
  <c r="I15" i="7" s="1"/>
  <c r="P91" i="4"/>
  <c r="P77" i="5"/>
  <c r="I100" i="4"/>
  <c r="I91" i="5"/>
  <c r="H115" i="4"/>
  <c r="H100" i="5"/>
  <c r="M20" i="16"/>
  <c r="G15" i="7" s="1"/>
  <c r="Q19" i="16"/>
  <c r="U61" i="1"/>
  <c r="P102" i="4" s="1"/>
  <c r="P20" i="16"/>
  <c r="J15" i="7" s="1"/>
  <c r="Q51" i="7"/>
  <c r="Q77" i="4"/>
  <c r="Q16" i="7"/>
  <c r="Q13" i="7"/>
  <c r="Q36" i="7"/>
  <c r="Q10" i="7"/>
  <c r="Q22" i="7"/>
  <c r="Q19" i="7"/>
  <c r="Q9" i="16" l="1"/>
  <c r="Q20" i="16" s="1"/>
  <c r="L20" i="16"/>
  <c r="F15" i="7" s="1"/>
  <c r="J53" i="15"/>
  <c r="Q91" i="4"/>
  <c r="Q77" i="5"/>
  <c r="P100" i="4"/>
  <c r="P91" i="5"/>
  <c r="I115" i="4"/>
  <c r="I100" i="5"/>
  <c r="V61" i="1"/>
  <c r="Q102" i="4" s="1"/>
  <c r="R51" i="7"/>
  <c r="R77" i="4"/>
  <c r="R10" i="7"/>
  <c r="R22" i="7"/>
  <c r="R36" i="7"/>
  <c r="R13" i="7"/>
  <c r="R16" i="7"/>
  <c r="R19" i="7"/>
  <c r="R91" i="4" l="1"/>
  <c r="R77" i="5"/>
  <c r="Q100" i="4"/>
  <c r="Q91" i="5"/>
  <c r="P115" i="4"/>
  <c r="P100" i="5"/>
  <c r="P121" i="5" s="1"/>
  <c r="W61" i="1"/>
  <c r="R102" i="4" s="1"/>
  <c r="I77" i="7"/>
  <c r="G77" i="7"/>
  <c r="H77" i="7"/>
  <c r="K76" i="7"/>
  <c r="K74" i="7"/>
  <c r="F77" i="7"/>
  <c r="S51" i="7"/>
  <c r="T77" i="4"/>
  <c r="S77" i="4"/>
  <c r="S22" i="7"/>
  <c r="S19" i="7"/>
  <c r="S16" i="7"/>
  <c r="S36" i="7"/>
  <c r="S13" i="7"/>
  <c r="S10" i="7"/>
  <c r="S91" i="4" l="1"/>
  <c r="S77" i="5"/>
  <c r="Q115" i="4"/>
  <c r="Q100" i="5"/>
  <c r="Q121" i="5" s="1"/>
  <c r="T91" i="4"/>
  <c r="T77" i="5"/>
  <c r="R100" i="4"/>
  <c r="R91" i="5"/>
  <c r="X61" i="1"/>
  <c r="S102" i="4" s="1"/>
  <c r="Z9" i="1"/>
  <c r="T51" i="7"/>
  <c r="T36" i="7"/>
  <c r="T19" i="7"/>
  <c r="T13" i="7"/>
  <c r="T22" i="7"/>
  <c r="T10" i="7"/>
  <c r="T16" i="7"/>
  <c r="R115" i="4" l="1"/>
  <c r="R100" i="5"/>
  <c r="R121" i="5" s="1"/>
  <c r="T100" i="4"/>
  <c r="T91" i="5"/>
  <c r="S100" i="4"/>
  <c r="S91" i="5"/>
  <c r="Y61" i="1"/>
  <c r="T102" i="4" s="1"/>
  <c r="J77" i="7"/>
  <c r="K77" i="7" s="1"/>
  <c r="K75" i="7"/>
  <c r="T115" i="4" l="1"/>
  <c r="T100" i="5"/>
  <c r="T121" i="5" s="1"/>
  <c r="S115" i="4"/>
  <c r="S100" i="5"/>
  <c r="S121" i="5" s="1"/>
  <c r="Z61" i="1"/>
  <c r="J25" i="15" l="1"/>
  <c r="J34" i="15"/>
  <c r="J30" i="15"/>
  <c r="J33" i="15"/>
  <c r="G36" i="15"/>
  <c r="I36" i="15"/>
  <c r="J31" i="15"/>
  <c r="J26" i="15"/>
  <c r="E36" i="15"/>
  <c r="J28" i="15"/>
  <c r="J32" i="15"/>
  <c r="J29" i="15"/>
  <c r="H36" i="15"/>
  <c r="J27" i="15"/>
  <c r="J35" i="15"/>
  <c r="F36" i="15"/>
  <c r="A9" i="16"/>
  <c r="J9" i="16" s="1"/>
  <c r="J36" i="15" l="1"/>
  <c r="A47" i="16"/>
  <c r="F20" i="16"/>
  <c r="O25" i="16" s="1"/>
  <c r="G20" i="16"/>
  <c r="P25" i="16" s="1"/>
  <c r="D20" i="16"/>
  <c r="M25" i="16" s="1"/>
  <c r="E20" i="16"/>
  <c r="N25" i="16" s="1"/>
  <c r="H30" i="7" l="1"/>
  <c r="H88" i="7"/>
  <c r="J96" i="7" s="1"/>
  <c r="J30" i="7"/>
  <c r="J88" i="7"/>
  <c r="G30" i="7"/>
  <c r="G88" i="7"/>
  <c r="I96" i="7" s="1"/>
  <c r="I30" i="7"/>
  <c r="I88" i="7"/>
  <c r="C20" i="16"/>
  <c r="L25" i="16" s="1"/>
  <c r="H9" i="16"/>
  <c r="H20" i="16" s="1"/>
  <c r="A63" i="16" a="1"/>
  <c r="A63" i="16" s="1"/>
  <c r="Q25" i="16" l="1"/>
  <c r="F88" i="7"/>
  <c r="B63" i="16"/>
  <c r="F30" i="7"/>
  <c r="K15" i="7"/>
  <c r="K30" i="7" s="1"/>
  <c r="K88" i="7" l="1"/>
  <c r="H96" i="7"/>
  <c r="K96" i="7" s="1"/>
  <c r="M14" i="4" l="1"/>
  <c r="M106" i="4" s="1"/>
  <c r="L106" i="4"/>
  <c r="L14" i="5"/>
  <c r="M14" i="5" s="1"/>
  <c r="N14" i="5"/>
  <c r="N106" i="4"/>
  <c r="N106" i="5" s="1"/>
  <c r="Q106" i="4" l="1"/>
  <c r="R106" i="4"/>
  <c r="P106" i="4"/>
  <c r="S106" i="4"/>
  <c r="T106" i="4"/>
  <c r="L106" i="5"/>
  <c r="M106" i="5" s="1"/>
  <c r="M15" i="4"/>
  <c r="M107" i="4" s="1"/>
  <c r="L107" i="4"/>
  <c r="L15" i="5"/>
  <c r="M15" i="5" s="1"/>
  <c r="O106" i="4"/>
  <c r="O106" i="5" s="1"/>
  <c r="O14" i="5"/>
  <c r="N107" i="4"/>
  <c r="N107" i="5" s="1"/>
  <c r="N15" i="5"/>
  <c r="Q107" i="4" l="1"/>
  <c r="P107" i="4"/>
  <c r="O15" i="5"/>
  <c r="O107" i="4"/>
  <c r="O107" i="5" s="1"/>
  <c r="N108" i="4"/>
  <c r="N108" i="5" s="1"/>
  <c r="N16" i="5"/>
  <c r="L107" i="5"/>
  <c r="M107" i="5" s="1"/>
  <c r="M16" i="4"/>
  <c r="M108" i="4" s="1"/>
  <c r="L108" i="4"/>
  <c r="L16" i="5"/>
  <c r="M16" i="5" s="1"/>
  <c r="L108" i="5" l="1"/>
  <c r="M108" i="5" s="1"/>
  <c r="N17" i="5"/>
  <c r="N109" i="4"/>
  <c r="N109" i="5" s="1"/>
  <c r="M17" i="4"/>
  <c r="M109" i="4" s="1"/>
  <c r="L17" i="5"/>
  <c r="M17" i="5" s="1"/>
  <c r="L109" i="4"/>
  <c r="O108" i="4"/>
  <c r="O108" i="5" s="1"/>
  <c r="O16" i="5"/>
  <c r="M18" i="4" l="1"/>
  <c r="M110" i="4" s="1"/>
  <c r="L18" i="5"/>
  <c r="M18" i="5" s="1"/>
  <c r="L110" i="4"/>
  <c r="L109" i="5"/>
  <c r="M109" i="5" s="1"/>
  <c r="M19" i="4"/>
  <c r="M111" i="4" s="1"/>
  <c r="L111" i="4"/>
  <c r="L19" i="5"/>
  <c r="M19" i="5" s="1"/>
  <c r="N18" i="5"/>
  <c r="N110" i="4"/>
  <c r="N110" i="5" s="1"/>
  <c r="N19" i="5"/>
  <c r="N111" i="4"/>
  <c r="N111" i="5" s="1"/>
  <c r="O109" i="4"/>
  <c r="O109" i="5" s="1"/>
  <c r="O17" i="5"/>
  <c r="S111" i="4" l="1"/>
  <c r="R111" i="4"/>
  <c r="Q111" i="4"/>
  <c r="T111" i="4"/>
  <c r="P111" i="4"/>
  <c r="Q110" i="4"/>
  <c r="R110" i="4"/>
  <c r="S110" i="4"/>
  <c r="P110" i="4"/>
  <c r="T110" i="4"/>
  <c r="O18" i="5"/>
  <c r="O110" i="4"/>
  <c r="O110" i="5" s="1"/>
  <c r="L110" i="5"/>
  <c r="M110" i="5" s="1"/>
  <c r="L111" i="5"/>
  <c r="M111" i="5" s="1"/>
  <c r="O19" i="5"/>
  <c r="O111" i="4"/>
  <c r="O111" i="5" s="1"/>
  <c r="Q82" i="4" l="1"/>
  <c r="T82" i="4" l="1"/>
  <c r="Q83" i="4"/>
  <c r="P83" i="4"/>
  <c r="T81" i="4"/>
  <c r="R94" i="4"/>
  <c r="S83" i="4"/>
  <c r="T119" i="4"/>
  <c r="Q81" i="4"/>
  <c r="R81" i="4"/>
  <c r="T83" i="4"/>
  <c r="P82" i="4"/>
  <c r="P81" i="4"/>
  <c r="S82" i="4"/>
  <c r="S81" i="4"/>
  <c r="R83" i="4"/>
  <c r="R82" i="4"/>
  <c r="T26" i="7" l="1"/>
  <c r="P120" i="4"/>
  <c r="R119" i="4"/>
  <c r="T121" i="4"/>
  <c r="S121" i="4"/>
  <c r="Q121" i="4"/>
  <c r="S119" i="4"/>
  <c r="Q119" i="4"/>
  <c r="P119" i="4"/>
  <c r="R120" i="4"/>
  <c r="P121" i="4"/>
  <c r="P127" i="5" s="1"/>
  <c r="R121" i="4"/>
  <c r="T120" i="4"/>
  <c r="S26" i="7"/>
  <c r="Q120" i="4"/>
  <c r="P82" i="5"/>
  <c r="U82" i="4"/>
  <c r="T95" i="4"/>
  <c r="T94" i="4"/>
  <c r="Q95" i="4"/>
  <c r="S94" i="4"/>
  <c r="Q26" i="7"/>
  <c r="S95" i="4"/>
  <c r="Q94" i="4"/>
  <c r="U40" i="7"/>
  <c r="U41" i="7"/>
  <c r="T54" i="7"/>
  <c r="P81" i="5"/>
  <c r="U81" i="4"/>
  <c r="S120" i="4"/>
  <c r="P83" i="5"/>
  <c r="U83" i="4"/>
  <c r="U39" i="7"/>
  <c r="R95" i="4"/>
  <c r="P94" i="4"/>
  <c r="P95" i="4"/>
  <c r="P26" i="7"/>
  <c r="R26" i="7"/>
  <c r="R56" i="7" l="1"/>
  <c r="R55" i="7"/>
  <c r="S54" i="7"/>
  <c r="Q56" i="7"/>
  <c r="P54" i="7"/>
  <c r="P125" i="5"/>
  <c r="Q54" i="7"/>
  <c r="T56" i="7"/>
  <c r="P55" i="7"/>
  <c r="P126" i="5"/>
  <c r="P56" i="7"/>
  <c r="S56" i="7"/>
  <c r="R54" i="7"/>
  <c r="U121" i="4"/>
  <c r="U119" i="4"/>
  <c r="Q55" i="7"/>
  <c r="T55" i="7"/>
  <c r="U120" i="4"/>
  <c r="U26" i="7"/>
  <c r="U94" i="4"/>
  <c r="P94" i="5"/>
  <c r="U95" i="4"/>
  <c r="P95" i="5"/>
  <c r="S55" i="7"/>
  <c r="U54" i="7" l="1"/>
  <c r="U56" i="7"/>
  <c r="U55" i="7"/>
  <c r="A11" i="4" l="1"/>
  <c r="C11" i="4" l="1" a="1"/>
  <c r="C11" i="4" s="1"/>
  <c r="D62" i="1"/>
  <c r="E62" i="1"/>
  <c r="D11" i="4"/>
  <c r="B11" i="4"/>
  <c r="B25" i="16" s="1"/>
  <c r="A11" i="5"/>
  <c r="B11" i="5" s="1"/>
  <c r="A25" i="16"/>
  <c r="C11" i="5" l="1"/>
  <c r="A64" i="16" a="1"/>
  <c r="A64" i="16" s="1"/>
  <c r="D11" i="5"/>
  <c r="B64" i="16" l="1"/>
  <c r="D63" i="1" l="1"/>
  <c r="A12" i="4"/>
  <c r="C12" i="4" l="1" a="1"/>
  <c r="C12" i="4" s="1"/>
  <c r="D12" i="4"/>
  <c r="E63" i="1"/>
  <c r="A13" i="4"/>
  <c r="B12" i="4"/>
  <c r="B26" i="16" s="1"/>
  <c r="A12" i="5"/>
  <c r="B12" i="5" s="1"/>
  <c r="A26" i="16"/>
  <c r="A14" i="4" l="1"/>
  <c r="B14" i="4" s="1"/>
  <c r="B28" i="16" s="1"/>
  <c r="D65" i="1"/>
  <c r="C13" i="4" a="1"/>
  <c r="C13" i="4" s="1"/>
  <c r="C13" i="5" s="1"/>
  <c r="D64" i="1"/>
  <c r="D14" i="4"/>
  <c r="D14" i="5" s="1"/>
  <c r="E65" i="1"/>
  <c r="C12" i="5"/>
  <c r="A13" i="5"/>
  <c r="B13" i="5" s="1"/>
  <c r="A27" i="16"/>
  <c r="B13" i="4"/>
  <c r="B27" i="16" s="1"/>
  <c r="E64" i="1"/>
  <c r="D13" i="4"/>
  <c r="D13" i="5" s="1"/>
  <c r="D12" i="5"/>
  <c r="C14" i="4" l="1" a="1"/>
  <c r="C14" i="4" s="1"/>
  <c r="C14" i="5" s="1"/>
  <c r="A14" i="5"/>
  <c r="B14" i="5" s="1"/>
  <c r="A28" i="16"/>
  <c r="A15" i="4"/>
  <c r="A29" i="16" s="1"/>
  <c r="D66" i="1"/>
  <c r="D15" i="4"/>
  <c r="E66" i="1"/>
  <c r="A65" i="16" a="1"/>
  <c r="A65" i="16" s="1"/>
  <c r="B15" i="4" l="1"/>
  <c r="B29" i="16" s="1"/>
  <c r="A15" i="5"/>
  <c r="B15" i="5" s="1"/>
  <c r="A16" i="4"/>
  <c r="C16" i="4" s="1" a="1"/>
  <c r="C16" i="4" s="1"/>
  <c r="C15" i="4" a="1"/>
  <c r="C15" i="4" s="1"/>
  <c r="C15" i="5" s="1"/>
  <c r="D68" i="1"/>
  <c r="D67" i="1"/>
  <c r="D16" i="4"/>
  <c r="A66" i="16" a="1"/>
  <c r="A66" i="16" s="1"/>
  <c r="B65" i="16"/>
  <c r="D15" i="5"/>
  <c r="A16" i="5" l="1"/>
  <c r="B16" i="5" s="1"/>
  <c r="E68" i="1"/>
  <c r="E67" i="1"/>
  <c r="B16" i="4"/>
  <c r="B30" i="16" s="1"/>
  <c r="A17" i="4"/>
  <c r="A31" i="16" s="1"/>
  <c r="A30" i="16"/>
  <c r="D16" i="5"/>
  <c r="C16" i="5"/>
  <c r="B66" i="16"/>
  <c r="B17" i="4" l="1"/>
  <c r="B31" i="16" s="1"/>
  <c r="A18" i="4"/>
  <c r="A32" i="16" s="1"/>
  <c r="D17" i="4"/>
  <c r="D17" i="5" s="1"/>
  <c r="A17" i="5"/>
  <c r="B17" i="5" s="1"/>
  <c r="C17" i="4" a="1"/>
  <c r="C17" i="4" s="1"/>
  <c r="C17" i="5" s="1"/>
  <c r="A67" i="16" a="1"/>
  <c r="A67" i="16" s="1"/>
  <c r="B67" i="16" s="1"/>
  <c r="A20" i="4"/>
  <c r="D70" i="1"/>
  <c r="B18" i="4"/>
  <c r="B32" i="16" s="1"/>
  <c r="A19" i="4"/>
  <c r="E69" i="1"/>
  <c r="D18" i="4"/>
  <c r="A18" i="5" l="1"/>
  <c r="C18" i="4" a="1"/>
  <c r="C18" i="4" s="1"/>
  <c r="B18" i="5"/>
  <c r="A68" i="16" a="1"/>
  <c r="A68" i="16" s="1"/>
  <c r="B68" i="16" s="1"/>
  <c r="C19" i="4" a="1"/>
  <c r="C19" i="4" s="1"/>
  <c r="C19" i="5" s="1"/>
  <c r="E71" i="1"/>
  <c r="A20" i="5"/>
  <c r="B20" i="4"/>
  <c r="B34" i="16" s="1"/>
  <c r="A34" i="16"/>
  <c r="B19" i="4"/>
  <c r="B33" i="16" s="1"/>
  <c r="A19" i="5"/>
  <c r="B19" i="5" s="1"/>
  <c r="A33" i="16"/>
  <c r="D18" i="5"/>
  <c r="D19" i="4"/>
  <c r="E70" i="1"/>
  <c r="B20" i="5" l="1"/>
  <c r="D20" i="4"/>
  <c r="D20" i="5" s="1"/>
  <c r="A69" i="16" a="1"/>
  <c r="A69" i="16" s="1"/>
  <c r="D19" i="5"/>
  <c r="A21" i="4" l="1"/>
  <c r="B69" i="16"/>
  <c r="A22" i="4" l="1"/>
  <c r="D21" i="4"/>
  <c r="D21" i="5" s="1"/>
  <c r="E72" i="1"/>
  <c r="A21" i="5"/>
  <c r="B21" i="5" s="1"/>
  <c r="B21" i="4"/>
  <c r="B35" i="16" s="1"/>
  <c r="A35" i="16"/>
  <c r="A23" i="4"/>
  <c r="D22" i="4" l="1"/>
  <c r="D22" i="5" s="1"/>
  <c r="E73" i="1"/>
  <c r="E74" i="1"/>
  <c r="D23" i="4"/>
  <c r="D23" i="5" s="1"/>
  <c r="B22" i="4"/>
  <c r="B36" i="16" s="1"/>
  <c r="A22" i="5"/>
  <c r="B22" i="5" s="1"/>
  <c r="A36" i="16"/>
  <c r="A70" i="16" s="1" a="1"/>
  <c r="A70" i="16" s="1"/>
  <c r="B70" i="16" s="1"/>
  <c r="B23" i="4"/>
  <c r="B37" i="16" s="1"/>
  <c r="A23" i="5"/>
  <c r="B23" i="5" s="1"/>
  <c r="A37" i="16"/>
  <c r="D26" i="4" l="1"/>
  <c r="D26" i="5" s="1"/>
  <c r="A27" i="4"/>
  <c r="A26" i="4"/>
  <c r="B26" i="4" s="1"/>
  <c r="B40" i="16" s="1"/>
  <c r="A24" i="4"/>
  <c r="A25" i="4"/>
  <c r="A40" i="16" l="1"/>
  <c r="A26" i="5"/>
  <c r="B26" i="5" s="1"/>
  <c r="E77" i="1"/>
  <c r="B25" i="4"/>
  <c r="B39" i="16" s="1"/>
  <c r="A25" i="5"/>
  <c r="B25" i="5" s="1"/>
  <c r="A39" i="16"/>
  <c r="E75" i="1"/>
  <c r="D24" i="4"/>
  <c r="D24" i="5" s="1"/>
  <c r="E76" i="1"/>
  <c r="D25" i="4"/>
  <c r="D25" i="5" s="1"/>
  <c r="A24" i="5"/>
  <c r="B24" i="5" s="1"/>
  <c r="B24" i="4"/>
  <c r="B38" i="16" s="1"/>
  <c r="A38" i="16"/>
  <c r="A71" i="16" s="1" a="1"/>
  <c r="A71" i="16" s="1"/>
  <c r="B71" i="16" s="1"/>
  <c r="E78" i="1"/>
  <c r="B27" i="4"/>
  <c r="B41" i="16" s="1"/>
  <c r="A41" i="16"/>
  <c r="A27" i="5"/>
  <c r="B27" i="5" l="1"/>
  <c r="A72" i="16" a="1"/>
  <c r="A72" i="16" s="1"/>
  <c r="B72" i="16" s="1"/>
  <c r="A28" i="4"/>
  <c r="A28" i="5" s="1"/>
  <c r="B28" i="5" s="1"/>
  <c r="D27" i="4"/>
  <c r="D27" i="5" s="1"/>
  <c r="E79" i="1"/>
  <c r="B28" i="4" l="1"/>
  <c r="B42" i="16" s="1"/>
  <c r="C28" i="4" a="1"/>
  <c r="C28" i="4" s="1"/>
  <c r="C28" i="5" s="1"/>
  <c r="D28" i="4"/>
  <c r="A42" i="16"/>
  <c r="A73" i="16" s="1" a="1"/>
  <c r="A73" i="16" s="1"/>
  <c r="B73" i="16" s="1"/>
  <c r="C21" i="4" a="1"/>
  <c r="C21" i="4" s="1"/>
  <c r="D72" i="1"/>
  <c r="C22" i="4" a="1"/>
  <c r="C22" i="4" s="1"/>
  <c r="D73" i="1"/>
  <c r="C20" i="4" a="1"/>
  <c r="C20" i="4" s="1"/>
  <c r="D71" i="1"/>
  <c r="C27" i="4" a="1"/>
  <c r="C27" i="4" s="1"/>
  <c r="C27" i="5" s="1"/>
  <c r="D78" i="1"/>
  <c r="C26" i="4" a="1"/>
  <c r="C26" i="4" s="1"/>
  <c r="C26" i="5" s="1"/>
  <c r="D77" i="1"/>
  <c r="C25" i="4" a="1"/>
  <c r="C25" i="4" s="1"/>
  <c r="D76" i="1"/>
  <c r="C24" i="4" a="1"/>
  <c r="C24" i="4" s="1"/>
  <c r="C24" i="5" s="1"/>
  <c r="D75" i="1"/>
  <c r="C23" i="4" a="1"/>
  <c r="C23" i="4" s="1"/>
  <c r="D74" i="1"/>
  <c r="D69" i="1"/>
  <c r="D54" i="16" l="1"/>
  <c r="D28" i="5"/>
  <c r="D79" i="1"/>
  <c r="G54" i="16"/>
  <c r="D53" i="16"/>
  <c r="E54" i="16"/>
  <c r="D55" i="16"/>
  <c r="G53" i="16"/>
  <c r="F55" i="16"/>
  <c r="C53" i="16"/>
  <c r="C55" i="16"/>
  <c r="F54" i="16"/>
  <c r="E53" i="16"/>
  <c r="F53" i="16"/>
  <c r="C54" i="16"/>
  <c r="G55" i="16"/>
  <c r="E55" i="16"/>
  <c r="A74" i="16" a="1"/>
  <c r="A74" i="16" s="1"/>
  <c r="D80" i="1"/>
  <c r="A29" i="4"/>
  <c r="C23" i="5"/>
  <c r="C20" i="5"/>
  <c r="C25" i="5"/>
  <c r="C22" i="5"/>
  <c r="C21" i="5"/>
  <c r="C18" i="5"/>
  <c r="B74" i="16" l="1"/>
  <c r="A75" i="16" a="1"/>
  <c r="A75" i="16" s="1"/>
  <c r="F19" i="4"/>
  <c r="D33" i="16" s="1"/>
  <c r="D69" i="16" s="1" a="1"/>
  <c r="D69" i="16" s="1"/>
  <c r="H54" i="16"/>
  <c r="H53" i="16"/>
  <c r="H55" i="16"/>
  <c r="E30" i="4"/>
  <c r="G13" i="4"/>
  <c r="G13" i="5" s="1"/>
  <c r="C29" i="4" a="1"/>
  <c r="C29" i="4" s="1"/>
  <c r="C29" i="5" s="1"/>
  <c r="F23" i="4"/>
  <c r="H19" i="4"/>
  <c r="H15" i="4"/>
  <c r="F13" i="4"/>
  <c r="F21" i="4"/>
  <c r="G26" i="4"/>
  <c r="F26" i="4"/>
  <c r="E26" i="4"/>
  <c r="H16" i="4"/>
  <c r="H25" i="4"/>
  <c r="E21" i="4"/>
  <c r="G15" i="4"/>
  <c r="E20" i="4"/>
  <c r="I25" i="4"/>
  <c r="I12" i="4"/>
  <c r="I17" i="4"/>
  <c r="I23" i="4"/>
  <c r="G114" i="7"/>
  <c r="I18" i="4"/>
  <c r="I13" i="4"/>
  <c r="G20" i="4"/>
  <c r="I10" i="4"/>
  <c r="I22" i="4"/>
  <c r="H10" i="4"/>
  <c r="E13" i="4"/>
  <c r="F17" i="4"/>
  <c r="G18" i="4"/>
  <c r="E28" i="4"/>
  <c r="H17" i="4"/>
  <c r="H26" i="4"/>
  <c r="H13" i="4"/>
  <c r="H12" i="4"/>
  <c r="E23" i="4"/>
  <c r="F11" i="4"/>
  <c r="H23" i="4"/>
  <c r="E12" i="4"/>
  <c r="E25" i="4"/>
  <c r="G12" i="4"/>
  <c r="E19" i="4"/>
  <c r="H21" i="4"/>
  <c r="H22" i="4"/>
  <c r="F22" i="4"/>
  <c r="G19" i="4"/>
  <c r="F12" i="4"/>
  <c r="F24" i="4"/>
  <c r="E24" i="4"/>
  <c r="H20" i="4"/>
  <c r="H18" i="4"/>
  <c r="E18" i="4"/>
  <c r="F25" i="4"/>
  <c r="F28" i="4"/>
  <c r="G24" i="4"/>
  <c r="G28" i="4"/>
  <c r="E15" i="4"/>
  <c r="H27" i="4"/>
  <c r="E16" i="4"/>
  <c r="E17" i="4"/>
  <c r="H24" i="4"/>
  <c r="G102" i="7"/>
  <c r="A30" i="4"/>
  <c r="A29" i="5"/>
  <c r="B29" i="5" s="1"/>
  <c r="B29" i="4"/>
  <c r="E80" i="1"/>
  <c r="D29" i="4"/>
  <c r="D29" i="5" s="1"/>
  <c r="B75" i="16" l="1"/>
  <c r="A76" i="16" a="1"/>
  <c r="A76" i="16" s="1"/>
  <c r="G104" i="7"/>
  <c r="G107" i="7"/>
  <c r="G109" i="7" s="1"/>
  <c r="F19" i="5"/>
  <c r="U66" i="1"/>
  <c r="P104" i="4" s="1"/>
  <c r="M27" i="1"/>
  <c r="M11" i="1"/>
  <c r="M17" i="1"/>
  <c r="N24" i="1"/>
  <c r="E27" i="16"/>
  <c r="E65" i="16" s="1" a="1"/>
  <c r="E65" i="16" s="1"/>
  <c r="I30" i="4"/>
  <c r="I30" i="5" s="1"/>
  <c r="H30" i="4"/>
  <c r="H30" i="5" s="1"/>
  <c r="G30" i="4"/>
  <c r="G30" i="5" s="1"/>
  <c r="F30" i="4"/>
  <c r="F30" i="5" s="1"/>
  <c r="N29" i="1"/>
  <c r="H11" i="4"/>
  <c r="F25" i="16" s="1"/>
  <c r="F64" i="16" s="1" a="1"/>
  <c r="F64" i="16" s="1"/>
  <c r="G11" i="4"/>
  <c r="E25" i="16" s="1"/>
  <c r="E64" i="16" s="1" a="1"/>
  <c r="E64" i="16" s="1"/>
  <c r="E11" i="4"/>
  <c r="E11" i="5" s="1"/>
  <c r="J114" i="7"/>
  <c r="G10" i="4"/>
  <c r="E24" i="16" s="1"/>
  <c r="F29" i="4"/>
  <c r="F29" i="5" s="1"/>
  <c r="G27" i="4"/>
  <c r="F20" i="4"/>
  <c r="D34" i="16" s="1"/>
  <c r="D56" i="16" s="1"/>
  <c r="N10" i="1"/>
  <c r="H28" i="4"/>
  <c r="H28" i="5" s="1"/>
  <c r="N23" i="1"/>
  <c r="F16" i="4"/>
  <c r="F16" i="5" s="1"/>
  <c r="N28" i="1"/>
  <c r="G17" i="4"/>
  <c r="G17" i="5" s="1"/>
  <c r="H29" i="4"/>
  <c r="H29" i="5" s="1"/>
  <c r="N17" i="1"/>
  <c r="G25" i="4"/>
  <c r="G25" i="5" s="1"/>
  <c r="F27" i="4"/>
  <c r="D41" i="16" s="1"/>
  <c r="D47" i="16" s="1"/>
  <c r="N22" i="1"/>
  <c r="N27" i="1"/>
  <c r="N19" i="1"/>
  <c r="N16" i="1"/>
  <c r="G22" i="4"/>
  <c r="G22" i="5" s="1"/>
  <c r="G21" i="4"/>
  <c r="E35" i="16" s="1"/>
  <c r="E52" i="16" s="1"/>
  <c r="N20" i="1"/>
  <c r="N14" i="1"/>
  <c r="I24" i="4"/>
  <c r="I24" i="5" s="1"/>
  <c r="I29" i="4"/>
  <c r="I29" i="5" s="1"/>
  <c r="I16" i="4"/>
  <c r="I16" i="5" s="1"/>
  <c r="I15" i="4"/>
  <c r="I15" i="5" s="1"/>
  <c r="I27" i="4"/>
  <c r="G41" i="16" s="1"/>
  <c r="G47" i="16" s="1"/>
  <c r="I20" i="4"/>
  <c r="I21" i="4"/>
  <c r="I21" i="5" s="1"/>
  <c r="F114" i="7"/>
  <c r="N9" i="1"/>
  <c r="F18" i="4"/>
  <c r="J18" i="4" s="1"/>
  <c r="I11" i="4"/>
  <c r="I11" i="5" s="1"/>
  <c r="I19" i="4"/>
  <c r="I19" i="5" s="1"/>
  <c r="I28" i="4"/>
  <c r="I28" i="5" s="1"/>
  <c r="E27" i="4"/>
  <c r="I114" i="7"/>
  <c r="F10" i="4"/>
  <c r="F10" i="5" s="1"/>
  <c r="N26" i="1"/>
  <c r="N15" i="1"/>
  <c r="N21" i="1"/>
  <c r="F102" i="7"/>
  <c r="N11" i="1"/>
  <c r="N18" i="1"/>
  <c r="E29" i="4"/>
  <c r="E29" i="5" s="1"/>
  <c r="G23" i="4"/>
  <c r="G23" i="5" s="1"/>
  <c r="N25" i="1"/>
  <c r="E22" i="4"/>
  <c r="C36" i="16" s="1"/>
  <c r="C70" i="16" s="1" a="1"/>
  <c r="C70" i="16" s="1"/>
  <c r="H114" i="7"/>
  <c r="E10" i="4"/>
  <c r="E10" i="5" s="1"/>
  <c r="G29" i="4"/>
  <c r="G29" i="5" s="1"/>
  <c r="N12" i="1"/>
  <c r="F15" i="4"/>
  <c r="D29" i="16" s="1"/>
  <c r="D66" i="16" s="1" a="1"/>
  <c r="D66" i="16" s="1"/>
  <c r="G16" i="4"/>
  <c r="G16" i="5" s="1"/>
  <c r="M9" i="1"/>
  <c r="M19" i="1"/>
  <c r="F26" i="16"/>
  <c r="F48" i="16" s="1"/>
  <c r="K102" i="7"/>
  <c r="K104" i="7" s="1"/>
  <c r="H102" i="7"/>
  <c r="L102" i="7"/>
  <c r="L104" i="7" s="1"/>
  <c r="I102" i="7"/>
  <c r="J102" i="7"/>
  <c r="M10" i="1"/>
  <c r="M28" i="1"/>
  <c r="G37" i="16"/>
  <c r="G51" i="16" s="1"/>
  <c r="G32" i="16"/>
  <c r="G68" i="16" s="1" a="1"/>
  <c r="G68" i="16" s="1"/>
  <c r="G36" i="16"/>
  <c r="G70" i="16" s="1" a="1"/>
  <c r="G70" i="16" s="1"/>
  <c r="M21" i="1"/>
  <c r="M26" i="1"/>
  <c r="I18" i="5"/>
  <c r="I22" i="5"/>
  <c r="M20" i="1"/>
  <c r="I23" i="5"/>
  <c r="M22" i="1"/>
  <c r="M23" i="1"/>
  <c r="M15" i="1"/>
  <c r="G24" i="5"/>
  <c r="E38" i="16"/>
  <c r="E71" i="16" s="1" a="1"/>
  <c r="E71" i="16" s="1"/>
  <c r="C32" i="16"/>
  <c r="E18" i="5"/>
  <c r="E24" i="5"/>
  <c r="C38" i="16"/>
  <c r="C71" i="16" s="1" a="1"/>
  <c r="C71" i="16" s="1"/>
  <c r="C37" i="16"/>
  <c r="C51" i="16" s="1"/>
  <c r="E23" i="5"/>
  <c r="G18" i="5"/>
  <c r="E32" i="16"/>
  <c r="E68" i="16" s="1" a="1"/>
  <c r="E68" i="16" s="1"/>
  <c r="F17" i="5"/>
  <c r="D31" i="16"/>
  <c r="D67" i="16" s="1" a="1"/>
  <c r="D67" i="16" s="1"/>
  <c r="M16" i="1"/>
  <c r="I25" i="5"/>
  <c r="G39" i="16"/>
  <c r="G50" i="16" s="1"/>
  <c r="G15" i="5"/>
  <c r="E29" i="16"/>
  <c r="E66" i="16" s="1" a="1"/>
  <c r="E66" i="16" s="1"/>
  <c r="H25" i="5"/>
  <c r="F39" i="16"/>
  <c r="F50" i="16" s="1"/>
  <c r="F26" i="5"/>
  <c r="D40" i="16"/>
  <c r="D72" i="16" s="1" a="1"/>
  <c r="D72" i="16" s="1"/>
  <c r="D35" i="16"/>
  <c r="D52" i="16" s="1"/>
  <c r="F21" i="5"/>
  <c r="H19" i="5"/>
  <c r="F33" i="16"/>
  <c r="F69" i="16" s="1" a="1"/>
  <c r="F69" i="16" s="1"/>
  <c r="H24" i="5"/>
  <c r="F38" i="16"/>
  <c r="F71" i="16" s="1" a="1"/>
  <c r="F71" i="16" s="1"/>
  <c r="H27" i="5"/>
  <c r="F41" i="16"/>
  <c r="F47" i="16" s="1"/>
  <c r="F28" i="5"/>
  <c r="D42" i="16"/>
  <c r="D73" i="16" s="1" a="1"/>
  <c r="D73" i="16" s="1"/>
  <c r="H18" i="5"/>
  <c r="F32" i="16"/>
  <c r="F68" i="16" s="1" a="1"/>
  <c r="F68" i="16" s="1"/>
  <c r="M18" i="1"/>
  <c r="H13" i="5"/>
  <c r="F27" i="16"/>
  <c r="F65" i="16" s="1" a="1"/>
  <c r="F65" i="16" s="1"/>
  <c r="F31" i="16"/>
  <c r="F67" i="16" s="1" a="1"/>
  <c r="F67" i="16" s="1"/>
  <c r="H17" i="5"/>
  <c r="D27" i="16"/>
  <c r="D65" i="16" s="1" a="1"/>
  <c r="D65" i="16" s="1"/>
  <c r="F13" i="5"/>
  <c r="F23" i="5"/>
  <c r="D37" i="16"/>
  <c r="D51" i="16" s="1"/>
  <c r="M14" i="1"/>
  <c r="F22" i="5"/>
  <c r="D36" i="16"/>
  <c r="D70" i="16" s="1" a="1"/>
  <c r="D70" i="16" s="1"/>
  <c r="F37" i="16"/>
  <c r="F51" i="16" s="1"/>
  <c r="H23" i="5"/>
  <c r="H26" i="5"/>
  <c r="F40" i="16"/>
  <c r="F72" i="16" s="1" a="1"/>
  <c r="F72" i="16" s="1"/>
  <c r="E13" i="5"/>
  <c r="C27" i="16"/>
  <c r="C65" i="16" s="1" a="1"/>
  <c r="C65" i="16" s="1"/>
  <c r="G20" i="5"/>
  <c r="E34" i="16"/>
  <c r="E56" i="16" s="1"/>
  <c r="F14" i="4"/>
  <c r="H16" i="5"/>
  <c r="F30" i="16"/>
  <c r="F49" i="16" s="1"/>
  <c r="E26" i="5"/>
  <c r="C40" i="16"/>
  <c r="C72" i="16" s="1" a="1"/>
  <c r="C72" i="16" s="1"/>
  <c r="G26" i="5"/>
  <c r="E40" i="16"/>
  <c r="E72" i="16" s="1" a="1"/>
  <c r="E72" i="16" s="1"/>
  <c r="H15" i="5"/>
  <c r="F29" i="16"/>
  <c r="F66" i="16" s="1" a="1"/>
  <c r="F66" i="16" s="1"/>
  <c r="E17" i="5"/>
  <c r="C31" i="16"/>
  <c r="C67" i="16" s="1" a="1"/>
  <c r="C67" i="16" s="1"/>
  <c r="G28" i="5"/>
  <c r="E42" i="16"/>
  <c r="E73" i="16" s="1" a="1"/>
  <c r="E73" i="16" s="1"/>
  <c r="D39" i="16"/>
  <c r="D50" i="16" s="1"/>
  <c r="F25" i="5"/>
  <c r="F24" i="5"/>
  <c r="D38" i="16"/>
  <c r="D71" i="16" s="1" a="1"/>
  <c r="D71" i="16" s="1"/>
  <c r="E33" i="16"/>
  <c r="E69" i="16" s="1" a="1"/>
  <c r="E69" i="16" s="1"/>
  <c r="G19" i="5"/>
  <c r="H22" i="5"/>
  <c r="F36" i="16"/>
  <c r="F70" i="16" s="1" a="1"/>
  <c r="F70" i="16" s="1"/>
  <c r="M24" i="1"/>
  <c r="D25" i="16"/>
  <c r="D64" i="16" s="1" a="1"/>
  <c r="D64" i="16" s="1"/>
  <c r="F11" i="5"/>
  <c r="H12" i="5"/>
  <c r="E28" i="5"/>
  <c r="C42" i="16"/>
  <c r="C73" i="16" s="1" a="1"/>
  <c r="C73" i="16" s="1"/>
  <c r="M12" i="1"/>
  <c r="E20" i="5"/>
  <c r="C34" i="16"/>
  <c r="C56" i="16" s="1"/>
  <c r="C35" i="16"/>
  <c r="C52" i="16" s="1"/>
  <c r="E21" i="5"/>
  <c r="F35" i="16"/>
  <c r="H21" i="5"/>
  <c r="E31" i="4"/>
  <c r="A31" i="4"/>
  <c r="D30" i="4"/>
  <c r="D30" i="5" s="1"/>
  <c r="E81" i="1"/>
  <c r="C30" i="4" a="1"/>
  <c r="C30" i="4" s="1"/>
  <c r="D81" i="1"/>
  <c r="A30" i="5"/>
  <c r="B30" i="5" s="1"/>
  <c r="B30" i="4"/>
  <c r="M29" i="1"/>
  <c r="F34" i="16"/>
  <c r="H20" i="5"/>
  <c r="G27" i="16"/>
  <c r="J13" i="4"/>
  <c r="I13" i="5"/>
  <c r="G31" i="16"/>
  <c r="I17" i="5"/>
  <c r="I10" i="5"/>
  <c r="G24" i="16"/>
  <c r="H10" i="5"/>
  <c r="F24" i="16"/>
  <c r="A77" i="16" l="1" a="1"/>
  <c r="A77" i="16" s="1"/>
  <c r="B76" i="16"/>
  <c r="P122" i="7"/>
  <c r="P12" i="4"/>
  <c r="X66" i="1"/>
  <c r="S104" i="4" s="1"/>
  <c r="D30" i="16"/>
  <c r="D49" i="16" s="1"/>
  <c r="J104" i="7"/>
  <c r="J107" i="7"/>
  <c r="J109" i="7" s="1"/>
  <c r="I104" i="7"/>
  <c r="I107" i="7"/>
  <c r="I109" i="7" s="1"/>
  <c r="H104" i="7"/>
  <c r="H107" i="7"/>
  <c r="H109" i="7" s="1"/>
  <c r="F104" i="7"/>
  <c r="F107" i="7"/>
  <c r="G10" i="5"/>
  <c r="J10" i="5" s="1"/>
  <c r="J10" i="4"/>
  <c r="G35" i="16"/>
  <c r="G52" i="16" s="1"/>
  <c r="F15" i="5"/>
  <c r="G42" i="16"/>
  <c r="G73" i="16" s="1" a="1"/>
  <c r="G73" i="16" s="1"/>
  <c r="J29" i="5"/>
  <c r="J20" i="4"/>
  <c r="G21" i="5"/>
  <c r="J21" i="5" s="1"/>
  <c r="F20" i="5"/>
  <c r="J24" i="4"/>
  <c r="I27" i="5"/>
  <c r="G38" i="16"/>
  <c r="G71" i="16" s="1" a="1"/>
  <c r="G71" i="16" s="1"/>
  <c r="H71" i="16" s="1"/>
  <c r="E36" i="16"/>
  <c r="E70" i="16" s="1" a="1"/>
  <c r="E70" i="16" s="1"/>
  <c r="H70" i="16" s="1"/>
  <c r="C25" i="16"/>
  <c r="C64" i="16" s="1" a="1"/>
  <c r="C64" i="16" s="1"/>
  <c r="H11" i="5"/>
  <c r="G30" i="16"/>
  <c r="G49" i="16" s="1"/>
  <c r="G25" i="16"/>
  <c r="G64" i="16" s="1" a="1"/>
  <c r="G64" i="16" s="1"/>
  <c r="E39" i="16"/>
  <c r="E50" i="16" s="1"/>
  <c r="U88" i="1"/>
  <c r="G33" i="16"/>
  <c r="G69" i="16" s="1" a="1"/>
  <c r="G69" i="16" s="1"/>
  <c r="F42" i="16"/>
  <c r="F73" i="16" s="1" a="1"/>
  <c r="F73" i="16" s="1"/>
  <c r="J17" i="4"/>
  <c r="J27" i="4"/>
  <c r="C24" i="16"/>
  <c r="C63" i="16" s="1" a="1"/>
  <c r="C63" i="16" s="1"/>
  <c r="F27" i="5"/>
  <c r="D24" i="16"/>
  <c r="J24" i="5"/>
  <c r="G11" i="5"/>
  <c r="J21" i="4"/>
  <c r="J23" i="4"/>
  <c r="E30" i="16"/>
  <c r="E49" i="16" s="1"/>
  <c r="E22" i="5"/>
  <c r="J22" i="5" s="1"/>
  <c r="E37" i="16"/>
  <c r="E51" i="16" s="1"/>
  <c r="H51" i="16" s="1"/>
  <c r="G29" i="16"/>
  <c r="G66" i="16" s="1" a="1"/>
  <c r="G66" i="16" s="1"/>
  <c r="J22" i="4"/>
  <c r="J28" i="4"/>
  <c r="J29" i="4"/>
  <c r="J11" i="4"/>
  <c r="E31" i="16"/>
  <c r="E67" i="16" s="1" a="1"/>
  <c r="E67" i="16" s="1"/>
  <c r="H31" i="4"/>
  <c r="H31" i="5" s="1"/>
  <c r="G31" i="4"/>
  <c r="G31" i="5" s="1"/>
  <c r="N30" i="1"/>
  <c r="I31" i="4"/>
  <c r="I31" i="5" s="1"/>
  <c r="F31" i="4"/>
  <c r="F31" i="5" s="1"/>
  <c r="E14" i="4"/>
  <c r="E14" i="5" s="1"/>
  <c r="N13" i="1"/>
  <c r="H14" i="4"/>
  <c r="G14" i="4"/>
  <c r="E28" i="16" s="1"/>
  <c r="E57" i="16" s="1"/>
  <c r="E27" i="5"/>
  <c r="C41" i="16"/>
  <c r="C47" i="16" s="1"/>
  <c r="D32" i="16"/>
  <c r="D68" i="16" s="1" a="1"/>
  <c r="D68" i="16" s="1"/>
  <c r="F18" i="5"/>
  <c r="J18" i="5" s="1"/>
  <c r="K114" i="7"/>
  <c r="I20" i="5"/>
  <c r="G34" i="16"/>
  <c r="G56" i="16" s="1"/>
  <c r="E41" i="16"/>
  <c r="E47" i="16" s="1"/>
  <c r="G27" i="5"/>
  <c r="J28" i="5"/>
  <c r="J12" i="4"/>
  <c r="M102" i="7"/>
  <c r="E26" i="16"/>
  <c r="E48" i="16" s="1"/>
  <c r="G12" i="5"/>
  <c r="I12" i="5"/>
  <c r="G26" i="16"/>
  <c r="G48" i="16" s="1"/>
  <c r="D26" i="16"/>
  <c r="D48" i="16" s="1"/>
  <c r="F12" i="5"/>
  <c r="C26" i="16"/>
  <c r="E12" i="5"/>
  <c r="J17" i="5"/>
  <c r="J23" i="5"/>
  <c r="C33" i="16"/>
  <c r="E19" i="5"/>
  <c r="J19" i="4"/>
  <c r="C39" i="16"/>
  <c r="E25" i="5"/>
  <c r="J25" i="5" s="1"/>
  <c r="J25" i="4"/>
  <c r="D28" i="16"/>
  <c r="D57" i="16" s="1"/>
  <c r="F14" i="5"/>
  <c r="C30" i="16"/>
  <c r="J16" i="4"/>
  <c r="E16" i="5"/>
  <c r="J16" i="5" s="1"/>
  <c r="E15" i="5"/>
  <c r="C29" i="16"/>
  <c r="J15" i="4"/>
  <c r="C68" i="16" a="1"/>
  <c r="C68" i="16" s="1"/>
  <c r="F52" i="16"/>
  <c r="A34" i="4"/>
  <c r="D34" i="4"/>
  <c r="D34" i="5" s="1"/>
  <c r="G65" i="16" a="1"/>
  <c r="G65" i="16" s="1"/>
  <c r="H65" i="16" s="1"/>
  <c r="H27" i="16"/>
  <c r="J30" i="4"/>
  <c r="E30" i="5"/>
  <c r="J30" i="5" s="1"/>
  <c r="A31" i="5"/>
  <c r="B31" i="5" s="1"/>
  <c r="B31" i="4"/>
  <c r="A33" i="4"/>
  <c r="D33" i="4"/>
  <c r="D33" i="5" s="1"/>
  <c r="G33" i="4"/>
  <c r="J13" i="5"/>
  <c r="C31" i="4" a="1"/>
  <c r="C31" i="4" s="1"/>
  <c r="D82" i="1"/>
  <c r="F56" i="16"/>
  <c r="M30" i="1"/>
  <c r="E32" i="4"/>
  <c r="H32" i="4"/>
  <c r="D32" i="4"/>
  <c r="D32" i="5" s="1"/>
  <c r="F32" i="4"/>
  <c r="G32" i="4"/>
  <c r="A32" i="4"/>
  <c r="G67" i="16" a="1"/>
  <c r="G67" i="16" s="1"/>
  <c r="C30" i="5"/>
  <c r="E82" i="1"/>
  <c r="D31" i="4"/>
  <c r="G34" i="4"/>
  <c r="E63" i="16" a="1"/>
  <c r="E63" i="16" s="1"/>
  <c r="F63" i="16" a="1"/>
  <c r="F63" i="16" s="1"/>
  <c r="G63" i="16" a="1"/>
  <c r="G63" i="16" s="1"/>
  <c r="B77" i="16" l="1"/>
  <c r="W66" i="1"/>
  <c r="R104" i="4" s="1"/>
  <c r="R122" i="7"/>
  <c r="R12" i="4"/>
  <c r="V66" i="1"/>
  <c r="Q104" i="4" s="1"/>
  <c r="Q122" i="7"/>
  <c r="U122" i="7" s="1"/>
  <c r="Q12" i="4"/>
  <c r="P109" i="4"/>
  <c r="P105" i="4"/>
  <c r="P127" i="7"/>
  <c r="P17" i="4"/>
  <c r="P123" i="7"/>
  <c r="P13" i="4"/>
  <c r="Y66" i="1"/>
  <c r="X88" i="1"/>
  <c r="H14" i="5"/>
  <c r="F66" i="9" s="1"/>
  <c r="C66" i="9"/>
  <c r="M104" i="7"/>
  <c r="K107" i="7"/>
  <c r="F109" i="7"/>
  <c r="K109" i="7" s="1"/>
  <c r="H52" i="16"/>
  <c r="J11" i="5"/>
  <c r="Z14" i="1"/>
  <c r="H38" i="16"/>
  <c r="H34" i="16"/>
  <c r="F78" i="16"/>
  <c r="H35" i="16"/>
  <c r="H73" i="16"/>
  <c r="H24" i="16"/>
  <c r="H47" i="16"/>
  <c r="J20" i="5"/>
  <c r="H64" i="16"/>
  <c r="E78" i="16"/>
  <c r="H31" i="16"/>
  <c r="D63" i="16" a="1"/>
  <c r="D63" i="16" s="1"/>
  <c r="D78" i="16" s="1"/>
  <c r="H67" i="16"/>
  <c r="H36" i="16"/>
  <c r="H25" i="16"/>
  <c r="J27" i="5"/>
  <c r="C28" i="16"/>
  <c r="C57" i="16" s="1"/>
  <c r="H42" i="16"/>
  <c r="H56" i="16"/>
  <c r="G14" i="5"/>
  <c r="H32" i="16"/>
  <c r="E58" i="16"/>
  <c r="H41" i="16"/>
  <c r="F28" i="16"/>
  <c r="F57" i="16" s="1"/>
  <c r="F58" i="16" s="1"/>
  <c r="H68" i="16"/>
  <c r="H37" i="16"/>
  <c r="F34" i="4"/>
  <c r="F34" i="5" s="1"/>
  <c r="I34" i="4"/>
  <c r="I34" i="5" s="1"/>
  <c r="E34" i="4"/>
  <c r="E34" i="5" s="1"/>
  <c r="H34" i="4"/>
  <c r="H34" i="5" s="1"/>
  <c r="I32" i="4"/>
  <c r="I32" i="5" s="1"/>
  <c r="N31" i="1"/>
  <c r="I33" i="4"/>
  <c r="I33" i="5" s="1"/>
  <c r="F33" i="4"/>
  <c r="F33" i="5" s="1"/>
  <c r="N32" i="1"/>
  <c r="E33" i="4"/>
  <c r="E33" i="5" s="1"/>
  <c r="H33" i="4"/>
  <c r="H33" i="5" s="1"/>
  <c r="J15" i="5"/>
  <c r="D58" i="16"/>
  <c r="E43" i="16"/>
  <c r="N26" i="16" s="1"/>
  <c r="N27" i="16" s="1"/>
  <c r="D43" i="16"/>
  <c r="M26" i="16" s="1"/>
  <c r="M27" i="16" s="1"/>
  <c r="J12" i="5"/>
  <c r="C48" i="16"/>
  <c r="H48" i="16" s="1"/>
  <c r="H26" i="16"/>
  <c r="D66" i="9"/>
  <c r="C50" i="16"/>
  <c r="H50" i="16" s="1"/>
  <c r="H39" i="16"/>
  <c r="J19" i="5"/>
  <c r="H29" i="16"/>
  <c r="C66" i="16" a="1"/>
  <c r="C66" i="16" s="1"/>
  <c r="H66" i="16" s="1"/>
  <c r="C49" i="16"/>
  <c r="H49" i="16" s="1"/>
  <c r="H30" i="16"/>
  <c r="H33" i="16"/>
  <c r="C69" i="16" a="1"/>
  <c r="C69" i="16" s="1"/>
  <c r="H69" i="16" s="1"/>
  <c r="J47" i="1"/>
  <c r="H47" i="1"/>
  <c r="M32" i="1"/>
  <c r="C34" i="4" a="1"/>
  <c r="C34" i="4" s="1"/>
  <c r="C34" i="5" s="1"/>
  <c r="C33" i="4" a="1"/>
  <c r="C33" i="4" s="1"/>
  <c r="C33" i="5" s="1"/>
  <c r="A35" i="4"/>
  <c r="M45" i="1"/>
  <c r="G34" i="5"/>
  <c r="D31" i="5"/>
  <c r="C32" i="4" a="1"/>
  <c r="C32" i="4" s="1"/>
  <c r="G32" i="5"/>
  <c r="A32" i="5"/>
  <c r="B32" i="5" s="1"/>
  <c r="B32" i="4"/>
  <c r="F32" i="5"/>
  <c r="H32" i="5"/>
  <c r="K47" i="1"/>
  <c r="C31" i="5"/>
  <c r="N33" i="1"/>
  <c r="I14" i="4"/>
  <c r="I47" i="1"/>
  <c r="M31" i="1"/>
  <c r="B33" i="4"/>
  <c r="A33" i="5"/>
  <c r="B33" i="5" s="1"/>
  <c r="B34" i="4"/>
  <c r="A34" i="5"/>
  <c r="B34" i="5" s="1"/>
  <c r="M44" i="1"/>
  <c r="J31" i="4"/>
  <c r="E31" i="5"/>
  <c r="J31" i="5" s="1"/>
  <c r="G33" i="5"/>
  <c r="M33" i="1"/>
  <c r="Q126" i="7" l="1"/>
  <c r="Q16" i="4"/>
  <c r="R126" i="7"/>
  <c r="R16" i="4"/>
  <c r="V88" i="1"/>
  <c r="Q127" i="7"/>
  <c r="Q17" i="4"/>
  <c r="Q123" i="7"/>
  <c r="Q128" i="7" s="1"/>
  <c r="Q13" i="4"/>
  <c r="P126" i="7"/>
  <c r="P16" i="4"/>
  <c r="S109" i="4"/>
  <c r="S105" i="4"/>
  <c r="W88" i="1"/>
  <c r="R127" i="7"/>
  <c r="R17" i="4"/>
  <c r="R123" i="7"/>
  <c r="R13" i="4"/>
  <c r="Z66" i="1"/>
  <c r="T104" i="4"/>
  <c r="C43" i="16"/>
  <c r="L26" i="16" s="1"/>
  <c r="L27" i="16" s="1"/>
  <c r="H63" i="16"/>
  <c r="F43" i="16"/>
  <c r="Y88" i="1"/>
  <c r="Z36" i="1"/>
  <c r="G35" i="4"/>
  <c r="G35" i="5" s="1"/>
  <c r="E66" i="9"/>
  <c r="J33" i="5"/>
  <c r="J33" i="4"/>
  <c r="J34" i="4"/>
  <c r="J34" i="5"/>
  <c r="G87" i="7"/>
  <c r="G89" i="7" s="1"/>
  <c r="C78" i="16"/>
  <c r="H87" i="7"/>
  <c r="H89" i="7" s="1"/>
  <c r="C58" i="16"/>
  <c r="X87" i="1"/>
  <c r="S108" i="4" s="1"/>
  <c r="U5" i="1"/>
  <c r="U87" i="1"/>
  <c r="P108" i="4" s="1"/>
  <c r="V5" i="1"/>
  <c r="V4" i="1" s="1"/>
  <c r="V87" i="1"/>
  <c r="Q108" i="4" s="1"/>
  <c r="W87" i="1"/>
  <c r="R108" i="4" s="1"/>
  <c r="D35" i="4"/>
  <c r="D35" i="5" s="1"/>
  <c r="C35" i="4" a="1"/>
  <c r="C35" i="4" s="1"/>
  <c r="C35" i="5" s="1"/>
  <c r="J32" i="4"/>
  <c r="E32" i="5"/>
  <c r="C32" i="5"/>
  <c r="A35" i="5"/>
  <c r="B35" i="4"/>
  <c r="M13" i="1"/>
  <c r="U127" i="7" l="1"/>
  <c r="U123" i="7"/>
  <c r="U126" i="7"/>
  <c r="P128" i="7"/>
  <c r="Z88" i="1"/>
  <c r="T109" i="4"/>
  <c r="T105" i="4"/>
  <c r="Q109" i="4"/>
  <c r="Q105" i="4"/>
  <c r="R109" i="4"/>
  <c r="R105" i="4"/>
  <c r="F87" i="7"/>
  <c r="H95" i="7" s="1"/>
  <c r="H97" i="7" s="1"/>
  <c r="I95" i="7"/>
  <c r="I97" i="7" s="1"/>
  <c r="M34" i="1"/>
  <c r="I87" i="7"/>
  <c r="I89" i="7" s="1"/>
  <c r="O26" i="16"/>
  <c r="O27" i="16" s="1"/>
  <c r="J32" i="5"/>
  <c r="I36" i="4"/>
  <c r="I36" i="5" s="1"/>
  <c r="E36" i="4"/>
  <c r="E36" i="5" s="1"/>
  <c r="I35" i="4"/>
  <c r="I35" i="5" s="1"/>
  <c r="F35" i="4"/>
  <c r="F35" i="5" s="1"/>
  <c r="H35" i="4"/>
  <c r="H35" i="5" s="1"/>
  <c r="E35" i="4"/>
  <c r="E35" i="5" s="1"/>
  <c r="N34" i="1"/>
  <c r="J95" i="7"/>
  <c r="J97" i="7" s="1"/>
  <c r="B35" i="5"/>
  <c r="D36" i="4"/>
  <c r="D36" i="5" s="1"/>
  <c r="U4" i="1"/>
  <c r="I26" i="4"/>
  <c r="A36" i="4"/>
  <c r="A36" i="5" s="1"/>
  <c r="H60" i="7"/>
  <c r="G60" i="7"/>
  <c r="G28" i="16"/>
  <c r="I14" i="5"/>
  <c r="J14" i="4"/>
  <c r="F60" i="7"/>
  <c r="Y87" i="1"/>
  <c r="T108" i="4" s="1"/>
  <c r="Z35" i="1"/>
  <c r="M46" i="1"/>
  <c r="B36" i="4" l="1"/>
  <c r="B36" i="5"/>
  <c r="F89" i="7"/>
  <c r="N35" i="1"/>
  <c r="J35" i="4"/>
  <c r="J35" i="5"/>
  <c r="F36" i="4"/>
  <c r="F36" i="5" s="1"/>
  <c r="G36" i="4"/>
  <c r="G36" i="5" s="1"/>
  <c r="H36" i="4"/>
  <c r="H36" i="5" s="1"/>
  <c r="C36" i="4" a="1"/>
  <c r="C36" i="4" s="1"/>
  <c r="C36" i="5" s="1"/>
  <c r="E37" i="4"/>
  <c r="M25" i="1"/>
  <c r="G37" i="4"/>
  <c r="M35" i="1"/>
  <c r="F37" i="4"/>
  <c r="H37" i="4"/>
  <c r="A37" i="4"/>
  <c r="A37" i="5" s="1"/>
  <c r="D37" i="4"/>
  <c r="D37" i="5" s="1"/>
  <c r="I37" i="4"/>
  <c r="Z87" i="1"/>
  <c r="G66" i="9"/>
  <c r="J14" i="5"/>
  <c r="G57" i="16"/>
  <c r="H28" i="16"/>
  <c r="D38" i="4" l="1"/>
  <c r="N36" i="1"/>
  <c r="J36" i="5"/>
  <c r="J36" i="4"/>
  <c r="B37" i="4"/>
  <c r="A38" i="4"/>
  <c r="B38" i="4" s="1"/>
  <c r="B37" i="5"/>
  <c r="M43" i="1"/>
  <c r="L47" i="1"/>
  <c r="M47" i="1" s="1"/>
  <c r="G40" i="16"/>
  <c r="I26" i="5"/>
  <c r="J26" i="4"/>
  <c r="M36" i="1"/>
  <c r="E38" i="4"/>
  <c r="C37" i="4" a="1"/>
  <c r="C37" i="4" s="1"/>
  <c r="C37" i="5" s="1"/>
  <c r="H39" i="4"/>
  <c r="D38" i="5"/>
  <c r="G37" i="5"/>
  <c r="H37" i="5"/>
  <c r="E37" i="5"/>
  <c r="I37" i="5"/>
  <c r="F37" i="5"/>
  <c r="G58" i="16"/>
  <c r="H57" i="16"/>
  <c r="H58" i="16" s="1"/>
  <c r="H39" i="5" l="1"/>
  <c r="A39" i="4"/>
  <c r="G38" i="4"/>
  <c r="G38" i="5" s="1"/>
  <c r="H38" i="4"/>
  <c r="H5" i="4" s="1"/>
  <c r="I38" i="4"/>
  <c r="N37" i="1"/>
  <c r="F38" i="4"/>
  <c r="J37" i="4"/>
  <c r="G5" i="1"/>
  <c r="G95" i="7" s="1"/>
  <c r="G97" i="7" s="1"/>
  <c r="C38" i="4" a="1"/>
  <c r="C38" i="4" s="1"/>
  <c r="C38" i="5" s="1"/>
  <c r="D39" i="4"/>
  <c r="A38" i="5"/>
  <c r="B38" i="5" s="1"/>
  <c r="M37" i="1"/>
  <c r="K5" i="1"/>
  <c r="H40" i="16"/>
  <c r="G72" i="16" a="1"/>
  <c r="G72" i="16" s="1"/>
  <c r="G43" i="16"/>
  <c r="J26" i="5"/>
  <c r="E38" i="5"/>
  <c r="J37" i="5"/>
  <c r="E20" i="9" l="1"/>
  <c r="F19" i="9"/>
  <c r="F20" i="9"/>
  <c r="F17" i="9"/>
  <c r="F16" i="9"/>
  <c r="E19" i="9"/>
  <c r="E17" i="9"/>
  <c r="E16" i="9"/>
  <c r="E18" i="9"/>
  <c r="F18" i="9"/>
  <c r="F15" i="9"/>
  <c r="E15" i="9"/>
  <c r="E93" i="4"/>
  <c r="M38" i="1"/>
  <c r="H4" i="4"/>
  <c r="J38" i="4"/>
  <c r="L5" i="1"/>
  <c r="I39" i="4"/>
  <c r="F5" i="1"/>
  <c r="F95" i="7" s="1"/>
  <c r="K95" i="7" s="1"/>
  <c r="N38" i="1"/>
  <c r="H5" i="1"/>
  <c r="E39" i="4"/>
  <c r="J5" i="1"/>
  <c r="G39" i="4"/>
  <c r="G5" i="4" s="1"/>
  <c r="D39" i="5"/>
  <c r="H95" i="4"/>
  <c r="I94" i="4"/>
  <c r="F94" i="4"/>
  <c r="E95" i="4"/>
  <c r="E94" i="4"/>
  <c r="G95" i="4"/>
  <c r="H94" i="4"/>
  <c r="I95" i="4"/>
  <c r="G94" i="4"/>
  <c r="F95" i="4"/>
  <c r="F96" i="4"/>
  <c r="G96" i="4"/>
  <c r="H96" i="4"/>
  <c r="E96" i="4"/>
  <c r="I96" i="4"/>
  <c r="I5" i="1"/>
  <c r="F39" i="4"/>
  <c r="F39" i="5" s="1"/>
  <c r="F93" i="4"/>
  <c r="F38" i="5"/>
  <c r="I93" i="4"/>
  <c r="I38" i="5"/>
  <c r="H93" i="4"/>
  <c r="H38" i="5"/>
  <c r="G93" i="4"/>
  <c r="B39" i="4"/>
  <c r="C39" i="4" a="1"/>
  <c r="C39" i="4" s="1"/>
  <c r="A39" i="5"/>
  <c r="B39" i="5" s="1"/>
  <c r="H72" i="16"/>
  <c r="H78" i="16" s="1"/>
  <c r="G78" i="16"/>
  <c r="H96" i="16"/>
  <c r="H87" i="16"/>
  <c r="H86" i="16"/>
  <c r="H99" i="16"/>
  <c r="H93" i="16"/>
  <c r="H88" i="16"/>
  <c r="H100" i="16"/>
  <c r="H92" i="16"/>
  <c r="H89" i="16"/>
  <c r="H83" i="16"/>
  <c r="H95" i="16"/>
  <c r="H91" i="16"/>
  <c r="H94" i="16"/>
  <c r="H84" i="16"/>
  <c r="H98" i="16"/>
  <c r="H101" i="16"/>
  <c r="H85" i="16"/>
  <c r="H90" i="16"/>
  <c r="H43" i="16"/>
  <c r="H97" i="16"/>
  <c r="J87" i="7"/>
  <c r="P26" i="16"/>
  <c r="E21" i="9" l="1"/>
  <c r="E23" i="9" s="1"/>
  <c r="F21" i="9"/>
  <c r="G93" i="5"/>
  <c r="H70" i="7" s="1"/>
  <c r="B20" i="9"/>
  <c r="B16" i="9"/>
  <c r="D16" i="9"/>
  <c r="B17" i="9"/>
  <c r="D17" i="9"/>
  <c r="C19" i="9"/>
  <c r="C17" i="9"/>
  <c r="D19" i="9"/>
  <c r="B19" i="9"/>
  <c r="C16" i="9"/>
  <c r="D20" i="9"/>
  <c r="C20" i="9"/>
  <c r="B15" i="9"/>
  <c r="B18" i="9"/>
  <c r="C18" i="9"/>
  <c r="C15" i="9"/>
  <c r="D18" i="9"/>
  <c r="D15" i="9"/>
  <c r="G4" i="4"/>
  <c r="I97" i="4"/>
  <c r="F97" i="7"/>
  <c r="K97" i="7" s="1"/>
  <c r="E97" i="4"/>
  <c r="G97" i="4"/>
  <c r="H97" i="4"/>
  <c r="F97" i="4"/>
  <c r="J93" i="4"/>
  <c r="F5" i="4"/>
  <c r="F4" i="4" s="1"/>
  <c r="C39" i="5"/>
  <c r="F85" i="5" s="1"/>
  <c r="E85" i="4"/>
  <c r="I85" i="4"/>
  <c r="F87" i="4"/>
  <c r="E80" i="4"/>
  <c r="G85" i="4"/>
  <c r="H83" i="4"/>
  <c r="I83" i="4"/>
  <c r="H87" i="4"/>
  <c r="G82" i="4"/>
  <c r="H81" i="4"/>
  <c r="I84" i="4"/>
  <c r="F79" i="4"/>
  <c r="E79" i="4"/>
  <c r="E87" i="4"/>
  <c r="I87" i="4"/>
  <c r="E86" i="4"/>
  <c r="I86" i="4"/>
  <c r="F80" i="4"/>
  <c r="F81" i="4"/>
  <c r="G83" i="4"/>
  <c r="F84" i="4"/>
  <c r="G87" i="4"/>
  <c r="E83" i="4"/>
  <c r="E81" i="4"/>
  <c r="F82" i="4"/>
  <c r="H86" i="4"/>
  <c r="H82" i="4"/>
  <c r="G80" i="4"/>
  <c r="E82" i="4"/>
  <c r="H85" i="4"/>
  <c r="G84" i="4"/>
  <c r="E84" i="4"/>
  <c r="F83" i="4"/>
  <c r="H79" i="4"/>
  <c r="F86" i="4"/>
  <c r="I81" i="4"/>
  <c r="I82" i="4"/>
  <c r="I79" i="4"/>
  <c r="H84" i="4"/>
  <c r="G81" i="4"/>
  <c r="G86" i="4"/>
  <c r="H80" i="4"/>
  <c r="F85" i="4"/>
  <c r="I80" i="4"/>
  <c r="G79" i="4"/>
  <c r="H93" i="5"/>
  <c r="H5" i="5"/>
  <c r="H85" i="5"/>
  <c r="I93" i="5"/>
  <c r="F5" i="5"/>
  <c r="F93" i="5"/>
  <c r="J38" i="5"/>
  <c r="J96" i="4"/>
  <c r="J94" i="4"/>
  <c r="J95" i="4"/>
  <c r="I96" i="5"/>
  <c r="J71" i="7" s="1"/>
  <c r="J81" i="7" s="1"/>
  <c r="E94" i="5"/>
  <c r="F94" i="5"/>
  <c r="G94" i="5"/>
  <c r="H94" i="5"/>
  <c r="I94" i="5"/>
  <c r="E95" i="5"/>
  <c r="F95" i="5"/>
  <c r="G69" i="7" s="1"/>
  <c r="G79" i="7" s="1"/>
  <c r="G95" i="5"/>
  <c r="H69" i="7" s="1"/>
  <c r="H79" i="7" s="1"/>
  <c r="H95" i="5"/>
  <c r="I69" i="7" s="1"/>
  <c r="I79" i="7" s="1"/>
  <c r="I95" i="5"/>
  <c r="J69" i="7" s="1"/>
  <c r="J79" i="7" s="1"/>
  <c r="F96" i="5"/>
  <c r="G71" i="7" s="1"/>
  <c r="G81" i="7" s="1"/>
  <c r="G96" i="5"/>
  <c r="H71" i="7" s="1"/>
  <c r="H81" i="7" s="1"/>
  <c r="H96" i="5"/>
  <c r="I71" i="7" s="1"/>
  <c r="I81" i="7" s="1"/>
  <c r="E96" i="5"/>
  <c r="E93" i="5"/>
  <c r="J39" i="4"/>
  <c r="G39" i="5"/>
  <c r="G5" i="5" s="1"/>
  <c r="E39" i="5"/>
  <c r="E5" i="4"/>
  <c r="I39" i="5"/>
  <c r="I5" i="5" s="1"/>
  <c r="I5" i="4"/>
  <c r="I4" i="4" s="1"/>
  <c r="J89" i="7"/>
  <c r="K89" i="7" s="1"/>
  <c r="K87" i="7"/>
  <c r="J90" i="16"/>
  <c r="A90" i="16" a="1"/>
  <c r="A90" i="16" s="1"/>
  <c r="A84" i="16" a="1"/>
  <c r="A84" i="16" s="1"/>
  <c r="J84" i="16"/>
  <c r="A83" i="16" a="1"/>
  <c r="A83" i="16" s="1"/>
  <c r="H102" i="16"/>
  <c r="J102" i="16" s="1"/>
  <c r="J88" i="16"/>
  <c r="A88" i="16" a="1"/>
  <c r="A88" i="16" s="1"/>
  <c r="A87" i="16" a="1"/>
  <c r="A87" i="16" s="1"/>
  <c r="J87" i="16"/>
  <c r="J85" i="16"/>
  <c r="A85" i="16" a="1"/>
  <c r="A85" i="16" s="1"/>
  <c r="J94" i="16"/>
  <c r="A94" i="16" a="1"/>
  <c r="A94" i="16" s="1"/>
  <c r="J89" i="16"/>
  <c r="A89" i="16" a="1"/>
  <c r="A89" i="16" s="1"/>
  <c r="A93" i="16" a="1"/>
  <c r="A93" i="16" s="1"/>
  <c r="J93" i="16"/>
  <c r="J96" i="16"/>
  <c r="A96" i="16" a="1"/>
  <c r="A96" i="16" s="1"/>
  <c r="J97" i="16"/>
  <c r="A97" i="16" a="1"/>
  <c r="A97" i="16" s="1"/>
  <c r="A101" i="16" a="1"/>
  <c r="A101" i="16" s="1"/>
  <c r="J101" i="16"/>
  <c r="J91" i="16"/>
  <c r="A91" i="16" a="1"/>
  <c r="A91" i="16" s="1"/>
  <c r="A92" i="16" a="1"/>
  <c r="A92" i="16" s="1"/>
  <c r="J92" i="16"/>
  <c r="J99" i="16"/>
  <c r="A99" i="16" a="1"/>
  <c r="A99" i="16" s="1"/>
  <c r="Q26" i="16"/>
  <c r="Q27" i="16" s="1"/>
  <c r="P27" i="16"/>
  <c r="A98" i="16" a="1"/>
  <c r="A98" i="16" s="1"/>
  <c r="J98" i="16"/>
  <c r="A95" i="16" a="1"/>
  <c r="A95" i="16" s="1"/>
  <c r="J95" i="16"/>
  <c r="J100" i="16"/>
  <c r="A100" i="16" a="1"/>
  <c r="A100" i="16" s="1"/>
  <c r="J86" i="16"/>
  <c r="A86" i="16" a="1"/>
  <c r="A86" i="16" s="1"/>
  <c r="I85" i="5" l="1"/>
  <c r="D21" i="9"/>
  <c r="D23" i="9" s="1"/>
  <c r="C21" i="9"/>
  <c r="C23" i="9" s="1"/>
  <c r="B21" i="9"/>
  <c r="F23" i="9"/>
  <c r="G88" i="4"/>
  <c r="J24" i="7"/>
  <c r="I4" i="5"/>
  <c r="J11" i="7"/>
  <c r="J14" i="7" s="1"/>
  <c r="J5" i="4"/>
  <c r="E4" i="4"/>
  <c r="J39" i="5"/>
  <c r="J49" i="5" s="1"/>
  <c r="E5" i="5"/>
  <c r="H24" i="7"/>
  <c r="H11" i="7"/>
  <c r="H14" i="7" s="1"/>
  <c r="G4" i="5"/>
  <c r="J63" i="4"/>
  <c r="J60" i="4"/>
  <c r="J58" i="4"/>
  <c r="J52" i="4"/>
  <c r="J56" i="4"/>
  <c r="J59" i="4"/>
  <c r="J49" i="4"/>
  <c r="J47" i="4"/>
  <c r="J51" i="4"/>
  <c r="J50" i="4"/>
  <c r="J64" i="4"/>
  <c r="J54" i="4"/>
  <c r="J61" i="4"/>
  <c r="J48" i="4"/>
  <c r="J62" i="4"/>
  <c r="J53" i="4"/>
  <c r="J55" i="4"/>
  <c r="J57" i="4"/>
  <c r="E97" i="5"/>
  <c r="F70" i="7"/>
  <c r="J93" i="5"/>
  <c r="F71" i="7"/>
  <c r="J96" i="5"/>
  <c r="F69" i="7"/>
  <c r="J95" i="5"/>
  <c r="G97" i="5"/>
  <c r="J94" i="5"/>
  <c r="J97" i="4"/>
  <c r="H72" i="7"/>
  <c r="H80" i="7"/>
  <c r="H82" i="7" s="1"/>
  <c r="F97" i="5"/>
  <c r="G70" i="7"/>
  <c r="G24" i="7"/>
  <c r="G11" i="7"/>
  <c r="G14" i="7" s="1"/>
  <c r="F4" i="5"/>
  <c r="I97" i="5"/>
  <c r="J70" i="7"/>
  <c r="I24" i="7"/>
  <c r="I11" i="7"/>
  <c r="I14" i="7" s="1"/>
  <c r="H4" i="5"/>
  <c r="H97" i="5"/>
  <c r="I70" i="7"/>
  <c r="I88" i="4"/>
  <c r="H88" i="4"/>
  <c r="J84" i="4"/>
  <c r="J82" i="4"/>
  <c r="J81" i="4"/>
  <c r="J83" i="4"/>
  <c r="J86" i="4"/>
  <c r="J87" i="4"/>
  <c r="J79" i="4"/>
  <c r="E88" i="4"/>
  <c r="F88" i="4"/>
  <c r="J80" i="4"/>
  <c r="J85" i="4"/>
  <c r="F87" i="5"/>
  <c r="G87" i="5"/>
  <c r="H87" i="5"/>
  <c r="I87" i="5"/>
  <c r="E87" i="5"/>
  <c r="F81" i="5"/>
  <c r="G81" i="5"/>
  <c r="H81" i="5"/>
  <c r="I81" i="5"/>
  <c r="E81" i="5"/>
  <c r="F86" i="5"/>
  <c r="G86" i="5"/>
  <c r="H86" i="5"/>
  <c r="I86" i="5"/>
  <c r="E86" i="5"/>
  <c r="G84" i="5"/>
  <c r="H82" i="5"/>
  <c r="F83" i="5"/>
  <c r="H79" i="5"/>
  <c r="H80" i="5"/>
  <c r="G79" i="5"/>
  <c r="H83" i="5"/>
  <c r="G83" i="5"/>
  <c r="F80" i="5"/>
  <c r="I80" i="5"/>
  <c r="I83" i="5"/>
  <c r="E83" i="5"/>
  <c r="E79" i="5"/>
  <c r="E82" i="5"/>
  <c r="F82" i="5"/>
  <c r="I82" i="5"/>
  <c r="G82" i="5"/>
  <c r="G85" i="5"/>
  <c r="G80" i="5"/>
  <c r="I79" i="5"/>
  <c r="F79" i="5"/>
  <c r="E80" i="5"/>
  <c r="E85" i="5"/>
  <c r="E84" i="5"/>
  <c r="H84" i="5"/>
  <c r="F84" i="5"/>
  <c r="I84" i="5"/>
  <c r="G37" i="7"/>
  <c r="I43" i="7"/>
  <c r="G38" i="7"/>
  <c r="G43" i="7"/>
  <c r="G42" i="7"/>
  <c r="J42" i="7"/>
  <c r="J57" i="7" s="1"/>
  <c r="F39" i="7"/>
  <c r="J44" i="7"/>
  <c r="J43" i="7"/>
  <c r="J58" i="7" s="1"/>
  <c r="J39" i="7"/>
  <c r="J54" i="7" s="1"/>
  <c r="F42" i="7"/>
  <c r="I41" i="7"/>
  <c r="I38" i="7"/>
  <c r="F38" i="7"/>
  <c r="G41" i="7"/>
  <c r="J40" i="7"/>
  <c r="J55" i="7" s="1"/>
  <c r="F44" i="7"/>
  <c r="G44" i="7"/>
  <c r="J41" i="7"/>
  <c r="J56" i="7" s="1"/>
  <c r="F40" i="7"/>
  <c r="F43" i="7"/>
  <c r="I42" i="7"/>
  <c r="F41" i="7"/>
  <c r="I39" i="7"/>
  <c r="H40" i="7"/>
  <c r="I37" i="7"/>
  <c r="I40" i="7"/>
  <c r="H44" i="7"/>
  <c r="H39" i="7"/>
  <c r="G39" i="7"/>
  <c r="H42" i="7"/>
  <c r="I44" i="7"/>
  <c r="H41" i="7"/>
  <c r="G40" i="7"/>
  <c r="J37" i="7"/>
  <c r="J38" i="7"/>
  <c r="J53" i="7" s="1"/>
  <c r="H43" i="7"/>
  <c r="H38" i="7"/>
  <c r="H37" i="7"/>
  <c r="F37" i="7"/>
  <c r="D100" i="16" a="1"/>
  <c r="D100" i="16" s="1"/>
  <c r="G100" i="16" a="1"/>
  <c r="G100" i="16" s="1"/>
  <c r="C100" i="16" a="1"/>
  <c r="C100" i="16" s="1"/>
  <c r="F100" i="16" a="1"/>
  <c r="F100" i="16" s="1"/>
  <c r="E100" i="16" a="1"/>
  <c r="E100" i="16" s="1"/>
  <c r="B100" i="16"/>
  <c r="C94" i="16" a="1"/>
  <c r="C94" i="16" s="1"/>
  <c r="F94" i="16" a="1"/>
  <c r="F94" i="16" s="1"/>
  <c r="B94" i="16"/>
  <c r="G94" i="16" a="1"/>
  <c r="G94" i="16" s="1"/>
  <c r="E94" i="16" a="1"/>
  <c r="E94" i="16" s="1"/>
  <c r="D94" i="16" a="1"/>
  <c r="D94" i="16" s="1"/>
  <c r="G88" i="16" a="1"/>
  <c r="G88" i="16" s="1"/>
  <c r="E88" i="16" a="1"/>
  <c r="E88" i="16" s="1"/>
  <c r="B88" i="16"/>
  <c r="F88" i="16" a="1"/>
  <c r="F88" i="16" s="1"/>
  <c r="C88" i="16" a="1"/>
  <c r="C88" i="16" s="1"/>
  <c r="D88" i="16" a="1"/>
  <c r="D88" i="16" s="1"/>
  <c r="F98" i="16" a="1"/>
  <c r="F98" i="16" s="1"/>
  <c r="C98" i="16" a="1"/>
  <c r="C98" i="16" s="1"/>
  <c r="D98" i="16" a="1"/>
  <c r="D98" i="16" s="1"/>
  <c r="E98" i="16" a="1"/>
  <c r="E98" i="16" s="1"/>
  <c r="G98" i="16" a="1"/>
  <c r="G98" i="16" s="1"/>
  <c r="B98" i="16"/>
  <c r="F92" i="16" a="1"/>
  <c r="F92" i="16" s="1"/>
  <c r="C92" i="16" a="1"/>
  <c r="C92" i="16" s="1"/>
  <c r="G92" i="16" a="1"/>
  <c r="G92" i="16" s="1"/>
  <c r="E92" i="16" a="1"/>
  <c r="E92" i="16" s="1"/>
  <c r="D92" i="16" a="1"/>
  <c r="D92" i="16" s="1"/>
  <c r="B92" i="16"/>
  <c r="F101" i="16" a="1"/>
  <c r="F101" i="16" s="1"/>
  <c r="B101" i="16"/>
  <c r="E101" i="16" a="1"/>
  <c r="E101" i="16" s="1"/>
  <c r="G101" i="16" a="1"/>
  <c r="G101" i="16" s="1"/>
  <c r="C101" i="16" a="1"/>
  <c r="C101" i="16" s="1"/>
  <c r="D101" i="16" a="1"/>
  <c r="D101" i="16" s="1"/>
  <c r="E93" i="16" a="1"/>
  <c r="E93" i="16" s="1"/>
  <c r="C93" i="16" a="1"/>
  <c r="C93" i="16" s="1"/>
  <c r="B93" i="16"/>
  <c r="F93" i="16" a="1"/>
  <c r="F93" i="16" s="1"/>
  <c r="G93" i="16" a="1"/>
  <c r="G93" i="16" s="1"/>
  <c r="D93" i="16" a="1"/>
  <c r="D93" i="16" s="1"/>
  <c r="F84" i="16" a="1"/>
  <c r="F84" i="16" s="1"/>
  <c r="B84" i="16"/>
  <c r="E84" i="16" a="1"/>
  <c r="E84" i="16" s="1"/>
  <c r="D84" i="16" a="1"/>
  <c r="D84" i="16" s="1"/>
  <c r="G84" i="16" a="1"/>
  <c r="G84" i="16" s="1"/>
  <c r="C84" i="16" a="1"/>
  <c r="C84" i="16" s="1"/>
  <c r="G86" i="16" a="1"/>
  <c r="G86" i="16" s="1"/>
  <c r="B86" i="16"/>
  <c r="E86" i="16" a="1"/>
  <c r="E86" i="16" s="1"/>
  <c r="D86" i="16" a="1"/>
  <c r="D86" i="16" s="1"/>
  <c r="C86" i="16" a="1"/>
  <c r="C86" i="16" s="1"/>
  <c r="F86" i="16" a="1"/>
  <c r="F86" i="16" s="1"/>
  <c r="D99" i="16" a="1"/>
  <c r="D99" i="16" s="1"/>
  <c r="E99" i="16" a="1"/>
  <c r="E99" i="16" s="1"/>
  <c r="C99" i="16" a="1"/>
  <c r="C99" i="16" s="1"/>
  <c r="G99" i="16" a="1"/>
  <c r="G99" i="16" s="1"/>
  <c r="F99" i="16" a="1"/>
  <c r="F99" i="16" s="1"/>
  <c r="B99" i="16"/>
  <c r="C91" i="16" a="1"/>
  <c r="C91" i="16" s="1"/>
  <c r="B91" i="16"/>
  <c r="F91" i="16" a="1"/>
  <c r="F91" i="16" s="1"/>
  <c r="D91" i="16" a="1"/>
  <c r="D91" i="16" s="1"/>
  <c r="E91" i="16" a="1"/>
  <c r="E91" i="16" s="1"/>
  <c r="G91" i="16" a="1"/>
  <c r="G91" i="16" s="1"/>
  <c r="C97" i="16" a="1"/>
  <c r="C97" i="16" s="1"/>
  <c r="G97" i="16" a="1"/>
  <c r="G97" i="16" s="1"/>
  <c r="F97" i="16" a="1"/>
  <c r="F97" i="16" s="1"/>
  <c r="E97" i="16" a="1"/>
  <c r="E97" i="16" s="1"/>
  <c r="D97" i="16" a="1"/>
  <c r="D97" i="16" s="1"/>
  <c r="B97" i="16"/>
  <c r="B96" i="16"/>
  <c r="G96" i="16" a="1"/>
  <c r="G96" i="16" s="1"/>
  <c r="F96" i="16" a="1"/>
  <c r="F96" i="16" s="1"/>
  <c r="D96" i="16" a="1"/>
  <c r="D96" i="16" s="1"/>
  <c r="C96" i="16" a="1"/>
  <c r="C96" i="16" s="1"/>
  <c r="E96" i="16" a="1"/>
  <c r="E96" i="16" s="1"/>
  <c r="F89" i="16" a="1"/>
  <c r="F89" i="16" s="1"/>
  <c r="D89" i="16" a="1"/>
  <c r="D89" i="16" s="1"/>
  <c r="C89" i="16" a="1"/>
  <c r="C89" i="16" s="1"/>
  <c r="E89" i="16" a="1"/>
  <c r="E89" i="16" s="1"/>
  <c r="G89" i="16" a="1"/>
  <c r="G89" i="16" s="1"/>
  <c r="B89" i="16"/>
  <c r="G85" i="16" a="1"/>
  <c r="G85" i="16" s="1"/>
  <c r="B85" i="16"/>
  <c r="D85" i="16" a="1"/>
  <c r="D85" i="16" s="1"/>
  <c r="E85" i="16" a="1"/>
  <c r="E85" i="16" s="1"/>
  <c r="F85" i="16" a="1"/>
  <c r="F85" i="16" s="1"/>
  <c r="C85" i="16" a="1"/>
  <c r="C85" i="16" s="1"/>
  <c r="B90" i="16"/>
  <c r="G90" i="16" a="1"/>
  <c r="G90" i="16" s="1"/>
  <c r="F90" i="16" a="1"/>
  <c r="F90" i="16" s="1"/>
  <c r="D90" i="16" a="1"/>
  <c r="D90" i="16" s="1"/>
  <c r="E90" i="16" a="1"/>
  <c r="E90" i="16" s="1"/>
  <c r="C90" i="16" a="1"/>
  <c r="C90" i="16" s="1"/>
  <c r="E95" i="16" a="1"/>
  <c r="E95" i="16" s="1"/>
  <c r="C95" i="16" a="1"/>
  <c r="C95" i="16" s="1"/>
  <c r="F95" i="16" a="1"/>
  <c r="F95" i="16" s="1"/>
  <c r="D95" i="16" a="1"/>
  <c r="D95" i="16" s="1"/>
  <c r="B95" i="16"/>
  <c r="G95" i="16" a="1"/>
  <c r="G95" i="16" s="1"/>
  <c r="G87" i="16" a="1"/>
  <c r="G87" i="16" s="1"/>
  <c r="B87" i="16"/>
  <c r="C87" i="16" a="1"/>
  <c r="C87" i="16" s="1"/>
  <c r="F87" i="16" a="1"/>
  <c r="F87" i="16" s="1"/>
  <c r="E87" i="16" a="1"/>
  <c r="E87" i="16" s="1"/>
  <c r="D87" i="16" a="1"/>
  <c r="D87" i="16" s="1"/>
  <c r="E83" i="16" a="1"/>
  <c r="E83" i="16" s="1"/>
  <c r="J83" i="16"/>
  <c r="A107" i="16" s="1" a="1"/>
  <c r="A107" i="16" s="1"/>
  <c r="A108" i="16" s="1" a="1"/>
  <c r="A108" i="16" s="1"/>
  <c r="A109" i="16" s="1" a="1"/>
  <c r="A109" i="16" s="1"/>
  <c r="C83" i="16" a="1"/>
  <c r="C83" i="16" s="1"/>
  <c r="B83" i="16"/>
  <c r="D83" i="16" a="1"/>
  <c r="D83" i="16" s="1"/>
  <c r="G83" i="16" a="1"/>
  <c r="G83" i="16" s="1"/>
  <c r="F83" i="16" a="1"/>
  <c r="F83" i="16" s="1"/>
  <c r="B23" i="9" l="1"/>
  <c r="J59" i="7"/>
  <c r="J52" i="7"/>
  <c r="J55" i="5"/>
  <c r="A55" i="5" s="1" a="1"/>
  <c r="A55" i="5" s="1"/>
  <c r="J50" i="5"/>
  <c r="D50" i="5" s="1" a="1"/>
  <c r="D50" i="5" s="1"/>
  <c r="J57" i="5"/>
  <c r="C57" i="5" s="1" a="1"/>
  <c r="C57" i="5" s="1"/>
  <c r="J61" i="5"/>
  <c r="C61" i="5" s="1" a="1"/>
  <c r="C61" i="5" s="1"/>
  <c r="J48" i="5"/>
  <c r="C48" i="5" s="1" a="1"/>
  <c r="C48" i="5" s="1"/>
  <c r="J59" i="5"/>
  <c r="D59" i="5" s="1" a="1"/>
  <c r="D59" i="5" s="1"/>
  <c r="J54" i="5"/>
  <c r="D54" i="5" s="1" a="1"/>
  <c r="D54" i="5" s="1"/>
  <c r="J60" i="5"/>
  <c r="A60" i="5" s="1" a="1"/>
  <c r="A60" i="5" s="1"/>
  <c r="J58" i="5"/>
  <c r="A58" i="5" s="1" a="1"/>
  <c r="A58" i="5" s="1"/>
  <c r="J62" i="5"/>
  <c r="A62" i="5" s="1" a="1"/>
  <c r="A62" i="5" s="1"/>
  <c r="J52" i="5"/>
  <c r="D52" i="5" s="1" a="1"/>
  <c r="D52" i="5" s="1"/>
  <c r="J63" i="5"/>
  <c r="A63" i="5" s="1" a="1"/>
  <c r="A63" i="5" s="1"/>
  <c r="J53" i="5"/>
  <c r="A53" i="5" s="1" a="1"/>
  <c r="A53" i="5" s="1"/>
  <c r="J56" i="5"/>
  <c r="D56" i="5" s="1" a="1"/>
  <c r="D56" i="5" s="1"/>
  <c r="J64" i="5"/>
  <c r="A64" i="5" s="1" a="1"/>
  <c r="A64" i="5" s="1"/>
  <c r="J51" i="5"/>
  <c r="A51" i="5" s="1" a="1"/>
  <c r="A51" i="5" s="1"/>
  <c r="J47" i="5"/>
  <c r="A47" i="5" s="1" a="1"/>
  <c r="A47" i="5" s="1"/>
  <c r="J83" i="5"/>
  <c r="H45" i="7"/>
  <c r="H47" i="7" s="1"/>
  <c r="J80" i="5"/>
  <c r="J87" i="5"/>
  <c r="J86" i="5"/>
  <c r="J85" i="5"/>
  <c r="J81" i="5"/>
  <c r="K37" i="7"/>
  <c r="F45" i="7"/>
  <c r="F47" i="7" s="1"/>
  <c r="J45" i="7"/>
  <c r="J47" i="7" s="1"/>
  <c r="I45" i="7"/>
  <c r="I47" i="7" s="1"/>
  <c r="K41" i="7"/>
  <c r="K43" i="7"/>
  <c r="K40" i="7"/>
  <c r="K44" i="7"/>
  <c r="K38" i="7"/>
  <c r="K42" i="7"/>
  <c r="K39" i="7"/>
  <c r="G45" i="7"/>
  <c r="G47" i="7" s="1"/>
  <c r="J84" i="5"/>
  <c r="F88" i="5"/>
  <c r="I88" i="5"/>
  <c r="J82" i="5"/>
  <c r="J79" i="5"/>
  <c r="E88" i="5"/>
  <c r="G88" i="5"/>
  <c r="H88" i="5"/>
  <c r="J88" i="4"/>
  <c r="I72" i="7"/>
  <c r="I80" i="7"/>
  <c r="I82" i="7" s="1"/>
  <c r="I29" i="7"/>
  <c r="I16" i="7"/>
  <c r="I31" i="7" s="1"/>
  <c r="J72" i="7"/>
  <c r="J80" i="7"/>
  <c r="J82" i="7" s="1"/>
  <c r="G29" i="7"/>
  <c r="G16" i="7"/>
  <c r="G31" i="7" s="1"/>
  <c r="G72" i="7"/>
  <c r="G80" i="7"/>
  <c r="G82" i="7" s="1"/>
  <c r="A50" i="5" a="1"/>
  <c r="A50" i="5" s="1"/>
  <c r="C50" i="5" a="1"/>
  <c r="C50" i="5" s="1"/>
  <c r="A49" i="5" a="1"/>
  <c r="A49" i="5" s="1"/>
  <c r="D49" i="5" a="1"/>
  <c r="D49" i="5" s="1"/>
  <c r="C49" i="5" a="1"/>
  <c r="C49" i="5" s="1"/>
  <c r="K69" i="7"/>
  <c r="F79" i="7"/>
  <c r="F72" i="7"/>
  <c r="F81" i="7"/>
  <c r="K81" i="7" s="1"/>
  <c r="K71" i="7"/>
  <c r="J97" i="5"/>
  <c r="F80" i="7"/>
  <c r="K70" i="7"/>
  <c r="I57" i="4" a="1"/>
  <c r="I57" i="4" s="1"/>
  <c r="A57" i="4" a="1"/>
  <c r="A57" i="4" s="1"/>
  <c r="B57" i="4" s="1" a="1"/>
  <c r="B57" i="4" s="1"/>
  <c r="H57" i="4" a="1"/>
  <c r="H57" i="4" s="1"/>
  <c r="D57" i="4" a="1"/>
  <c r="D57" i="4" s="1"/>
  <c r="F57" i="4" a="1"/>
  <c r="F57" i="4" s="1"/>
  <c r="G57" i="4" a="1"/>
  <c r="G57" i="4" s="1"/>
  <c r="E57" i="4" a="1"/>
  <c r="E57" i="4" s="1"/>
  <c r="C57" i="4" a="1"/>
  <c r="C57" i="4" s="1"/>
  <c r="E55" i="4" a="1"/>
  <c r="E55" i="4" s="1"/>
  <c r="A55" i="4" a="1"/>
  <c r="A55" i="4" s="1"/>
  <c r="B55" i="4" s="1" a="1"/>
  <c r="B55" i="4" s="1"/>
  <c r="I55" i="4" a="1"/>
  <c r="I55" i="4" s="1"/>
  <c r="C55" i="4" a="1"/>
  <c r="C55" i="4" s="1"/>
  <c r="D55" i="4" a="1"/>
  <c r="D55" i="4" s="1"/>
  <c r="H55" i="4" a="1"/>
  <c r="H55" i="4" s="1"/>
  <c r="F55" i="4" a="1"/>
  <c r="F55" i="4" s="1"/>
  <c r="G55" i="4" a="1"/>
  <c r="G55" i="4" s="1"/>
  <c r="E53" i="4" a="1"/>
  <c r="E53" i="4" s="1"/>
  <c r="D53" i="4" a="1"/>
  <c r="D53" i="4" s="1"/>
  <c r="H53" i="4" a="1"/>
  <c r="H53" i="4" s="1"/>
  <c r="C53" i="4" a="1"/>
  <c r="C53" i="4" s="1"/>
  <c r="I53" i="4" a="1"/>
  <c r="I53" i="4" s="1"/>
  <c r="G53" i="4" a="1"/>
  <c r="G53" i="4" s="1"/>
  <c r="F53" i="4" a="1"/>
  <c r="F53" i="4" s="1"/>
  <c r="A53" i="4" a="1"/>
  <c r="A53" i="4" s="1"/>
  <c r="B53" i="4" s="1" a="1"/>
  <c r="B53" i="4" s="1"/>
  <c r="F62" i="4" a="1"/>
  <c r="F62" i="4" s="1"/>
  <c r="G62" i="4" a="1"/>
  <c r="G62" i="4" s="1"/>
  <c r="D62" i="4" a="1"/>
  <c r="D62" i="4" s="1"/>
  <c r="C62" i="4" a="1"/>
  <c r="C62" i="4" s="1"/>
  <c r="H62" i="4" a="1"/>
  <c r="H62" i="4" s="1"/>
  <c r="A62" i="4" a="1"/>
  <c r="A62" i="4" s="1"/>
  <c r="B62" i="4" s="1" a="1"/>
  <c r="B62" i="4" s="1"/>
  <c r="I62" i="4" a="1"/>
  <c r="I62" i="4" s="1"/>
  <c r="E62" i="4" a="1"/>
  <c r="E62" i="4" s="1"/>
  <c r="E48" i="4" a="1"/>
  <c r="E48" i="4" s="1"/>
  <c r="A71" i="4"/>
  <c r="A71" i="5" s="1"/>
  <c r="I48" i="4" a="1"/>
  <c r="I48" i="4" s="1"/>
  <c r="C48" i="4" a="1"/>
  <c r="C48" i="4" s="1"/>
  <c r="E71" i="4"/>
  <c r="H48" i="4" a="1"/>
  <c r="H48" i="4" s="1"/>
  <c r="H71" i="4"/>
  <c r="B71" i="4"/>
  <c r="D48" i="4" a="1"/>
  <c r="D48" i="4" s="1"/>
  <c r="C71" i="4"/>
  <c r="C71" i="5" s="1"/>
  <c r="A48" i="4" a="1"/>
  <c r="A48" i="4" s="1"/>
  <c r="B48" i="4" s="1" a="1"/>
  <c r="B48" i="4" s="1"/>
  <c r="G48" i="4" a="1"/>
  <c r="G48" i="4" s="1"/>
  <c r="G71" i="4"/>
  <c r="F71" i="4"/>
  <c r="I71" i="4"/>
  <c r="D71" i="4"/>
  <c r="D71" i="5" s="1"/>
  <c r="F48" i="4" a="1"/>
  <c r="F48" i="4" s="1"/>
  <c r="I61" i="4" a="1"/>
  <c r="I61" i="4" s="1"/>
  <c r="F61" i="4" a="1"/>
  <c r="F61" i="4" s="1"/>
  <c r="G61" i="4" a="1"/>
  <c r="G61" i="4" s="1"/>
  <c r="A61" i="4" a="1"/>
  <c r="A61" i="4" s="1"/>
  <c r="B61" i="4" s="1" a="1"/>
  <c r="B61" i="4" s="1"/>
  <c r="H61" i="4" a="1"/>
  <c r="H61" i="4" s="1"/>
  <c r="D61" i="4" a="1"/>
  <c r="D61" i="4" s="1"/>
  <c r="E61" i="4" a="1"/>
  <c r="E61" i="4" s="1"/>
  <c r="C61" i="4" a="1"/>
  <c r="C61" i="4" s="1"/>
  <c r="F54" i="4" a="1"/>
  <c r="F54" i="4" s="1"/>
  <c r="A54" i="4" a="1"/>
  <c r="A54" i="4" s="1"/>
  <c r="B54" i="4" s="1" a="1"/>
  <c r="B54" i="4" s="1"/>
  <c r="I54" i="4" a="1"/>
  <c r="I54" i="4" s="1"/>
  <c r="C54" i="4" a="1"/>
  <c r="C54" i="4" s="1"/>
  <c r="G54" i="4" a="1"/>
  <c r="G54" i="4" s="1"/>
  <c r="H54" i="4" a="1"/>
  <c r="H54" i="4" s="1"/>
  <c r="D54" i="4" a="1"/>
  <c r="D54" i="4" s="1"/>
  <c r="E54" i="4" a="1"/>
  <c r="E54" i="4" s="1"/>
  <c r="E64" i="4" a="1"/>
  <c r="E64" i="4" s="1"/>
  <c r="I64" i="4" a="1"/>
  <c r="I64" i="4" s="1"/>
  <c r="F64" i="4" a="1"/>
  <c r="F64" i="4" s="1"/>
  <c r="C64" i="4" a="1"/>
  <c r="C64" i="4" s="1"/>
  <c r="A64" i="4" a="1"/>
  <c r="A64" i="4" s="1"/>
  <c r="B64" i="4" s="1" a="1"/>
  <c r="B64" i="4" s="1"/>
  <c r="D64" i="4" a="1"/>
  <c r="D64" i="4" s="1"/>
  <c r="H64" i="4" a="1"/>
  <c r="H64" i="4" s="1"/>
  <c r="G64" i="4" a="1"/>
  <c r="G64" i="4" s="1"/>
  <c r="D50" i="4" a="1"/>
  <c r="D50" i="4" s="1"/>
  <c r="C73" i="4"/>
  <c r="C73" i="5" s="1"/>
  <c r="E73" i="4"/>
  <c r="H50" i="4" a="1"/>
  <c r="H50" i="4" s="1"/>
  <c r="I50" i="4" a="1"/>
  <c r="I50" i="4" s="1"/>
  <c r="F73" i="4"/>
  <c r="D73" i="4"/>
  <c r="D73" i="5" s="1"/>
  <c r="C50" i="4" a="1"/>
  <c r="C50" i="4" s="1"/>
  <c r="F50" i="4" a="1"/>
  <c r="F50" i="4" s="1"/>
  <c r="G73" i="4"/>
  <c r="E50" i="4" a="1"/>
  <c r="E50" i="4" s="1"/>
  <c r="I73" i="4"/>
  <c r="A73" i="4"/>
  <c r="A73" i="5" s="1"/>
  <c r="G50" i="4" a="1"/>
  <c r="G50" i="4" s="1"/>
  <c r="B73" i="4"/>
  <c r="H73" i="4"/>
  <c r="A50" i="4" a="1"/>
  <c r="A50" i="4" s="1"/>
  <c r="B50" i="4" s="1" a="1"/>
  <c r="B50" i="4" s="1"/>
  <c r="F51" i="4" a="1"/>
  <c r="F51" i="4" s="1"/>
  <c r="A51" i="4" a="1"/>
  <c r="A51" i="4" s="1"/>
  <c r="B51" i="4" s="1" a="1"/>
  <c r="B51" i="4" s="1"/>
  <c r="I74" i="4"/>
  <c r="C74" i="4"/>
  <c r="C74" i="5" s="1"/>
  <c r="I51" i="4" a="1"/>
  <c r="I51" i="4" s="1"/>
  <c r="A74" i="4"/>
  <c r="A74" i="5" s="1"/>
  <c r="B74" i="4"/>
  <c r="G74" i="4"/>
  <c r="G51" i="4" a="1"/>
  <c r="G51" i="4" s="1"/>
  <c r="H51" i="4" a="1"/>
  <c r="H51" i="4" s="1"/>
  <c r="E74" i="4"/>
  <c r="F74" i="4"/>
  <c r="D51" i="4" a="1"/>
  <c r="D51" i="4" s="1"/>
  <c r="E51" i="4" a="1"/>
  <c r="E51" i="4" s="1"/>
  <c r="H74" i="4"/>
  <c r="D74" i="4"/>
  <c r="D74" i="5" s="1"/>
  <c r="C51" i="4" a="1"/>
  <c r="C51" i="4" s="1"/>
  <c r="H47" i="4" a="1"/>
  <c r="H47" i="4" s="1"/>
  <c r="H70" i="4" s="1"/>
  <c r="G47" i="4" a="1"/>
  <c r="G47" i="4" s="1"/>
  <c r="G70" i="4" s="1"/>
  <c r="I47" i="4" a="1"/>
  <c r="I47" i="4" s="1"/>
  <c r="I70" i="4" s="1"/>
  <c r="A47" i="4" a="1"/>
  <c r="A47" i="4" s="1"/>
  <c r="F47" i="4" a="1"/>
  <c r="F47" i="4" s="1"/>
  <c r="F70" i="4" s="1"/>
  <c r="E47" i="4" a="1"/>
  <c r="E47" i="4" s="1"/>
  <c r="E70" i="4" s="1"/>
  <c r="D47" i="4" a="1"/>
  <c r="D47" i="4" s="1"/>
  <c r="D70" i="4" s="1"/>
  <c r="D70" i="5" s="1"/>
  <c r="C47" i="4" a="1"/>
  <c r="C47" i="4" s="1"/>
  <c r="C70" i="4" s="1"/>
  <c r="C70" i="5" s="1"/>
  <c r="I49" i="4" a="1"/>
  <c r="I49" i="4" s="1"/>
  <c r="A49" i="4" a="1"/>
  <c r="A49" i="4" s="1"/>
  <c r="B49" i="4" s="1" a="1"/>
  <c r="B49" i="4" s="1"/>
  <c r="C72" i="4"/>
  <c r="C72" i="5" s="1"/>
  <c r="F49" i="4" a="1"/>
  <c r="F49" i="4" s="1"/>
  <c r="F72" i="4"/>
  <c r="H49" i="4" a="1"/>
  <c r="H49" i="4" s="1"/>
  <c r="D72" i="4"/>
  <c r="D72" i="5" s="1"/>
  <c r="B72" i="4"/>
  <c r="G49" i="4" a="1"/>
  <c r="G49" i="4" s="1"/>
  <c r="G72" i="4"/>
  <c r="H72" i="4"/>
  <c r="E72" i="4"/>
  <c r="D49" i="4" a="1"/>
  <c r="D49" i="4" s="1"/>
  <c r="E49" i="4" a="1"/>
  <c r="E49" i="4" s="1"/>
  <c r="A72" i="4"/>
  <c r="A72" i="5" s="1"/>
  <c r="I72" i="4"/>
  <c r="C49" i="4" a="1"/>
  <c r="C49" i="4" s="1"/>
  <c r="H59" i="4" a="1"/>
  <c r="H59" i="4" s="1"/>
  <c r="F59" i="4" a="1"/>
  <c r="F59" i="4" s="1"/>
  <c r="C59" i="4" a="1"/>
  <c r="C59" i="4" s="1"/>
  <c r="D59" i="4" a="1"/>
  <c r="D59" i="4" s="1"/>
  <c r="E59" i="4" a="1"/>
  <c r="E59" i="4" s="1"/>
  <c r="I59" i="4" a="1"/>
  <c r="I59" i="4" s="1"/>
  <c r="A59" i="4" a="1"/>
  <c r="A59" i="4" s="1"/>
  <c r="B59" i="4" s="1" a="1"/>
  <c r="B59" i="4" s="1"/>
  <c r="G59" i="4" a="1"/>
  <c r="G59" i="4" s="1"/>
  <c r="I56" i="4" a="1"/>
  <c r="I56" i="4" s="1"/>
  <c r="C56" i="4" a="1"/>
  <c r="C56" i="4" s="1"/>
  <c r="G56" i="4" a="1"/>
  <c r="G56" i="4" s="1"/>
  <c r="D56" i="4" a="1"/>
  <c r="D56" i="4" s="1"/>
  <c r="H56" i="4" a="1"/>
  <c r="H56" i="4" s="1"/>
  <c r="E56" i="4" a="1"/>
  <c r="E56" i="4" s="1"/>
  <c r="F56" i="4" a="1"/>
  <c r="F56" i="4" s="1"/>
  <c r="A56" i="4" a="1"/>
  <c r="A56" i="4" s="1"/>
  <c r="B56" i="4" s="1" a="1"/>
  <c r="B56" i="4" s="1"/>
  <c r="I52" i="4" a="1"/>
  <c r="I52" i="4" s="1"/>
  <c r="C52" i="4" a="1"/>
  <c r="C52" i="4" s="1"/>
  <c r="D52" i="4" a="1"/>
  <c r="D52" i="4" s="1"/>
  <c r="E52" i="4" a="1"/>
  <c r="E52" i="4" s="1"/>
  <c r="G52" i="4" a="1"/>
  <c r="G52" i="4" s="1"/>
  <c r="A52" i="4" a="1"/>
  <c r="A52" i="4" s="1"/>
  <c r="B52" i="4" s="1" a="1"/>
  <c r="B52" i="4" s="1"/>
  <c r="F52" i="4" a="1"/>
  <c r="F52" i="4" s="1"/>
  <c r="H52" i="4" a="1"/>
  <c r="H52" i="4" s="1"/>
  <c r="D58" i="4" a="1"/>
  <c r="D58" i="4" s="1"/>
  <c r="I58" i="4" a="1"/>
  <c r="I58" i="4" s="1"/>
  <c r="F58" i="4" a="1"/>
  <c r="F58" i="4" s="1"/>
  <c r="H58" i="4" a="1"/>
  <c r="H58" i="4" s="1"/>
  <c r="E58" i="4" a="1"/>
  <c r="E58" i="4" s="1"/>
  <c r="C58" i="4" a="1"/>
  <c r="C58" i="4" s="1"/>
  <c r="G58" i="4" a="1"/>
  <c r="G58" i="4" s="1"/>
  <c r="A58" i="4" a="1"/>
  <c r="A58" i="4" s="1"/>
  <c r="B58" i="4" s="1" a="1"/>
  <c r="B58" i="4" s="1"/>
  <c r="I60" i="4" a="1"/>
  <c r="I60" i="4" s="1"/>
  <c r="C60" i="4" a="1"/>
  <c r="C60" i="4" s="1"/>
  <c r="H60" i="4" a="1"/>
  <c r="H60" i="4" s="1"/>
  <c r="D60" i="4" a="1"/>
  <c r="D60" i="4" s="1"/>
  <c r="G60" i="4" a="1"/>
  <c r="G60" i="4" s="1"/>
  <c r="E60" i="4" a="1"/>
  <c r="E60" i="4" s="1"/>
  <c r="F60" i="4" a="1"/>
  <c r="F60" i="4" s="1"/>
  <c r="A60" i="4" a="1"/>
  <c r="A60" i="4" s="1"/>
  <c r="B60" i="4" s="1" a="1"/>
  <c r="B60" i="4" s="1"/>
  <c r="A63" i="4" a="1"/>
  <c r="A63" i="4" s="1"/>
  <c r="B63" i="4" s="1" a="1"/>
  <c r="B63" i="4" s="1"/>
  <c r="E63" i="4" a="1"/>
  <c r="E63" i="4" s="1"/>
  <c r="F63" i="4" a="1"/>
  <c r="F63" i="4" s="1"/>
  <c r="I63" i="4" a="1"/>
  <c r="I63" i="4" s="1"/>
  <c r="G63" i="4" a="1"/>
  <c r="G63" i="4" s="1"/>
  <c r="H63" i="4" a="1"/>
  <c r="H63" i="4" s="1"/>
  <c r="D63" i="4" a="1"/>
  <c r="D63" i="4" s="1"/>
  <c r="C63" i="4" a="1"/>
  <c r="C63" i="4" s="1"/>
  <c r="H29" i="7"/>
  <c r="H16" i="7"/>
  <c r="H31" i="7" s="1"/>
  <c r="F24" i="7"/>
  <c r="K24" i="7" s="1"/>
  <c r="E4" i="5"/>
  <c r="F11" i="7"/>
  <c r="J5" i="5"/>
  <c r="J16" i="7"/>
  <c r="J31" i="7" s="1"/>
  <c r="J29" i="7"/>
  <c r="H109" i="16"/>
  <c r="D107" i="16" a="1"/>
  <c r="D107" i="16" s="1"/>
  <c r="H108" i="16"/>
  <c r="A110" i="16" a="1"/>
  <c r="A110" i="16" s="1"/>
  <c r="A111" i="16" s="1" a="1"/>
  <c r="A111" i="16" s="1"/>
  <c r="B107" i="16" a="1"/>
  <c r="B107" i="16" s="1"/>
  <c r="G107" i="16" a="1"/>
  <c r="G107" i="16" s="1"/>
  <c r="E107" i="16" a="1"/>
  <c r="E107" i="16" s="1"/>
  <c r="E18" i="7"/>
  <c r="H20" i="7" s="1" a="1"/>
  <c r="H20" i="7" s="1"/>
  <c r="F107" i="16" a="1"/>
  <c r="F107" i="16" s="1"/>
  <c r="C107" i="16" a="1"/>
  <c r="C107" i="16" s="1"/>
  <c r="G102" i="16"/>
  <c r="F102" i="16"/>
  <c r="D102" i="16"/>
  <c r="C102" i="16"/>
  <c r="E102" i="16"/>
  <c r="C55" i="5" l="1" a="1"/>
  <c r="C55" i="5" s="1"/>
  <c r="C62" i="5" a="1"/>
  <c r="C62" i="5" s="1"/>
  <c r="D62" i="5" a="1"/>
  <c r="D62" i="5" s="1"/>
  <c r="D55" i="5" a="1"/>
  <c r="D55" i="5" s="1"/>
  <c r="C58" i="5" a="1"/>
  <c r="C58" i="5" s="1"/>
  <c r="D48" i="5" a="1"/>
  <c r="D48" i="5" s="1"/>
  <c r="K72" i="7"/>
  <c r="A57" i="5" a="1"/>
  <c r="A57" i="5" s="1"/>
  <c r="H57" i="5" s="1"/>
  <c r="K57" i="7"/>
  <c r="K56" i="7"/>
  <c r="K55" i="7"/>
  <c r="K53" i="7"/>
  <c r="J60" i="7"/>
  <c r="K58" i="7"/>
  <c r="K59" i="7"/>
  <c r="K52" i="7"/>
  <c r="K54" i="7"/>
  <c r="A54" i="5" a="1"/>
  <c r="A54" i="5" s="1"/>
  <c r="G54" i="5" s="1"/>
  <c r="C56" i="5" a="1"/>
  <c r="C56" i="5" s="1"/>
  <c r="A56" i="5" a="1"/>
  <c r="A56" i="5" s="1"/>
  <c r="G56" i="5" s="1"/>
  <c r="C59" i="5" a="1"/>
  <c r="C59" i="5" s="1"/>
  <c r="A59" i="5" a="1"/>
  <c r="A59" i="5" s="1"/>
  <c r="I59" i="5" s="1"/>
  <c r="C64" i="5" a="1"/>
  <c r="C64" i="5" s="1"/>
  <c r="C54" i="5" a="1"/>
  <c r="C54" i="5" s="1"/>
  <c r="D57" i="5" a="1"/>
  <c r="D57" i="5" s="1"/>
  <c r="C52" i="5" a="1"/>
  <c r="C52" i="5" s="1"/>
  <c r="A52" i="5" a="1"/>
  <c r="A52" i="5" s="1"/>
  <c r="E52" i="5" s="1"/>
  <c r="D47" i="5" a="1"/>
  <c r="D47" i="5" s="1"/>
  <c r="A61" i="5" a="1"/>
  <c r="A61" i="5" s="1"/>
  <c r="E61" i="5" s="1"/>
  <c r="D61" i="5" a="1"/>
  <c r="D61" i="5" s="1"/>
  <c r="C60" i="5" a="1"/>
  <c r="C60" i="5" s="1"/>
  <c r="K80" i="7"/>
  <c r="D64" i="5" a="1"/>
  <c r="D64" i="5" s="1"/>
  <c r="A48" i="5" a="1"/>
  <c r="A48" i="5" s="1"/>
  <c r="I48" i="5" s="1"/>
  <c r="D60" i="5" a="1"/>
  <c r="D60" i="5" s="1"/>
  <c r="D51" i="5" a="1"/>
  <c r="D51" i="5" s="1"/>
  <c r="C63" i="5" a="1"/>
  <c r="C63" i="5" s="1"/>
  <c r="D58" i="5" a="1"/>
  <c r="D58" i="5" s="1"/>
  <c r="C53" i="5" a="1"/>
  <c r="C53" i="5" s="1"/>
  <c r="C47" i="5" a="1"/>
  <c r="C47" i="5" s="1"/>
  <c r="D53" i="5" a="1"/>
  <c r="D53" i="5" s="1"/>
  <c r="C51" i="5" a="1"/>
  <c r="C51" i="5" s="1"/>
  <c r="D63" i="5" a="1"/>
  <c r="D63" i="5" s="1"/>
  <c r="G112" i="16"/>
  <c r="J88" i="5"/>
  <c r="D112" i="16"/>
  <c r="J70" i="4"/>
  <c r="K11" i="7"/>
  <c r="F14" i="7"/>
  <c r="E72" i="5"/>
  <c r="I72" i="5"/>
  <c r="F72" i="5"/>
  <c r="H72" i="5"/>
  <c r="G72" i="5"/>
  <c r="B72" i="5"/>
  <c r="J72" i="4"/>
  <c r="B47" i="4" a="1"/>
  <c r="B47" i="4" s="1"/>
  <c r="B70" i="4" s="1"/>
  <c r="A70" i="4"/>
  <c r="A70" i="5" s="1"/>
  <c r="J74" i="4"/>
  <c r="G74" i="5"/>
  <c r="H74" i="5"/>
  <c r="E74" i="5"/>
  <c r="I74" i="5"/>
  <c r="F74" i="5"/>
  <c r="B74" i="5"/>
  <c r="H73" i="5"/>
  <c r="E73" i="5"/>
  <c r="I73" i="5"/>
  <c r="F73" i="5"/>
  <c r="G73" i="5"/>
  <c r="B73" i="5"/>
  <c r="J73" i="4"/>
  <c r="J71" i="4"/>
  <c r="B71" i="5"/>
  <c r="F71" i="5"/>
  <c r="G71" i="5"/>
  <c r="H71" i="5"/>
  <c r="E71" i="5"/>
  <c r="I71" i="5"/>
  <c r="K79" i="7"/>
  <c r="F82" i="7"/>
  <c r="K82" i="7" s="1"/>
  <c r="E62" i="5"/>
  <c r="I62" i="5"/>
  <c r="F62" i="5"/>
  <c r="B62" i="5" a="1"/>
  <c r="B62" i="5" s="1"/>
  <c r="G62" i="5"/>
  <c r="H62" i="5"/>
  <c r="G61" i="5"/>
  <c r="H61" i="5"/>
  <c r="F49" i="5"/>
  <c r="G49" i="5"/>
  <c r="B49" i="5" a="1"/>
  <c r="B49" i="5" s="1"/>
  <c r="H49" i="5"/>
  <c r="I49" i="5"/>
  <c r="E49" i="5"/>
  <c r="F58" i="5"/>
  <c r="G58" i="5"/>
  <c r="H58" i="5"/>
  <c r="I58" i="5"/>
  <c r="E58" i="5"/>
  <c r="B58" i="5" a="1"/>
  <c r="B58" i="5" s="1"/>
  <c r="E55" i="5"/>
  <c r="I55" i="5"/>
  <c r="F55" i="5"/>
  <c r="B55" i="5" a="1"/>
  <c r="B55" i="5" s="1"/>
  <c r="G55" i="5"/>
  <c r="H55" i="5"/>
  <c r="H47" i="5"/>
  <c r="G47" i="5"/>
  <c r="B47" i="5" a="1"/>
  <c r="B47" i="5" s="1"/>
  <c r="I47" i="5"/>
  <c r="F47" i="5"/>
  <c r="E47" i="5"/>
  <c r="E53" i="5"/>
  <c r="I53" i="5"/>
  <c r="F53" i="5"/>
  <c r="G53" i="5"/>
  <c r="H53" i="5"/>
  <c r="B53" i="5" a="1"/>
  <c r="B53" i="5" s="1"/>
  <c r="E60" i="5"/>
  <c r="I60" i="5"/>
  <c r="F60" i="5"/>
  <c r="B60" i="5" a="1"/>
  <c r="B60" i="5" s="1"/>
  <c r="G60" i="5"/>
  <c r="H60" i="5"/>
  <c r="F51" i="5"/>
  <c r="B51" i="5" a="1"/>
  <c r="B51" i="5" s="1"/>
  <c r="G51" i="5"/>
  <c r="E51" i="5"/>
  <c r="H51" i="5"/>
  <c r="I51" i="5"/>
  <c r="G63" i="5"/>
  <c r="H63" i="5"/>
  <c r="I63" i="5"/>
  <c r="E63" i="5"/>
  <c r="B63" i="5" a="1"/>
  <c r="B63" i="5" s="1"/>
  <c r="F63" i="5"/>
  <c r="H64" i="5"/>
  <c r="B64" i="5" a="1"/>
  <c r="B64" i="5" s="1"/>
  <c r="E64" i="5"/>
  <c r="I64" i="5"/>
  <c r="F64" i="5"/>
  <c r="G64" i="5"/>
  <c r="B52" i="5" a="1"/>
  <c r="B52" i="5" s="1"/>
  <c r="H50" i="5"/>
  <c r="E50" i="5"/>
  <c r="I50" i="5"/>
  <c r="B50" i="5" a="1"/>
  <c r="B50" i="5" s="1"/>
  <c r="F50" i="5"/>
  <c r="G50" i="5"/>
  <c r="K45" i="7"/>
  <c r="F112" i="16"/>
  <c r="E112" i="16"/>
  <c r="H111" i="16"/>
  <c r="C112" i="16"/>
  <c r="H110" i="16"/>
  <c r="F20" i="7" a="1"/>
  <c r="F20" i="7" s="1"/>
  <c r="I20" i="7" a="1"/>
  <c r="I20" i="7" s="1"/>
  <c r="G20" i="7" a="1"/>
  <c r="G20" i="7" s="1"/>
  <c r="F19" i="7" a="1"/>
  <c r="F19" i="7" s="1"/>
  <c r="G19" i="7" a="1"/>
  <c r="G19" i="7" s="1"/>
  <c r="H19" i="7" a="1"/>
  <c r="H19" i="7" s="1"/>
  <c r="H21" i="7" s="1"/>
  <c r="J19" i="7" a="1"/>
  <c r="J19" i="7" s="1"/>
  <c r="I19" i="7" a="1"/>
  <c r="I19" i="7" s="1"/>
  <c r="J20" i="7" a="1"/>
  <c r="J20" i="7" s="1"/>
  <c r="H107" i="16"/>
  <c r="J26" i="7"/>
  <c r="G4" i="1"/>
  <c r="H4" i="1"/>
  <c r="J4" i="1"/>
  <c r="I26" i="7"/>
  <c r="G26" i="7"/>
  <c r="H26" i="7"/>
  <c r="K25" i="7"/>
  <c r="F26" i="7"/>
  <c r="H112" i="16" l="1"/>
  <c r="H52" i="5"/>
  <c r="I61" i="5"/>
  <c r="I54" i="5"/>
  <c r="B54" i="5" a="1"/>
  <c r="B54" i="5" s="1"/>
  <c r="B56" i="5" a="1"/>
  <c r="B56" i="5" s="1"/>
  <c r="F56" i="5"/>
  <c r="B61" i="5" a="1"/>
  <c r="B61" i="5" s="1"/>
  <c r="F61" i="5"/>
  <c r="G57" i="5"/>
  <c r="F57" i="5"/>
  <c r="B57" i="5" a="1"/>
  <c r="B57" i="5" s="1"/>
  <c r="I56" i="5"/>
  <c r="I57" i="5"/>
  <c r="H56" i="5"/>
  <c r="E56" i="5"/>
  <c r="E57" i="5"/>
  <c r="F4" i="1"/>
  <c r="L4" i="1"/>
  <c r="K4" i="1"/>
  <c r="F54" i="5"/>
  <c r="H54" i="5"/>
  <c r="E59" i="5"/>
  <c r="E54" i="5"/>
  <c r="I52" i="5"/>
  <c r="G52" i="5"/>
  <c r="F52" i="5"/>
  <c r="K60" i="7"/>
  <c r="I60" i="7"/>
  <c r="G59" i="5"/>
  <c r="B59" i="5" a="1"/>
  <c r="B59" i="5" s="1"/>
  <c r="F59" i="5"/>
  <c r="H59" i="5"/>
  <c r="I4" i="1"/>
  <c r="E48" i="5"/>
  <c r="G48" i="5"/>
  <c r="B48" i="5" a="1"/>
  <c r="B48" i="5" s="1"/>
  <c r="F48" i="5"/>
  <c r="H48" i="5"/>
  <c r="M72" i="7"/>
  <c r="K47" i="7"/>
  <c r="J71" i="5"/>
  <c r="J73" i="5"/>
  <c r="J74" i="5"/>
  <c r="G70" i="5"/>
  <c r="H70" i="5"/>
  <c r="F70" i="5"/>
  <c r="I70" i="5"/>
  <c r="E70" i="5"/>
  <c r="B70" i="5"/>
  <c r="J72" i="5"/>
  <c r="F16" i="7"/>
  <c r="F29" i="7"/>
  <c r="K14" i="7"/>
  <c r="K29" i="7" s="1"/>
  <c r="F21" i="7"/>
  <c r="G21" i="7"/>
  <c r="I21" i="7"/>
  <c r="K19" i="7"/>
  <c r="J21" i="7"/>
  <c r="K26" i="7"/>
  <c r="K20" i="7"/>
  <c r="J70" i="5" l="1"/>
  <c r="F31" i="7"/>
  <c r="K16" i="7"/>
  <c r="K31" i="7" s="1"/>
  <c r="K21" i="7"/>
  <c r="T122" i="4" l="1"/>
  <c r="T57" i="7" s="1"/>
  <c r="Q42" i="7"/>
  <c r="Q84" i="4"/>
  <c r="R84" i="4"/>
  <c r="R42" i="7"/>
  <c r="P42" i="7"/>
  <c r="P84" i="4"/>
  <c r="Q122" i="4"/>
  <c r="S84" i="4"/>
  <c r="S42" i="7"/>
  <c r="P122" i="4"/>
  <c r="T84" i="4"/>
  <c r="T42" i="7"/>
  <c r="S122" i="4"/>
  <c r="S57" i="7" s="1"/>
  <c r="R122" i="4"/>
  <c r="R57" i="7" s="1"/>
  <c r="S125" i="4"/>
  <c r="J66" i="9"/>
  <c r="R87" i="4"/>
  <c r="P125" i="4"/>
  <c r="R125" i="4"/>
  <c r="P87" i="4"/>
  <c r="I66" i="9"/>
  <c r="Q87" i="4"/>
  <c r="Q125" i="4"/>
  <c r="T87" i="4"/>
  <c r="L66" i="9"/>
  <c r="S87" i="4"/>
  <c r="K66" i="9"/>
  <c r="T125" i="4"/>
  <c r="P57" i="7" l="1"/>
  <c r="P128" i="5"/>
  <c r="U122" i="4"/>
  <c r="U42" i="7"/>
  <c r="Q57" i="7"/>
  <c r="P84" i="5"/>
  <c r="U84" i="4"/>
  <c r="U125" i="4"/>
  <c r="P131" i="5"/>
  <c r="P87" i="5"/>
  <c r="U87" i="4"/>
  <c r="U57" i="7" l="1"/>
  <c r="J13" i="8" l="1"/>
  <c r="J14" i="8"/>
  <c r="K14" i="8" s="1"/>
  <c r="L14" i="8" s="1"/>
  <c r="M14" i="8" s="1"/>
  <c r="N14" i="8" s="1"/>
  <c r="J15" i="8"/>
  <c r="K15" i="8" s="1"/>
  <c r="L15" i="8" s="1"/>
  <c r="M15" i="8" s="1"/>
  <c r="N15" i="8" s="1"/>
  <c r="Q127" i="5" l="1"/>
  <c r="Q107" i="5"/>
  <c r="Q110" i="5"/>
  <c r="I18" i="9"/>
  <c r="H18" i="9"/>
  <c r="Q18" i="5"/>
  <c r="Q111" i="5"/>
  <c r="G18" i="9"/>
  <c r="Q84" i="5"/>
  <c r="Q126" i="5"/>
  <c r="Q108" i="5"/>
  <c r="Q104" i="5"/>
  <c r="Q106" i="5"/>
  <c r="Q23" i="7"/>
  <c r="R23" i="7"/>
  <c r="K18" i="9"/>
  <c r="Q87" i="5"/>
  <c r="Q125" i="5"/>
  <c r="Q128" i="5"/>
  <c r="Q19" i="5"/>
  <c r="S23" i="7"/>
  <c r="Q16" i="5"/>
  <c r="K13" i="8"/>
  <c r="Q14" i="5"/>
  <c r="P23" i="7"/>
  <c r="Q131" i="5"/>
  <c r="T23" i="7"/>
  <c r="Q15" i="5"/>
  <c r="Q81" i="5"/>
  <c r="Q82" i="5"/>
  <c r="Q83" i="5"/>
  <c r="Q12" i="5"/>
  <c r="Q94" i="5"/>
  <c r="Q95" i="5"/>
  <c r="J18" i="9"/>
  <c r="G15" i="9" l="1"/>
  <c r="H15" i="9"/>
  <c r="R19" i="5"/>
  <c r="S96" i="4"/>
  <c r="S28" i="7"/>
  <c r="P123" i="4"/>
  <c r="U105" i="4"/>
  <c r="P105" i="5"/>
  <c r="R105" i="5"/>
  <c r="R123" i="4"/>
  <c r="P12" i="5"/>
  <c r="U12" i="4"/>
  <c r="Q105" i="5"/>
  <c r="Q123" i="4"/>
  <c r="T79" i="4"/>
  <c r="T37" i="7"/>
  <c r="P18" i="5"/>
  <c r="U18" i="4"/>
  <c r="U110" i="4"/>
  <c r="P110" i="5"/>
  <c r="P111" i="5"/>
  <c r="U111" i="4"/>
  <c r="S117" i="4"/>
  <c r="U25" i="4"/>
  <c r="R17" i="5"/>
  <c r="R28" i="7"/>
  <c r="R96" i="4"/>
  <c r="R96" i="5" s="1"/>
  <c r="T118" i="4"/>
  <c r="R14" i="5"/>
  <c r="R18" i="5"/>
  <c r="S123" i="4"/>
  <c r="T80" i="4"/>
  <c r="T38" i="7"/>
  <c r="P102" i="5"/>
  <c r="U102" i="4"/>
  <c r="P118" i="4"/>
  <c r="P112" i="4"/>
  <c r="P104" i="5"/>
  <c r="U104" i="4"/>
  <c r="P37" i="7"/>
  <c r="P11" i="5"/>
  <c r="U11" i="4"/>
  <c r="P79" i="4"/>
  <c r="R111" i="5"/>
  <c r="R104" i="5"/>
  <c r="R37" i="7"/>
  <c r="R79" i="4"/>
  <c r="R11" i="5"/>
  <c r="T96" i="4"/>
  <c r="T28" i="7"/>
  <c r="R13" i="5"/>
  <c r="R43" i="7"/>
  <c r="R85" i="4"/>
  <c r="R85" i="5" s="1"/>
  <c r="R103" i="5"/>
  <c r="R117" i="4"/>
  <c r="U106" i="4"/>
  <c r="P106" i="5"/>
  <c r="P15" i="5"/>
  <c r="P86" i="4"/>
  <c r="H66" i="9"/>
  <c r="P44" i="7"/>
  <c r="P17" i="5"/>
  <c r="P28" i="7"/>
  <c r="P96" i="4"/>
  <c r="U17" i="4"/>
  <c r="T85" i="4"/>
  <c r="T43" i="7"/>
  <c r="Q44" i="7"/>
  <c r="Q28" i="7"/>
  <c r="Q17" i="5"/>
  <c r="Q96" i="4"/>
  <c r="Q96" i="5" s="1"/>
  <c r="Q86" i="4"/>
  <c r="Q86" i="5" s="1"/>
  <c r="R109" i="5"/>
  <c r="P27" i="7"/>
  <c r="U10" i="4"/>
  <c r="P5" i="4"/>
  <c r="P10" i="5"/>
  <c r="P38" i="7"/>
  <c r="P80" i="4"/>
  <c r="P93" i="4"/>
  <c r="T117" i="4"/>
  <c r="Q117" i="4"/>
  <c r="Q103" i="5"/>
  <c r="R80" i="4"/>
  <c r="R80" i="5" s="1"/>
  <c r="R10" i="5"/>
  <c r="R38" i="7"/>
  <c r="S85" i="4"/>
  <c r="S43" i="7"/>
  <c r="U23" i="7"/>
  <c r="R125" i="5"/>
  <c r="R131" i="5"/>
  <c r="R126" i="5"/>
  <c r="R84" i="5"/>
  <c r="R87" i="5"/>
  <c r="R94" i="5"/>
  <c r="L13" i="8"/>
  <c r="R81" i="5"/>
  <c r="R127" i="5"/>
  <c r="R95" i="5"/>
  <c r="R83" i="5"/>
  <c r="R128" i="5"/>
  <c r="R82" i="5"/>
  <c r="Q43" i="7"/>
  <c r="Q85" i="4"/>
  <c r="Q85" i="5" s="1"/>
  <c r="Q13" i="5"/>
  <c r="R12" i="5"/>
  <c r="S118" i="4"/>
  <c r="T123" i="4"/>
  <c r="U108" i="4"/>
  <c r="P108" i="5"/>
  <c r="R108" i="5"/>
  <c r="S37" i="7"/>
  <c r="S79" i="4"/>
  <c r="P124" i="4"/>
  <c r="P109" i="5"/>
  <c r="U109" i="4"/>
  <c r="U16" i="4"/>
  <c r="P16" i="5"/>
  <c r="S38" i="7"/>
  <c r="S80" i="4"/>
  <c r="U21" i="4"/>
  <c r="U14" i="4"/>
  <c r="P14" i="5"/>
  <c r="Q124" i="4"/>
  <c r="Q109" i="5"/>
  <c r="Q79" i="4"/>
  <c r="Q11" i="5"/>
  <c r="Q37" i="7"/>
  <c r="U103" i="4"/>
  <c r="P117" i="4"/>
  <c r="P103" i="5"/>
  <c r="U24" i="4"/>
  <c r="U22" i="4"/>
  <c r="R102" i="5"/>
  <c r="R118" i="4"/>
  <c r="P19" i="5"/>
  <c r="U19" i="4"/>
  <c r="U13" i="4"/>
  <c r="P43" i="7"/>
  <c r="P13" i="5"/>
  <c r="P85" i="4"/>
  <c r="R106" i="5"/>
  <c r="U23" i="4"/>
  <c r="R110" i="5"/>
  <c r="R16" i="5"/>
  <c r="Q118" i="4"/>
  <c r="Q112" i="4"/>
  <c r="Q102" i="5"/>
  <c r="P107" i="5"/>
  <c r="Q38" i="7"/>
  <c r="Q5" i="4"/>
  <c r="Q4" i="4" s="1"/>
  <c r="Q27" i="7"/>
  <c r="Q80" i="4"/>
  <c r="Q80" i="5" s="1"/>
  <c r="Q93" i="4"/>
  <c r="Q10" i="5"/>
  <c r="U20" i="4"/>
  <c r="R125" i="7" l="1"/>
  <c r="R15" i="4"/>
  <c r="W71" i="1"/>
  <c r="R107" i="4" s="1"/>
  <c r="W5" i="1"/>
  <c r="W4" i="1" s="1"/>
  <c r="S111" i="5"/>
  <c r="G21" i="9"/>
  <c r="H21" i="9"/>
  <c r="S10" i="5"/>
  <c r="S14" i="5"/>
  <c r="S11" i="5"/>
  <c r="S106" i="5"/>
  <c r="S104" i="5"/>
  <c r="S19" i="5"/>
  <c r="S80" i="5"/>
  <c r="Q29" i="7"/>
  <c r="Q32" i="7" s="1"/>
  <c r="S109" i="5"/>
  <c r="Q5" i="5"/>
  <c r="Q4" i="5" s="1"/>
  <c r="S102" i="5"/>
  <c r="S85" i="5"/>
  <c r="Q93" i="5"/>
  <c r="Q97" i="5" s="1"/>
  <c r="Q97" i="4"/>
  <c r="U43" i="7"/>
  <c r="U117" i="4"/>
  <c r="P52" i="7"/>
  <c r="P123" i="5"/>
  <c r="P126" i="4"/>
  <c r="P128" i="4" s="1"/>
  <c r="Q88" i="4"/>
  <c r="Q79" i="5"/>
  <c r="Q88" i="5" s="1"/>
  <c r="S79" i="5"/>
  <c r="S53" i="7"/>
  <c r="S124" i="5"/>
  <c r="S12" i="5"/>
  <c r="S82" i="5"/>
  <c r="S94" i="5"/>
  <c r="S84" i="5"/>
  <c r="S83" i="5"/>
  <c r="S125" i="5"/>
  <c r="S131" i="5"/>
  <c r="M13" i="8"/>
  <c r="T129" i="5" s="1"/>
  <c r="S95" i="5"/>
  <c r="S87" i="5"/>
  <c r="S127" i="5"/>
  <c r="S126" i="5"/>
  <c r="S128" i="5"/>
  <c r="S81" i="5"/>
  <c r="S13" i="5"/>
  <c r="P93" i="5"/>
  <c r="P97" i="4"/>
  <c r="P5" i="5"/>
  <c r="U79" i="4"/>
  <c r="P88" i="4"/>
  <c r="P79" i="5"/>
  <c r="R129" i="5"/>
  <c r="R58" i="7"/>
  <c r="P129" i="5"/>
  <c r="P58" i="7"/>
  <c r="U123" i="4"/>
  <c r="Q53" i="7"/>
  <c r="Q124" i="5"/>
  <c r="Q126" i="4"/>
  <c r="Q128" i="4" s="1"/>
  <c r="Q52" i="7"/>
  <c r="Q123" i="5"/>
  <c r="P4" i="4"/>
  <c r="P96" i="5"/>
  <c r="U96" i="4"/>
  <c r="R52" i="7"/>
  <c r="R123" i="5"/>
  <c r="P112" i="5"/>
  <c r="S105" i="5"/>
  <c r="S108" i="5"/>
  <c r="S103" i="5"/>
  <c r="S17" i="5"/>
  <c r="S96" i="5"/>
  <c r="P85" i="5"/>
  <c r="U85" i="4"/>
  <c r="Q45" i="7"/>
  <c r="Q130" i="5"/>
  <c r="Q59" i="7"/>
  <c r="P130" i="5"/>
  <c r="P59" i="7"/>
  <c r="T58" i="7"/>
  <c r="U80" i="4"/>
  <c r="P80" i="5"/>
  <c r="U28" i="7"/>
  <c r="R79" i="5"/>
  <c r="S129" i="5"/>
  <c r="S58" i="7"/>
  <c r="T53" i="7"/>
  <c r="S123" i="5"/>
  <c r="S52" i="7"/>
  <c r="S110" i="5"/>
  <c r="Q112" i="5"/>
  <c r="R53" i="7"/>
  <c r="R124" i="5"/>
  <c r="T52" i="7"/>
  <c r="U38" i="7"/>
  <c r="P29" i="7"/>
  <c r="P86" i="5"/>
  <c r="S18" i="5"/>
  <c r="S16" i="5"/>
  <c r="P45" i="7"/>
  <c r="U37" i="7"/>
  <c r="U118" i="4"/>
  <c r="P53" i="7"/>
  <c r="P124" i="5"/>
  <c r="Q129" i="5"/>
  <c r="Q58" i="7"/>
  <c r="U125" i="7" l="1"/>
  <c r="U128" i="7" s="1"/>
  <c r="R128" i="7"/>
  <c r="X71" i="1"/>
  <c r="S107" i="4" s="1"/>
  <c r="X5" i="1"/>
  <c r="X4" i="1" s="1"/>
  <c r="R86" i="4"/>
  <c r="R93" i="4"/>
  <c r="R27" i="7"/>
  <c r="R44" i="7"/>
  <c r="I15" i="9"/>
  <c r="I21" i="9" s="1"/>
  <c r="R5" i="4"/>
  <c r="R15" i="5"/>
  <c r="R5" i="5" s="1"/>
  <c r="Q47" i="7"/>
  <c r="T124" i="5"/>
  <c r="U124" i="5" s="1"/>
  <c r="T96" i="5"/>
  <c r="U96" i="5" s="1"/>
  <c r="T85" i="5"/>
  <c r="U85" i="5" s="1"/>
  <c r="T123" i="5"/>
  <c r="U123" i="5" s="1"/>
  <c r="T79" i="5"/>
  <c r="U79" i="5" s="1"/>
  <c r="T80" i="5"/>
  <c r="U80" i="5" s="1"/>
  <c r="Q132" i="5"/>
  <c r="Q134" i="5" s="1"/>
  <c r="Q60" i="7"/>
  <c r="P88" i="5"/>
  <c r="P97" i="5"/>
  <c r="P132" i="5"/>
  <c r="P134" i="5" s="1"/>
  <c r="U129" i="5"/>
  <c r="U58" i="7"/>
  <c r="P4" i="5"/>
  <c r="T126" i="5"/>
  <c r="U126" i="5" s="1"/>
  <c r="T83" i="5"/>
  <c r="U83" i="5" s="1"/>
  <c r="T131" i="5"/>
  <c r="U131" i="5" s="1"/>
  <c r="T127" i="5"/>
  <c r="U127" i="5" s="1"/>
  <c r="T87" i="5"/>
  <c r="U87" i="5" s="1"/>
  <c r="T95" i="5"/>
  <c r="U95" i="5" s="1"/>
  <c r="T94" i="5"/>
  <c r="U94" i="5" s="1"/>
  <c r="T84" i="5"/>
  <c r="U84" i="5" s="1"/>
  <c r="N13" i="8"/>
  <c r="T125" i="5"/>
  <c r="U125" i="5" s="1"/>
  <c r="T82" i="5"/>
  <c r="U82" i="5" s="1"/>
  <c r="T81" i="5"/>
  <c r="U81" i="5" s="1"/>
  <c r="T128" i="5"/>
  <c r="U128" i="5" s="1"/>
  <c r="T12" i="5"/>
  <c r="U12" i="5" s="1"/>
  <c r="V104" i="5" s="1"/>
  <c r="T11" i="5"/>
  <c r="U11" i="5" s="1"/>
  <c r="V103" i="5" s="1"/>
  <c r="T17" i="5"/>
  <c r="U17" i="5" s="1"/>
  <c r="V109" i="5" s="1"/>
  <c r="T14" i="5"/>
  <c r="U14" i="5" s="1"/>
  <c r="V106" i="5" s="1"/>
  <c r="T10" i="5"/>
  <c r="T103" i="5"/>
  <c r="U103" i="5" s="1"/>
  <c r="T19" i="5"/>
  <c r="U19" i="5" s="1"/>
  <c r="V111" i="5" s="1"/>
  <c r="T109" i="5"/>
  <c r="U109" i="5" s="1"/>
  <c r="T18" i="5"/>
  <c r="U18" i="5" s="1"/>
  <c r="V110" i="5" s="1"/>
  <c r="T106" i="5"/>
  <c r="U106" i="5" s="1"/>
  <c r="T102" i="5"/>
  <c r="T13" i="5"/>
  <c r="U13" i="5" s="1"/>
  <c r="V105" i="5" s="1"/>
  <c r="T105" i="5"/>
  <c r="U105" i="5" s="1"/>
  <c r="T108" i="5"/>
  <c r="U108" i="5" s="1"/>
  <c r="T16" i="5"/>
  <c r="U16" i="5" s="1"/>
  <c r="V108" i="5" s="1"/>
  <c r="T111" i="5"/>
  <c r="U111" i="5" s="1"/>
  <c r="T104" i="5"/>
  <c r="U104" i="5" s="1"/>
  <c r="T110" i="5"/>
  <c r="U110" i="5" s="1"/>
  <c r="P60" i="7"/>
  <c r="U52" i="7"/>
  <c r="U53" i="7"/>
  <c r="P47" i="7"/>
  <c r="P32" i="7"/>
  <c r="R45" i="7" l="1"/>
  <c r="R93" i="5"/>
  <c r="R97" i="5" s="1"/>
  <c r="R97" i="4"/>
  <c r="R124" i="4"/>
  <c r="R112" i="4"/>
  <c r="R107" i="5"/>
  <c r="R112" i="5" s="1"/>
  <c r="R86" i="5"/>
  <c r="R88" i="5" s="1"/>
  <c r="R88" i="4"/>
  <c r="R29" i="7"/>
  <c r="R4" i="4"/>
  <c r="S44" i="7"/>
  <c r="J15" i="9"/>
  <c r="J21" i="9" s="1"/>
  <c r="S86" i="4"/>
  <c r="S27" i="7"/>
  <c r="S29" i="7" s="1"/>
  <c r="S32" i="7" s="1"/>
  <c r="S5" i="4"/>
  <c r="S4" i="4" s="1"/>
  <c r="S93" i="4"/>
  <c r="S15" i="5"/>
  <c r="S5" i="5" s="1"/>
  <c r="R4" i="5"/>
  <c r="S112" i="4"/>
  <c r="S124" i="4"/>
  <c r="S107" i="5"/>
  <c r="S112" i="5" s="1"/>
  <c r="U10" i="5"/>
  <c r="V102" i="5" s="1"/>
  <c r="U102" i="5"/>
  <c r="S45" i="7" l="1"/>
  <c r="S47" i="7" s="1"/>
  <c r="S88" i="4"/>
  <c r="S86" i="5"/>
  <c r="S88" i="5" s="1"/>
  <c r="S130" i="5"/>
  <c r="S132" i="5" s="1"/>
  <c r="S126" i="4"/>
  <c r="S128" i="4" s="1"/>
  <c r="S59" i="7"/>
  <c r="R126" i="4"/>
  <c r="R59" i="7"/>
  <c r="R130" i="5"/>
  <c r="R132" i="5" s="1"/>
  <c r="Y71" i="1"/>
  <c r="T107" i="4" s="1"/>
  <c r="Y5" i="1"/>
  <c r="Y4" i="1" s="1"/>
  <c r="Z19" i="1"/>
  <c r="Z5" i="1" s="1"/>
  <c r="S4" i="5"/>
  <c r="R32" i="7"/>
  <c r="S97" i="4"/>
  <c r="S93" i="5"/>
  <c r="S97" i="5" s="1"/>
  <c r="R47" i="7"/>
  <c r="S60" i="7" l="1"/>
  <c r="R134" i="5"/>
  <c r="R128" i="4"/>
  <c r="Z71" i="1"/>
  <c r="S134" i="5"/>
  <c r="R60" i="7"/>
  <c r="T93" i="4"/>
  <c r="T27" i="7"/>
  <c r="T5" i="4"/>
  <c r="K15" i="9"/>
  <c r="K21" i="9" s="1"/>
  <c r="T86" i="4"/>
  <c r="T44" i="7"/>
  <c r="T15" i="5"/>
  <c r="U15" i="4"/>
  <c r="T4" i="4" l="1"/>
  <c r="U5" i="4"/>
  <c r="T97" i="4"/>
  <c r="T93" i="5"/>
  <c r="U93" i="4"/>
  <c r="U97" i="4" s="1"/>
  <c r="T124" i="4"/>
  <c r="T112" i="4"/>
  <c r="T107" i="5"/>
  <c r="U107" i="4"/>
  <c r="U112" i="4" s="1"/>
  <c r="T29" i="7"/>
  <c r="U27" i="7"/>
  <c r="U50" i="4"/>
  <c r="U55" i="4"/>
  <c r="U56" i="4"/>
  <c r="U59" i="4"/>
  <c r="U61" i="4"/>
  <c r="U54" i="4"/>
  <c r="U53" i="4"/>
  <c r="U52" i="4"/>
  <c r="U47" i="4"/>
  <c r="U58" i="4"/>
  <c r="U62" i="4"/>
  <c r="U49" i="4"/>
  <c r="U57" i="4"/>
  <c r="U60" i="4"/>
  <c r="U51" i="4"/>
  <c r="U48" i="4"/>
  <c r="U15" i="5"/>
  <c r="V107" i="5" s="1"/>
  <c r="T5" i="5"/>
  <c r="T45" i="7"/>
  <c r="U44" i="7"/>
  <c r="U45" i="7" s="1"/>
  <c r="W128" i="7" s="1"/>
  <c r="T88" i="4"/>
  <c r="U88" i="4" s="1"/>
  <c r="T86" i="5"/>
  <c r="U86" i="4"/>
  <c r="W88" i="4" l="1"/>
  <c r="L57" i="4" a="1"/>
  <c r="L57" i="4" s="1"/>
  <c r="P57" i="4" a="1"/>
  <c r="P57" i="4" s="1"/>
  <c r="N57" i="4" a="1"/>
  <c r="N57" i="4" s="1"/>
  <c r="Q57" i="4" a="1"/>
  <c r="Q57" i="4" s="1"/>
  <c r="O57" i="4" a="1"/>
  <c r="O57" i="4" s="1"/>
  <c r="T57" i="4" a="1"/>
  <c r="T57" i="4" s="1"/>
  <c r="S57" i="4" a="1"/>
  <c r="S57" i="4" s="1"/>
  <c r="R57" i="4" a="1"/>
  <c r="R57" i="4" s="1"/>
  <c r="M57" i="4" a="1"/>
  <c r="M57" i="4" s="1"/>
  <c r="R47" i="4" a="1"/>
  <c r="R47" i="4" s="1"/>
  <c r="R47" i="5" s="1"/>
  <c r="Q47" i="4" a="1"/>
  <c r="Q47" i="4" s="1"/>
  <c r="Q47" i="5" s="1"/>
  <c r="T47" i="4" a="1"/>
  <c r="T47" i="4" s="1"/>
  <c r="T47" i="5" s="1"/>
  <c r="L47" i="4" a="1"/>
  <c r="L47" i="4" s="1"/>
  <c r="L47" i="5" s="1"/>
  <c r="M47" i="5" s="1"/>
  <c r="P47" i="4" a="1"/>
  <c r="P47" i="4" s="1"/>
  <c r="P47" i="5" s="1"/>
  <c r="S47" i="4" a="1"/>
  <c r="S47" i="4" s="1"/>
  <c r="S47" i="5" s="1"/>
  <c r="M47" i="4" a="1"/>
  <c r="M47" i="4" s="1"/>
  <c r="M70" i="4" s="1"/>
  <c r="N47" i="4" a="1"/>
  <c r="N47" i="4" s="1"/>
  <c r="N47" i="5" s="1"/>
  <c r="O47" i="4" a="1"/>
  <c r="O47" i="4" s="1"/>
  <c r="O47" i="5" s="1"/>
  <c r="U107" i="5"/>
  <c r="U112" i="5" s="1"/>
  <c r="T112" i="5"/>
  <c r="S49" i="4" a="1"/>
  <c r="S49" i="4" s="1"/>
  <c r="S49" i="5" s="1"/>
  <c r="N49" i="4" a="1"/>
  <c r="N49" i="4" s="1"/>
  <c r="N49" i="5" s="1"/>
  <c r="L49" i="4" a="1"/>
  <c r="L49" i="4" s="1"/>
  <c r="L49" i="5" s="1"/>
  <c r="M49" i="5" s="1"/>
  <c r="P49" i="4" a="1"/>
  <c r="P49" i="4" s="1"/>
  <c r="P49" i="5" s="1"/>
  <c r="O49" i="4" a="1"/>
  <c r="O49" i="4" s="1"/>
  <c r="O49" i="5" s="1"/>
  <c r="Q49" i="4" a="1"/>
  <c r="Q49" i="4" s="1"/>
  <c r="Q49" i="5" s="1"/>
  <c r="T49" i="4" a="1"/>
  <c r="T49" i="4" s="1"/>
  <c r="T49" i="5" s="1"/>
  <c r="R49" i="4" a="1"/>
  <c r="R49" i="4" s="1"/>
  <c r="R49" i="5" s="1"/>
  <c r="M49" i="4" a="1"/>
  <c r="M49" i="4" s="1"/>
  <c r="M72" i="4" s="1"/>
  <c r="W112" i="4"/>
  <c r="P52" i="4" a="1"/>
  <c r="P52" i="4" s="1"/>
  <c r="P52" i="5" s="1"/>
  <c r="S52" i="4" a="1"/>
  <c r="S52" i="4" s="1"/>
  <c r="S52" i="5" s="1"/>
  <c r="T52" i="4" a="1"/>
  <c r="T52" i="4" s="1"/>
  <c r="T52" i="5" s="1"/>
  <c r="M52" i="4" a="1"/>
  <c r="M52" i="4" s="1"/>
  <c r="O52" i="4" a="1"/>
  <c r="O52" i="4" s="1"/>
  <c r="O52" i="5" s="1"/>
  <c r="Q52" i="4" a="1"/>
  <c r="Q52" i="4" s="1"/>
  <c r="Q52" i="5" s="1"/>
  <c r="N52" i="4" a="1"/>
  <c r="N52" i="4" s="1"/>
  <c r="N52" i="5" s="1"/>
  <c r="L52" i="4" a="1"/>
  <c r="L52" i="4" s="1"/>
  <c r="L52" i="5" s="1"/>
  <c r="M52" i="5" s="1"/>
  <c r="R52" i="4" a="1"/>
  <c r="R52" i="4" s="1"/>
  <c r="R52" i="5" s="1"/>
  <c r="L53" i="4" a="1"/>
  <c r="L53" i="4" s="1"/>
  <c r="L53" i="5" s="1"/>
  <c r="M53" i="5" s="1"/>
  <c r="O53" i="4" a="1"/>
  <c r="O53" i="4" s="1"/>
  <c r="O53" i="5" s="1"/>
  <c r="R53" i="4" a="1"/>
  <c r="R53" i="4" s="1"/>
  <c r="R53" i="5" s="1"/>
  <c r="M53" i="4" a="1"/>
  <c r="M53" i="4" s="1"/>
  <c r="S53" i="4" a="1"/>
  <c r="S53" i="4" s="1"/>
  <c r="S53" i="5" s="1"/>
  <c r="N53" i="4" a="1"/>
  <c r="N53" i="4" s="1"/>
  <c r="N53" i="5" s="1"/>
  <c r="T53" i="4" a="1"/>
  <c r="T53" i="4" s="1"/>
  <c r="T53" i="5" s="1"/>
  <c r="P53" i="4" a="1"/>
  <c r="P53" i="4" s="1"/>
  <c r="P53" i="5" s="1"/>
  <c r="Q53" i="4" a="1"/>
  <c r="Q53" i="4" s="1"/>
  <c r="Q53" i="5" s="1"/>
  <c r="T59" i="7"/>
  <c r="T126" i="4"/>
  <c r="T130" i="5"/>
  <c r="U124" i="4"/>
  <c r="L62" i="4" a="1"/>
  <c r="L62" i="4" s="1"/>
  <c r="R62" i="4" a="1"/>
  <c r="R62" i="4" s="1"/>
  <c r="Q62" i="4" a="1"/>
  <c r="Q62" i="4" s="1"/>
  <c r="O62" i="4" a="1"/>
  <c r="O62" i="4" s="1"/>
  <c r="S62" i="4" a="1"/>
  <c r="S62" i="4" s="1"/>
  <c r="T62" i="4" a="1"/>
  <c r="T62" i="4" s="1"/>
  <c r="M62" i="4" a="1"/>
  <c r="M62" i="4" s="1"/>
  <c r="P62" i="4" a="1"/>
  <c r="P62" i="4" s="1"/>
  <c r="N62" i="4" a="1"/>
  <c r="N62" i="4" s="1"/>
  <c r="U86" i="5"/>
  <c r="U88" i="5" s="1"/>
  <c r="T88" i="5"/>
  <c r="U5" i="5"/>
  <c r="T4" i="5"/>
  <c r="N54" i="4" a="1"/>
  <c r="N54" i="4" s="1"/>
  <c r="N54" i="5" s="1"/>
  <c r="S54" i="4" a="1"/>
  <c r="S54" i="4" s="1"/>
  <c r="S54" i="5" s="1"/>
  <c r="L54" i="4" a="1"/>
  <c r="L54" i="4" s="1"/>
  <c r="L54" i="5" s="1"/>
  <c r="M54" i="5" s="1"/>
  <c r="P54" i="4" a="1"/>
  <c r="P54" i="4" s="1"/>
  <c r="P54" i="5" s="1"/>
  <c r="Q54" i="4" a="1"/>
  <c r="Q54" i="4" s="1"/>
  <c r="Q54" i="5" s="1"/>
  <c r="O54" i="4" a="1"/>
  <c r="O54" i="4" s="1"/>
  <c r="O54" i="5" s="1"/>
  <c r="T54" i="4" a="1"/>
  <c r="T54" i="4" s="1"/>
  <c r="T54" i="5" s="1"/>
  <c r="M54" i="4" a="1"/>
  <c r="M54" i="4" s="1"/>
  <c r="R54" i="4" a="1"/>
  <c r="R54" i="4" s="1"/>
  <c r="R54" i="5" s="1"/>
  <c r="W97" i="4"/>
  <c r="P61" i="4" a="1"/>
  <c r="P61" i="4" s="1"/>
  <c r="Q61" i="4" a="1"/>
  <c r="Q61" i="4" s="1"/>
  <c r="T61" i="4" a="1"/>
  <c r="T61" i="4" s="1"/>
  <c r="N61" i="4" a="1"/>
  <c r="N61" i="4" s="1"/>
  <c r="L61" i="4" a="1"/>
  <c r="L61" i="4" s="1"/>
  <c r="R61" i="4" a="1"/>
  <c r="R61" i="4" s="1"/>
  <c r="S61" i="4" a="1"/>
  <c r="S61" i="4" s="1"/>
  <c r="M61" i="4" a="1"/>
  <c r="M61" i="4" s="1"/>
  <c r="O61" i="4" a="1"/>
  <c r="O61" i="4" s="1"/>
  <c r="U93" i="5"/>
  <c r="U97" i="5" s="1"/>
  <c r="T97" i="5"/>
  <c r="T32" i="7"/>
  <c r="U32" i="7" s="1"/>
  <c r="T47" i="7"/>
  <c r="U29" i="7"/>
  <c r="U47" i="7" s="1"/>
  <c r="M48" i="4" a="1"/>
  <c r="M48" i="4" s="1"/>
  <c r="M71" i="4" s="1"/>
  <c r="R48" i="4" a="1"/>
  <c r="R48" i="4" s="1"/>
  <c r="R48" i="5" s="1"/>
  <c r="T48" i="4" a="1"/>
  <c r="T48" i="4" s="1"/>
  <c r="T48" i="5" s="1"/>
  <c r="N48" i="4" a="1"/>
  <c r="N48" i="4" s="1"/>
  <c r="N48" i="5" s="1"/>
  <c r="O48" i="4" a="1"/>
  <c r="O48" i="4" s="1"/>
  <c r="O48" i="5" s="1"/>
  <c r="Q48" i="4" a="1"/>
  <c r="Q48" i="4" s="1"/>
  <c r="Q48" i="5" s="1"/>
  <c r="L48" i="4" a="1"/>
  <c r="L48" i="4" s="1"/>
  <c r="L48" i="5" s="1"/>
  <c r="M48" i="5" s="1"/>
  <c r="P48" i="4" a="1"/>
  <c r="P48" i="4" s="1"/>
  <c r="P48" i="5" s="1"/>
  <c r="S48" i="4" a="1"/>
  <c r="S48" i="4" s="1"/>
  <c r="S48" i="5" s="1"/>
  <c r="Q59" i="4" a="1"/>
  <c r="Q59" i="4" s="1"/>
  <c r="M59" i="4" a="1"/>
  <c r="M59" i="4" s="1"/>
  <c r="O59" i="4" a="1"/>
  <c r="O59" i="4" s="1"/>
  <c r="L59" i="4" a="1"/>
  <c r="L59" i="4" s="1"/>
  <c r="R59" i="4" a="1"/>
  <c r="R59" i="4" s="1"/>
  <c r="T59" i="4" a="1"/>
  <c r="T59" i="4" s="1"/>
  <c r="N59" i="4" a="1"/>
  <c r="N59" i="4" s="1"/>
  <c r="S59" i="4" a="1"/>
  <c r="S59" i="4" s="1"/>
  <c r="P59" i="4" a="1"/>
  <c r="P59" i="4" s="1"/>
  <c r="M50" i="4" a="1"/>
  <c r="M50" i="4" s="1"/>
  <c r="M73" i="4" s="1"/>
  <c r="L50" i="4" a="1"/>
  <c r="L50" i="4" s="1"/>
  <c r="L50" i="5" s="1"/>
  <c r="M50" i="5" s="1"/>
  <c r="Q50" i="4" a="1"/>
  <c r="Q50" i="4" s="1"/>
  <c r="Q50" i="5" s="1"/>
  <c r="O50" i="4" a="1"/>
  <c r="O50" i="4" s="1"/>
  <c r="O50" i="5" s="1"/>
  <c r="P50" i="4" a="1"/>
  <c r="P50" i="4" s="1"/>
  <c r="P50" i="5" s="1"/>
  <c r="N50" i="4" a="1"/>
  <c r="N50" i="4" s="1"/>
  <c r="N50" i="5" s="1"/>
  <c r="S50" i="4" a="1"/>
  <c r="S50" i="4" s="1"/>
  <c r="S50" i="5" s="1"/>
  <c r="T50" i="4" a="1"/>
  <c r="T50" i="4" s="1"/>
  <c r="T50" i="5" s="1"/>
  <c r="R50" i="4" a="1"/>
  <c r="R50" i="4" s="1"/>
  <c r="R50" i="5" s="1"/>
  <c r="S58" i="4" a="1"/>
  <c r="S58" i="4" s="1"/>
  <c r="N58" i="4" a="1"/>
  <c r="N58" i="4" s="1"/>
  <c r="L58" i="4" a="1"/>
  <c r="L58" i="4" s="1"/>
  <c r="M58" i="4" a="1"/>
  <c r="M58" i="4" s="1"/>
  <c r="Q58" i="4" a="1"/>
  <c r="Q58" i="4" s="1"/>
  <c r="R58" i="4" a="1"/>
  <c r="R58" i="4" s="1"/>
  <c r="O58" i="4" a="1"/>
  <c r="O58" i="4" s="1"/>
  <c r="P58" i="4" a="1"/>
  <c r="P58" i="4" s="1"/>
  <c r="T58" i="4" a="1"/>
  <c r="T58" i="4" s="1"/>
  <c r="R74" i="4"/>
  <c r="O51" i="4" a="1"/>
  <c r="O51" i="4" s="1"/>
  <c r="O51" i="5" s="1"/>
  <c r="O74" i="4"/>
  <c r="L51" i="4" a="1"/>
  <c r="L51" i="4" s="1"/>
  <c r="L51" i="5" s="1"/>
  <c r="M51" i="5" s="1"/>
  <c r="M74" i="4"/>
  <c r="P74" i="4"/>
  <c r="T51" i="4" a="1"/>
  <c r="T51" i="4" s="1"/>
  <c r="T51" i="5" s="1"/>
  <c r="P51" i="4" a="1"/>
  <c r="P51" i="4" s="1"/>
  <c r="P51" i="5" s="1"/>
  <c r="Q51" i="4" a="1"/>
  <c r="Q51" i="4" s="1"/>
  <c r="Q51" i="5" s="1"/>
  <c r="Q74" i="4"/>
  <c r="N51" i="4" a="1"/>
  <c r="N51" i="4" s="1"/>
  <c r="N51" i="5" s="1"/>
  <c r="S51" i="4" a="1"/>
  <c r="S51" i="4" s="1"/>
  <c r="S51" i="5" s="1"/>
  <c r="S74" i="4"/>
  <c r="N74" i="4"/>
  <c r="L74" i="4"/>
  <c r="B47" i="9" s="1" a="1"/>
  <c r="B47" i="9" s="1"/>
  <c r="M51" i="4" a="1"/>
  <c r="M51" i="4" s="1"/>
  <c r="T74" i="4"/>
  <c r="R51" i="4" a="1"/>
  <c r="R51" i="4" s="1"/>
  <c r="R51" i="5" s="1"/>
  <c r="R56" i="4" a="1"/>
  <c r="R56" i="4" s="1"/>
  <c r="R56" i="5" s="1"/>
  <c r="T56" i="4" a="1"/>
  <c r="T56" i="4" s="1"/>
  <c r="T56" i="5" s="1"/>
  <c r="L56" i="4" a="1"/>
  <c r="L56" i="4" s="1"/>
  <c r="L56" i="5" s="1"/>
  <c r="M56" i="5" s="1"/>
  <c r="O56" i="4" a="1"/>
  <c r="O56" i="4" s="1"/>
  <c r="O56" i="5" s="1"/>
  <c r="Q56" i="4" a="1"/>
  <c r="Q56" i="4" s="1"/>
  <c r="Q56" i="5" s="1"/>
  <c r="M56" i="4" a="1"/>
  <c r="M56" i="4" s="1"/>
  <c r="S56" i="4" a="1"/>
  <c r="S56" i="4" s="1"/>
  <c r="S56" i="5" s="1"/>
  <c r="N56" i="4" a="1"/>
  <c r="N56" i="4" s="1"/>
  <c r="N56" i="5" s="1"/>
  <c r="P56" i="4" a="1"/>
  <c r="P56" i="4" s="1"/>
  <c r="P56" i="5" s="1"/>
  <c r="W62" i="4"/>
  <c r="M60" i="4" a="1"/>
  <c r="M60" i="4" s="1"/>
  <c r="Q60" i="4" a="1"/>
  <c r="Q60" i="4" s="1"/>
  <c r="N60" i="4" a="1"/>
  <c r="N60" i="4" s="1"/>
  <c r="S60" i="4" a="1"/>
  <c r="S60" i="4" s="1"/>
  <c r="T60" i="4" a="1"/>
  <c r="T60" i="4" s="1"/>
  <c r="R60" i="4" a="1"/>
  <c r="R60" i="4" s="1"/>
  <c r="P60" i="4" a="1"/>
  <c r="P60" i="4" s="1"/>
  <c r="O60" i="4" a="1"/>
  <c r="O60" i="4" s="1"/>
  <c r="L60" i="4" a="1"/>
  <c r="L60" i="4" s="1"/>
  <c r="R55" i="4" a="1"/>
  <c r="R55" i="4" s="1"/>
  <c r="R55" i="5" s="1"/>
  <c r="L55" i="4" a="1"/>
  <c r="L55" i="4" s="1"/>
  <c r="L55" i="5" s="1"/>
  <c r="M55" i="5" s="1"/>
  <c r="Q55" i="4" a="1"/>
  <c r="Q55" i="4" s="1"/>
  <c r="Q55" i="5" s="1"/>
  <c r="S55" i="4" a="1"/>
  <c r="S55" i="4" s="1"/>
  <c r="S55" i="5" s="1"/>
  <c r="M55" i="4" a="1"/>
  <c r="M55" i="4" s="1"/>
  <c r="P55" i="4" a="1"/>
  <c r="P55" i="4" s="1"/>
  <c r="P55" i="5" s="1"/>
  <c r="T55" i="4" a="1"/>
  <c r="T55" i="4" s="1"/>
  <c r="T55" i="5" s="1"/>
  <c r="N55" i="4" a="1"/>
  <c r="N55" i="4" s="1"/>
  <c r="N55" i="5" s="1"/>
  <c r="O55" i="4" a="1"/>
  <c r="O55" i="4" s="1"/>
  <c r="O55" i="5" s="1"/>
  <c r="P70" i="4" l="1"/>
  <c r="P70" i="5" s="1"/>
  <c r="L70" i="4"/>
  <c r="O11" i="7" s="1"/>
  <c r="N72" i="4"/>
  <c r="N72" i="5" s="1"/>
  <c r="S70" i="4"/>
  <c r="S11" i="7" s="1"/>
  <c r="S72" i="4"/>
  <c r="S72" i="5" s="1"/>
  <c r="P73" i="4"/>
  <c r="L73" i="4"/>
  <c r="O20" i="7" s="1"/>
  <c r="Q73" i="4"/>
  <c r="O73" i="4"/>
  <c r="T73" i="4"/>
  <c r="T71" i="4"/>
  <c r="T71" i="5" s="1"/>
  <c r="N70" i="4"/>
  <c r="N70" i="5" s="1"/>
  <c r="P71" i="4"/>
  <c r="P71" i="5" s="1"/>
  <c r="L71" i="4"/>
  <c r="B35" i="9" s="1" a="1"/>
  <c r="B35" i="9" s="1"/>
  <c r="O70" i="4"/>
  <c r="O70" i="5" s="1"/>
  <c r="N71" i="4"/>
  <c r="N71" i="5" s="1"/>
  <c r="O71" i="4"/>
  <c r="O71" i="5" s="1"/>
  <c r="U52" i="5"/>
  <c r="L72" i="4"/>
  <c r="P11" i="7"/>
  <c r="U55" i="5"/>
  <c r="U74" i="4"/>
  <c r="S71" i="4"/>
  <c r="S71" i="5" s="1"/>
  <c r="U130" i="5"/>
  <c r="U132" i="5" s="1"/>
  <c r="T132" i="5"/>
  <c r="T134" i="5" s="1"/>
  <c r="R72" i="4"/>
  <c r="R72" i="5" s="1"/>
  <c r="U49" i="5"/>
  <c r="R70" i="4"/>
  <c r="T70" i="4"/>
  <c r="U48" i="5"/>
  <c r="T60" i="7"/>
  <c r="U59" i="7"/>
  <c r="U60" i="7" s="1"/>
  <c r="O72" i="4"/>
  <c r="O72" i="5" s="1"/>
  <c r="U50" i="5"/>
  <c r="N73" i="4"/>
  <c r="U53" i="5"/>
  <c r="T72" i="4"/>
  <c r="T72" i="5" s="1"/>
  <c r="U51" i="5"/>
  <c r="U56" i="5"/>
  <c r="S73" i="4"/>
  <c r="R71" i="4"/>
  <c r="R71" i="5" s="1"/>
  <c r="Q72" i="4"/>
  <c r="Q72" i="5" s="1"/>
  <c r="T128" i="4"/>
  <c r="U126" i="4"/>
  <c r="U54" i="5"/>
  <c r="P72" i="4"/>
  <c r="Q70" i="4"/>
  <c r="U47" i="5"/>
  <c r="R73" i="4"/>
  <c r="Q71" i="4"/>
  <c r="Q71" i="5" s="1"/>
  <c r="B31" i="9" a="1"/>
  <c r="B31" i="9" s="1"/>
  <c r="L70" i="5" l="1"/>
  <c r="M70" i="5" s="1"/>
  <c r="B43" i="9" a="1"/>
  <c r="B43" i="9" s="1"/>
  <c r="N43" i="9" s="1" a="1"/>
  <c r="N43" i="9" s="1"/>
  <c r="N46" i="9" s="1"/>
  <c r="S70" i="5"/>
  <c r="L71" i="5"/>
  <c r="M71" i="5" s="1"/>
  <c r="K47" i="9" a="1"/>
  <c r="K47" i="9" s="1"/>
  <c r="K50" i="9" s="1"/>
  <c r="O14" i="7"/>
  <c r="T14" i="7" s="1"/>
  <c r="U73" i="4"/>
  <c r="L47" i="9" a="1"/>
  <c r="L47" i="9" s="1"/>
  <c r="L50" i="9" s="1"/>
  <c r="U70" i="4"/>
  <c r="P72" i="5"/>
  <c r="U72" i="5" s="1"/>
  <c r="U72" i="4"/>
  <c r="U71" i="4"/>
  <c r="T11" i="7"/>
  <c r="T70" i="5"/>
  <c r="O17" i="7"/>
  <c r="B39" i="9" a="1"/>
  <c r="B39" i="9" s="1"/>
  <c r="L72" i="5"/>
  <c r="M72" i="5" s="1"/>
  <c r="R70" i="5"/>
  <c r="R11" i="7"/>
  <c r="M35" i="9" a="1"/>
  <c r="M35" i="9" s="1"/>
  <c r="M38" i="9" s="1"/>
  <c r="O35" i="9" a="1"/>
  <c r="O35" i="9" s="1"/>
  <c r="O38" i="9" s="1"/>
  <c r="N35" i="9" a="1"/>
  <c r="N35" i="9" s="1"/>
  <c r="N38" i="9" s="1"/>
  <c r="K35" i="9" a="1"/>
  <c r="K35" i="9" s="1"/>
  <c r="L35" i="9" a="1"/>
  <c r="L35" i="9" s="1"/>
  <c r="L38" i="9" s="1"/>
  <c r="T20" i="7"/>
  <c r="R20" i="7"/>
  <c r="Q20" i="7"/>
  <c r="S20" i="7"/>
  <c r="P20" i="7"/>
  <c r="O43" i="9" a="1"/>
  <c r="O43" i="9" s="1"/>
  <c r="O46" i="9" s="1"/>
  <c r="L43" i="9" a="1"/>
  <c r="L43" i="9" s="1"/>
  <c r="L46" i="9" s="1"/>
  <c r="M43" i="9" a="1"/>
  <c r="M43" i="9" s="1"/>
  <c r="M46" i="9" s="1"/>
  <c r="M31" i="9" a="1"/>
  <c r="M31" i="9" s="1"/>
  <c r="M34" i="9" s="1"/>
  <c r="L31" i="9" a="1"/>
  <c r="L31" i="9" s="1"/>
  <c r="L34" i="9" s="1"/>
  <c r="K31" i="9" a="1"/>
  <c r="K31" i="9" s="1"/>
  <c r="N31" i="9" a="1"/>
  <c r="N31" i="9" s="1"/>
  <c r="N34" i="9" s="1"/>
  <c r="O31" i="9" a="1"/>
  <c r="O31" i="9" s="1"/>
  <c r="O34" i="9" s="1"/>
  <c r="O47" i="9" a="1"/>
  <c r="O47" i="9" s="1"/>
  <c r="O50" i="9" s="1"/>
  <c r="U71" i="5"/>
  <c r="M47" i="9" a="1"/>
  <c r="M47" i="9" s="1"/>
  <c r="M50" i="9" s="1"/>
  <c r="Q70" i="5"/>
  <c r="Q11" i="7"/>
  <c r="W126" i="4"/>
  <c r="U128" i="4"/>
  <c r="N47" i="9" a="1"/>
  <c r="N47" i="9" s="1"/>
  <c r="N50" i="9" s="1"/>
  <c r="U11" i="7" l="1"/>
  <c r="S14" i="7"/>
  <c r="Q14" i="7"/>
  <c r="R14" i="7"/>
  <c r="P14" i="7"/>
  <c r="K43" i="9" a="1"/>
  <c r="K43" i="9" s="1"/>
  <c r="P43" i="9" s="1"/>
  <c r="U70" i="5"/>
  <c r="K39" i="9" a="1"/>
  <c r="K39" i="9" s="1"/>
  <c r="M39" i="9" a="1"/>
  <c r="M39" i="9" s="1"/>
  <c r="M42" i="9" s="1"/>
  <c r="L39" i="9" a="1"/>
  <c r="L39" i="9" s="1"/>
  <c r="L42" i="9" s="1"/>
  <c r="N39" i="9" a="1"/>
  <c r="N39" i="9" s="1"/>
  <c r="N42" i="9" s="1"/>
  <c r="O39" i="9" a="1"/>
  <c r="O39" i="9" s="1"/>
  <c r="O42" i="9" s="1"/>
  <c r="U20" i="7"/>
  <c r="Q17" i="7"/>
  <c r="T17" i="7"/>
  <c r="P17" i="7"/>
  <c r="S17" i="7"/>
  <c r="R17" i="7"/>
  <c r="P50" i="9"/>
  <c r="P47" i="9"/>
  <c r="K38" i="9"/>
  <c r="P38" i="9" s="1"/>
  <c r="P35" i="9"/>
  <c r="K34" i="9"/>
  <c r="P34" i="9" s="1"/>
  <c r="P31" i="9"/>
  <c r="K46" i="9" l="1"/>
  <c r="P46" i="9" s="1"/>
  <c r="U14" i="7"/>
  <c r="U17" i="7"/>
  <c r="K42" i="9"/>
  <c r="P42" i="9" s="1"/>
  <c r="P39"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<sst xmlns="http://schemas.openxmlformats.org/spreadsheetml/2006/main" count="756" uniqueCount="237">
  <si>
    <t>Capital Expenditure (As incurred)</t>
  </si>
  <si>
    <t>Current Period (Financial Years)</t>
  </si>
  <si>
    <t>Forecast Period (Financial Years)</t>
  </si>
  <si>
    <t>Project</t>
  </si>
  <si>
    <t>$</t>
  </si>
  <si>
    <t>Quantum</t>
  </si>
  <si>
    <t>Asset Class</t>
  </si>
  <si>
    <t>Asset Driver</t>
  </si>
  <si>
    <t>2016/17</t>
  </si>
  <si>
    <t>2017/18</t>
  </si>
  <si>
    <t>2018/19</t>
  </si>
  <si>
    <t>2019/20</t>
  </si>
  <si>
    <t>2020/21</t>
  </si>
  <si>
    <t>2021/22</t>
  </si>
  <si>
    <t>2022/23</t>
  </si>
  <si>
    <t>Total</t>
  </si>
  <si>
    <t>Program</t>
  </si>
  <si>
    <t>2023/24</t>
  </si>
  <si>
    <t>2024/25</t>
  </si>
  <si>
    <t>2025/26</t>
  </si>
  <si>
    <t>2026/27</t>
  </si>
  <si>
    <t>2027/28</t>
  </si>
  <si>
    <t xml:space="preserve">Fire suppression </t>
  </si>
  <si>
    <t>nominal</t>
  </si>
  <si>
    <t>Other operating assets</t>
  </si>
  <si>
    <t>Replacement expenditure</t>
  </si>
  <si>
    <t>Cable Relocations</t>
  </si>
  <si>
    <t>Cable Protection/Modification</t>
  </si>
  <si>
    <t>Transmission Cable</t>
  </si>
  <si>
    <t>NSW Runback Scheme</t>
  </si>
  <si>
    <t>Ancillary 30</t>
  </si>
  <si>
    <t>Cable route signage upgrade</t>
  </si>
  <si>
    <t>Replacement of Control System</t>
  </si>
  <si>
    <t>Ancillary 15 - control systems</t>
  </si>
  <si>
    <t>Development Risk Management</t>
  </si>
  <si>
    <t>Security Fence</t>
  </si>
  <si>
    <t>Switchyard</t>
  </si>
  <si>
    <t>Spares</t>
  </si>
  <si>
    <t>Essential Spares</t>
  </si>
  <si>
    <t>Revenue Determination</t>
  </si>
  <si>
    <t>Non-network</t>
  </si>
  <si>
    <t>Spare Capacitors</t>
  </si>
  <si>
    <t>Earth Switch Upgrade</t>
  </si>
  <si>
    <t>Spare IGBT’s</t>
  </si>
  <si>
    <t>IGBTs</t>
  </si>
  <si>
    <t>Replacement IGBTs</t>
  </si>
  <si>
    <t>Ancillary asset - 7 Years</t>
  </si>
  <si>
    <t>Other</t>
  </si>
  <si>
    <t>Cable fault locator</t>
  </si>
  <si>
    <t>Stay in business</t>
  </si>
  <si>
    <t>Fan Coil Motors</t>
  </si>
  <si>
    <t>Power Supply Upgrade - increased battery storage and backup diesel</t>
  </si>
  <si>
    <t>Reliability</t>
  </si>
  <si>
    <t>NSW Runback Scheme()</t>
  </si>
  <si>
    <t>Security enhancements (physical)</t>
  </si>
  <si>
    <t>SOCI</t>
  </si>
  <si>
    <t>Non ancillary asset</t>
  </si>
  <si>
    <t>Capacitors</t>
  </si>
  <si>
    <t>Security enhancements (cyber)</t>
  </si>
  <si>
    <t>Coms Site Huts x 2</t>
  </si>
  <si>
    <t>Permanent floor covers in all valve halls (barricade)</t>
  </si>
  <si>
    <t>Chilled water piping refurbishment</t>
  </si>
  <si>
    <t>Flood mitigation at Red Cliffs</t>
  </si>
  <si>
    <t>VSD Refurbishment</t>
  </si>
  <si>
    <t>NSW Runback</t>
  </si>
  <si>
    <t>AC protection upgrade at Red Cliffs.</t>
  </si>
  <si>
    <t>Other Minor Capital Works</t>
  </si>
  <si>
    <t>Enhanced cooling systems</t>
  </si>
  <si>
    <t>Clear scada and operational data historian</t>
  </si>
  <si>
    <t>Cable relocation</t>
  </si>
  <si>
    <t>Transmission line</t>
  </si>
  <si>
    <t>Purpose built edge protection and access for the high voltage transformers.</t>
  </si>
  <si>
    <t xml:space="preserve">Cable Protection </t>
  </si>
  <si>
    <t>Berri potable water supply</t>
  </si>
  <si>
    <t>Additional storage for strategic HV cable spares</t>
  </si>
  <si>
    <t>Obsolete IGBTs</t>
  </si>
  <si>
    <t>Phase Reactor Cooling and I beams</t>
  </si>
  <si>
    <t>battery chargers</t>
  </si>
  <si>
    <t>Nitrogen independent supply</t>
  </si>
  <si>
    <t>Power Quality Metering</t>
  </si>
  <si>
    <t>- Converter Station Subsystems</t>
  </si>
  <si>
    <t>Heavy lift crane to mezzanine walkway level</t>
  </si>
  <si>
    <t>Rotating equipment refurbishment</t>
  </si>
  <si>
    <t>Testing Equipment</t>
  </si>
  <si>
    <t>Ancillary 7 - pressure vessel testing and inspection</t>
  </si>
  <si>
    <t>Upgrade cooling towers to enhanced cooling system</t>
  </si>
  <si>
    <t>Enhanced Cooling</t>
  </si>
  <si>
    <t xml:space="preserve">Reliability </t>
  </si>
  <si>
    <t>Internal building ventilation and cooling.</t>
  </si>
  <si>
    <t>Refurbishment/Replacement</t>
  </si>
  <si>
    <t>Transmission Determiantion Costs</t>
  </si>
  <si>
    <t>Regulatory Reset</t>
  </si>
  <si>
    <t>SCADA</t>
  </si>
  <si>
    <t/>
  </si>
  <si>
    <t>AER's Forecast</t>
  </si>
  <si>
    <t>Connections</t>
  </si>
  <si>
    <t>Augmentation Expenditure</t>
  </si>
  <si>
    <t>Capital Expenditure</t>
  </si>
  <si>
    <t>Source: Murraylink regulatory proposal 2013-23</t>
  </si>
  <si>
    <t>Capital Expenditure (As commissioned)</t>
  </si>
  <si>
    <t>Forecast Period (Calendar Years)</t>
  </si>
  <si>
    <t>Commission Year</t>
  </si>
  <si>
    <t>Column #</t>
  </si>
  <si>
    <t>Inflation</t>
  </si>
  <si>
    <t>CPI</t>
  </si>
  <si>
    <t>2015/16</t>
  </si>
  <si>
    <t>Date of ABS measure</t>
  </si>
  <si>
    <t>Actual</t>
  </si>
  <si>
    <t>RBA</t>
  </si>
  <si>
    <t>PTRM</t>
  </si>
  <si>
    <t>All cities</t>
  </si>
  <si>
    <t>CPI change</t>
  </si>
  <si>
    <t>Convert to Base Year FY2022/23</t>
  </si>
  <si>
    <t>Convert to Base Year FY 2017/18</t>
  </si>
  <si>
    <t>Convert 2016/17 to nominal</t>
  </si>
  <si>
    <t>Asset Classes (Hist)</t>
  </si>
  <si>
    <t>Driver</t>
  </si>
  <si>
    <t>Asset Classes (Fore)</t>
  </si>
  <si>
    <t>Easements</t>
  </si>
  <si>
    <t>Control Systems</t>
  </si>
  <si>
    <t>Ancillary asset- 30 Years</t>
  </si>
  <si>
    <t>Office machines</t>
  </si>
  <si>
    <t>In-house software</t>
  </si>
  <si>
    <t>Revised Proposal Capex</t>
  </si>
  <si>
    <t>Other minor capital works</t>
  </si>
  <si>
    <t>Maintenance surveillance cameras</t>
  </si>
  <si>
    <t>cable fault location relays (WAP)</t>
  </si>
  <si>
    <t>Forecast Capital Expenditure</t>
  </si>
  <si>
    <t>Forecast Capital Expenditure previous AA</t>
  </si>
  <si>
    <t>Test equipment</t>
  </si>
  <si>
    <t>Real FY 2017/18</t>
  </si>
  <si>
    <t>Actual Capital Expenditure</t>
  </si>
  <si>
    <t>Current Period ($FY 2022/23 '000)</t>
  </si>
  <si>
    <t>Forecast Period ($FY 2022/23 '000)</t>
  </si>
  <si>
    <t>input</t>
  </si>
  <si>
    <t>Project by size</t>
  </si>
  <si>
    <t>Current Period ($2018 '000)</t>
  </si>
  <si>
    <t>Material Projects</t>
  </si>
  <si>
    <t>By Asset Class (As incurred)</t>
  </si>
  <si>
    <t>Asset Classes</t>
  </si>
  <si>
    <t>By Driver</t>
  </si>
  <si>
    <t>By Project (As Commissioned)</t>
  </si>
  <si>
    <t>By Asset Class (As Commissioned)</t>
  </si>
  <si>
    <t>Check</t>
  </si>
  <si>
    <t>Current Period  (nominal '000)</t>
  </si>
  <si>
    <t>Forecast Period (nominal '000)</t>
  </si>
  <si>
    <t>Current Period ($'000 nominal)</t>
  </si>
  <si>
    <t>Forecast Period ($'000 real FY 23)</t>
  </si>
  <si>
    <t>Name</t>
  </si>
  <si>
    <t>Total capital expenditure ($'000)</t>
  </si>
  <si>
    <t>Forecast</t>
  </si>
  <si>
    <t>Difference</t>
  </si>
  <si>
    <t>Actual vs Forecast</t>
  </si>
  <si>
    <t>Total capital expenditure ($'M)</t>
  </si>
  <si>
    <t>Historic capital expenditure</t>
  </si>
  <si>
    <t>AER forecast</t>
  </si>
  <si>
    <t>Total capital expenditure ($m)</t>
  </si>
  <si>
    <t>As Incurred</t>
  </si>
  <si>
    <t>As Commissioned</t>
  </si>
  <si>
    <t>Compared to AER Forecast ($000 nominal)</t>
  </si>
  <si>
    <t>AER Forecast</t>
  </si>
  <si>
    <t>Compared to AER Forecast ($m FY23)</t>
  </si>
  <si>
    <t>($m FY 23)</t>
  </si>
  <si>
    <t>Current Period</t>
  </si>
  <si>
    <t>Compared to AER Forecast ($m FY2017/18)</t>
  </si>
  <si>
    <t xml:space="preserve">Control and protection system </t>
  </si>
  <si>
    <t>($m FY2022/23)</t>
  </si>
  <si>
    <t>Fire Protection System ($m nominal)</t>
  </si>
  <si>
    <t>by project</t>
  </si>
  <si>
    <t>By Project</t>
  </si>
  <si>
    <t>2.1.1 - PRESCRIBED TRANSMISSION SERVICES CAPEX (as incurred)</t>
  </si>
  <si>
    <t xml:space="preserve">EXPENDITURE </t>
  </si>
  <si>
    <t>Actual 
($0's, nominal)</t>
  </si>
  <si>
    <t>Forecast ($0's, real June 2023)</t>
  </si>
  <si>
    <t>2018-19</t>
  </si>
  <si>
    <t>2019-20</t>
  </si>
  <si>
    <t>2020-21</t>
  </si>
  <si>
    <t>2021-22</t>
  </si>
  <si>
    <t>2022-23</t>
  </si>
  <si>
    <t>2023-24</t>
  </si>
  <si>
    <t>2024-25</t>
  </si>
  <si>
    <t>2025-26</t>
  </si>
  <si>
    <t>2026-27</t>
  </si>
  <si>
    <t>2027-28</t>
  </si>
  <si>
    <t>Capitalised network overheads</t>
  </si>
  <si>
    <t>Capitalised corporate overheads</t>
  </si>
  <si>
    <t>TOTAL  CAPEX</t>
  </si>
  <si>
    <t>2.3c.1 - PROJECTS IN THE FORTHCOMING REGULATORY CONTROL PERIOD</t>
  </si>
  <si>
    <t>ONGOING AND FUTURE PROJECTS</t>
  </si>
  <si>
    <t>Unique identifier</t>
  </si>
  <si>
    <t>Project name</t>
  </si>
  <si>
    <t>Description of project</t>
  </si>
  <si>
    <t>Proposed start date</t>
  </si>
  <si>
    <t>Proposed commissioning date</t>
  </si>
  <si>
    <t>Location</t>
  </si>
  <si>
    <t>Business case approval</t>
  </si>
  <si>
    <t>Business case approval date</t>
  </si>
  <si>
    <t>Primary expenditure purpose category</t>
  </si>
  <si>
    <t>Forecast yearly expenditure - forthcoming regulatory control period, $real June 2023</t>
  </si>
  <si>
    <t>Include unique identifier for each project</t>
  </si>
  <si>
    <t>Provide a brief description of the project stating (where required) whether the regulatory test was satisfied, reference the appropriate documentation and where the regulatory test is yet to be satisfied the estimated timeframe for this to be achieved.</t>
  </si>
  <si>
    <t xml:space="preserve">Identify month and year </t>
  </si>
  <si>
    <t>Identify month and year</t>
  </si>
  <si>
    <t xml:space="preserve"> Identify location if only one site, if several, e.g. pole replacement, insert 'various'.</t>
  </si>
  <si>
    <t>Reference the appropriate documentation supporting approval for the project.  Where the business case is yet to be approved provide the estimated timeframe for this to be achieved.</t>
  </si>
  <si>
    <t>Identify month and year of the business case approval (if relevant)</t>
  </si>
  <si>
    <t>State the primary expenditure purpose category regarding this project.</t>
  </si>
  <si>
    <t>Include the anticipated or known expenditure of the project by expenditure purpose.</t>
  </si>
  <si>
    <t>FCT001</t>
  </si>
  <si>
    <t>Capital expenditure</t>
  </si>
  <si>
    <t>Operating expenditure</t>
  </si>
  <si>
    <t>Maintenance expenditure</t>
  </si>
  <si>
    <t>FCT002</t>
  </si>
  <si>
    <t>FCT003</t>
  </si>
  <si>
    <t>FCT004</t>
  </si>
  <si>
    <t>FCT005</t>
  </si>
  <si>
    <t>2.6.1 - NON-NETWORK EXPENDITURE</t>
  </si>
  <si>
    <t>OPEX</t>
  </si>
  <si>
    <t>IT &amp; COMMUNICATIONS</t>
  </si>
  <si>
    <t>Total IT &amp; communications</t>
  </si>
  <si>
    <t>MOTOR VEHICLES</t>
  </si>
  <si>
    <t>Total motor vehicles</t>
  </si>
  <si>
    <t>BUILDINGS AND PROPERTY</t>
  </si>
  <si>
    <t>Total buildings and property expenditure</t>
  </si>
  <si>
    <t>OTHER</t>
  </si>
  <si>
    <t>Total other</t>
  </si>
  <si>
    <t>CAPEX</t>
  </si>
  <si>
    <t>8.2.7 - IMMEDIATE EXPENSING OF CAPEX</t>
  </si>
  <si>
    <t>ESTIMATED - AS COMMISSIONED</t>
  </si>
  <si>
    <t>Asset class</t>
  </si>
  <si>
    <t>Forecast  ($'000 real FY 2022/23)</t>
  </si>
  <si>
    <t>Forecast  ($'000 real nominal)</t>
  </si>
  <si>
    <t>Actuals ($'000 real FY 2022/23)</t>
  </si>
  <si>
    <t>Comparison</t>
  </si>
  <si>
    <t>Actuals</t>
  </si>
  <si>
    <t>Forecast Projects (Actual $)</t>
  </si>
  <si>
    <t>Not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</si>
</sst>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 #,##0_-;_-* &quot;-&quot;_-;_-@_-"/>
    <numFmt numFmtId="165" formatCode="_-* #,##0.00_-;\-* #,##0.00_-;_-* &quot;-&quot;??_-;_-@_-"/>
    <numFmt numFmtId="166" formatCode="0.0%"/>
    <numFmt numFmtId="167" formatCode="_-* #,##0_-;\-* #,##0_-;_-* &quot;-&quot;??_-;_-@_-"/>
    <numFmt numFmtId="168" formatCode="_-* #,##0.0_-;\-* #,##0.0_-;_-* &quot;-&quot;_-;_-@_-"/>
    <numFmt numFmtId="169" formatCode="_-* #,##0.0_-;\-* #,##0.0_-;_-* &quot;-&quot;??_-;_-@_-"/>
  </numFmts>
  <fonts count="33">
    <font>
      <sz val="11"/>
      <color theme="1"/>
      <name val="Amasis MT Pro"/>
      <family val="1"/>
    </font>
    <font>
      <sz val="11"/>
      <color theme="1"/>
      <name val="Georgia"/>
      <family val="2"/>
      <scheme val="minor"/>
    </font>
    <font>
      <sz val="10"/>
      <color theme="1"/>
      <name val="Arial"/>
      <family val="2"/>
    </font>
    <font>
      <b/>
      <sz val="10"/>
      <color theme="1"/>
      <name val="Arial"/>
      <family val="2"/>
    </font>
    <font>
      <b/>
      <sz val="18"/>
      <name val="Times New Roman"/>
      <family val="1"/>
    </font>
    <font>
      <b/>
      <sz val="15"/>
      <name val="Times New Roman"/>
      <family val="1"/>
    </font>
    <font>
      <b/>
      <sz val="13"/>
      <name val="Times New Roman"/>
      <family val="1"/>
    </font>
    <font>
      <b/>
      <sz val="11"/>
      <name val="Times New Roman"/>
      <family val="1"/>
    </font>
    <font>
      <sz val="10"/>
      <name val="Times New Roman"/>
      <family val="1"/>
    </font>
    <font>
      <b/>
      <sz val="11"/>
      <color theme="1"/>
      <name val="Arial"/>
      <family val="2"/>
    </font>
    <font>
      <b/>
      <i/>
      <sz val="10"/>
      <color rgb="FFFFFFFF"/>
      <name val="Arial"/>
      <family val="2"/>
    </font>
    <font>
      <b/>
      <sz val="8"/>
      <name val="Times New Roman"/>
      <family val="1"/>
    </font>
    <font>
      <b/>
      <sz val="10"/>
      <color rgb="FF3F3F3F"/>
      <name val="Arial"/>
      <family val="2"/>
    </font>
    <font>
      <sz val="11"/>
      <color rgb="FF006100"/>
      <name val="Georgia"/>
      <family val="2"/>
      <scheme val="minor"/>
    </font>
    <font>
      <sz val="11"/>
      <color rgb="FFFF0000"/>
      <name val="Georgia"/>
      <family val="2"/>
      <scheme val="minor"/>
    </font>
    <font>
      <sz val="8"/>
      <name val="Arial"/>
      <family val="2"/>
    </font>
    <font>
      <sz val="9"/>
      <color rgb="FF9C0006"/>
      <name val="Times New Roman"/>
      <family val="1"/>
    </font>
    <font>
      <sz val="8"/>
      <color rgb="FF9C6500"/>
      <name val="Century Gothic"/>
      <family val="2"/>
    </font>
    <font>
      <i/>
      <sz val="11"/>
      <color rgb="FF7F7F7F"/>
      <name val="Georgia"/>
      <family val="2"/>
      <scheme val="minor"/>
    </font>
    <font>
      <sz val="9"/>
      <color theme="1"/>
      <name val="Times New Roman"/>
      <family val="1"/>
    </font>
    <font>
      <sz val="10"/>
      <color theme="1"/>
      <name val="Batang"/>
      <family val="1"/>
      <charset val="129"/>
    </font>
    <font>
      <b/>
      <sz val="11"/>
      <color theme="0"/>
      <name val="Amasis MT Pro"/>
      <family val="1"/>
    </font>
    <font>
      <sz val="9"/>
      <color theme="1"/>
      <name val="Amasis MT Pro"/>
      <family val="1"/>
    </font>
    <font>
      <sz val="6"/>
      <color theme="0"/>
      <name val="Times New Roman"/>
      <family val="1"/>
    </font>
    <font>
      <sz val="9"/>
      <color rgb="FF0000FF"/>
      <name val="Amasis MT Pro"/>
      <family val="1"/>
    </font>
    <font>
      <sz val="9"/>
      <name val="Amasis MT Pro"/>
      <family val="1"/>
    </font>
    <font>
      <sz val="9"/>
      <color theme="8" tint="-0.24994659260841701"/>
      <name val="Amasis MT Pro"/>
      <family val="1"/>
    </font>
    <font>
      <b/>
      <sz val="11"/>
      <color theme="0"/>
      <name val="Georgia"/>
      <family val="2"/>
      <scheme val="minor"/>
    </font>
    <font>
      <b/>
      <sz val="11"/>
      <color rgb="FF92CDDC"/>
      <name val="Amasis MT Pro"/>
      <family val="1"/>
    </font>
    <font>
      <sz val="11"/>
      <color rgb="FF92CDDC"/>
      <name val="Amasis MT Pro"/>
      <family val="1"/>
    </font>
    <font>
      <sz val="8"/>
      <name val="Amasis MT Pro"/>
      <family val="1"/>
    </font>
    <font>
      <b/>
      <sz val="11"/>
      <color rgb="FF31869B"/>
      <name val="Amasis MT Pro"/>
      <family val="1"/>
    </font>
    <font>
      <sz val="11"/>
      <color rgb="FF31869B"/>
      <name val="Amasis MT Pro"/>
    </font>
  </fonts>
  <fills count="19">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2" tint="-9.9948118533890809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6337778862885"/>
        <bgColor indexed="64"/>
      </patternFill>
    </fill>
    <fill>
      <patternFill patternType="solid">
        <fgColor theme="0"/>
        <bgColor indexed="64"/>
      </patternFill>
    </fill>
    <fill>
      <patternFill patternType="solid">
        <fgColor rgb="FF000000"/>
        <bgColor indexed="64"/>
      </patternFill>
    </fill>
    <fill>
      <patternFill patternType="solid">
        <fgColor rgb="FFA5A5A5"/>
      </patternFill>
    </fill>
    <fill>
      <patternFill patternType="solid">
        <fgColor rgb="FFFFEB9C"/>
      </patternFill>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92CDDC"/>
        <bgColor indexed="64"/>
      </patternFill>
    </fill>
    <fill>
      <patternFill patternType="solid">
        <fgColor rgb="FFD9D9D9"/>
        <bgColor indexed="64"/>
      </patternFill>
    </fill>
  </fills>
  <borders count="25">
    <border>
      <left/>
      <right/>
      <top/>
      <bottom/>
      <diagonal/>
    </border>
    <border>
      <left/>
      <right/>
      <top style="thin">
        <color theme="4"/>
      </top>
      <bottom style="double">
        <color theme="4"/>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FFC000"/>
      </left>
      <right style="thin">
        <color rgb="FFFFC000"/>
      </right>
      <top style="thin">
        <color rgb="FFFFC000"/>
      </top>
      <bottom style="thin">
        <color rgb="FFFFC000"/>
      </bottom>
      <diagonal/>
    </border>
    <border>
      <left style="thin">
        <color auto="1"/>
      </left>
      <right style="thin">
        <color auto="1"/>
      </right>
      <top style="thin">
        <color auto="1"/>
      </top>
      <bottom style="thin">
        <color auto="1"/>
      </bottom>
      <diagonal/>
    </border>
    <border>
      <left style="medium">
        <color rgb="FF0000FF"/>
      </left>
      <right style="medium">
        <color rgb="FF0000FF"/>
      </right>
      <top style="medium">
        <color rgb="FF0000FF"/>
      </top>
      <bottom style="medium">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diagonal/>
    </border>
    <border>
      <left style="medium">
        <color rgb="FF92CDDC"/>
      </left>
      <right style="medium">
        <color rgb="FF92CDDC"/>
      </right>
      <top style="medium">
        <color rgb="FF92CDDC"/>
      </top>
      <bottom style="medium">
        <color rgb="FF92CDDC"/>
      </bottom>
      <diagonal/>
    </border>
    <border>
      <left style="thick">
        <color rgb="FF92CDDC"/>
      </left>
      <right style="thin">
        <color rgb="FF92CDDC"/>
      </right>
      <top style="thin">
        <color rgb="FF92CDDC"/>
      </top>
      <bottom style="thin">
        <color rgb="FF92CDDC"/>
      </bottom>
      <diagonal/>
    </border>
    <border>
      <left style="thin">
        <color rgb="FF92CDDC"/>
      </left>
      <right style="thin">
        <color rgb="FF92CDDC"/>
      </right>
      <top style="thin">
        <color rgb="FF92CDDC"/>
      </top>
      <bottom style="thin">
        <color rgb="FF92CDDC"/>
      </bottom>
      <diagonal/>
    </border>
    <border>
      <left style="thin">
        <color rgb="FF92CDDC"/>
      </left>
      <right style="thick">
        <color rgb="FF92CDDC"/>
      </right>
      <top style="thin">
        <color rgb="FF92CDDC"/>
      </top>
      <bottom style="thin">
        <color rgb="FF92CDDC"/>
      </bottom>
      <diagonal/>
    </border>
    <border>
      <left/>
      <right style="thin">
        <color auto="1"/>
      </right>
      <top style="thin">
        <color auto="1"/>
      </top>
      <bottom style="thin">
        <color auto="1"/>
      </bottom>
      <diagonal/>
    </border>
    <border>
      <left style="thin">
        <color rgb="FF92CDDC"/>
      </left>
      <right style="thin">
        <color rgb="FF92CDDC"/>
      </right>
      <top style="thick">
        <color rgb="FF92CDDC"/>
      </top>
      <bottom style="thin">
        <color rgb="FF92CDDC"/>
      </bottom>
      <diagonal/>
    </border>
    <border>
      <left style="medium">
        <color rgb="FF92CDDC"/>
      </left>
      <right style="medium">
        <color rgb="FF92CDDC"/>
      </right>
      <top/>
      <bottom/>
      <diagonal/>
    </border>
    <border>
      <left/>
      <right/>
      <top/>
      <bottom style="thin">
        <color rgb="FF0000FF"/>
      </bottom>
      <diagonal/>
    </border>
    <border>
      <left/>
      <right style="thin">
        <color indexed="64"/>
      </right>
      <top/>
      <bottom style="thin">
        <color rgb="FF0000FF"/>
      </bottom>
      <diagonal/>
    </border>
    <border>
      <left style="thin">
        <color rgb="FF0000FF"/>
      </left>
      <right style="thin">
        <color rgb="FF0000FF"/>
      </right>
      <top/>
      <bottom style="thin">
        <color rgb="FF0000FF"/>
      </bottom>
      <diagonal/>
    </border>
    <border>
      <left style="thin">
        <color rgb="FF92CDDC"/>
      </left>
      <right/>
      <top/>
      <bottom/>
      <diagonal/>
    </border>
  </borders>
  <cellStyleXfs count="29">
    <xf numFmtId="0" fontId="0" fillId="9" borderId="0"/>
    <xf numFmtId="9" fontId="2" fillId="0" borderId="0" applyFont="0" applyFill="0" applyBorder="0" applyAlignment="0" applyProtection="0"/>
    <xf numFmtId="0" fontId="4" fillId="3" borderId="0" applyNumberFormat="0" applyAlignment="0" applyProtection="0"/>
    <xf numFmtId="0" fontId="5" fillId="2" borderId="0" applyNumberFormat="0" applyAlignment="0" applyProtection="0"/>
    <xf numFmtId="0" fontId="6" fillId="4" borderId="0" applyNumberFormat="0" applyAlignment="0" applyProtection="0"/>
    <xf numFmtId="0" fontId="7" fillId="5" borderId="0" applyNumberFormat="0" applyAlignment="0" applyProtection="0"/>
    <xf numFmtId="0" fontId="7" fillId="6" borderId="0" applyNumberFormat="0" applyAlignment="0" applyProtection="0"/>
    <xf numFmtId="165" fontId="24" fillId="0" borderId="12" applyAlignment="0" applyProtection="0"/>
    <xf numFmtId="165" fontId="25" fillId="0" borderId="10" applyAlignment="0" applyProtection="0"/>
    <xf numFmtId="0" fontId="3" fillId="0" borderId="1" applyNumberFormat="0" applyFill="0" applyAlignment="0" applyProtection="0"/>
    <xf numFmtId="164" fontId="31" fillId="18" borderId="19" applyAlignment="0" applyProtection="0"/>
    <xf numFmtId="164" fontId="31" fillId="18" borderId="15" applyAlignment="0" applyProtection="0"/>
    <xf numFmtId="165" fontId="19" fillId="0" borderId="0" applyFill="0" applyBorder="0" applyAlignment="0" applyProtection="0"/>
    <xf numFmtId="0" fontId="23" fillId="11" borderId="3" applyNumberFormat="0" applyAlignment="0" applyProtection="0"/>
    <xf numFmtId="0" fontId="17" fillId="12" borderId="0" applyNumberFormat="0" applyBorder="0" applyAlignment="0" applyProtection="0"/>
    <xf numFmtId="0" fontId="22" fillId="13" borderId="7" applyNumberFormat="0" applyAlignment="0" applyProtection="0"/>
    <xf numFmtId="164" fontId="24" fillId="0" borderId="11" applyAlignment="0" applyProtection="0"/>
    <xf numFmtId="0" fontId="13" fillId="15" borderId="0" applyNumberFormat="0" applyBorder="0" applyAlignment="0" applyProtection="0"/>
    <xf numFmtId="0" fontId="16" fillId="16" borderId="0" applyNumberFormat="0" applyBorder="0" applyAlignment="0" applyProtection="0"/>
    <xf numFmtId="0" fontId="14" fillId="0" borderId="0" applyNumberFormat="0" applyFill="0" applyBorder="0" applyAlignment="0" applyProtection="0"/>
    <xf numFmtId="164" fontId="19" fillId="0" borderId="0" applyFill="0" applyBorder="0" applyAlignment="0" applyProtection="0"/>
    <xf numFmtId="0" fontId="26" fillId="9" borderId="9" applyNumberFormat="0" applyAlignment="0" applyProtection="0"/>
    <xf numFmtId="0" fontId="18" fillId="0" borderId="0" applyNumberFormat="0" applyFill="0" applyBorder="0" applyAlignment="0" applyProtection="0"/>
    <xf numFmtId="165" fontId="28" fillId="9" borderId="17">
      <alignment vertical="center" wrapText="1"/>
    </xf>
    <xf numFmtId="0" fontId="21" fillId="17" borderId="14">
      <alignment horizontal="left" vertical="center"/>
    </xf>
    <xf numFmtId="164" fontId="29" fillId="9" borderId="16">
      <alignment vertical="center" wrapText="1"/>
    </xf>
    <xf numFmtId="0" fontId="1" fillId="0" borderId="0"/>
    <xf numFmtId="0" fontId="27" fillId="11" borderId="3" applyNumberFormat="0" applyAlignment="0" applyProtection="0"/>
    <xf numFmtId="165" fontId="1" fillId="0" borderId="0" applyFont="0" applyFill="0" applyBorder="0" applyAlignment="0" applyProtection="0"/>
  </cellStyleXfs>
  <cellXfs count="78">
    <xf numFmtId="0" fontId="0" fillId="9" borderId="0" xfId="0"/>
    <xf numFmtId="0" fontId="4" fillId="3" borderId="0" xfId="2"/>
    <xf numFmtId="0" fontId="5" fillId="2" borderId="0" xfId="3"/>
    <xf numFmtId="0" fontId="7" fillId="5" borderId="0" xfId="5"/>
    <xf numFmtId="0" fontId="6" fillId="4" borderId="0" xfId="4"/>
    <xf numFmtId="165" fontId="24" fillId="0" borderId="12" xfId="7"/>
    <xf numFmtId="165" fontId="25" fillId="0" borderId="10" xfId="8"/>
    <xf numFmtId="14" fontId="24" fillId="0" borderId="12" xfId="7" applyNumberFormat="1"/>
    <xf numFmtId="166" fontId="8" fillId="8" borderId="0" xfId="1" applyNumberFormat="1" applyFont="1" applyFill="1"/>
    <xf numFmtId="0" fontId="7" fillId="5" borderId="0" xfId="5" quotePrefix="1"/>
    <xf numFmtId="167" fontId="24" fillId="0" borderId="12" xfId="7" applyNumberFormat="1"/>
    <xf numFmtId="0" fontId="24" fillId="0" borderId="12" xfId="7" quotePrefix="1" applyNumberFormat="1"/>
    <xf numFmtId="167" fontId="0" fillId="9" borderId="0" xfId="0" applyNumberFormat="1"/>
    <xf numFmtId="0" fontId="23" fillId="11" borderId="3" xfId="13"/>
    <xf numFmtId="0" fontId="24" fillId="0" borderId="12" xfId="7" applyNumberFormat="1"/>
    <xf numFmtId="0" fontId="3" fillId="9" borderId="0" xfId="0" applyFont="1" applyAlignment="1">
      <alignment vertical="center" wrapText="1"/>
    </xf>
    <xf numFmtId="167" fontId="9" fillId="9" borderId="0" xfId="12" applyNumberFormat="1" applyFont="1" applyFill="1" applyBorder="1" applyAlignment="1">
      <alignment horizontal="right" vertical="center" wrapText="1"/>
    </xf>
    <xf numFmtId="167" fontId="25" fillId="0" borderId="10" xfId="8" applyNumberFormat="1"/>
    <xf numFmtId="167" fontId="9" fillId="9" borderId="0" xfId="0" applyNumberFormat="1" applyFont="1" applyAlignment="1">
      <alignment horizontal="right" vertical="center" wrapText="1"/>
    </xf>
    <xf numFmtId="165" fontId="0" fillId="9" borderId="0" xfId="0" applyNumberFormat="1"/>
    <xf numFmtId="0" fontId="11" fillId="13" borderId="7" xfId="15" applyFont="1"/>
    <xf numFmtId="0" fontId="7" fillId="5" borderId="0" xfId="5" quotePrefix="1" applyNumberFormat="1"/>
    <xf numFmtId="164" fontId="31" fillId="9" borderId="19" xfId="10" applyFill="1"/>
    <xf numFmtId="0" fontId="7" fillId="6" borderId="0" xfId="6"/>
    <xf numFmtId="164" fontId="24" fillId="0" borderId="11" xfId="16"/>
    <xf numFmtId="14" fontId="25" fillId="0" borderId="10" xfId="8" applyNumberFormat="1"/>
    <xf numFmtId="165" fontId="6" fillId="4" borderId="0" xfId="4" applyNumberFormat="1"/>
    <xf numFmtId="164" fontId="31" fillId="18" borderId="19" xfId="10"/>
    <xf numFmtId="164" fontId="31" fillId="9" borderId="15" xfId="11" applyFill="1"/>
    <xf numFmtId="0" fontId="7" fillId="6" borderId="0" xfId="6" applyAlignment="1">
      <alignment wrapText="1"/>
    </xf>
    <xf numFmtId="0" fontId="7" fillId="6" borderId="0" xfId="6" applyAlignment="1"/>
    <xf numFmtId="167" fontId="4" fillId="3" borderId="0" xfId="2" applyNumberFormat="1"/>
    <xf numFmtId="167" fontId="31" fillId="18" borderId="19" xfId="10" applyNumberFormat="1"/>
    <xf numFmtId="165" fontId="26" fillId="9" borderId="9" xfId="21" applyNumberFormat="1"/>
    <xf numFmtId="167" fontId="12" fillId="14" borderId="8" xfId="12" applyNumberFormat="1" applyFont="1" applyFill="1" applyBorder="1"/>
    <xf numFmtId="167" fontId="31" fillId="9" borderId="19" xfId="10" applyNumberFormat="1" applyFill="1"/>
    <xf numFmtId="167" fontId="31" fillId="9" borderId="15" xfId="11" applyNumberFormat="1" applyFill="1"/>
    <xf numFmtId="165" fontId="23" fillId="11" borderId="3" xfId="13" applyNumberFormat="1"/>
    <xf numFmtId="167" fontId="23" fillId="11" borderId="3" xfId="13" applyNumberFormat="1"/>
    <xf numFmtId="164" fontId="31" fillId="9" borderId="15" xfId="11" applyFill="1" applyAlignment="1">
      <alignment horizontal="right" vertical="center" wrapText="1"/>
    </xf>
    <xf numFmtId="165" fontId="28" fillId="9" borderId="17" xfId="23">
      <alignment vertical="center" wrapText="1"/>
    </xf>
    <xf numFmtId="0" fontId="21" fillId="17" borderId="14" xfId="24">
      <alignment horizontal="left" vertical="center"/>
    </xf>
    <xf numFmtId="0" fontId="20" fillId="9" borderId="0" xfId="0" applyFont="1"/>
    <xf numFmtId="164" fontId="29" fillId="9" borderId="16" xfId="25">
      <alignment vertical="center" wrapText="1"/>
    </xf>
    <xf numFmtId="0" fontId="26" fillId="9" borderId="9" xfId="21"/>
    <xf numFmtId="168" fontId="29" fillId="9" borderId="16" xfId="25" applyNumberFormat="1">
      <alignment vertical="center" wrapText="1"/>
    </xf>
    <xf numFmtId="164" fontId="31" fillId="18" borderId="15" xfId="11"/>
    <xf numFmtId="164" fontId="23" fillId="11" borderId="3" xfId="13" applyNumberFormat="1"/>
    <xf numFmtId="165" fontId="24" fillId="0" borderId="13" xfId="7" applyBorder="1"/>
    <xf numFmtId="164" fontId="31" fillId="18" borderId="15" xfId="11" applyAlignment="1">
      <alignment vertical="center" wrapText="1"/>
    </xf>
    <xf numFmtId="164" fontId="31" fillId="18" borderId="15" xfId="11" applyAlignment="1">
      <alignment horizontal="right" vertical="center" wrapText="1"/>
    </xf>
    <xf numFmtId="164" fontId="31" fillId="18" borderId="19" xfId="10" applyAlignment="1">
      <alignment vertical="center" wrapText="1"/>
    </xf>
    <xf numFmtId="164" fontId="31" fillId="18" borderId="19" xfId="10" applyAlignment="1">
      <alignment horizontal="right" vertical="center" wrapText="1"/>
    </xf>
    <xf numFmtId="167" fontId="24" fillId="0" borderId="12" xfId="7" quotePrefix="1" applyNumberFormat="1"/>
    <xf numFmtId="164" fontId="0" fillId="9" borderId="0" xfId="0" applyNumberFormat="1"/>
    <xf numFmtId="169" fontId="28" fillId="9" borderId="17" xfId="23" applyNumberFormat="1">
      <alignment vertical="center" wrapText="1"/>
    </xf>
    <xf numFmtId="165" fontId="7" fillId="5" borderId="0" xfId="5" applyNumberFormat="1"/>
    <xf numFmtId="168" fontId="31" fillId="18" borderId="19" xfId="10" applyNumberFormat="1" applyAlignment="1">
      <alignment vertical="center" wrapText="1"/>
    </xf>
    <xf numFmtId="168" fontId="31" fillId="18" borderId="19" xfId="10" applyNumberFormat="1" applyAlignment="1">
      <alignment horizontal="right" vertical="center" wrapText="1"/>
    </xf>
    <xf numFmtId="168" fontId="31" fillId="18" borderId="15" xfId="11" applyNumberFormat="1" applyAlignment="1">
      <alignment horizontal="right" vertical="center" wrapText="1"/>
    </xf>
    <xf numFmtId="0" fontId="21" fillId="17" borderId="20" xfId="24" applyBorder="1">
      <alignment horizontal="left" vertical="center"/>
    </xf>
    <xf numFmtId="10" fontId="8" fillId="8" borderId="0" xfId="1" applyNumberFormat="1" applyFont="1" applyFill="1"/>
    <xf numFmtId="10" fontId="8" fillId="7" borderId="0" xfId="1" applyNumberFormat="1" applyFont="1" applyFill="1"/>
    <xf numFmtId="168" fontId="31" fillId="18" borderId="15" xfId="11" applyNumberFormat="1"/>
    <xf numFmtId="168" fontId="31" fillId="18" borderId="19" xfId="10" applyNumberFormat="1"/>
    <xf numFmtId="165" fontId="24" fillId="0" borderId="23" xfId="7" applyBorder="1"/>
    <xf numFmtId="0" fontId="7" fillId="5" borderId="10" xfId="5" applyBorder="1" applyAlignment="1"/>
    <xf numFmtId="164" fontId="31" fillId="18" borderId="24" xfId="10" applyBorder="1" applyAlignment="1">
      <alignment horizontal="right" vertical="center" wrapText="1"/>
    </xf>
    <xf numFmtId="165" fontId="25" fillId="0" borderId="10" xfId="8" quotePrefix="1"/>
    <xf numFmtId="164" fontId="32" fillId="18" borderId="19" xfId="10" applyFont="1"/>
    <xf numFmtId="0" fontId="7" fillId="5" borderId="21" xfId="5" applyBorder="1" applyAlignment="1">
      <alignment horizontal="center"/>
    </xf>
    <xf numFmtId="0" fontId="7" fillId="5" borderId="22" xfId="5" applyBorder="1" applyAlignment="1">
      <alignment horizontal="center"/>
    </xf>
    <xf numFmtId="0" fontId="7" fillId="5" borderId="2" xfId="5" applyBorder="1" applyAlignment="1">
      <alignment horizontal="center"/>
    </xf>
    <xf numFmtId="0" fontId="7" fillId="5" borderId="18" xfId="5" applyBorder="1" applyAlignment="1">
      <alignment horizontal="center"/>
    </xf>
    <xf numFmtId="0" fontId="10" fillId="10" borderId="5"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6" xfId="0" applyFont="1" applyFill="1" applyBorder="1" applyAlignment="1">
      <alignment horizontal="center" vertical="center"/>
    </xf>
    <xf numFmtId="0" fontId="7" fillId="5" borderId="0" xfId="5" applyAlignment="1">
      <alignment horizontal="center"/>
    </xf>
  </cellXfs>
  <cellStyles count="29">
    <cellStyle name="Bad" xfId="18" builtinId="27" customBuiltin="1"/>
    <cellStyle name="Calculation" xfId="8" builtinId="22" customBuiltin="1"/>
    <cellStyle name="Check Cell" xfId="13" builtinId="23" customBuiltin="1"/>
    <cellStyle name="Check Cell 2" xfId="27" xr:uid="{00000000-0005-0000-0000-000003000000}"/>
    <cellStyle name="Comma" xfId="12" builtinId="3" customBuiltin="1"/>
    <cellStyle name="Comma [0]" xfId="20" builtinId="6" customBuiltin="1"/>
    <cellStyle name="Comma 2" xfId="28" xr:uid="{00000000-0005-0000-0000-000006000000}"/>
    <cellStyle name="Explanatory Text" xfId="22" builtinId="53" hidden="1"/>
    <cellStyle name="Good" xfId="17" builtinId="26" hidden="1"/>
    <cellStyle name="Heading 1" xfId="3" builtinId="16" customBuiltin="1"/>
    <cellStyle name="Heading 2" xfId="4" builtinId="17" customBuiltin="1"/>
    <cellStyle name="Heading 3" xfId="5" builtinId="18" customBuiltin="1"/>
    <cellStyle name="Heading 4" xfId="6" builtinId="19" customBuiltin="1"/>
    <cellStyle name="Input" xfId="7" builtinId="20" customBuiltin="1"/>
    <cellStyle name="Linked Cell" xfId="21" builtinId="24" customBuiltin="1"/>
    <cellStyle name="Neutral" xfId="14" builtinId="28" hidden="1" customBuiltin="1"/>
    <cellStyle name="Normal" xfId="0" builtinId="0" customBuiltin="1"/>
    <cellStyle name="Normal 2" xfId="26" xr:uid="{00000000-0005-0000-0000-000011000000}"/>
    <cellStyle name="Note" xfId="15" builtinId="10" customBuiltin="1"/>
    <cellStyle name="Output" xfId="16" builtinId="21" customBuiltin="1"/>
    <cellStyle name="Per cent" xfId="1" builtinId="5"/>
    <cellStyle name="Table Data" xfId="25" xr:uid="{00000000-0005-0000-0000-000015000000}"/>
    <cellStyle name="Table Heading" xfId="24" xr:uid="{00000000-0005-0000-0000-000016000000}"/>
    <cellStyle name="Table Label" xfId="23" xr:uid="{00000000-0005-0000-0000-000017000000}"/>
    <cellStyle name="Title" xfId="2" builtinId="15" customBuiltin="1"/>
    <cellStyle name="Total" xfId="9" builtinId="25" hidden="1"/>
    <cellStyle name="Total - horizontal" xfId="11" xr:uid="{00000000-0005-0000-0000-00001A000000}"/>
    <cellStyle name="Total - vertical" xfId="10" xr:uid="{00000000-0005-0000-0000-00001B000000}"/>
    <cellStyle name="Warning Text" xfId="19" builtinId="11" hidden="1"/>
  </cellStyles>
  <dxfs count="0"/>
  <tableStyles count="0" defaultTableStyle="TableStyleMedium2" defaultPivotStyle="PivotStyleLight16"/>
  <colors>
    <mruColors>
      <color rgb="FFD9D9D9"/>
      <color rgb="FF31869B"/>
      <color rgb="FF319A87"/>
      <color rgb="FF319B86"/>
      <color rgb="FF2DCDDC"/>
      <color rgb="FF92CDDC"/>
      <color rgb="FFC1C1FF"/>
      <color rgb="FF0000FF"/>
      <color rgb="FFCDCDFF"/>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2333625</xdr:colOff>
      <xdr:row>3</xdr:row>
      <xdr:rowOff>95250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238125</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0</xdr:col>
      <xdr:colOff>2247900</xdr:colOff>
      <xdr:row>3</xdr:row>
      <xdr:rowOff>266701</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2"/>
          <a:ext cx="2247899" cy="11334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3</xdr:row>
      <xdr:rowOff>95250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2333625</xdr:colOff>
      <xdr:row>3</xdr:row>
      <xdr:rowOff>95250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1231210</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247650</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2333625</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EconomicRegandPolicy-EconomicRegExtPol/Shared%20Documents/Murraylink/2023%20Reset/RIN/Templates/Murraylink%202024-28%20-%20Reset%20RIN%20-%20FINAL%20-%20Workbook%201%20-%20historical%20and%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Sheet Heading"/>
      <sheetName val="AER CF"/>
      <sheetName val="AER NRs"/>
      <sheetName val="AER lookups"/>
      <sheetName val="AER ETL"/>
      <sheetName val="CONTENTS"/>
      <sheetName val="Business &amp; other details"/>
      <sheetName val="2.1 Expenditure Summary"/>
      <sheetName val="2.3c Material Projects"/>
      <sheetName val="2.6 Non-network"/>
      <sheetName val="2.14 Forecast price changes"/>
      <sheetName val="2.16 Opex Summary"/>
      <sheetName val="2.17 Step Changes"/>
      <sheetName val="3.2.3 Provisions"/>
      <sheetName val="7.1  Policies and Procedures"/>
      <sheetName val="7.2 Contingent projects"/>
      <sheetName val="7.3 Obligations"/>
      <sheetName val="7.4 Shared Assets"/>
      <sheetName val="7.9 STPIS"/>
      <sheetName val="8.2 Capex"/>
    </sheetNames>
    <sheetDataSet>
      <sheetData sheetId="0" refreshError="1"/>
      <sheetData sheetId="1" refreshError="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Urban">
  <a:themeElements>
    <a:clrScheme name="Urban">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Urban">
      <a:majorFont>
        <a:latin typeface="Trebuchet MS"/>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eorgia"/>
        <a:ea typeface=""/>
        <a:cs typeface=""/>
        <a:font script="Jpan" typeface="HG明朝B"/>
        <a:font script="Hang" typeface="맑은 고딕"/>
        <a:font script="Hans" typeface="宋体"/>
        <a:font script="Hant" typeface="新細明體"/>
        <a:font script="Arab" typeface="Arial"/>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Urban">
      <a:fillStyleLst>
        <a:solidFill>
          <a:schemeClr val="phClr"/>
        </a:solidFill>
        <a:gradFill rotWithShape="1">
          <a:gsLst>
            <a:gs pos="0">
              <a:schemeClr val="phClr">
                <a:tint val="1000"/>
                <a:satMod val="255000"/>
              </a:schemeClr>
            </a:gs>
            <a:gs pos="55000">
              <a:schemeClr val="phClr">
                <a:tint val="12000"/>
                <a:satMod val="255000"/>
              </a:schemeClr>
            </a:gs>
            <a:gs pos="100000">
              <a:schemeClr val="phClr">
                <a:tint val="45000"/>
                <a:satMod val="250000"/>
              </a:schemeClr>
            </a:gs>
          </a:gsLst>
          <a:path path="circle">
            <a:fillToRect l="-40000" t="-90000" r="140000" b="190000"/>
          </a:path>
        </a:gradFill>
        <a:gradFill rotWithShape="1">
          <a:gsLst>
            <a:gs pos="0">
              <a:schemeClr val="phClr">
                <a:tint val="43000"/>
                <a:satMod val="165000"/>
              </a:schemeClr>
            </a:gs>
            <a:gs pos="55000">
              <a:schemeClr val="phClr">
                <a:tint val="83000"/>
                <a:satMod val="155000"/>
              </a:schemeClr>
            </a:gs>
            <a:gs pos="100000">
              <a:schemeClr val="phClr">
                <a:shade val="85000"/>
              </a:schemeClr>
            </a:gs>
          </a:gsLst>
          <a:path path="circle">
            <a:fillToRect l="-40000" t="-90000" r="140000" b="190000"/>
          </a:path>
        </a:gradFill>
      </a:fillStyleLst>
      <a:lnStyleLst>
        <a:ln w="9525" cap="flat" cmpd="sng" algn="ctr">
          <a:solidFill>
            <a:schemeClr val="phClr"/>
          </a:solidFill>
          <a:prstDash val="solid"/>
        </a:ln>
        <a:ln w="19050" cap="flat" cmpd="sng" algn="ctr">
          <a:solidFill>
            <a:schemeClr val="phClr"/>
          </a:solidFill>
          <a:prstDash val="solid"/>
        </a:ln>
        <a:ln w="31750" cap="flat" cmpd="sng" algn="ctr">
          <a:solidFill>
            <a:schemeClr val="phClr"/>
          </a:solidFill>
          <a:prstDash val="solid"/>
        </a:ln>
      </a:lnStyleLst>
      <a:effectStyleLst>
        <a:effectStyle>
          <a:effectLst>
            <a:outerShdw blurRad="51500" dist="25400" dir="5400000" rotWithShape="0">
              <a:srgbClr val="000000">
                <a:alpha val="40000"/>
              </a:srgbClr>
            </a:outerShdw>
          </a:effectLst>
        </a:effectStyle>
        <a:effectStyle>
          <a:effectLst>
            <a:outerShdw blurRad="50800" dist="25400" dir="5400000" rotWithShape="0">
              <a:srgbClr val="000000">
                <a:alpha val="4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flat" dir="t">
              <a:rot lat="0" lon="0" rev="20040000"/>
            </a:lightRig>
          </a:scene3d>
          <a:sp3d contourW="12700" prstMaterial="dkEdge">
            <a:bevelT w="25400" h="38100" prst="convex"/>
            <a:contourClr>
              <a:schemeClr val="phClr">
                <a:satMod val="115000"/>
              </a:schemeClr>
            </a:contourClr>
          </a:sp3d>
        </a:effectStyle>
      </a:effectStyleLst>
      <a:bgFillStyleLst>
        <a:solidFill>
          <a:schemeClr val="phClr"/>
        </a:solidFill>
        <a:gradFill rotWithShape="1">
          <a:gsLst>
            <a:gs pos="100000">
              <a:schemeClr val="phClr">
                <a:tint val="80000"/>
                <a:satMod val="250000"/>
              </a:schemeClr>
            </a:gs>
            <a:gs pos="60000">
              <a:schemeClr val="phClr">
                <a:shade val="38000"/>
                <a:satMod val="175000"/>
              </a:schemeClr>
            </a:gs>
            <a:gs pos="0">
              <a:schemeClr val="phClr">
                <a:shade val="30000"/>
                <a:satMod val="175000"/>
              </a:schemeClr>
            </a:gs>
          </a:gsLst>
          <a:lin ang="5400000" scaled="0"/>
        </a:gradFill>
        <a:blipFill>
          <a:blip xmlns:r="http://schemas.openxmlformats.org/officeDocument/2006/relationships" r:embed="rId1">
            <a:duotone>
              <a:schemeClr val="phClr">
                <a:shade val="48000"/>
              </a:schemeClr>
              <a:schemeClr val="phClr">
                <a:tint val="96000"/>
                <a:satMod val="15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AE88"/>
  <sheetViews>
    <sheetView topLeftCell="K49" workbookViewId="0">
      <selection activeCell="P55" sqref="P55"/>
    </sheetView>
  </sheetViews>
  <sheetFormatPr defaultRowHeight="15"/>
  <cols>
    <col min="1" max="1" width="38.375" customWidth="1"/>
    <col min="4" max="4" width="18.375" customWidth="1"/>
    <col min="5" max="7" width="13.25" customWidth="1"/>
    <col min="8" max="8" width="9.875" customWidth="1"/>
    <col min="9" max="10" width="9.375" customWidth="1"/>
    <col min="11" max="13" width="11.25" customWidth="1"/>
    <col min="15" max="15" width="31.375" customWidth="1"/>
    <col min="16" max="18" width="11.875" customWidth="1"/>
    <col min="19" max="19" width="12.25" customWidth="1"/>
    <col min="21" max="21" width="15.375" customWidth="1"/>
    <col min="22" max="22" width="11.375" customWidth="1"/>
    <col min="23" max="23" width="12.375" customWidth="1"/>
    <col min="24" max="24" width="10.875" customWidth="1"/>
    <col min="25" max="25" width="9.375" customWidth="1"/>
    <col min="26" max="26" width="10.375" bestFit="1" customWidth="1"/>
    <col min="27" max="27" width="35.25" bestFit="1" customWidth="1"/>
    <col min="28" max="28" width="11.125" bestFit="1" customWidth="1"/>
  </cols>
  <sheetData>
    <row r="1" spans="1:31" ht="2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2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23.25" thickBot="1">
      <c r="A3" s="1"/>
      <c r="B3" s="1"/>
      <c r="C3" s="1"/>
      <c r="D3" s="1"/>
      <c r="E3" s="1"/>
      <c r="F3" s="1"/>
      <c r="G3" s="1"/>
      <c r="H3" s="1"/>
      <c r="I3" s="1"/>
      <c r="J3" s="1"/>
      <c r="K3" s="1"/>
      <c r="L3" s="1"/>
      <c r="M3" s="1"/>
      <c r="N3" s="1"/>
      <c r="O3" s="1"/>
      <c r="P3" s="1"/>
      <c r="Q3" s="1"/>
      <c r="R3" s="1"/>
      <c r="S3" s="1"/>
      <c r="T3" s="1"/>
      <c r="U3" s="10">
        <v>1</v>
      </c>
      <c r="V3" s="10">
        <v>2</v>
      </c>
      <c r="W3" s="10">
        <v>3</v>
      </c>
      <c r="X3" s="10">
        <v>4</v>
      </c>
      <c r="Y3" s="10">
        <v>5</v>
      </c>
      <c r="Z3" s="1"/>
      <c r="AA3" s="1"/>
      <c r="AB3" s="1"/>
      <c r="AC3" s="1"/>
      <c r="AD3" s="1"/>
      <c r="AE3" s="1"/>
    </row>
    <row r="4" spans="1:31" ht="24" thickTop="1" thickBot="1">
      <c r="A4" s="1"/>
      <c r="B4" s="1"/>
      <c r="C4" s="1"/>
      <c r="D4" s="1"/>
      <c r="E4" s="1"/>
      <c r="F4" s="37" t="e">
        <f>F5-#REF!</f>
        <v>#REF!</v>
      </c>
      <c r="G4" s="37" t="e">
        <f>G5-#REF!</f>
        <v>#REF!</v>
      </c>
      <c r="H4" s="37" t="e">
        <f>H5-#REF!</f>
        <v>#REF!</v>
      </c>
      <c r="I4" s="37" t="e">
        <f>I5-#REF!</f>
        <v>#REF!</v>
      </c>
      <c r="J4" s="37" t="e">
        <f>J5-#REF!</f>
        <v>#REF!</v>
      </c>
      <c r="K4" s="37" t="e">
        <f>K5-#REF!</f>
        <v>#REF!</v>
      </c>
      <c r="L4" s="37" t="e">
        <f>L5-#REF!</f>
        <v>#REF!</v>
      </c>
      <c r="M4" s="1"/>
      <c r="N4" s="1"/>
      <c r="O4" s="1"/>
      <c r="P4" s="1"/>
      <c r="Q4" s="1"/>
      <c r="R4" s="1"/>
      <c r="S4" s="1"/>
      <c r="T4" s="1"/>
      <c r="U4" s="37" t="e">
        <f>U5-#REF!/1000</f>
        <v>#REF!</v>
      </c>
      <c r="V4" s="37" t="e">
        <f>V5-#REF!/1000</f>
        <v>#REF!</v>
      </c>
      <c r="W4" s="37" t="e">
        <f>W5-#REF!/1000</f>
        <v>#REF!</v>
      </c>
      <c r="X4" s="37" t="e">
        <f>X5-#REF!/1000</f>
        <v>#REF!</v>
      </c>
      <c r="Y4" s="37" t="e">
        <f>Y5-#REF!/1000</f>
        <v>#REF!</v>
      </c>
      <c r="Z4" s="1"/>
      <c r="AA4" s="1"/>
      <c r="AB4" s="1"/>
      <c r="AC4" s="1"/>
      <c r="AD4" s="1"/>
      <c r="AE4" s="1"/>
    </row>
    <row r="5" spans="1:31" ht="23.25" thickTop="1">
      <c r="A5" s="1" t="str">
        <f ca="1">RIGHT(CELL("filename"),LEN(CELL("filename"))-FIND("]",CELL("filename")))</f>
        <v>1.0 Data</v>
      </c>
      <c r="B5" s="1"/>
      <c r="C5" s="1"/>
      <c r="D5" s="1"/>
      <c r="E5" s="1"/>
      <c r="F5" s="27">
        <f t="shared" ref="F5:L5" si="0">SUM(F9:F39)</f>
        <v>824.41099099999997</v>
      </c>
      <c r="G5" s="27">
        <f t="shared" si="0"/>
        <v>15166.858050999999</v>
      </c>
      <c r="H5" s="27">
        <f t="shared" si="0"/>
        <v>10260.576086000001</v>
      </c>
      <c r="I5" s="27">
        <f t="shared" si="0"/>
        <v>6760.2548600000009</v>
      </c>
      <c r="J5" s="27">
        <f t="shared" si="0"/>
        <v>5695.9108399999977</v>
      </c>
      <c r="K5" s="27">
        <f t="shared" si="0"/>
        <v>2471.6739600000001</v>
      </c>
      <c r="L5" s="27">
        <f t="shared" si="0"/>
        <v>3700.3788265387793</v>
      </c>
      <c r="M5" s="1"/>
      <c r="N5" s="1"/>
      <c r="O5" s="1"/>
      <c r="P5" s="1"/>
      <c r="Q5" s="1"/>
      <c r="R5" s="1"/>
      <c r="S5" s="1"/>
      <c r="T5" s="1"/>
      <c r="U5" s="27">
        <f t="shared" ref="U5:Z5" si="1">SUM(U9:U39)</f>
        <v>4100.9538039199997</v>
      </c>
      <c r="V5" s="27">
        <f t="shared" si="1"/>
        <v>4235.3807430000006</v>
      </c>
      <c r="W5" s="27">
        <f t="shared" si="1"/>
        <v>3476.2626991938018</v>
      </c>
      <c r="X5" s="27">
        <f t="shared" si="1"/>
        <v>1728.0451811138016</v>
      </c>
      <c r="Y5" s="27">
        <f t="shared" si="1"/>
        <v>778.16558778625961</v>
      </c>
      <c r="Z5" s="27">
        <f t="shared" si="1"/>
        <v>14318.808015013863</v>
      </c>
      <c r="AA5" s="1"/>
      <c r="AB5" s="1"/>
      <c r="AC5" s="1"/>
      <c r="AD5" s="1"/>
      <c r="AE5" s="1"/>
    </row>
    <row r="6" spans="1:31" ht="19.5">
      <c r="A6" s="2" t="s">
        <v>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6.5">
      <c r="A7" s="4" t="s">
        <v>1</v>
      </c>
      <c r="B7" s="4"/>
      <c r="C7" s="4"/>
      <c r="D7" s="4"/>
      <c r="E7" s="4"/>
      <c r="F7" s="4"/>
      <c r="G7" s="4"/>
      <c r="H7" s="4"/>
      <c r="I7" s="4"/>
      <c r="J7" s="4"/>
      <c r="K7" s="4"/>
      <c r="L7" s="4"/>
      <c r="M7" s="4"/>
      <c r="N7" s="4"/>
      <c r="O7" s="4" t="s">
        <v>2</v>
      </c>
      <c r="P7" s="4"/>
      <c r="Q7" s="4"/>
      <c r="R7" s="4"/>
      <c r="S7" s="4"/>
      <c r="T7" s="4"/>
      <c r="U7" s="4"/>
      <c r="V7" s="4"/>
      <c r="W7" s="4"/>
      <c r="X7" s="4"/>
      <c r="Y7" s="4"/>
      <c r="Z7" s="4"/>
      <c r="AA7" s="4"/>
      <c r="AB7" s="4"/>
      <c r="AC7" s="4"/>
      <c r="AD7" s="4"/>
      <c r="AE7" s="4"/>
    </row>
    <row r="8" spans="1:31">
      <c r="A8" s="3" t="s">
        <v>3</v>
      </c>
      <c r="B8" s="3" t="s">
        <v>4</v>
      </c>
      <c r="C8" s="3" t="s">
        <v>5</v>
      </c>
      <c r="D8" s="3" t="s">
        <v>6</v>
      </c>
      <c r="E8" s="3" t="s">
        <v>7</v>
      </c>
      <c r="F8" s="3" t="s">
        <v>8</v>
      </c>
      <c r="G8" s="3" t="s">
        <v>9</v>
      </c>
      <c r="H8" s="3" t="s">
        <v>10</v>
      </c>
      <c r="I8" s="3" t="s">
        <v>11</v>
      </c>
      <c r="J8" s="3" t="s">
        <v>12</v>
      </c>
      <c r="K8" s="3" t="s">
        <v>13</v>
      </c>
      <c r="L8" s="3" t="s">
        <v>14</v>
      </c>
      <c r="M8" s="3" t="s">
        <v>15</v>
      </c>
      <c r="N8" s="3"/>
      <c r="O8" s="3" t="str">
        <f>A8</f>
        <v>Project</v>
      </c>
      <c r="P8" s="3" t="str">
        <f>B8</f>
        <v>$</v>
      </c>
      <c r="Q8" s="3" t="str">
        <f>C8</f>
        <v>Quantum</v>
      </c>
      <c r="R8" s="3" t="s">
        <v>16</v>
      </c>
      <c r="S8" s="3" t="str">
        <f>D8</f>
        <v>Asset Class</v>
      </c>
      <c r="T8" s="3" t="str">
        <f>E8</f>
        <v>Asset Driver</v>
      </c>
      <c r="U8" s="3" t="s">
        <v>17</v>
      </c>
      <c r="V8" s="3" t="s">
        <v>18</v>
      </c>
      <c r="W8" s="3" t="s">
        <v>19</v>
      </c>
      <c r="X8" s="3" t="s">
        <v>20</v>
      </c>
      <c r="Y8" s="3" t="s">
        <v>21</v>
      </c>
      <c r="Z8" s="3" t="s">
        <v>15</v>
      </c>
      <c r="AA8" s="3"/>
      <c r="AB8" s="3"/>
      <c r="AC8" s="3"/>
      <c r="AD8" s="3"/>
      <c r="AE8" s="3"/>
    </row>
    <row r="9" spans="1:31">
      <c r="A9" s="5" t="s">
        <v>22</v>
      </c>
      <c r="B9" s="14" t="s">
        <v>23</v>
      </c>
      <c r="C9" s="10">
        <v>1000</v>
      </c>
      <c r="D9" s="5" t="s">
        <v>24</v>
      </c>
      <c r="E9" s="5" t="s">
        <v>25</v>
      </c>
      <c r="F9" s="5">
        <v>0</v>
      </c>
      <c r="G9" s="5">
        <v>7630.6745899999996</v>
      </c>
      <c r="H9" s="5">
        <v>1196.8197500000003</v>
      </c>
      <c r="I9" s="5">
        <v>9.4870499999999964</v>
      </c>
      <c r="J9" s="5">
        <v>0</v>
      </c>
      <c r="K9" s="5">
        <v>0</v>
      </c>
      <c r="L9" s="5">
        <v>0</v>
      </c>
      <c r="M9" s="46">
        <f>SUM(H9:L9)</f>
        <v>1206.3068000000003</v>
      </c>
      <c r="N9" s="12">
        <f>SUM(F9:J9)</f>
        <v>8836.981389999999</v>
      </c>
      <c r="O9" s="5" t="s">
        <v>26</v>
      </c>
      <c r="P9" s="11" t="s">
        <v>13</v>
      </c>
      <c r="Q9" s="53">
        <v>1000</v>
      </c>
      <c r="R9" s="53" t="s">
        <v>27</v>
      </c>
      <c r="S9" s="5" t="s">
        <v>28</v>
      </c>
      <c r="T9" s="5" t="s">
        <v>25</v>
      </c>
      <c r="U9" s="5">
        <v>145.19999999999999</v>
      </c>
      <c r="V9" s="5">
        <v>145.19999999999999</v>
      </c>
      <c r="W9" s="5">
        <v>145.19999999999999</v>
      </c>
      <c r="X9" s="5">
        <v>145.19999999999999</v>
      </c>
      <c r="Y9" s="5">
        <v>145.19999999999999</v>
      </c>
      <c r="Z9" s="46">
        <f>SUM(U9:Y9)</f>
        <v>726</v>
      </c>
    </row>
    <row r="10" spans="1:31">
      <c r="A10" s="5" t="s">
        <v>29</v>
      </c>
      <c r="B10" s="14" t="s">
        <v>23</v>
      </c>
      <c r="C10" s="10">
        <v>1000</v>
      </c>
      <c r="D10" s="5" t="s">
        <v>30</v>
      </c>
      <c r="E10" s="5" t="s">
        <v>25</v>
      </c>
      <c r="F10" s="5">
        <v>6.9574999999999996</v>
      </c>
      <c r="G10" s="5">
        <v>482.17230000000006</v>
      </c>
      <c r="H10" s="5">
        <v>9.4621899999999854</v>
      </c>
      <c r="I10" s="5">
        <v>12.699729999999999</v>
      </c>
      <c r="J10" s="5">
        <v>0</v>
      </c>
      <c r="K10" s="5">
        <v>0</v>
      </c>
      <c r="L10" s="5">
        <v>0</v>
      </c>
      <c r="M10" s="46">
        <f t="shared" ref="M10:M26" si="2">SUM(H10:L10)</f>
        <v>22.161919999999984</v>
      </c>
      <c r="N10" s="12">
        <f t="shared" ref="N10:N38" si="3">SUM(F10:J10)</f>
        <v>511.29172</v>
      </c>
      <c r="O10" s="5" t="s">
        <v>31</v>
      </c>
      <c r="P10" s="11" t="s">
        <v>13</v>
      </c>
      <c r="Q10" s="53">
        <v>1000</v>
      </c>
      <c r="R10" s="53" t="s">
        <v>27</v>
      </c>
      <c r="S10" s="5" t="s">
        <v>28</v>
      </c>
      <c r="T10" s="5" t="s">
        <v>25</v>
      </c>
      <c r="U10" s="5">
        <v>95.172000000000011</v>
      </c>
      <c r="V10" s="5">
        <v>95.172000000000011</v>
      </c>
      <c r="W10" s="5">
        <v>95.172000000000011</v>
      </c>
      <c r="X10" s="5">
        <v>95.172000000000011</v>
      </c>
      <c r="Y10" s="5">
        <v>95.172000000000011</v>
      </c>
      <c r="Z10" s="46">
        <f t="shared" ref="Z10:Z36" si="4">SUM(U10:Y10)</f>
        <v>475.86000000000007</v>
      </c>
    </row>
    <row r="11" spans="1:31">
      <c r="A11" s="5" t="s">
        <v>32</v>
      </c>
      <c r="B11" s="14" t="s">
        <v>23</v>
      </c>
      <c r="C11" s="10">
        <v>1000</v>
      </c>
      <c r="D11" s="5" t="s">
        <v>33</v>
      </c>
      <c r="E11" s="5" t="s">
        <v>25</v>
      </c>
      <c r="F11" s="5">
        <v>0</v>
      </c>
      <c r="G11" s="5">
        <v>5677.1572999999999</v>
      </c>
      <c r="H11" s="5">
        <v>8703.5824800000009</v>
      </c>
      <c r="I11" s="5">
        <v>6644.0999300000003</v>
      </c>
      <c r="J11" s="5">
        <v>5071.0004299999991</v>
      </c>
      <c r="K11" s="5">
        <v>566.75990000000002</v>
      </c>
      <c r="L11" s="5">
        <v>236.45038167938932</v>
      </c>
      <c r="M11" s="46">
        <f t="shared" si="2"/>
        <v>21221.89312167939</v>
      </c>
      <c r="N11" s="12">
        <f t="shared" si="3"/>
        <v>26095.84014</v>
      </c>
      <c r="O11" s="5" t="s">
        <v>34</v>
      </c>
      <c r="P11" s="11" t="s">
        <v>13</v>
      </c>
      <c r="Q11" s="53">
        <v>1000</v>
      </c>
      <c r="R11" s="53" t="s">
        <v>27</v>
      </c>
      <c r="S11" s="5" t="s">
        <v>24</v>
      </c>
      <c r="T11" s="5" t="s">
        <v>25</v>
      </c>
      <c r="U11" s="5">
        <v>0</v>
      </c>
      <c r="V11" s="5">
        <v>0</v>
      </c>
      <c r="W11" s="5">
        <v>1113.046</v>
      </c>
      <c r="X11" s="5">
        <v>0</v>
      </c>
      <c r="Y11" s="5">
        <v>0</v>
      </c>
      <c r="Z11" s="46">
        <f t="shared" si="4"/>
        <v>1113.046</v>
      </c>
    </row>
    <row r="12" spans="1:31">
      <c r="A12" s="5" t="s">
        <v>35</v>
      </c>
      <c r="B12" s="14" t="s">
        <v>23</v>
      </c>
      <c r="C12" s="10">
        <v>1000</v>
      </c>
      <c r="D12" s="5" t="s">
        <v>36</v>
      </c>
      <c r="E12" s="5" t="s">
        <v>25</v>
      </c>
      <c r="F12" s="5">
        <v>0</v>
      </c>
      <c r="G12" s="5">
        <v>913.72707300000002</v>
      </c>
      <c r="H12" s="5">
        <v>310.32356599999991</v>
      </c>
      <c r="I12" s="5">
        <v>0</v>
      </c>
      <c r="J12" s="5">
        <v>0</v>
      </c>
      <c r="K12" s="5">
        <v>0</v>
      </c>
      <c r="L12" s="5">
        <v>0</v>
      </c>
      <c r="M12" s="46">
        <f t="shared" si="2"/>
        <v>310.32356599999991</v>
      </c>
      <c r="N12" s="12">
        <f t="shared" si="3"/>
        <v>1224.050639</v>
      </c>
      <c r="O12" s="5" t="s">
        <v>37</v>
      </c>
      <c r="P12" s="11" t="s">
        <v>13</v>
      </c>
      <c r="Q12" s="53">
        <v>1000</v>
      </c>
      <c r="R12" s="53" t="s">
        <v>38</v>
      </c>
      <c r="S12" s="5" t="s">
        <v>36</v>
      </c>
      <c r="T12" s="5" t="s">
        <v>25</v>
      </c>
      <c r="U12" s="5">
        <v>111.32000000000002</v>
      </c>
      <c r="V12" s="5">
        <v>111.32000000000002</v>
      </c>
      <c r="W12" s="5">
        <v>111.32000000000002</v>
      </c>
      <c r="X12" s="5">
        <v>111.32000000000002</v>
      </c>
      <c r="Y12" s="5">
        <v>111.32000000000002</v>
      </c>
      <c r="Z12" s="46">
        <f t="shared" si="4"/>
        <v>556.60000000000014</v>
      </c>
    </row>
    <row r="13" spans="1:31">
      <c r="A13" s="5" t="s">
        <v>39</v>
      </c>
      <c r="B13" s="14" t="s">
        <v>23</v>
      </c>
      <c r="C13" s="10">
        <v>1000</v>
      </c>
      <c r="D13" s="5" t="s">
        <v>24</v>
      </c>
      <c r="E13" s="5" t="s">
        <v>40</v>
      </c>
      <c r="F13" s="5">
        <v>0</v>
      </c>
      <c r="G13" s="5">
        <v>0</v>
      </c>
      <c r="H13" s="5">
        <v>40.388100000000001</v>
      </c>
      <c r="I13" s="5">
        <v>0</v>
      </c>
      <c r="J13" s="5">
        <v>0</v>
      </c>
      <c r="K13" s="5">
        <v>0</v>
      </c>
      <c r="L13" s="5">
        <v>157.63358778625954</v>
      </c>
      <c r="M13" s="46">
        <f t="shared" si="2"/>
        <v>198.02168778625955</v>
      </c>
      <c r="N13" s="12">
        <f t="shared" si="3"/>
        <v>40.388100000000001</v>
      </c>
      <c r="O13" s="5" t="s">
        <v>41</v>
      </c>
      <c r="P13" s="11" t="s">
        <v>13</v>
      </c>
      <c r="Q13" s="53">
        <v>1000</v>
      </c>
      <c r="R13" s="53" t="s">
        <v>38</v>
      </c>
      <c r="S13" s="5" t="s">
        <v>36</v>
      </c>
      <c r="T13" s="5" t="s">
        <v>25</v>
      </c>
      <c r="U13" s="5">
        <v>118.15100000000001</v>
      </c>
      <c r="V13" s="5">
        <v>118.15100000000001</v>
      </c>
      <c r="W13" s="5">
        <v>118.15100000000001</v>
      </c>
      <c r="X13" s="5">
        <v>118.15100000000001</v>
      </c>
      <c r="Y13" s="5">
        <v>118.15100000000001</v>
      </c>
      <c r="Z13" s="46">
        <f t="shared" si="4"/>
        <v>590.75500000000011</v>
      </c>
    </row>
    <row r="14" spans="1:31">
      <c r="A14" s="5" t="s">
        <v>42</v>
      </c>
      <c r="B14" s="14" t="s">
        <v>23</v>
      </c>
      <c r="C14" s="10">
        <v>1000</v>
      </c>
      <c r="D14" s="5" t="s">
        <v>36</v>
      </c>
      <c r="E14" s="5" t="s">
        <v>25</v>
      </c>
      <c r="F14" s="5">
        <v>0</v>
      </c>
      <c r="G14" s="5">
        <v>6.4284030000000003</v>
      </c>
      <c r="H14" s="5">
        <v>0</v>
      </c>
      <c r="I14" s="5">
        <v>0</v>
      </c>
      <c r="J14" s="5">
        <v>0</v>
      </c>
      <c r="K14" s="5">
        <v>0</v>
      </c>
      <c r="L14" s="5">
        <v>0</v>
      </c>
      <c r="M14" s="46">
        <f t="shared" si="2"/>
        <v>0</v>
      </c>
      <c r="N14" s="12">
        <f t="shared" si="3"/>
        <v>6.4284030000000003</v>
      </c>
      <c r="O14" s="5" t="s">
        <v>43</v>
      </c>
      <c r="P14" s="11" t="s">
        <v>13</v>
      </c>
      <c r="Q14" s="53">
        <v>1000</v>
      </c>
      <c r="R14" s="53" t="s">
        <v>44</v>
      </c>
      <c r="S14" s="5" t="s">
        <v>36</v>
      </c>
      <c r="T14" s="5" t="s">
        <v>25</v>
      </c>
      <c r="U14" s="5">
        <v>0</v>
      </c>
      <c r="V14" s="5">
        <v>0</v>
      </c>
      <c r="W14" s="5">
        <v>0</v>
      </c>
      <c r="X14" s="5">
        <v>0</v>
      </c>
      <c r="Y14" s="5">
        <v>0</v>
      </c>
      <c r="Z14" s="46">
        <f t="shared" si="4"/>
        <v>0</v>
      </c>
    </row>
    <row r="15" spans="1:31">
      <c r="A15" s="5" t="s">
        <v>44</v>
      </c>
      <c r="B15" s="14" t="s">
        <v>23</v>
      </c>
      <c r="C15" s="10">
        <v>1000</v>
      </c>
      <c r="D15" s="5" t="s">
        <v>36</v>
      </c>
      <c r="E15" s="5" t="s">
        <v>25</v>
      </c>
      <c r="F15" s="5">
        <v>0</v>
      </c>
      <c r="G15" s="5">
        <v>414.97280000000006</v>
      </c>
      <c r="H15" s="5">
        <v>0</v>
      </c>
      <c r="I15" s="5">
        <v>0</v>
      </c>
      <c r="J15" s="5">
        <v>358.20269999999999</v>
      </c>
      <c r="K15" s="5">
        <v>917.81858</v>
      </c>
      <c r="L15" s="5">
        <v>0</v>
      </c>
      <c r="M15" s="46">
        <f t="shared" si="2"/>
        <v>1276.0212799999999</v>
      </c>
      <c r="N15" s="12">
        <f t="shared" si="3"/>
        <v>773.17550000000006</v>
      </c>
      <c r="O15" s="5" t="s">
        <v>45</v>
      </c>
      <c r="P15" s="11" t="s">
        <v>13</v>
      </c>
      <c r="Q15" s="53">
        <v>1000</v>
      </c>
      <c r="R15" s="53" t="s">
        <v>44</v>
      </c>
      <c r="S15" s="5" t="s">
        <v>46</v>
      </c>
      <c r="T15" s="5" t="s">
        <v>25</v>
      </c>
      <c r="U15" s="5">
        <v>0</v>
      </c>
      <c r="V15" s="5">
        <v>0</v>
      </c>
      <c r="W15" s="5">
        <v>0</v>
      </c>
      <c r="X15" s="5">
        <v>0</v>
      </c>
      <c r="Y15" s="5">
        <v>0</v>
      </c>
      <c r="Z15" s="46">
        <f t="shared" si="4"/>
        <v>0</v>
      </c>
    </row>
    <row r="16" spans="1:31">
      <c r="A16" s="5" t="s">
        <v>47</v>
      </c>
      <c r="B16" s="14" t="s">
        <v>23</v>
      </c>
      <c r="C16" s="10">
        <v>1000</v>
      </c>
      <c r="D16" s="5" t="s">
        <v>24</v>
      </c>
      <c r="E16" s="5" t="s">
        <v>25</v>
      </c>
      <c r="F16" s="5">
        <v>0</v>
      </c>
      <c r="G16" s="5">
        <v>41.725584999999981</v>
      </c>
      <c r="H16" s="5">
        <v>0</v>
      </c>
      <c r="I16" s="5">
        <v>36.220109999999998</v>
      </c>
      <c r="J16" s="5">
        <v>-2.0079099999999972</v>
      </c>
      <c r="K16" s="5">
        <v>0</v>
      </c>
      <c r="L16" s="5">
        <v>0</v>
      </c>
      <c r="M16" s="46">
        <f t="shared" si="2"/>
        <v>34.212200000000003</v>
      </c>
      <c r="N16" s="12">
        <f t="shared" si="3"/>
        <v>75.937784999999977</v>
      </c>
      <c r="O16" s="5" t="s">
        <v>48</v>
      </c>
      <c r="P16" s="11" t="s">
        <v>13</v>
      </c>
      <c r="Q16" s="53">
        <v>1000</v>
      </c>
      <c r="R16" s="53" t="s">
        <v>49</v>
      </c>
      <c r="S16" s="5" t="s">
        <v>24</v>
      </c>
      <c r="T16" s="5" t="s">
        <v>25</v>
      </c>
      <c r="U16" s="5">
        <v>71.5</v>
      </c>
      <c r="V16" s="5">
        <v>0</v>
      </c>
      <c r="W16" s="5">
        <v>0</v>
      </c>
      <c r="X16" s="5">
        <v>0</v>
      </c>
      <c r="Y16" s="5">
        <v>0</v>
      </c>
      <c r="Z16" s="46">
        <f t="shared" si="4"/>
        <v>71.5</v>
      </c>
    </row>
    <row r="17" spans="1:26">
      <c r="A17" s="5" t="s">
        <v>50</v>
      </c>
      <c r="B17" s="14" t="s">
        <v>23</v>
      </c>
      <c r="C17" s="10">
        <v>1000</v>
      </c>
      <c r="D17" s="5" t="s">
        <v>36</v>
      </c>
      <c r="E17" s="5" t="s">
        <v>25</v>
      </c>
      <c r="F17" s="5">
        <v>0</v>
      </c>
      <c r="G17" s="5">
        <v>0</v>
      </c>
      <c r="H17" s="5">
        <v>0</v>
      </c>
      <c r="I17" s="5">
        <v>57.748040000000003</v>
      </c>
      <c r="J17" s="5">
        <v>0</v>
      </c>
      <c r="K17" s="5">
        <v>0</v>
      </c>
      <c r="L17" s="5">
        <v>0</v>
      </c>
      <c r="M17" s="46">
        <f t="shared" si="2"/>
        <v>57.748040000000003</v>
      </c>
      <c r="N17" s="12">
        <f t="shared" si="3"/>
        <v>57.748040000000003</v>
      </c>
      <c r="O17" s="5" t="s">
        <v>51</v>
      </c>
      <c r="P17" s="11" t="s">
        <v>13</v>
      </c>
      <c r="Q17" s="53">
        <v>1000</v>
      </c>
      <c r="R17" s="53" t="s">
        <v>52</v>
      </c>
      <c r="S17" s="5" t="s">
        <v>24</v>
      </c>
      <c r="T17" s="5" t="s">
        <v>25</v>
      </c>
      <c r="U17" s="5">
        <v>0</v>
      </c>
      <c r="V17" s="5">
        <v>751.00608000000011</v>
      </c>
      <c r="W17" s="5">
        <v>0</v>
      </c>
      <c r="X17" s="5">
        <v>0</v>
      </c>
      <c r="Y17" s="5">
        <v>0</v>
      </c>
      <c r="Z17" s="46">
        <f t="shared" si="4"/>
        <v>751.00608000000011</v>
      </c>
    </row>
    <row r="18" spans="1:26">
      <c r="A18" s="5" t="s">
        <v>53</v>
      </c>
      <c r="B18" s="14" t="s">
        <v>23</v>
      </c>
      <c r="C18" s="10">
        <v>1000</v>
      </c>
      <c r="D18" s="5" t="s">
        <v>33</v>
      </c>
      <c r="E18" s="5" t="s">
        <v>25</v>
      </c>
      <c r="F18" s="5">
        <v>0</v>
      </c>
      <c r="G18" s="5">
        <v>0</v>
      </c>
      <c r="H18" s="5">
        <v>0</v>
      </c>
      <c r="I18" s="5">
        <v>0</v>
      </c>
      <c r="J18" s="5">
        <v>-15.29</v>
      </c>
      <c r="K18" s="5">
        <v>0</v>
      </c>
      <c r="L18" s="5">
        <v>0</v>
      </c>
      <c r="M18" s="46">
        <f t="shared" si="2"/>
        <v>-15.29</v>
      </c>
      <c r="N18" s="12">
        <f t="shared" si="3"/>
        <v>-15.29</v>
      </c>
      <c r="O18" s="5" t="s">
        <v>54</v>
      </c>
      <c r="P18" s="11" t="s">
        <v>13</v>
      </c>
      <c r="Q18" s="53">
        <v>1000</v>
      </c>
      <c r="R18" s="53" t="s">
        <v>55</v>
      </c>
      <c r="S18" s="5" t="s">
        <v>56</v>
      </c>
      <c r="T18" s="5" t="s">
        <v>25</v>
      </c>
      <c r="U18" s="5">
        <v>0</v>
      </c>
      <c r="V18" s="5">
        <v>0</v>
      </c>
      <c r="W18" s="5">
        <v>1030.5131811138015</v>
      </c>
      <c r="X18" s="5">
        <v>1030.5131811138015</v>
      </c>
      <c r="Y18" s="5">
        <v>0</v>
      </c>
      <c r="Z18" s="46">
        <f t="shared" si="4"/>
        <v>2061.0263622276029</v>
      </c>
    </row>
    <row r="19" spans="1:26">
      <c r="A19" s="5" t="s">
        <v>57</v>
      </c>
      <c r="B19" s="14" t="s">
        <v>23</v>
      </c>
      <c r="C19" s="10">
        <v>1000</v>
      </c>
      <c r="D19" s="5" t="s">
        <v>36</v>
      </c>
      <c r="E19" s="5" t="s">
        <v>25</v>
      </c>
      <c r="F19" s="5">
        <v>0</v>
      </c>
      <c r="G19" s="5">
        <v>0</v>
      </c>
      <c r="H19" s="5">
        <v>0</v>
      </c>
      <c r="I19" s="5">
        <v>0</v>
      </c>
      <c r="J19" s="5">
        <v>122.24982000000001</v>
      </c>
      <c r="K19" s="5">
        <v>0</v>
      </c>
      <c r="L19" s="5">
        <v>0</v>
      </c>
      <c r="M19" s="46">
        <f t="shared" si="2"/>
        <v>122.24982000000001</v>
      </c>
      <c r="N19" s="12">
        <f t="shared" si="3"/>
        <v>122.24982000000001</v>
      </c>
      <c r="O19" s="5" t="s">
        <v>58</v>
      </c>
      <c r="P19" s="11" t="s">
        <v>13</v>
      </c>
      <c r="Q19" s="53">
        <v>1000</v>
      </c>
      <c r="R19" s="53" t="s">
        <v>55</v>
      </c>
      <c r="S19" s="5" t="s">
        <v>56</v>
      </c>
      <c r="T19" s="5" t="s">
        <v>25</v>
      </c>
      <c r="U19" s="5">
        <v>444.03700000000003</v>
      </c>
      <c r="V19" s="5">
        <v>0</v>
      </c>
      <c r="W19" s="5">
        <v>0</v>
      </c>
      <c r="X19" s="5">
        <v>0</v>
      </c>
      <c r="Y19" s="5">
        <v>0</v>
      </c>
      <c r="Z19" s="46">
        <f t="shared" si="4"/>
        <v>444.03700000000003</v>
      </c>
    </row>
    <row r="20" spans="1:26">
      <c r="A20" s="5" t="s">
        <v>59</v>
      </c>
      <c r="B20" s="14" t="s">
        <v>23</v>
      </c>
      <c r="C20" s="10">
        <v>1000</v>
      </c>
      <c r="D20" s="5" t="s">
        <v>24</v>
      </c>
      <c r="E20" s="5" t="s">
        <v>25</v>
      </c>
      <c r="F20" s="5">
        <v>0</v>
      </c>
      <c r="G20" s="5">
        <v>0</v>
      </c>
      <c r="H20" s="5">
        <v>0</v>
      </c>
      <c r="I20" s="5">
        <v>0</v>
      </c>
      <c r="J20" s="5">
        <v>118.80103</v>
      </c>
      <c r="K20" s="5">
        <v>19.452579999999998</v>
      </c>
      <c r="L20" s="5">
        <v>0</v>
      </c>
      <c r="M20" s="46">
        <f t="shared" si="2"/>
        <v>138.25360999999998</v>
      </c>
      <c r="N20" s="12">
        <f t="shared" si="3"/>
        <v>118.80103</v>
      </c>
      <c r="O20" s="5" t="s">
        <v>60</v>
      </c>
      <c r="P20" s="11" t="s">
        <v>13</v>
      </c>
      <c r="Q20" s="53">
        <v>1000</v>
      </c>
      <c r="R20" s="53" t="s">
        <v>49</v>
      </c>
      <c r="S20" s="5" t="s">
        <v>24</v>
      </c>
      <c r="T20" s="5" t="s">
        <v>25</v>
      </c>
      <c r="U20" s="5">
        <v>42.317</v>
      </c>
      <c r="V20" s="5">
        <v>0</v>
      </c>
      <c r="W20" s="5">
        <v>0</v>
      </c>
      <c r="X20" s="5">
        <v>0</v>
      </c>
      <c r="Y20" s="5">
        <v>0</v>
      </c>
      <c r="Z20" s="46">
        <f t="shared" si="4"/>
        <v>42.317</v>
      </c>
    </row>
    <row r="21" spans="1:26">
      <c r="A21" s="5" t="s">
        <v>61</v>
      </c>
      <c r="B21" s="14" t="s">
        <v>23</v>
      </c>
      <c r="C21" s="10">
        <v>1000</v>
      </c>
      <c r="D21" s="5" t="s">
        <v>24</v>
      </c>
      <c r="E21" s="5" t="s">
        <v>25</v>
      </c>
      <c r="F21" s="5">
        <v>0</v>
      </c>
      <c r="G21" s="5">
        <v>0</v>
      </c>
      <c r="H21" s="5">
        <v>0</v>
      </c>
      <c r="I21" s="5">
        <v>0</v>
      </c>
      <c r="J21" s="5">
        <v>32.309629999999999</v>
      </c>
      <c r="K21" s="5">
        <v>49.375520000000002</v>
      </c>
      <c r="L21" s="5">
        <v>0</v>
      </c>
      <c r="M21" s="46">
        <f t="shared" si="2"/>
        <v>81.685149999999993</v>
      </c>
      <c r="N21" s="12">
        <f t="shared" si="3"/>
        <v>32.309629999999999</v>
      </c>
      <c r="O21" s="5" t="s">
        <v>62</v>
      </c>
      <c r="P21" s="11" t="s">
        <v>13</v>
      </c>
      <c r="Q21" s="53">
        <v>1000</v>
      </c>
      <c r="R21" s="53" t="s">
        <v>52</v>
      </c>
      <c r="S21" s="5" t="s">
        <v>24</v>
      </c>
      <c r="T21" s="5" t="s">
        <v>25</v>
      </c>
      <c r="U21" s="5">
        <v>0</v>
      </c>
      <c r="V21" s="5">
        <v>426.25440000000003</v>
      </c>
      <c r="W21" s="5">
        <v>0</v>
      </c>
      <c r="X21" s="5">
        <v>0</v>
      </c>
      <c r="Y21" s="5">
        <v>0</v>
      </c>
      <c r="Z21" s="46">
        <f t="shared" si="4"/>
        <v>426.25440000000003</v>
      </c>
    </row>
    <row r="22" spans="1:26">
      <c r="A22" s="5" t="s">
        <v>63</v>
      </c>
      <c r="B22" s="14" t="s">
        <v>23</v>
      </c>
      <c r="C22" s="10">
        <v>1000</v>
      </c>
      <c r="D22" s="5" t="s">
        <v>24</v>
      </c>
      <c r="E22" s="5" t="s">
        <v>25</v>
      </c>
      <c r="F22" s="5">
        <v>0</v>
      </c>
      <c r="G22" s="5">
        <v>0</v>
      </c>
      <c r="H22" s="5">
        <v>0</v>
      </c>
      <c r="I22" s="5">
        <v>0</v>
      </c>
      <c r="J22" s="5">
        <v>10.64514</v>
      </c>
      <c r="K22" s="5">
        <v>560.67623000000003</v>
      </c>
      <c r="L22" s="5">
        <v>204.92366412213741</v>
      </c>
      <c r="M22" s="46">
        <f t="shared" si="2"/>
        <v>776.24503412213744</v>
      </c>
      <c r="N22" s="12">
        <f t="shared" si="3"/>
        <v>10.64514</v>
      </c>
      <c r="O22" s="5" t="s">
        <v>64</v>
      </c>
      <c r="P22" s="11" t="s">
        <v>13</v>
      </c>
      <c r="Q22" s="53">
        <v>1000</v>
      </c>
      <c r="R22" s="53" t="s">
        <v>49</v>
      </c>
      <c r="S22" s="5" t="s">
        <v>24</v>
      </c>
      <c r="T22" s="5" t="s">
        <v>25</v>
      </c>
      <c r="U22" s="5">
        <v>0</v>
      </c>
      <c r="V22" s="5">
        <v>0</v>
      </c>
      <c r="W22" s="5">
        <v>635.17151808000006</v>
      </c>
      <c r="X22" s="5">
        <v>0</v>
      </c>
      <c r="Y22" s="5">
        <v>0</v>
      </c>
      <c r="Z22" s="46">
        <f t="shared" si="4"/>
        <v>635.17151808000006</v>
      </c>
    </row>
    <row r="23" spans="1:26">
      <c r="A23" s="5" t="s">
        <v>37</v>
      </c>
      <c r="B23" s="14" t="s">
        <v>23</v>
      </c>
      <c r="C23" s="10">
        <v>1000</v>
      </c>
      <c r="D23" s="5" t="s">
        <v>36</v>
      </c>
      <c r="E23" s="5" t="s">
        <v>25</v>
      </c>
      <c r="F23" s="5">
        <v>0</v>
      </c>
      <c r="G23" s="5">
        <v>0</v>
      </c>
      <c r="H23" s="5">
        <v>0</v>
      </c>
      <c r="I23" s="5">
        <v>0</v>
      </c>
      <c r="J23" s="5">
        <v>0</v>
      </c>
      <c r="K23" s="5">
        <v>29.848999999999997</v>
      </c>
      <c r="L23" s="5">
        <v>25.221374045801525</v>
      </c>
      <c r="M23" s="46">
        <f t="shared" si="2"/>
        <v>55.070374045801522</v>
      </c>
      <c r="N23" s="12">
        <f t="shared" si="3"/>
        <v>0</v>
      </c>
      <c r="O23" s="5" t="s">
        <v>65</v>
      </c>
      <c r="P23" s="11" t="s">
        <v>13</v>
      </c>
      <c r="Q23" s="53">
        <v>1000</v>
      </c>
      <c r="R23" s="53" t="s">
        <v>52</v>
      </c>
      <c r="S23" s="5" t="s">
        <v>24</v>
      </c>
      <c r="T23" s="5" t="s">
        <v>25</v>
      </c>
      <c r="U23" s="5">
        <v>504.82740000000001</v>
      </c>
      <c r="V23" s="5">
        <v>0</v>
      </c>
      <c r="W23" s="5">
        <v>0</v>
      </c>
      <c r="X23" s="5">
        <v>0</v>
      </c>
      <c r="Y23" s="5">
        <v>0</v>
      </c>
      <c r="Z23" s="46">
        <f t="shared" si="4"/>
        <v>504.82740000000001</v>
      </c>
    </row>
    <row r="24" spans="1:26">
      <c r="A24" s="5" t="s">
        <v>66</v>
      </c>
      <c r="B24" s="14" t="s">
        <v>23</v>
      </c>
      <c r="C24" s="10">
        <v>1000</v>
      </c>
      <c r="D24" s="5" t="s">
        <v>24</v>
      </c>
      <c r="E24" s="5" t="s">
        <v>25</v>
      </c>
      <c r="F24" s="5">
        <v>0</v>
      </c>
      <c r="G24" s="5">
        <v>0</v>
      </c>
      <c r="H24" s="5">
        <v>0</v>
      </c>
      <c r="I24" s="5">
        <v>0</v>
      </c>
      <c r="J24" s="5">
        <v>0</v>
      </c>
      <c r="K24" s="5">
        <v>215.06215</v>
      </c>
      <c r="L24" s="5">
        <v>184.95674300254453</v>
      </c>
      <c r="M24" s="46">
        <f t="shared" si="2"/>
        <v>400.01889300254453</v>
      </c>
      <c r="N24" s="12">
        <f t="shared" si="3"/>
        <v>0</v>
      </c>
      <c r="O24" s="5" t="s">
        <v>66</v>
      </c>
      <c r="P24" s="11" t="s">
        <v>13</v>
      </c>
      <c r="Q24" s="53">
        <v>1000</v>
      </c>
      <c r="R24" s="53" t="s">
        <v>49</v>
      </c>
      <c r="S24" s="5" t="s">
        <v>24</v>
      </c>
      <c r="T24" s="5" t="s">
        <v>25</v>
      </c>
      <c r="U24" s="5">
        <v>77</v>
      </c>
      <c r="V24" s="5">
        <v>77</v>
      </c>
      <c r="W24" s="5">
        <v>77</v>
      </c>
      <c r="X24" s="5">
        <v>77</v>
      </c>
      <c r="Y24" s="5">
        <v>0</v>
      </c>
      <c r="Z24" s="46">
        <f t="shared" si="4"/>
        <v>308</v>
      </c>
    </row>
    <row r="25" spans="1:26">
      <c r="A25" s="5" t="s">
        <v>67</v>
      </c>
      <c r="B25" s="14" t="s">
        <v>23</v>
      </c>
      <c r="C25" s="10">
        <v>1000</v>
      </c>
      <c r="D25" s="5" t="s">
        <v>24</v>
      </c>
      <c r="E25" s="5" t="s">
        <v>25</v>
      </c>
      <c r="F25" s="5">
        <v>0</v>
      </c>
      <c r="G25" s="5">
        <v>0</v>
      </c>
      <c r="H25" s="5">
        <v>0</v>
      </c>
      <c r="I25" s="5">
        <v>0</v>
      </c>
      <c r="J25" s="5">
        <v>0</v>
      </c>
      <c r="K25" s="5">
        <v>70</v>
      </c>
      <c r="L25" s="5">
        <v>425.64899540012732</v>
      </c>
      <c r="M25" s="46">
        <f t="shared" si="2"/>
        <v>495.64899540012732</v>
      </c>
      <c r="N25" s="12">
        <f t="shared" si="3"/>
        <v>0</v>
      </c>
      <c r="O25" s="5" t="s">
        <v>68</v>
      </c>
      <c r="P25" s="11" t="s">
        <v>13</v>
      </c>
      <c r="Q25" s="53">
        <v>1000</v>
      </c>
      <c r="R25" s="53" t="s">
        <v>49</v>
      </c>
      <c r="S25" s="5" t="s">
        <v>24</v>
      </c>
      <c r="T25" s="5" t="s">
        <v>25</v>
      </c>
      <c r="U25" s="5">
        <v>268.52100000000002</v>
      </c>
      <c r="V25" s="5">
        <v>0</v>
      </c>
      <c r="W25" s="5">
        <v>0</v>
      </c>
      <c r="X25" s="5">
        <v>0</v>
      </c>
      <c r="Y25" s="5">
        <v>0</v>
      </c>
      <c r="Z25" s="46">
        <f t="shared" si="4"/>
        <v>268.52100000000002</v>
      </c>
    </row>
    <row r="26" spans="1:26">
      <c r="A26" s="5" t="s">
        <v>69</v>
      </c>
      <c r="B26" s="14" t="s">
        <v>23</v>
      </c>
      <c r="C26" s="10">
        <v>1000</v>
      </c>
      <c r="D26" s="5" t="s">
        <v>70</v>
      </c>
      <c r="E26" s="5" t="s">
        <v>25</v>
      </c>
      <c r="F26" s="5">
        <v>0</v>
      </c>
      <c r="G26" s="5">
        <v>0</v>
      </c>
      <c r="H26" s="5">
        <v>0</v>
      </c>
      <c r="I26" s="5">
        <v>0</v>
      </c>
      <c r="J26" s="5">
        <v>0</v>
      </c>
      <c r="K26" s="5">
        <v>0</v>
      </c>
      <c r="L26" s="5">
        <v>37.832061068702288</v>
      </c>
      <c r="M26" s="46">
        <f t="shared" si="2"/>
        <v>37.832061068702288</v>
      </c>
      <c r="N26" s="12">
        <f t="shared" si="3"/>
        <v>0</v>
      </c>
      <c r="O26" s="5" t="s">
        <v>71</v>
      </c>
      <c r="P26" s="11" t="s">
        <v>13</v>
      </c>
      <c r="Q26" s="53">
        <v>1000</v>
      </c>
      <c r="R26" s="53" t="s">
        <v>49</v>
      </c>
      <c r="S26" s="5" t="s">
        <v>24</v>
      </c>
      <c r="T26" s="5" t="s">
        <v>25</v>
      </c>
      <c r="U26" s="5">
        <v>198.16170000000002</v>
      </c>
      <c r="V26" s="5">
        <v>0</v>
      </c>
      <c r="W26" s="5">
        <v>0</v>
      </c>
      <c r="X26" s="5">
        <v>0</v>
      </c>
      <c r="Y26" s="5">
        <v>0</v>
      </c>
      <c r="Z26" s="46">
        <f t="shared" si="4"/>
        <v>198.16170000000002</v>
      </c>
    </row>
    <row r="27" spans="1:26">
      <c r="A27" s="5" t="s">
        <v>72</v>
      </c>
      <c r="B27" s="14" t="s">
        <v>23</v>
      </c>
      <c r="C27" s="10">
        <v>1000</v>
      </c>
      <c r="D27" s="5" t="s">
        <v>36</v>
      </c>
      <c r="E27" s="5" t="s">
        <v>25</v>
      </c>
      <c r="F27" s="5">
        <v>0</v>
      </c>
      <c r="G27" s="5">
        <v>0</v>
      </c>
      <c r="H27" s="5">
        <v>0</v>
      </c>
      <c r="I27" s="5">
        <v>0</v>
      </c>
      <c r="J27" s="5">
        <v>0</v>
      </c>
      <c r="K27" s="5">
        <v>27.5</v>
      </c>
      <c r="L27" s="5">
        <v>26.272264631043257</v>
      </c>
      <c r="M27" s="46">
        <f t="shared" ref="M27:M35" si="5">SUM(H27:L27)</f>
        <v>53.772264631043257</v>
      </c>
      <c r="N27" s="12">
        <f t="shared" si="3"/>
        <v>0</v>
      </c>
      <c r="O27" s="5" t="s">
        <v>73</v>
      </c>
      <c r="P27" s="11" t="s">
        <v>13</v>
      </c>
      <c r="Q27" s="53">
        <v>1000</v>
      </c>
      <c r="R27" s="53" t="s">
        <v>49</v>
      </c>
      <c r="S27" s="5" t="s">
        <v>24</v>
      </c>
      <c r="T27" s="5" t="s">
        <v>25</v>
      </c>
      <c r="U27" s="5">
        <v>100.61040000000001</v>
      </c>
      <c r="V27" s="5">
        <v>0</v>
      </c>
      <c r="W27" s="5">
        <v>0</v>
      </c>
      <c r="X27" s="5">
        <v>0</v>
      </c>
      <c r="Y27" s="5">
        <v>0</v>
      </c>
      <c r="Z27" s="46">
        <f t="shared" si="4"/>
        <v>100.61040000000001</v>
      </c>
    </row>
    <row r="28" spans="1:26">
      <c r="A28" s="5" t="s">
        <v>38</v>
      </c>
      <c r="B28" s="14" t="s">
        <v>23</v>
      </c>
      <c r="C28" s="10">
        <v>1000</v>
      </c>
      <c r="D28" s="5" t="s">
        <v>36</v>
      </c>
      <c r="E28" s="5" t="s">
        <v>25</v>
      </c>
      <c r="F28" s="5">
        <v>0</v>
      </c>
      <c r="G28" s="5">
        <v>0</v>
      </c>
      <c r="H28" s="5">
        <v>0</v>
      </c>
      <c r="I28" s="5">
        <v>0</v>
      </c>
      <c r="J28" s="5">
        <v>0</v>
      </c>
      <c r="K28" s="5">
        <v>0</v>
      </c>
      <c r="L28" s="5">
        <v>86.559493002544528</v>
      </c>
      <c r="M28" s="46">
        <f t="shared" si="5"/>
        <v>86.559493002544528</v>
      </c>
      <c r="N28" s="12">
        <f t="shared" si="3"/>
        <v>0</v>
      </c>
      <c r="O28" s="5" t="s">
        <v>74</v>
      </c>
      <c r="P28" s="11" t="s">
        <v>13</v>
      </c>
      <c r="Q28" s="53">
        <v>1000</v>
      </c>
      <c r="R28" s="53" t="s">
        <v>49</v>
      </c>
      <c r="S28" s="5" t="s">
        <v>24</v>
      </c>
      <c r="T28" s="5" t="s">
        <v>25</v>
      </c>
      <c r="U28" s="5">
        <v>82.5</v>
      </c>
      <c r="V28" s="5">
        <v>0</v>
      </c>
      <c r="W28" s="5">
        <v>0</v>
      </c>
      <c r="X28" s="5">
        <v>0</v>
      </c>
      <c r="Y28" s="5">
        <v>0</v>
      </c>
      <c r="Z28" s="46">
        <f t="shared" si="4"/>
        <v>82.5</v>
      </c>
    </row>
    <row r="29" spans="1:26">
      <c r="A29" s="5" t="s">
        <v>75</v>
      </c>
      <c r="B29" s="14" t="s">
        <v>23</v>
      </c>
      <c r="C29" s="10">
        <v>1000</v>
      </c>
      <c r="D29" s="5" t="s">
        <v>36</v>
      </c>
      <c r="E29" s="5" t="s">
        <v>25</v>
      </c>
      <c r="F29" s="5">
        <v>0</v>
      </c>
      <c r="G29" s="5">
        <v>0</v>
      </c>
      <c r="H29" s="5">
        <v>0</v>
      </c>
      <c r="I29" s="5">
        <v>0</v>
      </c>
      <c r="J29" s="5">
        <v>0</v>
      </c>
      <c r="K29" s="5">
        <v>0</v>
      </c>
      <c r="L29" s="5">
        <v>1563.5414426208654</v>
      </c>
      <c r="M29" s="46">
        <f t="shared" si="5"/>
        <v>1563.5414426208654</v>
      </c>
      <c r="N29" s="12">
        <f t="shared" si="3"/>
        <v>0</v>
      </c>
      <c r="O29" s="5" t="s">
        <v>76</v>
      </c>
      <c r="P29" s="11" t="s">
        <v>13</v>
      </c>
      <c r="Q29" s="53">
        <v>1000</v>
      </c>
      <c r="R29" s="53" t="s">
        <v>49</v>
      </c>
      <c r="S29" s="5" t="s">
        <v>24</v>
      </c>
      <c r="T29" s="5" t="s">
        <v>25</v>
      </c>
      <c r="U29" s="5">
        <v>80.718590919999997</v>
      </c>
      <c r="V29" s="5">
        <v>0</v>
      </c>
      <c r="W29" s="5">
        <v>0</v>
      </c>
      <c r="X29" s="5">
        <v>0</v>
      </c>
      <c r="Y29" s="5">
        <v>0</v>
      </c>
      <c r="Z29" s="46">
        <f t="shared" si="4"/>
        <v>80.718590919999997</v>
      </c>
    </row>
    <row r="30" spans="1:26">
      <c r="A30" s="5" t="s">
        <v>77</v>
      </c>
      <c r="B30" s="14" t="s">
        <v>23</v>
      </c>
      <c r="C30" s="10">
        <v>1000</v>
      </c>
      <c r="D30" s="5" t="s">
        <v>24</v>
      </c>
      <c r="E30" s="5" t="s">
        <v>25</v>
      </c>
      <c r="F30" s="5">
        <v>0</v>
      </c>
      <c r="G30" s="5">
        <v>0</v>
      </c>
      <c r="H30" s="5">
        <v>0</v>
      </c>
      <c r="I30" s="5">
        <v>0</v>
      </c>
      <c r="J30" s="5">
        <v>0</v>
      </c>
      <c r="K30" s="5">
        <v>15.18</v>
      </c>
      <c r="L30" s="5">
        <v>72.511450381679396</v>
      </c>
      <c r="M30" s="46">
        <f t="shared" si="5"/>
        <v>87.691450381679402</v>
      </c>
      <c r="N30" s="12">
        <f t="shared" si="3"/>
        <v>0</v>
      </c>
      <c r="O30" s="5" t="s">
        <v>78</v>
      </c>
      <c r="P30" s="11" t="s">
        <v>13</v>
      </c>
      <c r="Q30" s="53">
        <v>1000</v>
      </c>
      <c r="R30" s="53" t="s">
        <v>49</v>
      </c>
      <c r="S30" s="5" t="s">
        <v>24</v>
      </c>
      <c r="T30" s="5" t="s">
        <v>25</v>
      </c>
      <c r="U30" s="5">
        <v>0</v>
      </c>
      <c r="V30" s="5">
        <v>134.70765000000003</v>
      </c>
      <c r="W30" s="5">
        <v>0</v>
      </c>
      <c r="X30" s="5">
        <v>0</v>
      </c>
      <c r="Y30" s="5">
        <v>0</v>
      </c>
      <c r="Z30" s="46">
        <f t="shared" si="4"/>
        <v>134.70765000000003</v>
      </c>
    </row>
    <row r="31" spans="1:26">
      <c r="A31" s="5" t="s">
        <v>49</v>
      </c>
      <c r="B31" s="14" t="s">
        <v>23</v>
      </c>
      <c r="C31" s="10">
        <v>1000</v>
      </c>
      <c r="D31" s="5" t="s">
        <v>24</v>
      </c>
      <c r="E31" s="5" t="s">
        <v>25</v>
      </c>
      <c r="F31" s="5">
        <v>817.45349099999999</v>
      </c>
      <c r="G31" s="5">
        <v>0</v>
      </c>
      <c r="H31" s="5">
        <v>0</v>
      </c>
      <c r="I31" s="5">
        <v>0</v>
      </c>
      <c r="J31" s="5">
        <v>0</v>
      </c>
      <c r="K31" s="5">
        <v>0</v>
      </c>
      <c r="L31" s="5">
        <v>285.07167127860055</v>
      </c>
      <c r="M31" s="46">
        <f t="shared" si="5"/>
        <v>285.07167127860055</v>
      </c>
      <c r="N31" s="12">
        <f t="shared" si="3"/>
        <v>817.45349099999999</v>
      </c>
      <c r="O31" s="5" t="s">
        <v>79</v>
      </c>
      <c r="P31" s="11" t="s">
        <v>13</v>
      </c>
      <c r="Q31" s="53">
        <v>1000</v>
      </c>
      <c r="R31" s="53" t="s">
        <v>49</v>
      </c>
      <c r="S31" s="5" t="s">
        <v>24</v>
      </c>
      <c r="T31" s="5" t="s">
        <v>25</v>
      </c>
      <c r="U31" s="5">
        <v>0</v>
      </c>
      <c r="V31" s="5">
        <v>563.64</v>
      </c>
      <c r="W31" s="5">
        <v>0</v>
      </c>
      <c r="X31" s="5">
        <v>0</v>
      </c>
      <c r="Y31" s="5">
        <v>0</v>
      </c>
      <c r="Z31" s="46">
        <f t="shared" si="4"/>
        <v>563.64</v>
      </c>
    </row>
    <row r="32" spans="1:26">
      <c r="A32" s="5" t="s">
        <v>80</v>
      </c>
      <c r="B32" s="14" t="s">
        <v>23</v>
      </c>
      <c r="C32" s="10">
        <v>1000</v>
      </c>
      <c r="D32" s="5" t="s">
        <v>36</v>
      </c>
      <c r="E32" s="5" t="s">
        <v>25</v>
      </c>
      <c r="F32" s="5">
        <v>0</v>
      </c>
      <c r="G32" s="5">
        <v>0</v>
      </c>
      <c r="H32" s="5">
        <v>0</v>
      </c>
      <c r="I32" s="5">
        <v>0</v>
      </c>
      <c r="J32" s="5">
        <v>0</v>
      </c>
      <c r="K32" s="5">
        <v>0</v>
      </c>
      <c r="L32" s="5">
        <v>0</v>
      </c>
      <c r="M32" s="46">
        <f t="shared" si="5"/>
        <v>0</v>
      </c>
      <c r="N32" s="12">
        <f t="shared" si="3"/>
        <v>0</v>
      </c>
      <c r="O32" s="5" t="s">
        <v>81</v>
      </c>
      <c r="P32" s="11" t="s">
        <v>13</v>
      </c>
      <c r="Q32" s="53">
        <v>1000</v>
      </c>
      <c r="R32" s="53" t="s">
        <v>49</v>
      </c>
      <c r="S32" s="5" t="s">
        <v>24</v>
      </c>
      <c r="T32" s="5" t="s">
        <v>25</v>
      </c>
      <c r="U32" s="5">
        <v>0</v>
      </c>
      <c r="V32" s="5">
        <v>92.40000000000002</v>
      </c>
      <c r="W32" s="5">
        <v>0</v>
      </c>
      <c r="X32" s="5">
        <v>0</v>
      </c>
      <c r="Y32" s="5">
        <v>0</v>
      </c>
      <c r="Z32" s="46">
        <f t="shared" si="4"/>
        <v>92.40000000000002</v>
      </c>
    </row>
    <row r="33" spans="1:29">
      <c r="A33" s="5" t="s">
        <v>27</v>
      </c>
      <c r="B33" s="14" t="s">
        <v>23</v>
      </c>
      <c r="C33" s="10">
        <v>1000</v>
      </c>
      <c r="D33" s="5" t="s">
        <v>24</v>
      </c>
      <c r="E33" s="5" t="s">
        <v>25</v>
      </c>
      <c r="F33" s="5">
        <v>0</v>
      </c>
      <c r="G33" s="5">
        <v>0</v>
      </c>
      <c r="H33" s="5">
        <v>0</v>
      </c>
      <c r="I33" s="5">
        <v>0</v>
      </c>
      <c r="J33" s="5">
        <v>0</v>
      </c>
      <c r="K33" s="5">
        <v>0</v>
      </c>
      <c r="L33" s="5">
        <v>63.151167938931295</v>
      </c>
      <c r="M33" s="46">
        <f t="shared" si="5"/>
        <v>63.151167938931295</v>
      </c>
      <c r="N33" s="12">
        <f t="shared" si="3"/>
        <v>0</v>
      </c>
      <c r="O33" s="5" t="s">
        <v>82</v>
      </c>
      <c r="P33" s="11" t="s">
        <v>13</v>
      </c>
      <c r="Q33" s="53">
        <v>1000</v>
      </c>
      <c r="R33" s="53" t="s">
        <v>49</v>
      </c>
      <c r="S33" s="5" t="s">
        <v>24</v>
      </c>
      <c r="T33" s="5" t="s">
        <v>25</v>
      </c>
      <c r="U33" s="5">
        <v>150.68899999999999</v>
      </c>
      <c r="V33" s="5">
        <v>150.68899999999999</v>
      </c>
      <c r="W33" s="5">
        <v>150.68899999999999</v>
      </c>
      <c r="X33" s="5">
        <v>150.68899999999999</v>
      </c>
      <c r="Y33" s="5">
        <v>150.68899999999999</v>
      </c>
      <c r="Z33" s="46">
        <f t="shared" si="4"/>
        <v>753.44499999999994</v>
      </c>
    </row>
    <row r="34" spans="1:29">
      <c r="A34" s="5" t="s">
        <v>83</v>
      </c>
      <c r="B34" s="14" t="s">
        <v>23</v>
      </c>
      <c r="C34" s="10">
        <v>1000</v>
      </c>
      <c r="D34" s="5" t="s">
        <v>84</v>
      </c>
      <c r="E34" s="5" t="s">
        <v>25</v>
      </c>
      <c r="F34" s="5">
        <v>0</v>
      </c>
      <c r="G34" s="5">
        <v>0</v>
      </c>
      <c r="H34" s="5">
        <v>0</v>
      </c>
      <c r="I34" s="5">
        <v>0</v>
      </c>
      <c r="J34" s="5">
        <v>0</v>
      </c>
      <c r="K34" s="5">
        <v>0</v>
      </c>
      <c r="L34" s="5">
        <v>0</v>
      </c>
      <c r="M34" s="46">
        <f t="shared" si="5"/>
        <v>0</v>
      </c>
      <c r="N34" s="12">
        <f t="shared" si="3"/>
        <v>0</v>
      </c>
      <c r="O34" s="5" t="s">
        <v>85</v>
      </c>
      <c r="P34" s="11" t="s">
        <v>13</v>
      </c>
      <c r="Q34" s="53">
        <v>1000</v>
      </c>
      <c r="R34" s="53" t="s">
        <v>86</v>
      </c>
      <c r="S34" s="5" t="s">
        <v>24</v>
      </c>
      <c r="T34" s="5" t="s">
        <v>25</v>
      </c>
      <c r="U34" s="5">
        <v>1375</v>
      </c>
      <c r="V34" s="5">
        <v>1375</v>
      </c>
      <c r="W34" s="5">
        <v>0</v>
      </c>
      <c r="X34" s="5">
        <v>0</v>
      </c>
      <c r="Y34" s="5">
        <v>0</v>
      </c>
      <c r="Z34" s="46">
        <f t="shared" si="4"/>
        <v>2750</v>
      </c>
    </row>
    <row r="35" spans="1:29">
      <c r="A35" s="5" t="s">
        <v>87</v>
      </c>
      <c r="B35" s="14" t="s">
        <v>23</v>
      </c>
      <c r="C35" s="10">
        <v>1000</v>
      </c>
      <c r="D35" s="5" t="s">
        <v>24</v>
      </c>
      <c r="E35" s="5" t="s">
        <v>25</v>
      </c>
      <c r="F35" s="5">
        <v>0</v>
      </c>
      <c r="G35" s="5">
        <v>0</v>
      </c>
      <c r="H35" s="5">
        <v>0</v>
      </c>
      <c r="I35" s="5">
        <v>0</v>
      </c>
      <c r="J35" s="5">
        <v>0</v>
      </c>
      <c r="K35" s="5">
        <v>0</v>
      </c>
      <c r="L35" s="5">
        <v>159.65379357506364</v>
      </c>
      <c r="M35" s="46">
        <f t="shared" si="5"/>
        <v>159.65379357506364</v>
      </c>
      <c r="N35" s="12">
        <f t="shared" si="3"/>
        <v>0</v>
      </c>
      <c r="O35" s="5" t="s">
        <v>88</v>
      </c>
      <c r="P35" s="11" t="s">
        <v>13</v>
      </c>
      <c r="Q35" s="53">
        <v>1000</v>
      </c>
      <c r="R35" s="53" t="s">
        <v>86</v>
      </c>
      <c r="S35" s="5" t="s">
        <v>24</v>
      </c>
      <c r="T35" s="5" t="s">
        <v>25</v>
      </c>
      <c r="U35" s="5">
        <v>194.84061300000005</v>
      </c>
      <c r="V35" s="5">
        <v>194.84061300000005</v>
      </c>
      <c r="W35" s="5">
        <v>0</v>
      </c>
      <c r="X35" s="5">
        <v>0</v>
      </c>
      <c r="Y35" s="5">
        <v>0</v>
      </c>
      <c r="Z35" s="46">
        <f t="shared" si="4"/>
        <v>389.68122600000009</v>
      </c>
    </row>
    <row r="36" spans="1:29">
      <c r="A36" s="5" t="s">
        <v>89</v>
      </c>
      <c r="B36" s="14" t="s">
        <v>23</v>
      </c>
      <c r="C36" s="10">
        <v>1000</v>
      </c>
      <c r="D36" s="5" t="s">
        <v>24</v>
      </c>
      <c r="E36" s="5" t="s">
        <v>25</v>
      </c>
      <c r="F36" s="5">
        <v>0</v>
      </c>
      <c r="G36" s="5">
        <v>0</v>
      </c>
      <c r="H36" s="5">
        <v>0</v>
      </c>
      <c r="I36" s="5">
        <v>0</v>
      </c>
      <c r="J36" s="5">
        <v>0</v>
      </c>
      <c r="K36" s="5">
        <v>0</v>
      </c>
      <c r="L36" s="5">
        <v>39.58941284987278</v>
      </c>
      <c r="M36" s="46">
        <f>SUM(H36:L36)</f>
        <v>39.58941284987278</v>
      </c>
      <c r="N36" s="12">
        <f t="shared" si="3"/>
        <v>0</v>
      </c>
      <c r="O36" s="5" t="s">
        <v>90</v>
      </c>
      <c r="P36" s="11" t="s">
        <v>13</v>
      </c>
      <c r="Q36" s="11"/>
      <c r="R36" s="53" t="s">
        <v>91</v>
      </c>
      <c r="S36" s="5" t="s">
        <v>56</v>
      </c>
      <c r="T36" s="5" t="s">
        <v>40</v>
      </c>
      <c r="U36" s="5">
        <v>40.388100000000001</v>
      </c>
      <c r="V36" s="5">
        <v>0</v>
      </c>
      <c r="W36" s="5">
        <v>0</v>
      </c>
      <c r="X36" s="5">
        <v>0</v>
      </c>
      <c r="Y36" s="5">
        <v>157.63358778625954</v>
      </c>
      <c r="Z36" s="46">
        <f t="shared" si="4"/>
        <v>198.02168778625955</v>
      </c>
    </row>
    <row r="37" spans="1:29">
      <c r="A37" s="5" t="s">
        <v>92</v>
      </c>
      <c r="B37" s="14" t="s">
        <v>23</v>
      </c>
      <c r="C37" s="10">
        <v>1000</v>
      </c>
      <c r="D37" s="5" t="s">
        <v>24</v>
      </c>
      <c r="E37" s="5" t="s">
        <v>25</v>
      </c>
      <c r="F37" s="5">
        <v>0</v>
      </c>
      <c r="G37" s="5">
        <v>0</v>
      </c>
      <c r="H37" s="5">
        <v>0</v>
      </c>
      <c r="I37" s="5">
        <v>0</v>
      </c>
      <c r="J37" s="5">
        <v>0</v>
      </c>
      <c r="K37" s="5">
        <v>0</v>
      </c>
      <c r="L37" s="5">
        <v>131.3613231552163</v>
      </c>
      <c r="M37" s="46">
        <f>SUM(H37:L37)</f>
        <v>131.3613231552163</v>
      </c>
      <c r="N37" s="12">
        <f t="shared" si="3"/>
        <v>0</v>
      </c>
    </row>
    <row r="38" spans="1:29">
      <c r="A38" s="5" t="s">
        <v>93</v>
      </c>
      <c r="B38" s="14" t="s">
        <v>93</v>
      </c>
      <c r="C38" s="10"/>
      <c r="D38" s="5">
        <v>0</v>
      </c>
      <c r="E38" s="5">
        <v>0</v>
      </c>
      <c r="F38" s="5" t="s">
        <v>93</v>
      </c>
      <c r="G38" s="5" t="s">
        <v>93</v>
      </c>
      <c r="H38" s="5" t="s">
        <v>93</v>
      </c>
      <c r="I38" s="5" t="s">
        <v>93</v>
      </c>
      <c r="J38" s="5" t="s">
        <v>93</v>
      </c>
      <c r="K38" s="5" t="s">
        <v>93</v>
      </c>
      <c r="L38" s="5" t="s">
        <v>93</v>
      </c>
      <c r="M38" s="46">
        <f>SUM(H38:L38)</f>
        <v>0</v>
      </c>
      <c r="N38" s="12">
        <f t="shared" si="3"/>
        <v>0</v>
      </c>
    </row>
    <row r="40" spans="1:29" ht="16.5">
      <c r="A40" s="4" t="s">
        <v>94</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c r="A41" s="3" t="str">
        <f>A8</f>
        <v>Project</v>
      </c>
      <c r="B41" s="3"/>
      <c r="C41" s="3"/>
      <c r="D41" s="3"/>
      <c r="E41" s="3"/>
      <c r="F41" s="3"/>
      <c r="G41" s="3"/>
      <c r="H41" s="3" t="str">
        <f t="shared" ref="H41:M41" si="6">H8</f>
        <v>2018/19</v>
      </c>
      <c r="I41" s="3" t="str">
        <f t="shared" si="6"/>
        <v>2019/20</v>
      </c>
      <c r="J41" s="3" t="str">
        <f t="shared" si="6"/>
        <v>2020/21</v>
      </c>
      <c r="K41" s="3" t="str">
        <f t="shared" si="6"/>
        <v>2021/22</v>
      </c>
      <c r="L41" s="3" t="str">
        <f t="shared" si="6"/>
        <v>2022/23</v>
      </c>
      <c r="M41" s="3" t="str">
        <f t="shared" si="6"/>
        <v>Total</v>
      </c>
      <c r="N41" s="3"/>
      <c r="O41" s="3"/>
      <c r="P41" s="3"/>
      <c r="Q41" s="3"/>
      <c r="R41" s="3"/>
      <c r="S41" s="3"/>
      <c r="T41" s="3"/>
      <c r="U41" s="3"/>
      <c r="V41" s="3"/>
      <c r="W41" s="3"/>
      <c r="X41" s="3"/>
      <c r="Y41" s="3"/>
      <c r="Z41" s="3"/>
      <c r="AA41" s="3"/>
      <c r="AB41" s="3"/>
      <c r="AC41" s="3"/>
    </row>
    <row r="43" spans="1:29">
      <c r="A43" s="5" t="s">
        <v>25</v>
      </c>
      <c r="B43" s="14" t="s">
        <v>23</v>
      </c>
      <c r="C43" s="5">
        <v>1000</v>
      </c>
      <c r="H43" s="10">
        <v>10220.187986000001</v>
      </c>
      <c r="I43" s="10">
        <v>6760.2548600000009</v>
      </c>
      <c r="J43" s="10">
        <v>5695.9108399999977</v>
      </c>
      <c r="K43" s="10">
        <v>2471.6739600000001</v>
      </c>
      <c r="L43" s="10">
        <v>2863.9178699548347</v>
      </c>
      <c r="M43" s="46">
        <f>SUM(H43:L43)</f>
        <v>28011.945515954834</v>
      </c>
    </row>
    <row r="44" spans="1:29">
      <c r="A44" s="5" t="s">
        <v>95</v>
      </c>
      <c r="B44" s="14" t="s">
        <v>23</v>
      </c>
      <c r="C44" s="5">
        <v>1000</v>
      </c>
      <c r="H44" s="10">
        <v>0</v>
      </c>
      <c r="I44" s="10">
        <v>0</v>
      </c>
      <c r="J44" s="10">
        <v>0</v>
      </c>
      <c r="K44" s="10">
        <v>0</v>
      </c>
      <c r="L44" s="10">
        <v>0</v>
      </c>
      <c r="M44" s="46">
        <f>SUM(H44:L44)</f>
        <v>0</v>
      </c>
    </row>
    <row r="45" spans="1:29">
      <c r="A45" s="5" t="s">
        <v>96</v>
      </c>
      <c r="B45" s="14" t="s">
        <v>23</v>
      </c>
      <c r="C45" s="5">
        <v>1000</v>
      </c>
      <c r="H45" s="10">
        <v>0</v>
      </c>
      <c r="I45" s="10">
        <v>0</v>
      </c>
      <c r="J45" s="10">
        <v>0</v>
      </c>
      <c r="K45" s="10">
        <v>0</v>
      </c>
      <c r="L45" s="10">
        <v>0</v>
      </c>
      <c r="M45" s="46">
        <f>SUM(H45:L45)</f>
        <v>0</v>
      </c>
    </row>
    <row r="46" spans="1:29" ht="15.75" thickBot="1">
      <c r="A46" s="5" t="s">
        <v>40</v>
      </c>
      <c r="B46" s="14" t="s">
        <v>23</v>
      </c>
      <c r="C46" s="5">
        <v>1000</v>
      </c>
      <c r="H46" s="10">
        <v>40.388100000000001</v>
      </c>
      <c r="I46" s="10">
        <v>0</v>
      </c>
      <c r="J46" s="10">
        <v>0</v>
      </c>
      <c r="K46" s="10">
        <v>0</v>
      </c>
      <c r="L46" s="10">
        <v>157.63358778625954</v>
      </c>
      <c r="M46" s="46">
        <f>SUM(H46:L46)</f>
        <v>198.02168778625955</v>
      </c>
    </row>
    <row r="47" spans="1:29" ht="15.75" thickTop="1">
      <c r="A47" s="22" t="s">
        <v>15</v>
      </c>
      <c r="B47" s="22" t="str">
        <f t="shared" ref="B47:C47" si="7">B46</f>
        <v>nominal</v>
      </c>
      <c r="C47" s="22">
        <f t="shared" si="7"/>
        <v>1000</v>
      </c>
      <c r="D47" s="22"/>
      <c r="E47" s="22"/>
      <c r="F47" s="22"/>
      <c r="G47" s="22"/>
      <c r="H47" s="22">
        <f>SUM(H43:H46)</f>
        <v>10260.576086000001</v>
      </c>
      <c r="I47" s="22">
        <f>SUM(I43:I46)</f>
        <v>6760.2548600000009</v>
      </c>
      <c r="J47" s="22">
        <f>SUM(J43:J46)</f>
        <v>5695.9108399999977</v>
      </c>
      <c r="K47" s="22">
        <f>SUM(K43:K46)</f>
        <v>2471.6739600000001</v>
      </c>
      <c r="L47" s="22">
        <f>SUM(L43:L46)</f>
        <v>3021.5514577410941</v>
      </c>
      <c r="M47" s="46">
        <f>SUM(H47:L47)</f>
        <v>28209.967203741093</v>
      </c>
    </row>
    <row r="53" spans="1:29" ht="16.5">
      <c r="A53" s="4" t="s">
        <v>94</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c r="A54" s="3" t="str">
        <f>A41</f>
        <v>Project</v>
      </c>
      <c r="B54" s="3"/>
      <c r="C54" s="3"/>
      <c r="D54" s="3"/>
      <c r="E54" s="3"/>
      <c r="F54" s="3"/>
      <c r="G54" s="3"/>
      <c r="H54" s="3" t="s">
        <v>8</v>
      </c>
      <c r="I54" s="3" t="s">
        <v>9</v>
      </c>
      <c r="J54" s="3"/>
      <c r="K54" s="3"/>
      <c r="L54" s="3"/>
      <c r="M54" s="3"/>
      <c r="N54" s="3"/>
      <c r="O54" s="3"/>
      <c r="P54" s="3"/>
      <c r="Q54" s="3"/>
      <c r="R54" s="3"/>
      <c r="S54" s="3"/>
      <c r="T54" s="3"/>
      <c r="U54" s="3"/>
      <c r="V54" s="3"/>
      <c r="W54" s="3"/>
      <c r="X54" s="3"/>
      <c r="Y54" s="3"/>
      <c r="Z54" s="3"/>
      <c r="AA54" s="3"/>
      <c r="AB54" s="3"/>
      <c r="AC54" s="3"/>
    </row>
    <row r="55" spans="1:29">
      <c r="A55" s="5" t="s">
        <v>97</v>
      </c>
      <c r="B55" s="14" t="s">
        <v>23</v>
      </c>
      <c r="C55" s="5"/>
      <c r="D55" s="5"/>
      <c r="E55" s="5"/>
      <c r="F55" s="5"/>
      <c r="G55" s="5"/>
      <c r="H55" s="10">
        <v>0</v>
      </c>
      <c r="I55" s="10">
        <v>0</v>
      </c>
    </row>
    <row r="56" spans="1:29">
      <c r="A56" t="s">
        <v>98</v>
      </c>
    </row>
    <row r="58" spans="1:29" ht="19.5">
      <c r="A58" s="2" t="s">
        <v>99</v>
      </c>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9" ht="16.5">
      <c r="A59" s="4" t="s">
        <v>1</v>
      </c>
      <c r="B59" s="4"/>
      <c r="C59" s="4"/>
      <c r="D59" s="4"/>
      <c r="E59" s="4"/>
      <c r="F59" s="4"/>
      <c r="G59" s="4"/>
      <c r="H59" s="4"/>
      <c r="I59" s="4"/>
      <c r="J59" s="4"/>
      <c r="K59" s="4"/>
      <c r="L59" s="4"/>
      <c r="M59" s="4"/>
      <c r="N59" s="4"/>
      <c r="O59" s="4" t="s">
        <v>100</v>
      </c>
      <c r="P59" s="4"/>
      <c r="Q59" s="4"/>
      <c r="R59" s="4"/>
      <c r="S59" s="4"/>
      <c r="T59" s="4"/>
      <c r="U59" s="4"/>
      <c r="V59" s="4"/>
      <c r="W59" s="4"/>
      <c r="X59" s="4"/>
      <c r="Y59" s="4"/>
      <c r="Z59" s="4"/>
      <c r="AA59" s="4"/>
      <c r="AB59" s="4"/>
    </row>
    <row r="60" spans="1:29">
      <c r="A60" s="3" t="s">
        <v>3</v>
      </c>
      <c r="B60" s="3" t="s">
        <v>4</v>
      </c>
      <c r="C60" s="3" t="s">
        <v>5</v>
      </c>
      <c r="D60" s="3" t="s">
        <v>6</v>
      </c>
      <c r="E60" s="3" t="s">
        <v>7</v>
      </c>
      <c r="F60" s="3"/>
      <c r="G60" s="3"/>
      <c r="H60" s="3" t="s">
        <v>10</v>
      </c>
      <c r="I60" s="3" t="s">
        <v>11</v>
      </c>
      <c r="J60" s="3" t="s">
        <v>12</v>
      </c>
      <c r="K60" s="3" t="s">
        <v>13</v>
      </c>
      <c r="L60" s="3" t="s">
        <v>14</v>
      </c>
      <c r="M60" s="3" t="s">
        <v>101</v>
      </c>
      <c r="N60" s="3"/>
      <c r="O60" s="3" t="str">
        <f>A60</f>
        <v>Project</v>
      </c>
      <c r="P60" s="3" t="str">
        <f>B60</f>
        <v>$</v>
      </c>
      <c r="Q60" s="3"/>
      <c r="R60" s="3"/>
      <c r="S60" s="3" t="str">
        <f>D60</f>
        <v>Asset Class</v>
      </c>
      <c r="T60" s="3" t="str">
        <f>E60</f>
        <v>Asset Driver</v>
      </c>
      <c r="U60" s="3" t="s">
        <v>17</v>
      </c>
      <c r="V60" s="3" t="s">
        <v>18</v>
      </c>
      <c r="W60" s="3" t="s">
        <v>19</v>
      </c>
      <c r="X60" s="3" t="s">
        <v>20</v>
      </c>
      <c r="Y60" s="3" t="s">
        <v>21</v>
      </c>
      <c r="Z60" s="3" t="s">
        <v>15</v>
      </c>
      <c r="AA60" s="3" t="s">
        <v>101</v>
      </c>
      <c r="AB60" s="3" t="s">
        <v>102</v>
      </c>
    </row>
    <row r="61" spans="1:29">
      <c r="A61" s="5" t="e">
        <f>#REF!</f>
        <v>#REF!</v>
      </c>
      <c r="B61" s="14" t="e">
        <f>IF(A61="","","nominal")</f>
        <v>#REF!</v>
      </c>
      <c r="C61" s="10">
        <v>1000</v>
      </c>
      <c r="D61" s="5" t="str">
        <f t="shared" ref="D61:E63" si="8">D9</f>
        <v>Other operating assets</v>
      </c>
      <c r="E61" s="5" t="str">
        <f t="shared" si="8"/>
        <v>Replacement expenditure</v>
      </c>
      <c r="F61" s="5"/>
      <c r="G61" s="5"/>
      <c r="H61" s="5"/>
      <c r="I61" s="5"/>
      <c r="J61" s="5"/>
      <c r="K61" s="5"/>
      <c r="L61" s="5"/>
      <c r="M61" s="5"/>
      <c r="O61" s="6" t="str">
        <f>O9</f>
        <v>Cable Relocations</v>
      </c>
      <c r="P61" s="68" t="str">
        <f>K60</f>
        <v>2021/22</v>
      </c>
      <c r="Q61" s="68">
        <f>Q9</f>
        <v>1000</v>
      </c>
      <c r="R61" s="68" t="str">
        <f>R9</f>
        <v>Cable Protection/Modification</v>
      </c>
      <c r="S61" s="6" t="str" cm="1">
        <f t="array" ref="S61">IF(O61="","",INDEX(S$9:S$38,MATCH($O61,$O$61:$O$89,0),0))</f>
        <v>Transmission Cable</v>
      </c>
      <c r="T61" s="6" t="str" cm="1">
        <f t="array" ref="T61">IF(P61="","",INDEX(T$9:T$38,MATCH($O61,$O$61:$O$89,0),0))</f>
        <v>Replacement expenditure</v>
      </c>
      <c r="U61" s="6">
        <f>IF($AB61="",U9,IF($AB61=U$3,SUM($U9:U9),0))</f>
        <v>145.19999999999999</v>
      </c>
      <c r="V61" s="6">
        <f>IF($AB61="",V9,IF($AB61=V$3,SUM($U9:V9),0))</f>
        <v>145.19999999999999</v>
      </c>
      <c r="W61" s="6">
        <f>IF($AB61="",W9,IF($AB61=W$3,SUM($U9:W9),0))</f>
        <v>145.19999999999999</v>
      </c>
      <c r="X61" s="6">
        <f>IF($AB61="",X9,IF($AB61=X$3,SUM($U9:X9),0))</f>
        <v>145.19999999999999</v>
      </c>
      <c r="Y61" s="6">
        <f>IF($AB61="",Y9,IF($AB61=Y$3,SUM($U9:Y9),0))</f>
        <v>145.19999999999999</v>
      </c>
      <c r="Z61" s="46">
        <f>SUM(U61:Y61)</f>
        <v>726</v>
      </c>
      <c r="AA61" s="5">
        <v>0</v>
      </c>
      <c r="AB61" s="6" t="str" cm="1">
        <f t="array" ref="AB61">_xlfn.IFNA(INDEX($U$3:$Y$3,0,MATCH(AA61,$U$8:$Y$8,0)),"")</f>
        <v/>
      </c>
    </row>
    <row r="62" spans="1:29">
      <c r="A62" s="5" t="e">
        <f>#REF!</f>
        <v>#REF!</v>
      </c>
      <c r="B62" s="14" t="e">
        <f t="shared" ref="B62:B82" si="9">IF(A62="","","nominal")</f>
        <v>#REF!</v>
      </c>
      <c r="C62" s="10">
        <v>1000</v>
      </c>
      <c r="D62" s="5" t="str">
        <f t="shared" si="8"/>
        <v>Ancillary 30</v>
      </c>
      <c r="E62" s="5" t="str">
        <f t="shared" si="8"/>
        <v>Replacement expenditure</v>
      </c>
      <c r="F62" s="5"/>
      <c r="G62" s="5"/>
      <c r="H62" s="5"/>
      <c r="I62" s="5"/>
      <c r="J62" s="5"/>
      <c r="K62" s="5"/>
      <c r="L62" s="5"/>
      <c r="M62" s="5"/>
      <c r="O62" s="6" t="str">
        <f t="shared" ref="O62:O88" si="10">O10</f>
        <v>Cable route signage upgrade</v>
      </c>
      <c r="P62" s="68" t="str">
        <f>P61</f>
        <v>2021/22</v>
      </c>
      <c r="Q62" s="68">
        <f>Q61</f>
        <v>1000</v>
      </c>
      <c r="R62" s="68" t="str">
        <f t="shared" ref="R62:R88" si="11">R10</f>
        <v>Cable Protection/Modification</v>
      </c>
      <c r="S62" s="6" t="str" cm="1">
        <f t="array" ref="S62">IF(O62="","",INDEX($S$9:$S$38,MATCH($O62,$O$61:$O$89,0),0))</f>
        <v>Transmission Cable</v>
      </c>
      <c r="T62" s="6" t="str" cm="1">
        <f t="array" ref="T62">IF(P62="","",INDEX(T$9:T$38,MATCH($O62,$O$61:$O$89,0),0))</f>
        <v>Replacement expenditure</v>
      </c>
      <c r="U62" s="6">
        <f>IF($AB62="",U10,IF($AB62=U$3,SUM($U10:U10),0))</f>
        <v>95.172000000000011</v>
      </c>
      <c r="V62" s="6">
        <f>IF($AB62="",V10,IF($AB62=V$3,SUM($U10:V10),0))</f>
        <v>95.172000000000011</v>
      </c>
      <c r="W62" s="6">
        <f>IF($AB62="",W10,IF($AB62=W$3,SUM($U10:W10),0))</f>
        <v>95.172000000000011</v>
      </c>
      <c r="X62" s="6">
        <f>IF($AB62="",X10,IF($AB62=X$3,SUM($U10:X10),0))</f>
        <v>95.172000000000011</v>
      </c>
      <c r="Y62" s="6">
        <f>IF($AB62="",Y10,IF($AB62=Y$3,SUM($U10:Y10),0))</f>
        <v>95.172000000000011</v>
      </c>
      <c r="Z62" s="46">
        <f t="shared" ref="Z62:Z88" si="12">SUM(U62:Y62)</f>
        <v>475.86000000000007</v>
      </c>
      <c r="AA62" s="5">
        <v>0</v>
      </c>
      <c r="AB62" s="6" t="str" cm="1">
        <f t="array" ref="AB62">_xlfn.IFNA(INDEX($U$3:$Y$3,0,MATCH(AA62,$U$8:$Y$8,0)),"")</f>
        <v/>
      </c>
    </row>
    <row r="63" spans="1:29">
      <c r="A63" s="5" t="e">
        <f>#REF!</f>
        <v>#REF!</v>
      </c>
      <c r="B63" s="14" t="e">
        <f t="shared" si="9"/>
        <v>#REF!</v>
      </c>
      <c r="C63" s="10">
        <v>1000</v>
      </c>
      <c r="D63" s="5" t="str">
        <f t="shared" si="8"/>
        <v>Ancillary 15 - control systems</v>
      </c>
      <c r="E63" s="5" t="str">
        <f t="shared" si="8"/>
        <v>Replacement expenditure</v>
      </c>
      <c r="F63" s="5"/>
      <c r="G63" s="5"/>
      <c r="H63" s="5"/>
      <c r="I63" s="5"/>
      <c r="J63" s="5"/>
      <c r="K63" s="5"/>
      <c r="L63" s="5"/>
      <c r="M63" s="5"/>
      <c r="O63" s="6" t="str">
        <f t="shared" si="10"/>
        <v>Development Risk Management</v>
      </c>
      <c r="P63" s="68" t="str">
        <f t="shared" ref="P63:P87" si="13">P62</f>
        <v>2021/22</v>
      </c>
      <c r="Q63" s="68">
        <f t="shared" ref="Q63:Q87" si="14">Q62</f>
        <v>1000</v>
      </c>
      <c r="R63" s="68" t="str">
        <f t="shared" si="11"/>
        <v>Cable Protection/Modification</v>
      </c>
      <c r="S63" s="6" t="str" cm="1">
        <f t="array" ref="S63">IF(O63="","",INDEX($S$9:$S$38,MATCH($O63,$O$61:$O$89,0),0))</f>
        <v>Other operating assets</v>
      </c>
      <c r="T63" s="6" t="str" cm="1">
        <f t="array" ref="T63">IF(P63="","",INDEX(T$9:T$38,MATCH($O63,$O$61:$O$89,0),0))</f>
        <v>Replacement expenditure</v>
      </c>
      <c r="U63" s="6">
        <f>IF($AB63="",U11,IF($AB63=U$3,SUM($U11:U11),0))</f>
        <v>0</v>
      </c>
      <c r="V63" s="6">
        <f>IF($AB63="",V11,IF($AB63=V$3,SUM($U11:V11),0))</f>
        <v>0</v>
      </c>
      <c r="W63" s="6">
        <f>IF($AB63="",W11,IF($AB63=W$3,SUM($U11:W11),0))</f>
        <v>1113.046</v>
      </c>
      <c r="X63" s="6">
        <f>IF($AB63="",X11,IF($AB63=X$3,SUM($U11:X11),0))</f>
        <v>0</v>
      </c>
      <c r="Y63" s="6">
        <f>IF($AB63="",Y11,IF($AB63=Y$3,SUM($U11:Y11),0))</f>
        <v>0</v>
      </c>
      <c r="Z63" s="46">
        <f t="shared" si="12"/>
        <v>1113.046</v>
      </c>
      <c r="AA63" s="5">
        <v>0</v>
      </c>
      <c r="AB63" s="6" t="str" cm="1">
        <f t="array" ref="AB63">_xlfn.IFNA(INDEX($U$3:$Y$3,0,MATCH(AA63,$U$8:$Y$8,0)),"")</f>
        <v/>
      </c>
    </row>
    <row r="64" spans="1:29">
      <c r="A64" s="5" t="e">
        <f>#REF!</f>
        <v>#REF!</v>
      </c>
      <c r="B64" s="14" t="e">
        <f t="shared" si="9"/>
        <v>#REF!</v>
      </c>
      <c r="C64" s="10">
        <v>1000</v>
      </c>
      <c r="D64" s="5" t="str">
        <f t="shared" ref="D64:E82" si="15">D12</f>
        <v>Switchyard</v>
      </c>
      <c r="E64" s="5" t="str">
        <f t="shared" si="15"/>
        <v>Replacement expenditure</v>
      </c>
      <c r="F64" s="5"/>
      <c r="G64" s="5"/>
      <c r="H64" s="5"/>
      <c r="I64" s="5"/>
      <c r="J64" s="5"/>
      <c r="K64" s="5"/>
      <c r="L64" s="5"/>
      <c r="M64" s="5"/>
      <c r="O64" s="6" t="str">
        <f t="shared" si="10"/>
        <v>Spares</v>
      </c>
      <c r="P64" s="68" t="str">
        <f t="shared" si="13"/>
        <v>2021/22</v>
      </c>
      <c r="Q64" s="68">
        <f t="shared" si="14"/>
        <v>1000</v>
      </c>
      <c r="R64" s="68" t="str">
        <f t="shared" si="11"/>
        <v>Essential Spares</v>
      </c>
      <c r="S64" s="6" t="str" cm="1">
        <f t="array" ref="S64">IF(O64="","",INDEX($S$9:$S$38,MATCH($O64,$O$61:$O$89,0),0))</f>
        <v>Switchyard</v>
      </c>
      <c r="T64" s="6" t="str" cm="1">
        <f t="array" ref="T64">IF(P64="","",INDEX(T$9:T$38,MATCH($O64,$O$61:$O$89,0),0))</f>
        <v>Replacement expenditure</v>
      </c>
      <c r="U64" s="6">
        <f>IF($AB64="",U12,IF($AB64=U$3,SUM($U12:U12),0))</f>
        <v>111.32000000000002</v>
      </c>
      <c r="V64" s="6">
        <f>IF($AB64="",V12,IF($AB64=V$3,SUM($U12:V12),0))</f>
        <v>111.32000000000002</v>
      </c>
      <c r="W64" s="6">
        <f>IF($AB64="",W12,IF($AB64=W$3,SUM($U12:W12),0))</f>
        <v>111.32000000000002</v>
      </c>
      <c r="X64" s="6">
        <f>IF($AB64="",X12,IF($AB64=X$3,SUM($U12:X12),0))</f>
        <v>111.32000000000002</v>
      </c>
      <c r="Y64" s="6">
        <f>IF($AB64="",Y12,IF($AB64=Y$3,SUM($U12:Y12),0))</f>
        <v>111.32000000000002</v>
      </c>
      <c r="Z64" s="46">
        <f t="shared" si="12"/>
        <v>556.60000000000014</v>
      </c>
      <c r="AA64" s="5">
        <v>0</v>
      </c>
      <c r="AB64" s="6" t="str" cm="1">
        <f t="array" ref="AB64">_xlfn.IFNA(INDEX($U$3:$Y$3,0,MATCH(AA64,$U$8:$Y$8,0)),"")</f>
        <v/>
      </c>
    </row>
    <row r="65" spans="1:28">
      <c r="A65" s="5" t="e">
        <f>#REF!</f>
        <v>#REF!</v>
      </c>
      <c r="B65" s="14" t="e">
        <f t="shared" si="9"/>
        <v>#REF!</v>
      </c>
      <c r="C65" s="10">
        <v>1000</v>
      </c>
      <c r="D65" s="5" t="str">
        <f t="shared" si="15"/>
        <v>Other operating assets</v>
      </c>
      <c r="E65" s="5" t="str">
        <f t="shared" si="15"/>
        <v>Non-network</v>
      </c>
      <c r="F65" s="5"/>
      <c r="G65" s="5"/>
      <c r="H65" s="5"/>
      <c r="I65" s="5"/>
      <c r="J65" s="5"/>
      <c r="K65" s="5"/>
      <c r="L65" s="5"/>
      <c r="M65" s="5"/>
      <c r="O65" s="6" t="str">
        <f t="shared" si="10"/>
        <v>Spare Capacitors</v>
      </c>
      <c r="P65" s="68" t="str">
        <f t="shared" si="13"/>
        <v>2021/22</v>
      </c>
      <c r="Q65" s="68">
        <f t="shared" si="14"/>
        <v>1000</v>
      </c>
      <c r="R65" s="68" t="str">
        <f t="shared" si="11"/>
        <v>Essential Spares</v>
      </c>
      <c r="S65" s="6" t="str" cm="1">
        <f t="array" ref="S65">IF(O65="","",INDEX($S$9:$S$38,MATCH($O65,$O$61:$O$89,0),0))</f>
        <v>Switchyard</v>
      </c>
      <c r="T65" s="6" t="str" cm="1">
        <f t="array" ref="T65">IF(P65="","",INDEX(T$9:T$38,MATCH($O65,$O$61:$O$89,0),0))</f>
        <v>Replacement expenditure</v>
      </c>
      <c r="U65" s="6">
        <f>IF($AB65="",U13,IF($AB65=U$3,SUM($U13:U13),0))</f>
        <v>118.15100000000001</v>
      </c>
      <c r="V65" s="6">
        <f>IF($AB65="",V13,IF($AB65=V$3,SUM($U13:V13),0))</f>
        <v>118.15100000000001</v>
      </c>
      <c r="W65" s="6">
        <f>IF($AB65="",W13,IF($AB65=W$3,SUM($U13:W13),0))</f>
        <v>118.15100000000001</v>
      </c>
      <c r="X65" s="6">
        <f>IF($AB65="",X13,IF($AB65=X$3,SUM($U13:X13),0))</f>
        <v>118.15100000000001</v>
      </c>
      <c r="Y65" s="6">
        <f>IF($AB65="",Y13,IF($AB65=Y$3,SUM($U13:Y13),0))</f>
        <v>118.15100000000001</v>
      </c>
      <c r="Z65" s="46">
        <f t="shared" si="12"/>
        <v>590.75500000000011</v>
      </c>
      <c r="AA65" s="5">
        <v>0</v>
      </c>
      <c r="AB65" s="6" t="str" cm="1">
        <f t="array" ref="AB65">_xlfn.IFNA(INDEX($U$3:$Y$3,0,MATCH(AA65,$U$8:$Y$8,0)),"")</f>
        <v/>
      </c>
    </row>
    <row r="66" spans="1:28">
      <c r="A66" s="5" t="e">
        <f>#REF!</f>
        <v>#REF!</v>
      </c>
      <c r="B66" s="14" t="e">
        <f t="shared" si="9"/>
        <v>#REF!</v>
      </c>
      <c r="C66" s="10">
        <v>1000</v>
      </c>
      <c r="D66" s="5" t="str">
        <f t="shared" si="15"/>
        <v>Switchyard</v>
      </c>
      <c r="E66" s="5" t="str">
        <f t="shared" si="15"/>
        <v>Replacement expenditure</v>
      </c>
      <c r="F66" s="5"/>
      <c r="G66" s="5"/>
      <c r="H66" s="5"/>
      <c r="I66" s="5"/>
      <c r="J66" s="5"/>
      <c r="K66" s="5"/>
      <c r="L66" s="5"/>
      <c r="M66" s="5"/>
      <c r="O66" s="6" t="str">
        <f t="shared" si="10"/>
        <v>Spare IGBT’s</v>
      </c>
      <c r="P66" s="68" t="str">
        <f t="shared" si="13"/>
        <v>2021/22</v>
      </c>
      <c r="Q66" s="68">
        <f t="shared" si="14"/>
        <v>1000</v>
      </c>
      <c r="R66" s="68" t="str">
        <f t="shared" si="11"/>
        <v>IGBTs</v>
      </c>
      <c r="S66" s="6" t="str" cm="1">
        <f t="array" ref="S66">IF(O66="","",INDEX($S$9:$S$38,MATCH($O66,$O$61:$O$89,0),0))</f>
        <v>Switchyard</v>
      </c>
      <c r="T66" s="6" t="str" cm="1">
        <f t="array" ref="T66">IF(P66="","",INDEX(T$9:T$38,MATCH($O66,$O$61:$O$89,0),0))</f>
        <v>Replacement expenditure</v>
      </c>
      <c r="U66" s="6">
        <f>IF($AB66="",U14,IF($AB66=U$3,SUM($U14:U14),0))</f>
        <v>0</v>
      </c>
      <c r="V66" s="6">
        <f>IF($AB66="",V14,IF($AB66=V$3,SUM($U14:V14),0))</f>
        <v>0</v>
      </c>
      <c r="W66" s="6">
        <f>IF($AB66="",W14,IF($AB66=W$3,SUM($U14:W14),0))</f>
        <v>0</v>
      </c>
      <c r="X66" s="6">
        <f>IF($AB66="",X14,IF($AB66=X$3,SUM($U14:X14),0))</f>
        <v>0</v>
      </c>
      <c r="Y66" s="6">
        <f>IF($AB66="",Y14,IF($AB66=Y$3,SUM($U14:Y14),0))</f>
        <v>0</v>
      </c>
      <c r="Z66" s="46">
        <f t="shared" si="12"/>
        <v>0</v>
      </c>
      <c r="AA66" s="5">
        <v>0</v>
      </c>
      <c r="AB66" s="6" t="str" cm="1">
        <f t="array" ref="AB66">_xlfn.IFNA(INDEX($U$3:$Y$3,0,MATCH(AA66,$U$8:$Y$8,0)),"")</f>
        <v/>
      </c>
    </row>
    <row r="67" spans="1:28">
      <c r="A67" s="5" t="e">
        <f>#REF!</f>
        <v>#REF!</v>
      </c>
      <c r="B67" s="14" t="e">
        <f t="shared" si="9"/>
        <v>#REF!</v>
      </c>
      <c r="C67" s="10">
        <v>1000</v>
      </c>
      <c r="D67" s="5" t="str">
        <f t="shared" si="15"/>
        <v>Switchyard</v>
      </c>
      <c r="E67" s="5" t="str">
        <f t="shared" si="15"/>
        <v>Replacement expenditure</v>
      </c>
      <c r="F67" s="5"/>
      <c r="G67" s="5"/>
      <c r="H67" s="5"/>
      <c r="I67" s="5"/>
      <c r="J67" s="5"/>
      <c r="K67" s="5"/>
      <c r="L67" s="5"/>
      <c r="M67" s="5"/>
      <c r="O67" s="6" t="str">
        <f t="shared" si="10"/>
        <v>Replacement IGBTs</v>
      </c>
      <c r="P67" s="68" t="str">
        <f t="shared" si="13"/>
        <v>2021/22</v>
      </c>
      <c r="Q67" s="68">
        <f t="shared" si="14"/>
        <v>1000</v>
      </c>
      <c r="R67" s="68" t="str">
        <f t="shared" si="11"/>
        <v>IGBTs</v>
      </c>
      <c r="S67" s="6" t="str" cm="1">
        <f t="array" ref="S67">IF(O67="","",INDEX($S$9:$S$38,MATCH($O67,$O$61:$O$89,0),0))</f>
        <v>Ancillary asset - 7 Years</v>
      </c>
      <c r="T67" s="6" t="str" cm="1">
        <f t="array" ref="T67">IF(P67="","",INDEX(T$9:T$38,MATCH($O67,$O$61:$O$89,0),0))</f>
        <v>Replacement expenditure</v>
      </c>
      <c r="U67" s="6">
        <f>IF($AB67="",U15,IF($AB67=U$3,SUM($U15:U15),0))</f>
        <v>0</v>
      </c>
      <c r="V67" s="6">
        <f>IF($AB67="",V15,IF($AB67=V$3,SUM($U15:V15),0))</f>
        <v>0</v>
      </c>
      <c r="W67" s="6">
        <f>IF($AB67="",W15,IF($AB67=W$3,SUM($U15:W15),0))</f>
        <v>0</v>
      </c>
      <c r="X67" s="6">
        <f>IF($AB67="",X15,IF($AB67=X$3,SUM($U15:X15),0))</f>
        <v>0</v>
      </c>
      <c r="Y67" s="6">
        <f>IF($AB67="",Y15,IF($AB67=Y$3,SUM($U15:Y15),0))</f>
        <v>0</v>
      </c>
      <c r="Z67" s="46">
        <f t="shared" si="12"/>
        <v>0</v>
      </c>
      <c r="AA67" s="5">
        <v>0</v>
      </c>
      <c r="AB67" s="6" t="str" cm="1">
        <f t="array" ref="AB67">_xlfn.IFNA(INDEX($U$3:$Y$3,0,MATCH(AA67,$U$8:$Y$8,0)),"")</f>
        <v/>
      </c>
    </row>
    <row r="68" spans="1:28">
      <c r="A68" s="5" t="e">
        <f>#REF!</f>
        <v>#REF!</v>
      </c>
      <c r="B68" s="14" t="e">
        <f t="shared" si="9"/>
        <v>#REF!</v>
      </c>
      <c r="C68" s="10">
        <v>1000</v>
      </c>
      <c r="D68" s="5" t="str">
        <f t="shared" si="15"/>
        <v>Other operating assets</v>
      </c>
      <c r="E68" s="5" t="str">
        <f t="shared" si="15"/>
        <v>Replacement expenditure</v>
      </c>
      <c r="F68" s="5"/>
      <c r="G68" s="5"/>
      <c r="H68" s="5"/>
      <c r="I68" s="5"/>
      <c r="J68" s="5"/>
      <c r="K68" s="5"/>
      <c r="L68" s="5"/>
      <c r="M68" s="5"/>
      <c r="O68" s="6" t="str">
        <f t="shared" si="10"/>
        <v>Cable fault locator</v>
      </c>
      <c r="P68" s="68" t="str">
        <f t="shared" si="13"/>
        <v>2021/22</v>
      </c>
      <c r="Q68" s="68">
        <f t="shared" si="14"/>
        <v>1000</v>
      </c>
      <c r="R68" s="68" t="str">
        <f t="shared" si="11"/>
        <v>Stay in business</v>
      </c>
      <c r="S68" s="6" t="str" cm="1">
        <f t="array" ref="S68">IF(O68="","",INDEX($S$9:$S$38,MATCH($O68,$O$61:$O$89,0),0))</f>
        <v>Other operating assets</v>
      </c>
      <c r="T68" s="6" t="str" cm="1">
        <f t="array" ref="T68">IF(P68="","",INDEX(T$9:T$38,MATCH($O68,$O$61:$O$89,0),0))</f>
        <v>Replacement expenditure</v>
      </c>
      <c r="U68" s="6">
        <f>IF($AB68="",U16,IF($AB68=U$3,SUM($U16:U16),0))</f>
        <v>71.5</v>
      </c>
      <c r="V68" s="6">
        <f>IF($AB68="",V16,IF($AB68=V$3,SUM($U16:V16),0))</f>
        <v>0</v>
      </c>
      <c r="W68" s="6">
        <f>IF($AB68="",W16,IF($AB68=W$3,SUM($U16:W16),0))</f>
        <v>0</v>
      </c>
      <c r="X68" s="6">
        <f>IF($AB68="",X16,IF($AB68=X$3,SUM($U16:X16),0))</f>
        <v>0</v>
      </c>
      <c r="Y68" s="6">
        <f>IF($AB68="",Y16,IF($AB68=Y$3,SUM($U16:Y16),0))</f>
        <v>0</v>
      </c>
      <c r="Z68" s="46">
        <f t="shared" si="12"/>
        <v>71.5</v>
      </c>
      <c r="AA68" s="5">
        <v>0</v>
      </c>
      <c r="AB68" s="6" t="str" cm="1">
        <f t="array" ref="AB68">_xlfn.IFNA(INDEX($U$3:$Y$3,0,MATCH(AA68,$U$8:$Y$8,0)),"")</f>
        <v/>
      </c>
    </row>
    <row r="69" spans="1:28">
      <c r="A69" s="5" t="e">
        <f>#REF!</f>
        <v>#REF!</v>
      </c>
      <c r="B69" s="14" t="e">
        <f t="shared" si="9"/>
        <v>#REF!</v>
      </c>
      <c r="C69" s="10">
        <v>1000</v>
      </c>
      <c r="D69" s="5" t="str">
        <f t="shared" si="15"/>
        <v>Switchyard</v>
      </c>
      <c r="E69" s="5" t="str">
        <f t="shared" si="15"/>
        <v>Replacement expenditure</v>
      </c>
      <c r="F69" s="5"/>
      <c r="G69" s="5"/>
      <c r="H69" s="5"/>
      <c r="I69" s="5"/>
      <c r="J69" s="5"/>
      <c r="K69" s="5"/>
      <c r="L69" s="5"/>
      <c r="M69" s="5"/>
      <c r="O69" s="6" t="str">
        <f t="shared" si="10"/>
        <v>Power Supply Upgrade - increased battery storage and backup diesel</v>
      </c>
      <c r="P69" s="68" t="str">
        <f t="shared" si="13"/>
        <v>2021/22</v>
      </c>
      <c r="Q69" s="68">
        <f t="shared" si="14"/>
        <v>1000</v>
      </c>
      <c r="R69" s="68" t="str">
        <f t="shared" si="11"/>
        <v>Reliability</v>
      </c>
      <c r="S69" s="6" t="str" cm="1">
        <f t="array" ref="S69">IF(O69="","",INDEX($S$9:$S$38,MATCH($O69,$O$61:$O$89,0),0))</f>
        <v>Other operating assets</v>
      </c>
      <c r="T69" s="6" t="str" cm="1">
        <f t="array" ref="T69">IF(P69="","",INDEX(T$9:T$38,MATCH($O69,$O$61:$O$89,0),0))</f>
        <v>Replacement expenditure</v>
      </c>
      <c r="U69" s="6">
        <f>IF($AB69="",U17,IF($AB69=U$3,SUM($U17:U17),0))</f>
        <v>0</v>
      </c>
      <c r="V69" s="6">
        <f>IF($AB69="",V17,IF($AB69=V$3,SUM($U17:V17),0))</f>
        <v>751.00608000000011</v>
      </c>
      <c r="W69" s="6">
        <f>IF($AB69="",W17,IF($AB69=W$3,SUM($U17:W17),0))</f>
        <v>0</v>
      </c>
      <c r="X69" s="6">
        <f>IF($AB69="",X17,IF($AB69=X$3,SUM($U17:X17),0))</f>
        <v>0</v>
      </c>
      <c r="Y69" s="6">
        <f>IF($AB69="",Y17,IF($AB69=Y$3,SUM($U17:Y17),0))</f>
        <v>0</v>
      </c>
      <c r="Z69" s="46">
        <f t="shared" si="12"/>
        <v>751.00608000000011</v>
      </c>
      <c r="AA69" s="5">
        <v>0</v>
      </c>
      <c r="AB69" s="6" t="str" cm="1">
        <f t="array" ref="AB69">_xlfn.IFNA(INDEX($U$3:$Y$3,0,MATCH(AA69,$U$8:$Y$8,0)),"")</f>
        <v/>
      </c>
    </row>
    <row r="70" spans="1:28">
      <c r="A70" s="5" t="e">
        <f>#REF!</f>
        <v>#REF!</v>
      </c>
      <c r="B70" s="14" t="e">
        <f t="shared" si="9"/>
        <v>#REF!</v>
      </c>
      <c r="C70" s="10">
        <v>1000</v>
      </c>
      <c r="D70" s="5" t="str">
        <f t="shared" si="15"/>
        <v>Ancillary 15 - control systems</v>
      </c>
      <c r="E70" s="5" t="str">
        <f t="shared" si="15"/>
        <v>Replacement expenditure</v>
      </c>
      <c r="F70" s="5"/>
      <c r="G70" s="5"/>
      <c r="H70" s="5"/>
      <c r="I70" s="5"/>
      <c r="J70" s="5"/>
      <c r="K70" s="5"/>
      <c r="L70" s="5"/>
      <c r="M70" s="5"/>
      <c r="O70" s="6" t="str">
        <f t="shared" si="10"/>
        <v>Security enhancements (physical)</v>
      </c>
      <c r="P70" s="68" t="str">
        <f t="shared" si="13"/>
        <v>2021/22</v>
      </c>
      <c r="Q70" s="68">
        <f t="shared" si="14"/>
        <v>1000</v>
      </c>
      <c r="R70" s="68" t="str">
        <f t="shared" si="11"/>
        <v>SOCI</v>
      </c>
      <c r="S70" s="6" t="str" cm="1">
        <f t="array" ref="S70">IF(O70="","",INDEX($S$9:$S$38,MATCH($O70,$O$61:$O$89,0),0))</f>
        <v>Non ancillary asset</v>
      </c>
      <c r="T70" s="6" t="str" cm="1">
        <f t="array" ref="T70">IF(P70="","",INDEX(T$9:T$38,MATCH($O70,$O$61:$O$89,0),0))</f>
        <v>Replacement expenditure</v>
      </c>
      <c r="U70" s="6">
        <f>IF($AB70="",U18,IF($AB70=U$3,SUM($U18:U18),0))</f>
        <v>0</v>
      </c>
      <c r="V70" s="6">
        <f>IF($AB70="",V18,IF($AB70=V$3,SUM($U18:V18),0))</f>
        <v>0</v>
      </c>
      <c r="W70" s="6">
        <f>IF($AB70="",W18,IF($AB70=W$3,SUM($U18:W18),0))</f>
        <v>1030.5131811138015</v>
      </c>
      <c r="X70" s="6">
        <f>IF($AB70="",X18,IF($AB70=X$3,SUM($U18:X18),0))</f>
        <v>1030.5131811138015</v>
      </c>
      <c r="Y70" s="6">
        <f>IF($AB70="",Y18,IF($AB70=Y$3,SUM($U18:Y18),0))</f>
        <v>0</v>
      </c>
      <c r="Z70" s="46">
        <f t="shared" si="12"/>
        <v>2061.0263622276029</v>
      </c>
      <c r="AA70" s="5">
        <v>0</v>
      </c>
      <c r="AB70" s="6" t="str" cm="1">
        <f t="array" ref="AB70">_xlfn.IFNA(INDEX($U$3:$Y$3,0,MATCH(AA70,$U$8:$Y$8,0)),"")</f>
        <v/>
      </c>
    </row>
    <row r="71" spans="1:28">
      <c r="A71" s="5" t="e">
        <f>#REF!</f>
        <v>#REF!</v>
      </c>
      <c r="B71" s="14" t="e">
        <f t="shared" si="9"/>
        <v>#REF!</v>
      </c>
      <c r="C71" s="10">
        <v>1000</v>
      </c>
      <c r="D71" s="5" t="str">
        <f t="shared" si="15"/>
        <v>Switchyard</v>
      </c>
      <c r="E71" s="5" t="str">
        <f t="shared" si="15"/>
        <v>Replacement expenditure</v>
      </c>
      <c r="F71" s="5"/>
      <c r="G71" s="5"/>
      <c r="H71" s="5"/>
      <c r="I71" s="5"/>
      <c r="J71" s="5"/>
      <c r="K71" s="5"/>
      <c r="L71" s="5"/>
      <c r="M71" s="5"/>
      <c r="O71" s="6" t="str">
        <f t="shared" si="10"/>
        <v>Security enhancements (cyber)</v>
      </c>
      <c r="P71" s="68" t="str">
        <f t="shared" si="13"/>
        <v>2021/22</v>
      </c>
      <c r="Q71" s="68">
        <f t="shared" si="14"/>
        <v>1000</v>
      </c>
      <c r="R71" s="68" t="str">
        <f t="shared" si="11"/>
        <v>SOCI</v>
      </c>
      <c r="S71" s="6" t="str" cm="1">
        <f t="array" ref="S71">IF(O71="","",INDEX($S$9:$S$38,MATCH($O71,$O$61:$O$89,0),0))</f>
        <v>Non ancillary asset</v>
      </c>
      <c r="T71" s="6" t="str" cm="1">
        <f t="array" ref="T71">IF(P71="","",INDEX(T$9:T$38,MATCH($O71,$O$61:$O$89,0),0))</f>
        <v>Replacement expenditure</v>
      </c>
      <c r="U71" s="6">
        <f>IF($AB71="",U19,IF($AB71=U$3,SUM($U19:U19),0))</f>
        <v>444.03700000000003</v>
      </c>
      <c r="V71" s="6">
        <f>IF($AB71="",V19,IF($AB71=V$3,SUM($U19:V19),0))</f>
        <v>0</v>
      </c>
      <c r="W71" s="6">
        <f>IF($AB71="",W19,IF($AB71=W$3,SUM($U19:W19),0))</f>
        <v>0</v>
      </c>
      <c r="X71" s="6">
        <f>IF($AB71="",X19,IF($AB71=X$3,SUM($U19:X19),0))</f>
        <v>0</v>
      </c>
      <c r="Y71" s="6">
        <f>IF($AB71="",Y19,IF($AB71=Y$3,SUM($U19:Y19),0))</f>
        <v>0</v>
      </c>
      <c r="Z71" s="46">
        <f t="shared" si="12"/>
        <v>444.03700000000003</v>
      </c>
      <c r="AA71" s="5">
        <v>0</v>
      </c>
      <c r="AB71" s="6" t="str" cm="1">
        <f t="array" ref="AB71">_xlfn.IFNA(INDEX($U$3:$Y$3,0,MATCH(AA71,$U$8:$Y$8,0)),"")</f>
        <v/>
      </c>
    </row>
    <row r="72" spans="1:28">
      <c r="A72" s="5" t="e">
        <f>#REF!</f>
        <v>#REF!</v>
      </c>
      <c r="B72" s="14" t="e">
        <f t="shared" si="9"/>
        <v>#REF!</v>
      </c>
      <c r="C72" s="10">
        <v>1000</v>
      </c>
      <c r="D72" s="5" t="str">
        <f t="shared" si="15"/>
        <v>Other operating assets</v>
      </c>
      <c r="E72" s="5" t="str">
        <f t="shared" si="15"/>
        <v>Replacement expenditure</v>
      </c>
      <c r="F72" s="5"/>
      <c r="G72" s="5"/>
      <c r="H72" s="5"/>
      <c r="I72" s="5"/>
      <c r="J72" s="5"/>
      <c r="K72" s="5"/>
      <c r="L72" s="5"/>
      <c r="M72" s="5"/>
      <c r="O72" s="6" t="str">
        <f t="shared" si="10"/>
        <v>Permanent floor covers in all valve halls (barricade)</v>
      </c>
      <c r="P72" s="68" t="str">
        <f t="shared" si="13"/>
        <v>2021/22</v>
      </c>
      <c r="Q72" s="68">
        <f t="shared" si="14"/>
        <v>1000</v>
      </c>
      <c r="R72" s="68" t="str">
        <f t="shared" si="11"/>
        <v>Stay in business</v>
      </c>
      <c r="S72" s="6" t="str" cm="1">
        <f t="array" ref="S72">IF(O72="","",INDEX($S$9:$S$38,MATCH($O72,$O$61:$O$89,0),0))</f>
        <v>Other operating assets</v>
      </c>
      <c r="T72" s="6" t="str" cm="1">
        <f t="array" ref="T72">IF(P72="","",INDEX(T$9:T$38,MATCH($O72,$O$61:$O$89,0),0))</f>
        <v>Replacement expenditure</v>
      </c>
      <c r="U72" s="6">
        <f>IF($AB72="",U20,IF($AB72=U$3,SUM($U20:U20),0))</f>
        <v>42.317</v>
      </c>
      <c r="V72" s="6">
        <f>IF($AB72="",V20,IF($AB72=V$3,SUM($U20:V20),0))</f>
        <v>0</v>
      </c>
      <c r="W72" s="6">
        <f>IF($AB72="",W20,IF($AB72=W$3,SUM($U20:W20),0))</f>
        <v>0</v>
      </c>
      <c r="X72" s="6">
        <f>IF($AB72="",X20,IF($AB72=X$3,SUM($U20:X20),0))</f>
        <v>0</v>
      </c>
      <c r="Y72" s="6">
        <f>IF($AB72="",Y20,IF($AB72=Y$3,SUM($U20:Y20),0))</f>
        <v>0</v>
      </c>
      <c r="Z72" s="46">
        <f t="shared" si="12"/>
        <v>42.317</v>
      </c>
      <c r="AA72" s="5">
        <v>0</v>
      </c>
      <c r="AB72" s="6" t="str" cm="1">
        <f t="array" ref="AB72">_xlfn.IFNA(INDEX($U$3:$Y$3,0,MATCH(AA72,$U$8:$Y$8,0)),"")</f>
        <v/>
      </c>
    </row>
    <row r="73" spans="1:28">
      <c r="A73" s="5" t="e">
        <f>#REF!</f>
        <v>#REF!</v>
      </c>
      <c r="B73" s="14" t="e">
        <f t="shared" si="9"/>
        <v>#REF!</v>
      </c>
      <c r="C73" s="10">
        <v>1000</v>
      </c>
      <c r="D73" s="5" t="str">
        <f t="shared" si="15"/>
        <v>Other operating assets</v>
      </c>
      <c r="E73" s="5" t="str">
        <f t="shared" si="15"/>
        <v>Replacement expenditure</v>
      </c>
      <c r="F73" s="5"/>
      <c r="G73" s="5"/>
      <c r="H73" s="5"/>
      <c r="I73" s="5"/>
      <c r="J73" s="5"/>
      <c r="K73" s="5"/>
      <c r="L73" s="5"/>
      <c r="M73" s="5"/>
      <c r="O73" s="6" t="str">
        <f t="shared" si="10"/>
        <v>Flood mitigation at Red Cliffs</v>
      </c>
      <c r="P73" s="68" t="str">
        <f t="shared" si="13"/>
        <v>2021/22</v>
      </c>
      <c r="Q73" s="68">
        <f t="shared" si="14"/>
        <v>1000</v>
      </c>
      <c r="R73" s="68" t="str">
        <f t="shared" si="11"/>
        <v>Reliability</v>
      </c>
      <c r="S73" s="6" t="str" cm="1">
        <f t="array" ref="S73">IF(O73="","",INDEX($S$9:$S$38,MATCH($O73,$O$61:$O$89,0),0))</f>
        <v>Other operating assets</v>
      </c>
      <c r="T73" s="6" t="str" cm="1">
        <f t="array" ref="T73">IF(P73="","",INDEX(T$9:T$38,MATCH($O73,$O$61:$O$89,0),0))</f>
        <v>Replacement expenditure</v>
      </c>
      <c r="U73" s="6">
        <f>IF($AB73="",U21,IF($AB73=U$3,SUM($U21:U21),0))</f>
        <v>0</v>
      </c>
      <c r="V73" s="6">
        <f>IF($AB73="",V21,IF($AB73=V$3,SUM($U21:V21),0))</f>
        <v>426.25440000000003</v>
      </c>
      <c r="W73" s="6">
        <f>IF($AB73="",W21,IF($AB73=W$3,SUM($U21:W21),0))</f>
        <v>0</v>
      </c>
      <c r="X73" s="6">
        <f>IF($AB73="",X21,IF($AB73=X$3,SUM($U21:X21),0))</f>
        <v>0</v>
      </c>
      <c r="Y73" s="6">
        <f>IF($AB73="",Y21,IF($AB73=Y$3,SUM($U21:Y21),0))</f>
        <v>0</v>
      </c>
      <c r="Z73" s="46">
        <f t="shared" si="12"/>
        <v>426.25440000000003</v>
      </c>
      <c r="AA73" s="5">
        <v>0</v>
      </c>
      <c r="AB73" s="6" t="str" cm="1">
        <f t="array" ref="AB73">_xlfn.IFNA(INDEX($U$3:$Y$3,0,MATCH(AA73,$U$8:$Y$8,0)),"")</f>
        <v/>
      </c>
    </row>
    <row r="74" spans="1:28">
      <c r="A74" s="5" t="e">
        <f>#REF!</f>
        <v>#REF!</v>
      </c>
      <c r="B74" s="14" t="e">
        <f t="shared" si="9"/>
        <v>#REF!</v>
      </c>
      <c r="C74" s="10">
        <v>1000</v>
      </c>
      <c r="D74" s="5" t="str">
        <f t="shared" si="15"/>
        <v>Other operating assets</v>
      </c>
      <c r="E74" s="5" t="str">
        <f t="shared" si="15"/>
        <v>Replacement expenditure</v>
      </c>
      <c r="F74" s="5"/>
      <c r="G74" s="5"/>
      <c r="H74" s="5"/>
      <c r="I74" s="5"/>
      <c r="J74" s="5"/>
      <c r="K74" s="5"/>
      <c r="L74" s="5"/>
      <c r="M74" s="5"/>
      <c r="O74" s="6" t="str">
        <f t="shared" si="10"/>
        <v>NSW Runback</v>
      </c>
      <c r="P74" s="68" t="str">
        <f t="shared" si="13"/>
        <v>2021/22</v>
      </c>
      <c r="Q74" s="68">
        <f t="shared" si="14"/>
        <v>1000</v>
      </c>
      <c r="R74" s="68" t="str">
        <f t="shared" si="11"/>
        <v>Stay in business</v>
      </c>
      <c r="S74" s="6" t="str" cm="1">
        <f t="array" ref="S74">IF(O74="","",INDEX($S$9:$S$38,MATCH($O74,$O$61:$O$89,0),0))</f>
        <v>Other operating assets</v>
      </c>
      <c r="T74" s="6" t="str" cm="1">
        <f t="array" ref="T74">IF(P74="","",INDEX(T$9:T$38,MATCH($O74,$O$61:$O$89,0),0))</f>
        <v>Replacement expenditure</v>
      </c>
      <c r="U74" s="6">
        <f>IF($AB74="",U22,IF($AB74=U$3,SUM($U22:U22),0))</f>
        <v>0</v>
      </c>
      <c r="V74" s="6">
        <f>IF($AB74="",V22,IF($AB74=V$3,SUM($U22:V22),0))</f>
        <v>0</v>
      </c>
      <c r="W74" s="6">
        <f>IF($AB74="",W22,IF($AB74=W$3,SUM($U22:W22),0))</f>
        <v>635.17151808000006</v>
      </c>
      <c r="X74" s="6">
        <f>IF($AB74="",X22,IF($AB74=X$3,SUM($U22:X22),0))</f>
        <v>0</v>
      </c>
      <c r="Y74" s="6">
        <f>IF($AB74="",Y22,IF($AB74=Y$3,SUM($U22:Y22),0))</f>
        <v>0</v>
      </c>
      <c r="Z74" s="46">
        <f t="shared" si="12"/>
        <v>635.17151808000006</v>
      </c>
      <c r="AA74" s="5">
        <v>0</v>
      </c>
      <c r="AB74" s="6" t="str" cm="1">
        <f t="array" ref="AB74">_xlfn.IFNA(INDEX($U$3:$Y$3,0,MATCH(AA74,$U$8:$Y$8,0)),"")</f>
        <v/>
      </c>
    </row>
    <row r="75" spans="1:28">
      <c r="A75" s="5" t="e">
        <f>#REF!</f>
        <v>#REF!</v>
      </c>
      <c r="B75" s="14" t="e">
        <f t="shared" si="9"/>
        <v>#REF!</v>
      </c>
      <c r="C75" s="10">
        <v>1000</v>
      </c>
      <c r="D75" s="5" t="str">
        <f t="shared" si="15"/>
        <v>Switchyard</v>
      </c>
      <c r="E75" s="5" t="str">
        <f t="shared" si="15"/>
        <v>Replacement expenditure</v>
      </c>
      <c r="F75" s="5"/>
      <c r="G75" s="5"/>
      <c r="H75" s="5"/>
      <c r="I75" s="5"/>
      <c r="J75" s="5"/>
      <c r="K75" s="5"/>
      <c r="L75" s="5"/>
      <c r="M75" s="5"/>
      <c r="O75" s="6" t="str">
        <f t="shared" si="10"/>
        <v>AC protection upgrade at Red Cliffs.</v>
      </c>
      <c r="P75" s="68" t="str">
        <f t="shared" si="13"/>
        <v>2021/22</v>
      </c>
      <c r="Q75" s="68">
        <f t="shared" si="14"/>
        <v>1000</v>
      </c>
      <c r="R75" s="68" t="str">
        <f t="shared" si="11"/>
        <v>Reliability</v>
      </c>
      <c r="S75" s="6" t="str" cm="1">
        <f t="array" ref="S75">IF(O75="","",INDEX($S$9:$S$38,MATCH($O75,$O$61:$O$89,0),0))</f>
        <v>Other operating assets</v>
      </c>
      <c r="T75" s="6" t="str" cm="1">
        <f t="array" ref="T75">IF(P75="","",INDEX(T$9:T$38,MATCH($O75,$O$61:$O$89,0),0))</f>
        <v>Replacement expenditure</v>
      </c>
      <c r="U75" s="6">
        <f>IF($AB75="",U23,IF($AB75=U$3,SUM($U23:U23),0))</f>
        <v>504.82740000000001</v>
      </c>
      <c r="V75" s="6">
        <f>IF($AB75="",V23,IF($AB75=V$3,SUM($U23:V23),0))</f>
        <v>0</v>
      </c>
      <c r="W75" s="6">
        <f>IF($AB75="",W23,IF($AB75=W$3,SUM($U23:W23),0))</f>
        <v>0</v>
      </c>
      <c r="X75" s="6">
        <f>IF($AB75="",X23,IF($AB75=X$3,SUM($U23:X23),0))</f>
        <v>0</v>
      </c>
      <c r="Y75" s="6">
        <f>IF($AB75="",Y23,IF($AB75=Y$3,SUM($U23:Y23),0))</f>
        <v>0</v>
      </c>
      <c r="Z75" s="46">
        <f t="shared" si="12"/>
        <v>504.82740000000001</v>
      </c>
      <c r="AA75" s="5">
        <v>0</v>
      </c>
      <c r="AB75" s="6" t="str" cm="1">
        <f t="array" ref="AB75">_xlfn.IFNA(INDEX($U$3:$Y$3,0,MATCH(AA75,$U$8:$Y$8,0)),"")</f>
        <v/>
      </c>
    </row>
    <row r="76" spans="1:28">
      <c r="A76" s="5" t="e">
        <f>#REF!</f>
        <v>#REF!</v>
      </c>
      <c r="B76" s="14" t="e">
        <f t="shared" si="9"/>
        <v>#REF!</v>
      </c>
      <c r="C76" s="10">
        <v>1000</v>
      </c>
      <c r="D76" s="5" t="str">
        <f t="shared" si="15"/>
        <v>Other operating assets</v>
      </c>
      <c r="E76" s="5" t="str">
        <f t="shared" si="15"/>
        <v>Replacement expenditure</v>
      </c>
      <c r="F76" s="5"/>
      <c r="G76" s="5"/>
      <c r="H76" s="5"/>
      <c r="I76" s="5"/>
      <c r="J76" s="5"/>
      <c r="K76" s="5"/>
      <c r="L76" s="5"/>
      <c r="M76" s="5"/>
      <c r="O76" s="6" t="str">
        <f t="shared" si="10"/>
        <v>Other Minor Capital Works</v>
      </c>
      <c r="P76" s="68" t="str">
        <f t="shared" si="13"/>
        <v>2021/22</v>
      </c>
      <c r="Q76" s="68">
        <f t="shared" si="14"/>
        <v>1000</v>
      </c>
      <c r="R76" s="68" t="str">
        <f t="shared" si="11"/>
        <v>Stay in business</v>
      </c>
      <c r="S76" s="6" t="str" cm="1">
        <f t="array" ref="S76">IF(O76="","",INDEX($S$9:$S$38,MATCH($O76,$O$61:$O$89,0),0))</f>
        <v>Other operating assets</v>
      </c>
      <c r="T76" s="6" t="str" cm="1">
        <f t="array" ref="T76">IF(P76="","",INDEX(T$9:T$38,MATCH($O76,$O$61:$O$89,0),0))</f>
        <v>Replacement expenditure</v>
      </c>
      <c r="U76" s="6">
        <f>IF($AB76="",U24,IF($AB76=U$3,SUM($U24:U24),0))</f>
        <v>77</v>
      </c>
      <c r="V76" s="6">
        <f>IF($AB76="",V24,IF($AB76=V$3,SUM($U24:V24),0))</f>
        <v>77</v>
      </c>
      <c r="W76" s="6">
        <f>IF($AB76="",W24,IF($AB76=W$3,SUM($U24:W24),0))</f>
        <v>77</v>
      </c>
      <c r="X76" s="6">
        <f>IF($AB76="",X24,IF($AB76=X$3,SUM($U24:X24),0))</f>
        <v>77</v>
      </c>
      <c r="Y76" s="6">
        <f>IF($AB76="",Y24,IF($AB76=Y$3,SUM($U24:Y24),0))</f>
        <v>0</v>
      </c>
      <c r="Z76" s="46">
        <f t="shared" si="12"/>
        <v>308</v>
      </c>
      <c r="AA76" s="5">
        <v>0</v>
      </c>
      <c r="AB76" s="6" t="str" cm="1">
        <f t="array" ref="AB76">_xlfn.IFNA(INDEX($U$3:$Y$3,0,MATCH(AA76,$U$8:$Y$8,0)),"")</f>
        <v/>
      </c>
    </row>
    <row r="77" spans="1:28">
      <c r="A77" s="5" t="e">
        <f>#REF!</f>
        <v>#REF!</v>
      </c>
      <c r="B77" s="14" t="e">
        <f t="shared" si="9"/>
        <v>#REF!</v>
      </c>
      <c r="C77" s="10">
        <v>1000</v>
      </c>
      <c r="D77" s="5" t="str">
        <f t="shared" si="15"/>
        <v>Other operating assets</v>
      </c>
      <c r="E77" s="5" t="str">
        <f t="shared" si="15"/>
        <v>Replacement expenditure</v>
      </c>
      <c r="F77" s="5"/>
      <c r="G77" s="5"/>
      <c r="H77" s="5"/>
      <c r="I77" s="5"/>
      <c r="J77" s="5"/>
      <c r="K77" s="5"/>
      <c r="L77" s="5"/>
      <c r="M77" s="5"/>
      <c r="O77" s="6" t="str">
        <f t="shared" si="10"/>
        <v>Clear scada and operational data historian</v>
      </c>
      <c r="P77" s="68" t="str">
        <f t="shared" si="13"/>
        <v>2021/22</v>
      </c>
      <c r="Q77" s="68">
        <f t="shared" si="14"/>
        <v>1000</v>
      </c>
      <c r="R77" s="68" t="str">
        <f t="shared" si="11"/>
        <v>Stay in business</v>
      </c>
      <c r="S77" s="6" t="str" cm="1">
        <f t="array" ref="S77">IF(O77="","",INDEX($S$9:$S$38,MATCH($O77,$O$61:$O$89,0),0))</f>
        <v>Other operating assets</v>
      </c>
      <c r="T77" s="6" t="str" cm="1">
        <f t="array" ref="T77">IF(P77="","",INDEX(T$9:T$38,MATCH($O77,$O$61:$O$89,0),0))</f>
        <v>Replacement expenditure</v>
      </c>
      <c r="U77" s="6">
        <f>IF($AB77="",U25,IF($AB77=U$3,SUM($U25:U25),0))</f>
        <v>268.52100000000002</v>
      </c>
      <c r="V77" s="6">
        <f>IF($AB77="",V25,IF($AB77=V$3,SUM($U25:V25),0))</f>
        <v>0</v>
      </c>
      <c r="W77" s="6">
        <f>IF($AB77="",W25,IF($AB77=W$3,SUM($U25:W25),0))</f>
        <v>0</v>
      </c>
      <c r="X77" s="6">
        <f>IF($AB77="",X25,IF($AB77=X$3,SUM($U25:X25),0))</f>
        <v>0</v>
      </c>
      <c r="Y77" s="6">
        <f>IF($AB77="",Y25,IF($AB77=Y$3,SUM($U25:Y25),0))</f>
        <v>0</v>
      </c>
      <c r="Z77" s="46">
        <f t="shared" si="12"/>
        <v>268.52100000000002</v>
      </c>
      <c r="AA77" s="5">
        <v>0</v>
      </c>
      <c r="AB77" s="6" t="str" cm="1">
        <f t="array" ref="AB77">_xlfn.IFNA(INDEX($U$3:$Y$3,0,MATCH(AA77,$U$8:$Y$8,0)),"")</f>
        <v/>
      </c>
    </row>
    <row r="78" spans="1:28">
      <c r="A78" s="5" t="e">
        <f>#REF!</f>
        <v>#REF!</v>
      </c>
      <c r="B78" s="14" t="e">
        <f t="shared" si="9"/>
        <v>#REF!</v>
      </c>
      <c r="C78" s="10"/>
      <c r="D78" s="5" t="str">
        <f t="shared" si="15"/>
        <v>Transmission line</v>
      </c>
      <c r="E78" s="5" t="str">
        <f t="shared" si="15"/>
        <v>Replacement expenditure</v>
      </c>
      <c r="F78" s="5"/>
      <c r="G78" s="5"/>
      <c r="H78" s="5"/>
      <c r="I78" s="5"/>
      <c r="J78" s="5"/>
      <c r="K78" s="5"/>
      <c r="L78" s="5"/>
      <c r="M78" s="5"/>
      <c r="O78" s="6" t="str">
        <f t="shared" si="10"/>
        <v>Purpose built edge protection and access for the high voltage transformers.</v>
      </c>
      <c r="P78" s="68" t="str">
        <f t="shared" si="13"/>
        <v>2021/22</v>
      </c>
      <c r="Q78" s="68">
        <f t="shared" si="14"/>
        <v>1000</v>
      </c>
      <c r="R78" s="68" t="str">
        <f t="shared" si="11"/>
        <v>Stay in business</v>
      </c>
      <c r="S78" s="6" t="str" cm="1">
        <f t="array" ref="S78">IF(O78="","",INDEX($S$9:$S$38,MATCH($O78,$O$61:$O$89,0),0))</f>
        <v>Other operating assets</v>
      </c>
      <c r="T78" s="6" t="str" cm="1">
        <f t="array" ref="T78">IF(P78="","",INDEX(T$9:T$38,MATCH($O78,$O$61:$O$89,0),0))</f>
        <v>Replacement expenditure</v>
      </c>
      <c r="U78" s="6">
        <f>IF($AB78="",U26,IF($AB78=U$3,SUM($U26:U26),0))</f>
        <v>198.16170000000002</v>
      </c>
      <c r="V78" s="6">
        <f>IF($AB78="",V26,IF($AB78=V$3,SUM($U26:V26),0))</f>
        <v>0</v>
      </c>
      <c r="W78" s="6">
        <f>IF($AB78="",W26,IF($AB78=W$3,SUM($U26:W26),0))</f>
        <v>0</v>
      </c>
      <c r="X78" s="6">
        <f>IF($AB78="",X26,IF($AB78=X$3,SUM($U26:X26),0))</f>
        <v>0</v>
      </c>
      <c r="Y78" s="6">
        <f>IF($AB78="",Y26,IF($AB78=Y$3,SUM($U26:Y26),0))</f>
        <v>0</v>
      </c>
      <c r="Z78" s="46">
        <f t="shared" si="12"/>
        <v>198.16170000000002</v>
      </c>
      <c r="AA78" s="5">
        <v>0</v>
      </c>
      <c r="AB78" s="6" t="str" cm="1">
        <f t="array" ref="AB78">_xlfn.IFNA(INDEX($U$3:$Y$3,0,MATCH(AA78,$U$8:$Y$8,0)),"")</f>
        <v/>
      </c>
    </row>
    <row r="79" spans="1:28">
      <c r="A79" s="5" t="e">
        <f>#REF!</f>
        <v>#REF!</v>
      </c>
      <c r="B79" s="14" t="e">
        <f t="shared" si="9"/>
        <v>#REF!</v>
      </c>
      <c r="C79" s="10"/>
      <c r="D79" s="5" t="str">
        <f t="shared" si="15"/>
        <v>Switchyard</v>
      </c>
      <c r="E79" s="5" t="str">
        <f t="shared" si="15"/>
        <v>Replacement expenditure</v>
      </c>
      <c r="F79" s="5"/>
      <c r="G79" s="5"/>
      <c r="H79" s="5"/>
      <c r="I79" s="5"/>
      <c r="J79" s="5"/>
      <c r="K79" s="5"/>
      <c r="L79" s="5"/>
      <c r="M79" s="5"/>
      <c r="O79" s="6" t="str">
        <f t="shared" si="10"/>
        <v>Berri potable water supply</v>
      </c>
      <c r="P79" s="68" t="str">
        <f t="shared" si="13"/>
        <v>2021/22</v>
      </c>
      <c r="Q79" s="68">
        <f t="shared" si="14"/>
        <v>1000</v>
      </c>
      <c r="R79" s="68" t="str">
        <f t="shared" si="11"/>
        <v>Stay in business</v>
      </c>
      <c r="S79" s="6" t="str" cm="1">
        <f t="array" ref="S79">IF(O79="","",INDEX($S$9:$S$38,MATCH($O79,$O$61:$O$89,0),0))</f>
        <v>Other operating assets</v>
      </c>
      <c r="T79" s="6" t="str" cm="1">
        <f t="array" ref="T79">IF(P79="","",INDEX(T$9:T$38,MATCH($O79,$O$61:$O$89,0),0))</f>
        <v>Replacement expenditure</v>
      </c>
      <c r="U79" s="6">
        <f>IF($AB79="",U27,IF($AB79=U$3,SUM($U27:U27),0))</f>
        <v>100.61040000000001</v>
      </c>
      <c r="V79" s="6">
        <f>IF($AB79="",V27,IF($AB79=V$3,SUM($U27:V27),0))</f>
        <v>0</v>
      </c>
      <c r="W79" s="6">
        <f>IF($AB79="",W27,IF($AB79=W$3,SUM($U27:W27),0))</f>
        <v>0</v>
      </c>
      <c r="X79" s="6">
        <f>IF($AB79="",X27,IF($AB79=X$3,SUM($U27:X27),0))</f>
        <v>0</v>
      </c>
      <c r="Y79" s="6">
        <f>IF($AB79="",Y27,IF($AB79=Y$3,SUM($U27:Y27),0))</f>
        <v>0</v>
      </c>
      <c r="Z79" s="46">
        <f t="shared" si="12"/>
        <v>100.61040000000001</v>
      </c>
      <c r="AA79" s="5">
        <v>0</v>
      </c>
      <c r="AB79" s="6" t="str" cm="1">
        <f t="array" ref="AB79">_xlfn.IFNA(INDEX($U$3:$Y$3,0,MATCH(AA79,$U$8:$Y$8,0)),"")</f>
        <v/>
      </c>
    </row>
    <row r="80" spans="1:28">
      <c r="A80" s="5" t="e">
        <f>#REF!</f>
        <v>#REF!</v>
      </c>
      <c r="B80" s="14" t="e">
        <f t="shared" si="9"/>
        <v>#REF!</v>
      </c>
      <c r="C80" s="10"/>
      <c r="D80" s="5" t="str">
        <f t="shared" si="15"/>
        <v>Switchyard</v>
      </c>
      <c r="E80" s="5" t="str">
        <f t="shared" si="15"/>
        <v>Replacement expenditure</v>
      </c>
      <c r="F80" s="5"/>
      <c r="G80" s="5"/>
      <c r="H80" s="5"/>
      <c r="I80" s="5"/>
      <c r="J80" s="5"/>
      <c r="K80" s="5"/>
      <c r="L80" s="5"/>
      <c r="M80" s="5"/>
      <c r="O80" s="6" t="str">
        <f t="shared" si="10"/>
        <v>Additional storage for strategic HV cable spares</v>
      </c>
      <c r="P80" s="68" t="str">
        <f t="shared" si="13"/>
        <v>2021/22</v>
      </c>
      <c r="Q80" s="68">
        <f t="shared" si="14"/>
        <v>1000</v>
      </c>
      <c r="R80" s="68" t="str">
        <f t="shared" si="11"/>
        <v>Stay in business</v>
      </c>
      <c r="S80" s="6" t="str" cm="1">
        <f t="array" ref="S80">IF(O80="","",INDEX($S$9:$S$38,MATCH($O80,$O$61:$O$89,0),0))</f>
        <v>Other operating assets</v>
      </c>
      <c r="T80" s="6" t="str" cm="1">
        <f t="array" ref="T80">IF(P80="","",INDEX(T$9:T$38,MATCH($O80,$O$61:$O$89,0),0))</f>
        <v>Replacement expenditure</v>
      </c>
      <c r="U80" s="6">
        <f>IF($AB80="",U28,IF($AB80=U$3,SUM($U28:U28),0))</f>
        <v>82.5</v>
      </c>
      <c r="V80" s="6">
        <f>IF($AB80="",V28,IF($AB80=V$3,SUM($U28:V28),0))</f>
        <v>0</v>
      </c>
      <c r="W80" s="6">
        <f>IF($AB80="",W28,IF($AB80=W$3,SUM($U28:W28),0))</f>
        <v>0</v>
      </c>
      <c r="X80" s="6">
        <f>IF($AB80="",X28,IF($AB80=X$3,SUM($U28:X28),0))</f>
        <v>0</v>
      </c>
      <c r="Y80" s="6">
        <f>IF($AB80="",Y28,IF($AB80=Y$3,SUM($U28:Y28),0))</f>
        <v>0</v>
      </c>
      <c r="Z80" s="46">
        <f t="shared" si="12"/>
        <v>82.5</v>
      </c>
      <c r="AA80" s="5">
        <v>0</v>
      </c>
      <c r="AB80" s="6" t="str" cm="1">
        <f t="array" ref="AB80">_xlfn.IFNA(INDEX($U$3:$Y$3,0,MATCH(AA80,$U$8:$Y$8,0)),"")</f>
        <v/>
      </c>
    </row>
    <row r="81" spans="1:28">
      <c r="A81" s="5" t="e">
        <f>#REF!</f>
        <v>#REF!</v>
      </c>
      <c r="B81" s="14" t="e">
        <f t="shared" si="9"/>
        <v>#REF!</v>
      </c>
      <c r="C81" s="10"/>
      <c r="D81" s="5" t="str">
        <f t="shared" si="15"/>
        <v>Switchyard</v>
      </c>
      <c r="E81" s="5" t="str">
        <f t="shared" si="15"/>
        <v>Replacement expenditure</v>
      </c>
      <c r="F81" s="5"/>
      <c r="G81" s="5"/>
      <c r="H81" s="5"/>
      <c r="I81" s="5"/>
      <c r="J81" s="5"/>
      <c r="K81" s="5"/>
      <c r="L81" s="5"/>
      <c r="M81" s="5"/>
      <c r="O81" s="6" t="str">
        <f t="shared" si="10"/>
        <v>Phase Reactor Cooling and I beams</v>
      </c>
      <c r="P81" s="68" t="str">
        <f t="shared" si="13"/>
        <v>2021/22</v>
      </c>
      <c r="Q81" s="68">
        <f t="shared" si="14"/>
        <v>1000</v>
      </c>
      <c r="R81" s="68" t="str">
        <f t="shared" si="11"/>
        <v>Stay in business</v>
      </c>
      <c r="S81" s="6" t="str" cm="1">
        <f t="array" ref="S81">IF(O81="","",INDEX($S$9:$S$38,MATCH($O81,$O$61:$O$89,0),0))</f>
        <v>Other operating assets</v>
      </c>
      <c r="T81" s="6" t="str" cm="1">
        <f t="array" ref="T81">IF(P81="","",INDEX(T$9:T$38,MATCH($O81,$O$61:$O$89,0),0))</f>
        <v>Replacement expenditure</v>
      </c>
      <c r="U81" s="6">
        <f>IF($AB81="",U29,IF($AB81=U$3,SUM($U29:U29),0))</f>
        <v>80.718590919999997</v>
      </c>
      <c r="V81" s="6">
        <f>IF($AB81="",V29,IF($AB81=V$3,SUM($U29:V29),0))</f>
        <v>0</v>
      </c>
      <c r="W81" s="6">
        <f>IF($AB81="",W29,IF($AB81=W$3,SUM($U29:W29),0))</f>
        <v>0</v>
      </c>
      <c r="X81" s="6">
        <f>IF($AB81="",X29,IF($AB81=X$3,SUM($U29:X29),0))</f>
        <v>0</v>
      </c>
      <c r="Y81" s="6">
        <f>IF($AB81="",Y29,IF($AB81=Y$3,SUM($U29:Y29),0))</f>
        <v>0</v>
      </c>
      <c r="Z81" s="46">
        <f t="shared" si="12"/>
        <v>80.718590919999997</v>
      </c>
      <c r="AA81" s="5">
        <v>0</v>
      </c>
      <c r="AB81" s="6" t="str" cm="1">
        <f t="array" ref="AB81">_xlfn.IFNA(INDEX($U$3:$Y$3,0,MATCH(AA81,$U$8:$Y$8,0)),"")</f>
        <v/>
      </c>
    </row>
    <row r="82" spans="1:28">
      <c r="A82" s="5" t="e">
        <f>#REF!</f>
        <v>#REF!</v>
      </c>
      <c r="B82" s="14" t="e">
        <f t="shared" si="9"/>
        <v>#REF!</v>
      </c>
      <c r="C82" s="10"/>
      <c r="D82" s="5" t="str">
        <f t="shared" si="15"/>
        <v>Other operating assets</v>
      </c>
      <c r="E82" s="5" t="str">
        <f t="shared" si="15"/>
        <v>Replacement expenditure</v>
      </c>
      <c r="F82" s="5"/>
      <c r="G82" s="5"/>
      <c r="H82" s="5"/>
      <c r="I82" s="5"/>
      <c r="J82" s="5"/>
      <c r="K82" s="5"/>
      <c r="L82" s="5"/>
      <c r="M82" s="5"/>
      <c r="O82" s="6" t="str">
        <f t="shared" si="10"/>
        <v>Nitrogen independent supply</v>
      </c>
      <c r="P82" s="68" t="str">
        <f t="shared" si="13"/>
        <v>2021/22</v>
      </c>
      <c r="Q82" s="68">
        <f t="shared" si="14"/>
        <v>1000</v>
      </c>
      <c r="R82" s="68" t="str">
        <f t="shared" si="11"/>
        <v>Stay in business</v>
      </c>
      <c r="S82" s="6" t="str" cm="1">
        <f t="array" ref="S82">IF(O82="","",INDEX($S$9:$S$38,MATCH($O82,$O$61:$O$89,0),0))</f>
        <v>Other operating assets</v>
      </c>
      <c r="T82" s="6" t="str" cm="1">
        <f t="array" ref="T82">IF(P82="","",INDEX(T$9:T$38,MATCH($O82,$O$61:$O$89,0),0))</f>
        <v>Replacement expenditure</v>
      </c>
      <c r="U82" s="6">
        <f>IF($AB82="",U30,IF($AB82=U$3,SUM($U30:U30),0))</f>
        <v>0</v>
      </c>
      <c r="V82" s="6">
        <f>IF($AB82="",V30,IF($AB82=V$3,SUM($U30:V30),0))</f>
        <v>134.70765000000003</v>
      </c>
      <c r="W82" s="6">
        <f>IF($AB82="",W30,IF($AB82=W$3,SUM($U30:W30),0))</f>
        <v>0</v>
      </c>
      <c r="X82" s="6">
        <f>IF($AB82="",X30,IF($AB82=X$3,SUM($U30:X30),0))</f>
        <v>0</v>
      </c>
      <c r="Y82" s="6">
        <f>IF($AB82="",Y30,IF($AB82=Y$3,SUM($U30:Y30),0))</f>
        <v>0</v>
      </c>
      <c r="Z82" s="46">
        <f t="shared" si="12"/>
        <v>134.70765000000003</v>
      </c>
      <c r="AA82" s="5">
        <v>0</v>
      </c>
      <c r="AB82" s="6" t="str" cm="1">
        <f t="array" ref="AB82">_xlfn.IFNA(INDEX($U$3:$Y$3,0,MATCH(AA82,$U$8:$Y$8,0)),"")</f>
        <v/>
      </c>
    </row>
    <row r="83" spans="1:28">
      <c r="O83" s="6" t="str">
        <f t="shared" si="10"/>
        <v>Power Quality Metering</v>
      </c>
      <c r="P83" s="68" t="str">
        <f t="shared" si="13"/>
        <v>2021/22</v>
      </c>
      <c r="Q83" s="68">
        <f t="shared" si="14"/>
        <v>1000</v>
      </c>
      <c r="R83" s="68" t="str">
        <f t="shared" si="11"/>
        <v>Stay in business</v>
      </c>
      <c r="S83" s="6" t="str" cm="1">
        <f t="array" ref="S83">IF(O83="","",INDEX($S$9:$S$38,MATCH($O83,$O$61:$O$89,0),0))</f>
        <v>Other operating assets</v>
      </c>
      <c r="T83" s="6" t="str" cm="1">
        <f t="array" ref="T83">IF(P83="","",INDEX(T$9:T$38,MATCH($O83,$O$61:$O$89,0),0))</f>
        <v>Replacement expenditure</v>
      </c>
      <c r="U83" s="6">
        <f>IF($AB83="",U31,IF($AB83=U$3,SUM($U31:U31),0))</f>
        <v>0</v>
      </c>
      <c r="V83" s="6">
        <f>IF($AB83="",V31,IF($AB83=V$3,SUM($U31:V31),0))</f>
        <v>563.64</v>
      </c>
      <c r="W83" s="6">
        <f>IF($AB83="",W31,IF($AB83=W$3,SUM($U31:W31),0))</f>
        <v>0</v>
      </c>
      <c r="X83" s="6">
        <f>IF($AB83="",X31,IF($AB83=X$3,SUM($U31:X31),0))</f>
        <v>0</v>
      </c>
      <c r="Y83" s="6">
        <f>IF($AB83="",Y31,IF($AB83=Y$3,SUM($U31:Y31),0))</f>
        <v>0</v>
      </c>
      <c r="Z83" s="46">
        <f t="shared" si="12"/>
        <v>563.64</v>
      </c>
      <c r="AA83" s="5">
        <v>0</v>
      </c>
      <c r="AB83" s="6" t="str" cm="1">
        <f t="array" ref="AB83">_xlfn.IFNA(INDEX($U$3:$Y$3,0,MATCH(AA83,$U$8:$Y$8,0)),"")</f>
        <v/>
      </c>
    </row>
    <row r="84" spans="1:28">
      <c r="O84" s="6" t="str">
        <f t="shared" si="10"/>
        <v>Heavy lift crane to mezzanine walkway level</v>
      </c>
      <c r="P84" s="68" t="str">
        <f t="shared" si="13"/>
        <v>2021/22</v>
      </c>
      <c r="Q84" s="68">
        <f t="shared" si="14"/>
        <v>1000</v>
      </c>
      <c r="R84" s="68" t="str">
        <f t="shared" si="11"/>
        <v>Stay in business</v>
      </c>
      <c r="S84" s="6" t="str" cm="1">
        <f t="array" ref="S84">IF(O84="","",INDEX($S$9:$S$38,MATCH($O84,$O$61:$O$89,0),0))</f>
        <v>Other operating assets</v>
      </c>
      <c r="T84" s="6" t="str" cm="1">
        <f t="array" ref="T84">IF(P84="","",INDEX(T$9:T$38,MATCH($O84,$O$61:$O$89,0),0))</f>
        <v>Replacement expenditure</v>
      </c>
      <c r="U84" s="6">
        <f>IF($AB84="",U32,IF($AB84=U$3,SUM($U32:U32),0))</f>
        <v>0</v>
      </c>
      <c r="V84" s="6">
        <f>IF($AB84="",V32,IF($AB84=V$3,SUM($U32:V32),0))</f>
        <v>92.40000000000002</v>
      </c>
      <c r="W84" s="6">
        <f>IF($AB84="",W32,IF($AB84=W$3,SUM($U32:W32),0))</f>
        <v>0</v>
      </c>
      <c r="X84" s="6">
        <f>IF($AB84="",X32,IF($AB84=X$3,SUM($U32:X32),0))</f>
        <v>0</v>
      </c>
      <c r="Y84" s="6">
        <f>IF($AB84="",Y32,IF($AB84=Y$3,SUM($U32:Y32),0))</f>
        <v>0</v>
      </c>
      <c r="Z84" s="46">
        <f t="shared" si="12"/>
        <v>92.40000000000002</v>
      </c>
      <c r="AA84" s="5">
        <v>0</v>
      </c>
      <c r="AB84" s="6" t="str" cm="1">
        <f t="array" ref="AB84">_xlfn.IFNA(INDEX($U$3:$Y$3,0,MATCH(AA84,$U$8:$Y$8,0)),"")</f>
        <v/>
      </c>
    </row>
    <row r="85" spans="1:28">
      <c r="O85" s="6" t="str">
        <f t="shared" si="10"/>
        <v>Rotating equipment refurbishment</v>
      </c>
      <c r="P85" s="68" t="str">
        <f t="shared" si="13"/>
        <v>2021/22</v>
      </c>
      <c r="Q85" s="68">
        <f t="shared" si="14"/>
        <v>1000</v>
      </c>
      <c r="R85" s="68" t="str">
        <f t="shared" si="11"/>
        <v>Stay in business</v>
      </c>
      <c r="S85" s="6" t="str" cm="1">
        <f t="array" ref="S85">IF(O85="","",INDEX($S$9:$S$38,MATCH($O85,$O$61:$O$89,0),0))</f>
        <v>Other operating assets</v>
      </c>
      <c r="T85" s="6" t="str" cm="1">
        <f t="array" ref="T85">IF(P85="","",INDEX(T$9:T$38,MATCH($O85,$O$61:$O$89,0),0))</f>
        <v>Replacement expenditure</v>
      </c>
      <c r="U85" s="6">
        <f>IF($AB85="",U33,IF($AB85=U$3,SUM($U33:U33),0))</f>
        <v>150.68899999999999</v>
      </c>
      <c r="V85" s="6">
        <f>IF($AB85="",V33,IF($AB85=V$3,SUM($U33:V33),0))</f>
        <v>150.68899999999999</v>
      </c>
      <c r="W85" s="6">
        <f>IF($AB85="",W33,IF($AB85=W$3,SUM($U33:W33),0))</f>
        <v>150.68899999999999</v>
      </c>
      <c r="X85" s="6">
        <f>IF($AB85="",X33,IF($AB85=X$3,SUM($U33:X33),0))</f>
        <v>150.68899999999999</v>
      </c>
      <c r="Y85" s="6">
        <f>IF($AB85="",Y33,IF($AB85=Y$3,SUM($U33:Y33),0))</f>
        <v>150.68899999999999</v>
      </c>
      <c r="Z85" s="46">
        <f t="shared" si="12"/>
        <v>753.44499999999994</v>
      </c>
      <c r="AA85" s="5">
        <v>0</v>
      </c>
      <c r="AB85" s="6" t="str" cm="1">
        <f t="array" ref="AB85">_xlfn.IFNA(INDEX($U$3:$Y$3,0,MATCH(AA85,$U$8:$Y$8,0)),"")</f>
        <v/>
      </c>
    </row>
    <row r="86" spans="1:28">
      <c r="O86" s="6" t="str">
        <f t="shared" si="10"/>
        <v>Upgrade cooling towers to enhanced cooling system</v>
      </c>
      <c r="P86" s="68" t="str">
        <f t="shared" si="13"/>
        <v>2021/22</v>
      </c>
      <c r="Q86" s="68">
        <f t="shared" si="14"/>
        <v>1000</v>
      </c>
      <c r="R86" s="68" t="str">
        <f t="shared" si="11"/>
        <v>Enhanced Cooling</v>
      </c>
      <c r="S86" s="6" t="str" cm="1">
        <f t="array" ref="S86">IF(O86="","",INDEX($S$9:$S$38,MATCH($O86,$O$61:$O$89,0),0))</f>
        <v>Other operating assets</v>
      </c>
      <c r="T86" s="6" t="str" cm="1">
        <f t="array" ref="T86">IF(P86="","",INDEX(T$9:T$38,MATCH($O86,$O$61:$O$89,0),0))</f>
        <v>Replacement expenditure</v>
      </c>
      <c r="U86" s="6">
        <f>IF($AB86="",U34,IF($AB86=U$3,SUM($U34:U34),0))</f>
        <v>0</v>
      </c>
      <c r="V86" s="6">
        <f>IF($AB86="",V34,IF($AB86=V$3,SUM($U34:V34),0))</f>
        <v>2750</v>
      </c>
      <c r="W86" s="6">
        <f>IF($AB86="",W34,IF($AB86=W$3,SUM($U34:W34),0))</f>
        <v>0</v>
      </c>
      <c r="X86" s="6">
        <f>IF($AB86="",X34,IF($AB86=X$3,SUM($U34:X34),0))</f>
        <v>0</v>
      </c>
      <c r="Y86" s="6">
        <f>IF($AB86="",Y34,IF($AB86=Y$3,SUM($U34:Y34),0))</f>
        <v>0</v>
      </c>
      <c r="Z86" s="46">
        <f t="shared" si="12"/>
        <v>2750</v>
      </c>
      <c r="AA86" s="5" t="s">
        <v>18</v>
      </c>
      <c r="AB86" s="6" cm="1">
        <f t="array" ref="AB86">_xlfn.IFNA(INDEX($U$3:$Y$3,0,MATCH(AA86,$U$8:$Y$8,0)),"")</f>
        <v>2</v>
      </c>
    </row>
    <row r="87" spans="1:28">
      <c r="O87" s="6" t="str">
        <f t="shared" si="10"/>
        <v>Internal building ventilation and cooling.</v>
      </c>
      <c r="P87" s="68" t="str">
        <f t="shared" si="13"/>
        <v>2021/22</v>
      </c>
      <c r="Q87" s="68">
        <f t="shared" si="14"/>
        <v>1000</v>
      </c>
      <c r="R87" s="68" t="str">
        <f t="shared" si="11"/>
        <v>Enhanced Cooling</v>
      </c>
      <c r="S87" s="6" t="str" cm="1">
        <f t="array" ref="S87">IF(O87="","",INDEX($S$9:$S$38,MATCH($O87,$O$61:$O$89,0),0))</f>
        <v>Other operating assets</v>
      </c>
      <c r="T87" s="6" t="str" cm="1">
        <f t="array" ref="T87">IF(P87="","",INDEX(T$9:T$38,MATCH($O87,$O$61:$O$89,0),0))</f>
        <v>Replacement expenditure</v>
      </c>
      <c r="U87" s="6">
        <f>IF($AB87="",U35,IF($AB87=U$3,SUM($U35:U35),0))</f>
        <v>0</v>
      </c>
      <c r="V87" s="6">
        <f>IF($AB87="",V35,IF($AB87=V$3,SUM($U35:V35),0))</f>
        <v>389.68122600000009</v>
      </c>
      <c r="W87" s="6">
        <f>IF($AB87="",W35,IF($AB87=W$3,SUM($U35:W35),0))</f>
        <v>0</v>
      </c>
      <c r="X87" s="6">
        <f>IF($AB87="",X35,IF($AB87=X$3,SUM($U35:X35),0))</f>
        <v>0</v>
      </c>
      <c r="Y87" s="6">
        <f>IF($AB87="",Y35,IF($AB87=Y$3,SUM($U35:Y35),0))</f>
        <v>0</v>
      </c>
      <c r="Z87" s="46">
        <f t="shared" si="12"/>
        <v>389.68122600000009</v>
      </c>
      <c r="AA87" s="5" t="s">
        <v>18</v>
      </c>
      <c r="AB87" s="6" cm="1">
        <f t="array" ref="AB87">_xlfn.IFNA(INDEX($U$3:$Y$3,0,MATCH(AA87,$U$8:$Y$8,0)),"")</f>
        <v>2</v>
      </c>
    </row>
    <row r="88" spans="1:28">
      <c r="O88" s="6" t="str">
        <f t="shared" si="10"/>
        <v>Transmission Determiantion Costs</v>
      </c>
      <c r="P88" s="68"/>
      <c r="Q88" s="68"/>
      <c r="R88" s="68" t="str">
        <f t="shared" si="11"/>
        <v>Regulatory Reset</v>
      </c>
      <c r="S88" s="6" t="str" cm="1">
        <f t="array" ref="S88">IF(O88="","",INDEX($S$9:$S$38,MATCH($O88,$O$61:$O$89,0),0))</f>
        <v>Non ancillary asset</v>
      </c>
      <c r="T88" s="6" t="str" cm="1">
        <f t="array" ref="T88">IF(P88="","",INDEX(T$9:T$38,MATCH($O88,$O$61:$O$89,0),0))</f>
        <v/>
      </c>
      <c r="U88" s="6">
        <f>IF($AB88="",U36,IF($AB88=U$3,SUM($U36:U36),0))</f>
        <v>40.388100000000001</v>
      </c>
      <c r="V88" s="6">
        <f>IF($AB88="",V36,IF($AB88=V$3,SUM($U36:V36),0))</f>
        <v>0</v>
      </c>
      <c r="W88" s="6">
        <f>IF($AB88="",W36,IF($AB88=W$3,SUM($U36:W36),0))</f>
        <v>0</v>
      </c>
      <c r="X88" s="6">
        <f>IF($AB88="",X36,IF($AB88=X$3,SUM($U36:X36),0))</f>
        <v>0</v>
      </c>
      <c r="Y88" s="6">
        <f>IF($AB88="",Y36,IF($AB88=Y$3,SUM($U36:Y36),0))</f>
        <v>157.63358778625954</v>
      </c>
      <c r="Z88" s="46">
        <f t="shared" si="12"/>
        <v>198.02168778625955</v>
      </c>
      <c r="AA88" s="5">
        <v>0</v>
      </c>
      <c r="AB88" s="6" t="str" cm="1">
        <f t="array" ref="AB88">_xlfn.IFNA(INDEX($U$3:$Y$3,0,MATCH(AA88,$U$8:$Y$8,0)),"")</f>
        <v/>
      </c>
    </row>
  </sheetData>
  <autoFilter ref="O8:Z8" xr:uid="{00000000-0009-0000-0000-000000000000}"/>
  <phoneticPr fontId="1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Z31"/>
  <sheetViews>
    <sheetView topLeftCell="A4" workbookViewId="0">
      <selection activeCell="M14" sqref="M14"/>
    </sheetView>
  </sheetViews>
  <sheetFormatPr defaultRowHeight="15"/>
  <cols>
    <col min="1" max="1" width="27.375" customWidth="1"/>
    <col min="12" max="13" width="9" customWidth="1"/>
    <col min="16" max="17" width="10.25" customWidth="1"/>
    <col min="18" max="20" width="9" customWidth="1"/>
  </cols>
  <sheetData>
    <row r="1" spans="1:26" ht="22.5">
      <c r="A1" s="1"/>
      <c r="B1" s="1"/>
      <c r="C1" s="1"/>
      <c r="D1" s="1"/>
      <c r="E1" s="1"/>
      <c r="F1" s="1"/>
      <c r="G1" s="1"/>
      <c r="H1" s="1"/>
      <c r="I1" s="1"/>
      <c r="J1" s="1"/>
      <c r="K1" s="1"/>
      <c r="L1" s="1"/>
      <c r="M1" s="1"/>
      <c r="N1" s="1"/>
      <c r="O1" s="1"/>
      <c r="P1" s="1"/>
      <c r="Q1" s="1"/>
      <c r="R1" s="1"/>
      <c r="S1" s="1"/>
      <c r="T1" s="1"/>
      <c r="U1" s="1"/>
      <c r="V1" s="1"/>
      <c r="W1" s="1"/>
      <c r="X1" s="1"/>
      <c r="Y1" s="1"/>
      <c r="Z1" s="1"/>
    </row>
    <row r="2" spans="1:26" ht="22.5">
      <c r="A2" s="1"/>
      <c r="B2" s="1"/>
      <c r="C2" s="1"/>
      <c r="D2" s="1"/>
      <c r="E2" s="1"/>
      <c r="F2" s="1"/>
      <c r="G2" s="1"/>
      <c r="H2" s="1"/>
      <c r="I2" s="1"/>
      <c r="J2" s="1"/>
      <c r="K2" s="1"/>
      <c r="L2" s="1"/>
      <c r="M2" s="1"/>
      <c r="N2" s="1"/>
      <c r="O2" s="1"/>
      <c r="P2" s="1"/>
      <c r="Q2" s="1"/>
      <c r="R2" s="1"/>
      <c r="S2" s="1"/>
      <c r="T2" s="1"/>
      <c r="U2" s="1"/>
      <c r="V2" s="1"/>
      <c r="W2" s="1"/>
      <c r="X2" s="1"/>
      <c r="Y2" s="1"/>
      <c r="Z2" s="1"/>
    </row>
    <row r="3" spans="1:26" ht="22.5">
      <c r="A3" s="1"/>
      <c r="B3" s="1"/>
      <c r="C3" s="1"/>
      <c r="D3" s="1"/>
      <c r="E3" s="1"/>
      <c r="F3" s="1"/>
      <c r="G3" s="1"/>
      <c r="H3" s="1"/>
      <c r="I3" s="1"/>
      <c r="J3" s="1"/>
      <c r="K3" s="1"/>
      <c r="L3" s="1"/>
      <c r="M3" s="1"/>
      <c r="N3" s="1"/>
      <c r="O3" s="1"/>
      <c r="P3" s="1"/>
      <c r="Q3" s="1"/>
      <c r="R3" s="1"/>
      <c r="S3" s="1"/>
      <c r="T3" s="1"/>
      <c r="U3" s="1"/>
      <c r="V3" s="1"/>
      <c r="W3" s="1"/>
      <c r="X3" s="1"/>
      <c r="Y3" s="1"/>
      <c r="Z3" s="1"/>
    </row>
    <row r="4" spans="1:26" ht="22.5">
      <c r="A4" s="1"/>
      <c r="B4" s="1"/>
      <c r="C4" s="1"/>
      <c r="D4" s="1"/>
      <c r="E4" s="1"/>
      <c r="F4" s="1"/>
      <c r="G4" s="1"/>
      <c r="H4" s="1"/>
      <c r="I4" s="1"/>
      <c r="J4" s="1"/>
      <c r="K4" s="1"/>
      <c r="L4" s="1"/>
      <c r="M4" s="1"/>
      <c r="N4" s="1"/>
      <c r="O4" s="1"/>
      <c r="P4" s="1"/>
      <c r="Q4" s="1"/>
      <c r="R4" s="1"/>
      <c r="S4" s="1"/>
      <c r="T4" s="1"/>
      <c r="U4" s="1"/>
      <c r="V4" s="1"/>
      <c r="W4" s="1"/>
      <c r="X4" s="1"/>
      <c r="Y4" s="1"/>
      <c r="Z4" s="1"/>
    </row>
    <row r="5" spans="1:26" ht="22.5">
      <c r="A5" s="1" t="str">
        <f ca="1">RIGHT(CELL("filename"),LEN(CELL("filename"))-FIND("]",CELL("filename")))</f>
        <v>1.0 Data</v>
      </c>
      <c r="B5" s="1"/>
      <c r="C5" s="1"/>
      <c r="D5" s="1"/>
      <c r="E5" s="1"/>
      <c r="F5" s="1"/>
      <c r="G5" s="1"/>
      <c r="H5" s="1"/>
      <c r="I5" s="1"/>
      <c r="J5" s="1"/>
      <c r="K5" s="1"/>
      <c r="L5" s="1"/>
      <c r="M5" s="1"/>
      <c r="N5" s="1"/>
      <c r="O5" s="1"/>
      <c r="P5" s="1"/>
      <c r="Q5" s="1"/>
      <c r="R5" s="1"/>
      <c r="S5" s="1"/>
      <c r="T5" s="1"/>
      <c r="U5" s="1"/>
      <c r="V5" s="1"/>
      <c r="W5" s="1"/>
      <c r="X5" s="1"/>
      <c r="Y5" s="1"/>
      <c r="Z5" s="1"/>
    </row>
    <row r="6" spans="1:26" ht="19.5">
      <c r="A6" s="2" t="s">
        <v>103</v>
      </c>
      <c r="B6" s="2"/>
      <c r="C6" s="2"/>
      <c r="D6" s="2"/>
      <c r="E6" s="2"/>
      <c r="F6" s="2"/>
      <c r="G6" s="2"/>
      <c r="H6" s="2"/>
      <c r="I6" s="2"/>
      <c r="J6" s="2"/>
      <c r="K6" s="2"/>
      <c r="L6" s="2"/>
      <c r="M6" s="2"/>
      <c r="N6" s="2"/>
      <c r="O6" s="2"/>
      <c r="P6" s="2"/>
      <c r="Q6" s="2"/>
      <c r="R6" s="2"/>
      <c r="S6" s="2"/>
      <c r="T6" s="2"/>
      <c r="U6" s="2"/>
      <c r="V6" s="2"/>
      <c r="W6" s="2"/>
      <c r="X6" s="2"/>
      <c r="Y6" s="2"/>
      <c r="Z6" s="2"/>
    </row>
    <row r="7" spans="1:26" ht="16.5">
      <c r="A7" s="4" t="s">
        <v>104</v>
      </c>
      <c r="B7" s="4"/>
      <c r="C7" s="4"/>
      <c r="D7" s="4"/>
      <c r="E7" s="4"/>
      <c r="F7" s="4"/>
      <c r="G7" s="4"/>
      <c r="H7" s="4"/>
      <c r="I7" s="4"/>
      <c r="J7" s="4"/>
      <c r="K7" s="4"/>
      <c r="L7" s="4"/>
      <c r="M7" s="4"/>
      <c r="N7" s="4"/>
      <c r="O7" s="4"/>
      <c r="P7" s="4"/>
      <c r="Q7" s="4"/>
      <c r="R7" s="4"/>
      <c r="S7" s="4"/>
      <c r="T7" s="4"/>
      <c r="U7" s="4"/>
      <c r="V7" s="4"/>
      <c r="W7" s="4"/>
      <c r="X7" s="4"/>
      <c r="Y7" s="4"/>
      <c r="Z7" s="4"/>
    </row>
    <row r="8" spans="1:26">
      <c r="A8" s="3" t="s">
        <v>104</v>
      </c>
      <c r="B8" s="21" t="s">
        <v>105</v>
      </c>
      <c r="C8" s="21" t="s">
        <v>8</v>
      </c>
      <c r="D8" s="21" t="s">
        <v>9</v>
      </c>
      <c r="E8" s="9" t="str">
        <f>'2.0 Capex Real Dollars'!E8</f>
        <v>2018/19</v>
      </c>
      <c r="F8" s="9" t="str">
        <f>'2.0 Capex Real Dollars'!F8</f>
        <v>2019/20</v>
      </c>
      <c r="G8" s="9" t="str">
        <f>'2.0 Capex Real Dollars'!G8</f>
        <v>2020/21</v>
      </c>
      <c r="H8" s="9" t="str">
        <f>'2.0 Capex Real Dollars'!H8</f>
        <v>2021/22</v>
      </c>
      <c r="I8" s="9" t="str">
        <f>'2.0 Capex Real Dollars'!I8</f>
        <v>2022/23</v>
      </c>
      <c r="J8" s="9" t="str">
        <f>'2.0 Capex Real Dollars'!P8</f>
        <v>2023/24</v>
      </c>
      <c r="K8" s="9" t="str">
        <f>'2.0 Capex Real Dollars'!Q8</f>
        <v>2024/25</v>
      </c>
      <c r="L8" s="9" t="str">
        <f>'2.0 Capex Real Dollars'!R8</f>
        <v>2025/26</v>
      </c>
      <c r="M8" s="9" t="str">
        <f>'2.0 Capex Real Dollars'!S8</f>
        <v>2026/27</v>
      </c>
      <c r="N8" s="9" t="str">
        <f>'2.0 Capex Real Dollars'!T8</f>
        <v>2027/28</v>
      </c>
      <c r="O8" s="3"/>
      <c r="P8" s="3"/>
      <c r="Q8" s="3"/>
      <c r="R8" s="3"/>
      <c r="S8" s="3"/>
      <c r="T8" s="3"/>
      <c r="U8" s="3"/>
      <c r="V8" s="3"/>
      <c r="W8" s="3"/>
      <c r="X8" s="3"/>
      <c r="Y8" s="3"/>
      <c r="Z8" s="3"/>
    </row>
    <row r="9" spans="1:26">
      <c r="A9" s="5" t="s">
        <v>106</v>
      </c>
      <c r="B9" s="7">
        <v>42064</v>
      </c>
      <c r="C9" s="25">
        <f>DATE(YEAR(B9)+1,MONTH(B9),DAY(B9))</f>
        <v>42430</v>
      </c>
      <c r="D9" s="25">
        <f t="shared" ref="D9:N9" si="0">DATE(YEAR(C9)+1,MONTH(C9),DAY(C9))</f>
        <v>42795</v>
      </c>
      <c r="E9" s="25">
        <f t="shared" si="0"/>
        <v>43160</v>
      </c>
      <c r="F9" s="25">
        <f t="shared" si="0"/>
        <v>43525</v>
      </c>
      <c r="G9" s="25">
        <f t="shared" si="0"/>
        <v>43891</v>
      </c>
      <c r="H9" s="25">
        <f t="shared" si="0"/>
        <v>44256</v>
      </c>
      <c r="I9" s="25">
        <f t="shared" si="0"/>
        <v>44621</v>
      </c>
      <c r="J9" s="25">
        <f t="shared" si="0"/>
        <v>44986</v>
      </c>
      <c r="K9" s="25">
        <f t="shared" si="0"/>
        <v>45352</v>
      </c>
      <c r="L9" s="25">
        <f t="shared" si="0"/>
        <v>45717</v>
      </c>
      <c r="M9" s="25">
        <f t="shared" si="0"/>
        <v>46082</v>
      </c>
      <c r="N9" s="25">
        <f t="shared" si="0"/>
        <v>46447</v>
      </c>
      <c r="O9" s="5"/>
      <c r="P9" s="5"/>
      <c r="Q9" s="5"/>
      <c r="R9" s="5"/>
      <c r="S9" s="5"/>
      <c r="T9" s="5"/>
      <c r="U9" s="5"/>
      <c r="V9" s="5"/>
      <c r="W9" s="5"/>
      <c r="X9" s="5"/>
      <c r="Y9" s="5"/>
      <c r="Z9" s="5"/>
    </row>
    <row r="10" spans="1:26">
      <c r="B10" s="70" t="s">
        <v>107</v>
      </c>
      <c r="C10" s="70"/>
      <c r="D10" s="70"/>
      <c r="E10" s="70"/>
      <c r="F10" s="70"/>
      <c r="G10" s="70"/>
      <c r="H10" s="70"/>
      <c r="I10" s="71"/>
      <c r="J10" s="66" t="s">
        <v>108</v>
      </c>
      <c r="K10" s="72" t="s">
        <v>109</v>
      </c>
      <c r="L10" s="72"/>
      <c r="M10" s="72"/>
      <c r="N10" s="73"/>
    </row>
    <row r="11" spans="1:26">
      <c r="A11" s="5" t="s">
        <v>110</v>
      </c>
      <c r="B11" s="5">
        <v>106.8</v>
      </c>
      <c r="C11" s="5">
        <v>108.2</v>
      </c>
      <c r="D11" s="5">
        <v>110.5</v>
      </c>
      <c r="E11" s="5">
        <v>112.6</v>
      </c>
      <c r="F11" s="5">
        <v>114.1</v>
      </c>
      <c r="G11" s="5">
        <v>116.6</v>
      </c>
      <c r="H11" s="5">
        <v>117.9</v>
      </c>
      <c r="I11" s="5">
        <v>123.9</v>
      </c>
      <c r="J11" s="65" t="s">
        <v>93</v>
      </c>
      <c r="K11" s="65" t="s">
        <v>93</v>
      </c>
      <c r="L11" s="65" t="s">
        <v>93</v>
      </c>
      <c r="M11" s="65" t="s">
        <v>93</v>
      </c>
      <c r="N11" s="65" t="s">
        <v>93</v>
      </c>
      <c r="O11" s="5"/>
      <c r="P11" s="5"/>
      <c r="Q11" s="5"/>
      <c r="R11" s="5"/>
      <c r="S11" s="5"/>
      <c r="T11" s="5"/>
      <c r="U11" s="5"/>
      <c r="V11" s="5"/>
      <c r="W11" s="5"/>
      <c r="X11" s="5"/>
      <c r="Y11" s="5"/>
      <c r="Z11" s="5"/>
    </row>
    <row r="12" spans="1:26">
      <c r="A12" s="5" t="s">
        <v>111</v>
      </c>
      <c r="B12" s="8"/>
      <c r="C12" s="61">
        <f t="shared" ref="C12:I12" si="1">C11/B11-1</f>
        <v>1.3108614232209881E-2</v>
      </c>
      <c r="D12" s="61">
        <f t="shared" si="1"/>
        <v>2.1256931608133023E-2</v>
      </c>
      <c r="E12" s="61">
        <f t="shared" si="1"/>
        <v>1.9004524886877761E-2</v>
      </c>
      <c r="F12" s="61">
        <f t="shared" si="1"/>
        <v>1.3321492007104752E-2</v>
      </c>
      <c r="G12" s="61">
        <f t="shared" si="1"/>
        <v>2.1910604732690686E-2</v>
      </c>
      <c r="H12" s="61">
        <f t="shared" si="1"/>
        <v>1.1149228130360234E-2</v>
      </c>
      <c r="I12" s="61">
        <f t="shared" si="1"/>
        <v>5.0890585241730291E-2</v>
      </c>
      <c r="J12" s="62">
        <v>4.4999999999999998E-2</v>
      </c>
      <c r="K12" s="62">
        <v>0.04</v>
      </c>
      <c r="L12" s="62">
        <v>3.5000000000000003E-2</v>
      </c>
      <c r="M12" s="62">
        <v>3.0000000000000002E-2</v>
      </c>
      <c r="N12" s="62">
        <v>2.5000000000000001E-2</v>
      </c>
    </row>
    <row r="13" spans="1:26">
      <c r="A13" s="5" t="s">
        <v>112</v>
      </c>
      <c r="B13" s="6">
        <f t="shared" ref="B13:G14" si="2">C13*(1+C$12)</f>
        <v>1.1601123595505622</v>
      </c>
      <c r="C13" s="6">
        <f t="shared" si="2"/>
        <v>1.1451016635859521</v>
      </c>
      <c r="D13" s="6">
        <f t="shared" si="2"/>
        <v>1.1212669683257921</v>
      </c>
      <c r="E13" s="6">
        <f t="shared" si="2"/>
        <v>1.1003552397868563</v>
      </c>
      <c r="F13" s="6">
        <f t="shared" si="2"/>
        <v>1.0858895705521474</v>
      </c>
      <c r="G13" s="6">
        <f t="shared" si="2"/>
        <v>1.0626072041166381</v>
      </c>
      <c r="H13" s="6">
        <f>I13*(1+I$12)</f>
        <v>1.0508905852417303</v>
      </c>
      <c r="I13" s="5">
        <v>1</v>
      </c>
      <c r="J13" s="6">
        <f t="shared" ref="J13:N14" si="3">I13/(1+J$12)</f>
        <v>0.95693779904306231</v>
      </c>
      <c r="K13" s="6">
        <f t="shared" si="3"/>
        <v>0.92013249907986761</v>
      </c>
      <c r="L13" s="6">
        <f t="shared" si="3"/>
        <v>0.88901690732354366</v>
      </c>
      <c r="M13" s="6">
        <f t="shared" si="3"/>
        <v>0.86312321099373168</v>
      </c>
      <c r="N13" s="6">
        <f t="shared" si="3"/>
        <v>0.84207142535973833</v>
      </c>
    </row>
    <row r="14" spans="1:26">
      <c r="A14" s="5" t="s">
        <v>113</v>
      </c>
      <c r="B14" s="6">
        <f t="shared" si="2"/>
        <v>1.0346441947565543</v>
      </c>
      <c r="C14" s="6">
        <f t="shared" si="2"/>
        <v>1.021256931608133</v>
      </c>
      <c r="D14" s="5">
        <v>1</v>
      </c>
      <c r="E14" s="6">
        <f>D14/(1+E$12)</f>
        <v>0.98134991119005333</v>
      </c>
      <c r="F14" s="6">
        <f>E14/(1+F$12)</f>
        <v>0.96844872918492564</v>
      </c>
      <c r="G14" s="6">
        <f>F14/(1+G$12)</f>
        <v>0.94768439108061753</v>
      </c>
      <c r="H14" s="6">
        <f>G14/(1+H$12)</f>
        <v>0.93723494486853265</v>
      </c>
      <c r="I14" s="6">
        <f>H14/(1+I$12)</f>
        <v>0.89184826472962064</v>
      </c>
      <c r="J14" s="6">
        <f t="shared" si="3"/>
        <v>0.85344331553073749</v>
      </c>
      <c r="K14" s="6">
        <f t="shared" si="3"/>
        <v>0.82061857262570914</v>
      </c>
      <c r="L14" s="6">
        <f t="shared" si="3"/>
        <v>0.79286818611179632</v>
      </c>
      <c r="M14" s="6">
        <f t="shared" si="3"/>
        <v>0.76977493797261776</v>
      </c>
      <c r="N14" s="6">
        <f t="shared" si="3"/>
        <v>0.75099993948548083</v>
      </c>
    </row>
    <row r="15" spans="1:26">
      <c r="A15" s="5" t="s">
        <v>114</v>
      </c>
      <c r="B15" s="5"/>
      <c r="C15" s="5">
        <v>1</v>
      </c>
      <c r="D15" s="5">
        <f>C15*(1+D12)</f>
        <v>1.021256931608133</v>
      </c>
      <c r="E15" s="5">
        <f t="shared" ref="E15:N15" si="4">D15*(1+E12)</f>
        <v>1.0406654343807762</v>
      </c>
      <c r="F15" s="5">
        <f t="shared" si="4"/>
        <v>1.0545286506469498</v>
      </c>
      <c r="G15" s="5">
        <f t="shared" si="4"/>
        <v>1.0776340110905727</v>
      </c>
      <c r="H15" s="5">
        <f t="shared" si="4"/>
        <v>1.0896487985212566</v>
      </c>
      <c r="I15" s="5">
        <f t="shared" si="4"/>
        <v>1.1451016635859517</v>
      </c>
      <c r="J15" s="5">
        <f t="shared" si="4"/>
        <v>1.1966312384473194</v>
      </c>
      <c r="K15" s="5">
        <f t="shared" si="4"/>
        <v>1.2444964879852123</v>
      </c>
      <c r="L15" s="5">
        <f t="shared" si="4"/>
        <v>1.2880538650646947</v>
      </c>
      <c r="M15" s="5">
        <f t="shared" si="4"/>
        <v>1.3266954810166356</v>
      </c>
      <c r="N15" s="5">
        <f t="shared" si="4"/>
        <v>1.3598628680420513</v>
      </c>
    </row>
    <row r="19" spans="1:14" ht="16.5">
      <c r="A19" s="4" t="s">
        <v>115</v>
      </c>
      <c r="B19" s="4" t="s">
        <v>116</v>
      </c>
      <c r="C19" s="4" t="s">
        <v>117</v>
      </c>
      <c r="D19" s="4"/>
      <c r="E19" s="4"/>
      <c r="F19" s="4"/>
      <c r="G19" s="4"/>
      <c r="H19" s="4"/>
      <c r="I19" s="4"/>
      <c r="J19" s="4"/>
      <c r="K19" s="4"/>
      <c r="L19" s="4"/>
      <c r="M19" s="4"/>
      <c r="N19" s="4"/>
    </row>
    <row r="20" spans="1:14">
      <c r="A20" s="5" t="s">
        <v>36</v>
      </c>
      <c r="B20" s="5" t="s">
        <v>25</v>
      </c>
      <c r="C20" s="5" t="str">
        <f>A20</f>
        <v>Switchyard</v>
      </c>
    </row>
    <row r="21" spans="1:14">
      <c r="A21" s="5" t="s">
        <v>70</v>
      </c>
      <c r="B21" s="5" t="s">
        <v>95</v>
      </c>
      <c r="C21" s="5" t="s">
        <v>28</v>
      </c>
    </row>
    <row r="22" spans="1:14">
      <c r="A22" s="5" t="s">
        <v>118</v>
      </c>
      <c r="B22" s="5" t="s">
        <v>96</v>
      </c>
      <c r="C22" s="5" t="str">
        <f>A22</f>
        <v>Easements</v>
      </c>
    </row>
    <row r="23" spans="1:14">
      <c r="A23" s="5" t="str">
        <f>'1.2 AER Forecast'!C10</f>
        <v>Ancillary 15 - control systems</v>
      </c>
      <c r="B23" s="5" t="s">
        <v>40</v>
      </c>
      <c r="C23" s="5" t="s">
        <v>119</v>
      </c>
    </row>
    <row r="24" spans="1:14">
      <c r="A24" s="5" t="s">
        <v>30</v>
      </c>
      <c r="C24" s="5" t="s">
        <v>120</v>
      </c>
    </row>
    <row r="25" spans="1:14">
      <c r="A25" s="5" t="s">
        <v>84</v>
      </c>
      <c r="C25" s="5" t="s">
        <v>46</v>
      </c>
    </row>
    <row r="26" spans="1:14">
      <c r="A26" s="5" t="s">
        <v>24</v>
      </c>
      <c r="C26" s="5" t="s">
        <v>24</v>
      </c>
    </row>
    <row r="27" spans="1:14">
      <c r="A27" s="5" t="s">
        <v>121</v>
      </c>
      <c r="C27" s="48" t="s">
        <v>56</v>
      </c>
    </row>
    <row r="28" spans="1:14">
      <c r="A28" s="5">
        <v>0</v>
      </c>
      <c r="C28" s="48" t="s">
        <v>122</v>
      </c>
    </row>
    <row r="29" spans="1:14">
      <c r="A29" s="5">
        <v>0</v>
      </c>
    </row>
    <row r="30" spans="1:14">
      <c r="A30" s="5">
        <v>0</v>
      </c>
    </row>
    <row r="31" spans="1:14">
      <c r="A31" s="5">
        <v>0</v>
      </c>
    </row>
  </sheetData>
  <mergeCells count="2">
    <mergeCell ref="B10:I10"/>
    <mergeCell ref="K10:N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L81"/>
  <sheetViews>
    <sheetView workbookViewId="0">
      <selection activeCell="C83" sqref="C83"/>
    </sheetView>
  </sheetViews>
  <sheetFormatPr defaultRowHeight="15"/>
  <cols>
    <col min="1" max="1" width="43.75" customWidth="1"/>
    <col min="2" max="2" width="9.875" customWidth="1"/>
    <col min="3" max="3" width="28.375" customWidth="1"/>
    <col min="4" max="4" width="26.75" customWidth="1"/>
    <col min="5" max="5" width="10.375" customWidth="1"/>
    <col min="6" max="7" width="11.375" customWidth="1"/>
    <col min="8" max="8" width="10.375" customWidth="1"/>
    <col min="9" max="9" width="9.375" customWidth="1"/>
    <col min="10" max="10" width="11.375" customWidth="1"/>
  </cols>
  <sheetData>
    <row r="1" spans="1:12" ht="22.5">
      <c r="A1" s="1"/>
      <c r="B1" s="1"/>
      <c r="C1" s="1"/>
      <c r="D1" s="1"/>
      <c r="E1" s="1"/>
      <c r="F1" s="1"/>
      <c r="G1" s="1"/>
      <c r="H1" s="1"/>
      <c r="I1" s="1"/>
      <c r="J1" s="1"/>
      <c r="K1" s="1"/>
      <c r="L1" s="1"/>
    </row>
    <row r="2" spans="1:12" ht="22.5">
      <c r="A2" s="1"/>
      <c r="B2" s="1"/>
      <c r="C2" s="1"/>
      <c r="D2" s="1"/>
      <c r="E2" s="1"/>
      <c r="F2" s="1"/>
      <c r="G2" s="1"/>
      <c r="H2" s="1"/>
      <c r="I2" s="1"/>
      <c r="J2" s="1"/>
      <c r="K2" s="1"/>
      <c r="L2" s="1"/>
    </row>
    <row r="3" spans="1:12" ht="23.25" thickBot="1">
      <c r="A3" s="1"/>
      <c r="B3" s="1"/>
      <c r="C3" s="1"/>
      <c r="D3" s="1"/>
      <c r="E3" s="1"/>
      <c r="F3" s="1"/>
      <c r="G3" s="1"/>
      <c r="H3" s="1"/>
      <c r="I3" s="1"/>
      <c r="J3" s="1"/>
      <c r="K3" s="1"/>
      <c r="L3" s="1"/>
    </row>
    <row r="4" spans="1:12" ht="24" thickTop="1" thickBot="1">
      <c r="A4" s="1"/>
      <c r="B4" s="1"/>
      <c r="C4" s="1"/>
      <c r="D4" s="1"/>
      <c r="E4" s="37">
        <v>0</v>
      </c>
      <c r="F4" s="37">
        <v>0</v>
      </c>
      <c r="G4" s="37">
        <v>0</v>
      </c>
      <c r="H4" s="37">
        <v>0</v>
      </c>
      <c r="I4" s="37">
        <v>0</v>
      </c>
      <c r="J4" s="1"/>
      <c r="K4" s="1"/>
      <c r="L4" s="1"/>
    </row>
    <row r="5" spans="1:12" ht="23.25" thickTop="1">
      <c r="A5" s="1" t="str">
        <f ca="1">RIGHT(CELL("filename"),LEN(CELL("filename"))-FIND("]",CELL("filename")))</f>
        <v>1.0 Data</v>
      </c>
      <c r="B5" s="1"/>
      <c r="C5" s="1"/>
      <c r="D5" s="1"/>
      <c r="E5" s="27">
        <f>SUM(E9:E19)</f>
        <v>4350.0850952365472</v>
      </c>
      <c r="F5" s="27">
        <f>SUM(F9:F19)</f>
        <v>11988.283039494379</v>
      </c>
      <c r="G5" s="27">
        <f>SUM(G9:G19)</f>
        <v>9666.2934122698407</v>
      </c>
      <c r="H5" s="27">
        <f>SUM(H9:H19)</f>
        <v>2152.7710712130211</v>
      </c>
      <c r="I5" s="27">
        <f>SUM(I9:I19)</f>
        <v>802.39013656838154</v>
      </c>
      <c r="J5" s="1"/>
      <c r="K5" s="1"/>
      <c r="L5" s="1"/>
    </row>
    <row r="6" spans="1:12" ht="19.5">
      <c r="A6" s="2" t="s">
        <v>123</v>
      </c>
      <c r="B6" s="2"/>
      <c r="C6" s="2"/>
      <c r="D6" s="2"/>
      <c r="E6" s="2"/>
      <c r="F6" s="2"/>
      <c r="G6" s="2"/>
      <c r="H6" s="2"/>
      <c r="I6" s="2"/>
      <c r="J6" s="2"/>
      <c r="K6" s="2"/>
      <c r="L6" s="2"/>
    </row>
    <row r="7" spans="1:12" ht="16.5">
      <c r="A7" s="4"/>
      <c r="B7" s="4"/>
      <c r="C7" s="4"/>
      <c r="D7" s="4"/>
      <c r="E7" s="4"/>
      <c r="F7" s="4"/>
      <c r="G7" s="4"/>
      <c r="H7" s="4"/>
      <c r="I7" s="4"/>
      <c r="J7" s="4"/>
      <c r="K7" s="4"/>
      <c r="L7" s="4"/>
    </row>
    <row r="8" spans="1:12">
      <c r="A8" s="3" t="s">
        <v>3</v>
      </c>
      <c r="B8" s="3" t="s">
        <v>4</v>
      </c>
      <c r="C8" s="3" t="s">
        <v>6</v>
      </c>
      <c r="D8" s="3" t="s">
        <v>7</v>
      </c>
      <c r="E8" s="3" t="str">
        <f>'1.0 Data'!H8</f>
        <v>2018/19</v>
      </c>
      <c r="F8" s="3" t="str">
        <f>'1.0 Data'!I8</f>
        <v>2019/20</v>
      </c>
      <c r="G8" s="3" t="str">
        <f>'1.0 Data'!J8</f>
        <v>2020/21</v>
      </c>
      <c r="H8" s="3" t="str">
        <f>'1.0 Data'!K8</f>
        <v>2021/22</v>
      </c>
      <c r="I8" s="3" t="str">
        <f>'1.0 Data'!L8</f>
        <v>2022/23</v>
      </c>
      <c r="J8" s="3" t="s">
        <v>15</v>
      </c>
      <c r="K8" s="3"/>
      <c r="L8" s="3"/>
    </row>
    <row r="9" spans="1:12">
      <c r="A9" s="5" t="s">
        <v>69</v>
      </c>
      <c r="B9" s="5" t="s">
        <v>105</v>
      </c>
      <c r="C9" s="5" t="s">
        <v>70</v>
      </c>
      <c r="D9" s="5" t="s">
        <v>25</v>
      </c>
      <c r="E9" s="5">
        <v>38.438505898336416</v>
      </c>
      <c r="F9" s="5">
        <v>76.877011796672832</v>
      </c>
      <c r="G9" s="5">
        <v>76.877011796672832</v>
      </c>
      <c r="H9" s="5">
        <v>76.877011796672832</v>
      </c>
      <c r="I9" s="5">
        <v>76.877011796672832</v>
      </c>
      <c r="J9" s="46">
        <f t="shared" ref="J9:J19" si="0">SUM(E9:I9)</f>
        <v>345.94655308502774</v>
      </c>
    </row>
    <row r="10" spans="1:12">
      <c r="A10" s="5" t="s">
        <v>32</v>
      </c>
      <c r="B10" s="5" t="s">
        <v>105</v>
      </c>
      <c r="C10" s="5" t="s">
        <v>33</v>
      </c>
      <c r="D10" s="5" t="s">
        <v>25</v>
      </c>
      <c r="E10" s="5">
        <v>3911.7442708752315</v>
      </c>
      <c r="F10" s="5">
        <v>11297.72634312477</v>
      </c>
      <c r="G10" s="5">
        <v>8787.1204890970439</v>
      </c>
      <c r="H10" s="5">
        <v>1255.3029270138632</v>
      </c>
      <c r="I10" s="5">
        <v>0</v>
      </c>
      <c r="J10" s="46">
        <f t="shared" si="0"/>
        <v>25251.894030110911</v>
      </c>
    </row>
    <row r="11" spans="1:12">
      <c r="A11" s="5" t="s">
        <v>44</v>
      </c>
      <c r="B11" s="5" t="s">
        <v>105</v>
      </c>
      <c r="C11" s="5" t="s">
        <v>36</v>
      </c>
      <c r="D11" s="5" t="s">
        <v>25</v>
      </c>
      <c r="E11" s="5">
        <v>164.47028197961498</v>
      </c>
      <c r="F11" s="5">
        <v>246.70542296942321</v>
      </c>
      <c r="G11" s="5">
        <v>168.38624107436812</v>
      </c>
      <c r="H11" s="5">
        <v>172.30220016912082</v>
      </c>
      <c r="I11" s="5">
        <v>172.30220016912088</v>
      </c>
      <c r="J11" s="46">
        <f t="shared" si="0"/>
        <v>924.16634636164804</v>
      </c>
    </row>
    <row r="12" spans="1:12">
      <c r="A12" s="5" t="s">
        <v>124</v>
      </c>
      <c r="B12" s="5" t="s">
        <v>105</v>
      </c>
      <c r="C12" s="5" t="s">
        <v>24</v>
      </c>
      <c r="D12" s="5" t="s">
        <v>25</v>
      </c>
      <c r="E12" s="5">
        <v>87.100975480591501</v>
      </c>
      <c r="F12" s="5">
        <v>146.80633752310538</v>
      </c>
      <c r="G12" s="5">
        <v>103.17923406654344</v>
      </c>
      <c r="H12" s="5">
        <v>29.821899316081332</v>
      </c>
      <c r="I12" s="5">
        <v>327.03254423290201</v>
      </c>
      <c r="J12" s="46">
        <f t="shared" si="0"/>
        <v>693.94099061922361</v>
      </c>
    </row>
    <row r="13" spans="1:12">
      <c r="A13" s="5" t="s">
        <v>63</v>
      </c>
      <c r="B13" s="5" t="s">
        <v>105</v>
      </c>
      <c r="C13" s="5" t="s">
        <v>24</v>
      </c>
      <c r="D13" s="5" t="s">
        <v>25</v>
      </c>
      <c r="E13" s="5">
        <v>0</v>
      </c>
      <c r="F13" s="5">
        <v>0</v>
      </c>
      <c r="G13" s="5">
        <v>292.82261128003699</v>
      </c>
      <c r="H13" s="5">
        <v>292.82261128003699</v>
      </c>
      <c r="I13" s="5">
        <v>0</v>
      </c>
      <c r="J13" s="46">
        <f t="shared" si="0"/>
        <v>585.64522256007399</v>
      </c>
    </row>
    <row r="14" spans="1:12">
      <c r="A14" s="5" t="s">
        <v>59</v>
      </c>
      <c r="B14" s="5" t="s">
        <v>105</v>
      </c>
      <c r="C14" s="5" t="s">
        <v>24</v>
      </c>
      <c r="D14" s="5" t="s">
        <v>25</v>
      </c>
      <c r="E14" s="5">
        <v>79.52258216728282</v>
      </c>
      <c r="F14" s="5">
        <v>79.52258216728282</v>
      </c>
      <c r="G14" s="5">
        <v>0</v>
      </c>
      <c r="H14" s="5">
        <v>0</v>
      </c>
      <c r="I14" s="5">
        <v>0</v>
      </c>
      <c r="J14" s="46">
        <f t="shared" si="0"/>
        <v>159.04516433456564</v>
      </c>
    </row>
    <row r="15" spans="1:12">
      <c r="A15" s="5" t="s">
        <v>125</v>
      </c>
      <c r="B15" s="5" t="s">
        <v>105</v>
      </c>
      <c r="C15" s="5" t="s">
        <v>24</v>
      </c>
      <c r="D15" s="5" t="s">
        <v>25</v>
      </c>
      <c r="E15" s="5">
        <v>0</v>
      </c>
      <c r="F15" s="5">
        <v>0</v>
      </c>
      <c r="G15" s="5">
        <v>0</v>
      </c>
      <c r="H15" s="5">
        <v>0</v>
      </c>
      <c r="I15" s="5">
        <v>0</v>
      </c>
      <c r="J15" s="46">
        <f t="shared" si="0"/>
        <v>0</v>
      </c>
    </row>
    <row r="16" spans="1:12">
      <c r="A16" s="5" t="s">
        <v>77</v>
      </c>
      <c r="B16" s="5" t="s">
        <v>105</v>
      </c>
      <c r="C16" s="5" t="s">
        <v>24</v>
      </c>
      <c r="D16" s="5" t="s">
        <v>25</v>
      </c>
      <c r="E16" s="5">
        <v>0</v>
      </c>
      <c r="F16" s="5">
        <v>0</v>
      </c>
      <c r="G16" s="5">
        <v>71.762483042051755</v>
      </c>
      <c r="H16" s="5">
        <v>71.762483042051755</v>
      </c>
      <c r="I16" s="5">
        <v>0</v>
      </c>
      <c r="J16" s="46">
        <f t="shared" si="0"/>
        <v>143.52496608410351</v>
      </c>
    </row>
    <row r="17" spans="1:12">
      <c r="A17" s="5" t="s">
        <v>126</v>
      </c>
      <c r="B17" s="5" t="s">
        <v>105</v>
      </c>
      <c r="C17" s="5" t="s">
        <v>70</v>
      </c>
      <c r="D17" s="5" t="s">
        <v>25</v>
      </c>
      <c r="E17" s="5">
        <v>0</v>
      </c>
      <c r="F17" s="5">
        <v>0</v>
      </c>
      <c r="G17" s="5">
        <v>0</v>
      </c>
      <c r="H17" s="5">
        <v>70.871985499075791</v>
      </c>
      <c r="I17" s="5">
        <v>70.871985499075791</v>
      </c>
      <c r="J17" s="46">
        <f t="shared" si="0"/>
        <v>141.74397099815158</v>
      </c>
    </row>
    <row r="18" spans="1:12">
      <c r="A18" s="5" t="s">
        <v>57</v>
      </c>
      <c r="B18" s="5" t="s">
        <v>105</v>
      </c>
      <c r="C18" s="5" t="s">
        <v>36</v>
      </c>
      <c r="D18" s="5" t="s">
        <v>25</v>
      </c>
      <c r="E18" s="5">
        <v>58.608478835489834</v>
      </c>
      <c r="F18" s="5">
        <v>104.94534191312385</v>
      </c>
      <c r="G18" s="5">
        <v>104.94534191312385</v>
      </c>
      <c r="H18" s="5">
        <v>101.40995309611831</v>
      </c>
      <c r="I18" s="5">
        <v>99.206394870609984</v>
      </c>
      <c r="J18" s="46">
        <f t="shared" si="0"/>
        <v>469.11551062846587</v>
      </c>
    </row>
    <row r="19" spans="1:12" ht="15.75" thickBot="1">
      <c r="A19" s="5" t="s">
        <v>39</v>
      </c>
      <c r="B19" s="5" t="s">
        <v>8</v>
      </c>
      <c r="C19" s="5" t="s">
        <v>24</v>
      </c>
      <c r="D19" s="5" t="s">
        <v>40</v>
      </c>
      <c r="E19" s="5">
        <v>10.199999999999999</v>
      </c>
      <c r="F19" s="5">
        <v>35.700000000000003</v>
      </c>
      <c r="G19" s="5">
        <v>61.2</v>
      </c>
      <c r="H19" s="5">
        <v>81.599999999999994</v>
      </c>
      <c r="I19" s="5">
        <v>56.1</v>
      </c>
      <c r="J19" s="46">
        <f t="shared" si="0"/>
        <v>244.79999999999998</v>
      </c>
    </row>
    <row r="20" spans="1:12" ht="15.75" thickTop="1">
      <c r="E20" s="27">
        <f t="shared" ref="E20:J20" si="1">SUM(E9:E19)</f>
        <v>4350.0850952365472</v>
      </c>
      <c r="F20" s="27">
        <f t="shared" si="1"/>
        <v>11988.283039494379</v>
      </c>
      <c r="G20" s="27">
        <f t="shared" si="1"/>
        <v>9666.2934122698407</v>
      </c>
      <c r="H20" s="27">
        <f t="shared" si="1"/>
        <v>2152.7710712130211</v>
      </c>
      <c r="I20" s="27">
        <f t="shared" si="1"/>
        <v>802.39013656838154</v>
      </c>
      <c r="J20" s="27">
        <f t="shared" si="1"/>
        <v>28959.82275478217</v>
      </c>
    </row>
    <row r="22" spans="1:12" ht="19.5">
      <c r="A22" s="2" t="s">
        <v>127</v>
      </c>
      <c r="B22" s="2"/>
      <c r="C22" s="2"/>
      <c r="D22" s="2"/>
      <c r="E22" s="2"/>
      <c r="F22" s="2"/>
      <c r="G22" s="2"/>
      <c r="H22" s="2"/>
      <c r="I22" s="2"/>
      <c r="J22" s="2"/>
      <c r="K22" s="2"/>
      <c r="L22" s="2"/>
    </row>
    <row r="23" spans="1:12" ht="16.5">
      <c r="A23" s="4" t="str">
        <f>"Real FY "&amp;B25</f>
        <v>Real FY 2022/23</v>
      </c>
      <c r="B23" s="4"/>
      <c r="C23" s="4"/>
      <c r="D23" s="4"/>
      <c r="E23" s="4"/>
      <c r="F23" s="4"/>
      <c r="G23" s="4"/>
      <c r="H23" s="4"/>
      <c r="I23" s="4"/>
      <c r="J23" s="4"/>
      <c r="K23" s="4"/>
      <c r="L23" s="4"/>
    </row>
    <row r="24" spans="1:12">
      <c r="A24" s="3" t="str">
        <f>A8</f>
        <v>Project</v>
      </c>
      <c r="B24" s="3" t="str">
        <f t="shared" ref="B24:I24" si="2">B8</f>
        <v>$</v>
      </c>
      <c r="C24" s="3" t="str">
        <f t="shared" si="2"/>
        <v>Asset Class</v>
      </c>
      <c r="D24" s="3" t="str">
        <f t="shared" si="2"/>
        <v>Asset Driver</v>
      </c>
      <c r="E24" s="3" t="str">
        <f t="shared" si="2"/>
        <v>2018/19</v>
      </c>
      <c r="F24" s="3" t="str">
        <f t="shared" si="2"/>
        <v>2019/20</v>
      </c>
      <c r="G24" s="3" t="str">
        <f t="shared" si="2"/>
        <v>2020/21</v>
      </c>
      <c r="H24" s="3" t="str">
        <f t="shared" si="2"/>
        <v>2021/22</v>
      </c>
      <c r="I24" s="3" t="str">
        <f t="shared" si="2"/>
        <v>2022/23</v>
      </c>
      <c r="J24" s="3" t="s">
        <v>15</v>
      </c>
    </row>
    <row r="25" spans="1:12">
      <c r="A25" s="33" t="str">
        <f>A9</f>
        <v>Cable relocation</v>
      </c>
      <c r="B25" s="33" t="str">
        <f>'2.0 Capex Real Dollars'!$M$10</f>
        <v>2022/23</v>
      </c>
      <c r="C25" s="33" t="str">
        <f>C9</f>
        <v>Transmission line</v>
      </c>
      <c r="D25" s="33" t="str">
        <f>D9</f>
        <v>Replacement expenditure</v>
      </c>
      <c r="E25" s="6">
        <f>E9*'1.1 Input'!$B$13</f>
        <v>44.592985775317267</v>
      </c>
      <c r="F25" s="6">
        <f>F9*'1.1 Input'!$B$13</f>
        <v>89.185971550634534</v>
      </c>
      <c r="G25" s="6">
        <f>G9*'1.1 Input'!$B$13</f>
        <v>89.185971550634534</v>
      </c>
      <c r="H25" s="6">
        <f>H9*'1.1 Input'!$B$13</f>
        <v>89.185971550634534</v>
      </c>
      <c r="I25" s="6">
        <f>I9*'1.1 Input'!$B$13</f>
        <v>89.185971550634534</v>
      </c>
      <c r="J25" s="46">
        <f t="shared" ref="J25:J35" si="3">SUM(E25:I25)</f>
        <v>401.33687197785537</v>
      </c>
    </row>
    <row r="26" spans="1:12">
      <c r="A26" s="33" t="str">
        <f t="shared" ref="A26:A35" si="4">A10</f>
        <v>Replacement of Control System</v>
      </c>
      <c r="B26" s="33" t="str">
        <f>'2.0 Capex Real Dollars'!$M$10</f>
        <v>2022/23</v>
      </c>
      <c r="C26" s="33" t="str">
        <f t="shared" ref="C26:D35" si="5">C10</f>
        <v>Ancillary 15 - control systems</v>
      </c>
      <c r="D26" s="33" t="str">
        <f t="shared" si="5"/>
        <v>Replacement expenditure</v>
      </c>
      <c r="E26" s="6">
        <f>E10*'1.1 Input'!$B$13</f>
        <v>4538.0628760434583</v>
      </c>
      <c r="F26" s="6">
        <f>F10*'1.1 Input'!$B$13</f>
        <v>13106.631965479022</v>
      </c>
      <c r="G26" s="6">
        <f>G10*'1.1 Input'!$B$13</f>
        <v>10194.047084261461</v>
      </c>
      <c r="H26" s="6">
        <f>H10*'1.1 Input'!$B$13</f>
        <v>1456.29244060878</v>
      </c>
      <c r="I26" s="6">
        <f>I10*'1.1 Input'!$B$13</f>
        <v>0</v>
      </c>
      <c r="J26" s="46">
        <f t="shared" si="3"/>
        <v>29295.034366392723</v>
      </c>
    </row>
    <row r="27" spans="1:12">
      <c r="A27" s="33" t="str">
        <f t="shared" si="4"/>
        <v>IGBTs</v>
      </c>
      <c r="B27" s="33" t="str">
        <f>'2.0 Capex Real Dollars'!$M$10</f>
        <v>2022/23</v>
      </c>
      <c r="C27" s="33" t="str">
        <f t="shared" si="5"/>
        <v>Switchyard</v>
      </c>
      <c r="D27" s="33" t="str">
        <f t="shared" si="5"/>
        <v>Replacement expenditure</v>
      </c>
      <c r="E27" s="6">
        <f>E11*'1.1 Input'!$B$13</f>
        <v>190.80400690331746</v>
      </c>
      <c r="F27" s="6">
        <f>F11*'1.1 Input'!$B$13</f>
        <v>286.20601035497702</v>
      </c>
      <c r="G27" s="6">
        <f>G11*'1.1 Input'!$B$13</f>
        <v>195.346959448635</v>
      </c>
      <c r="H27" s="6">
        <f>H11*'1.1 Input'!$B$13</f>
        <v>199.88991199395204</v>
      </c>
      <c r="I27" s="6">
        <f>I11*'1.1 Input'!$B$13</f>
        <v>199.8899119939521</v>
      </c>
      <c r="J27" s="46">
        <f t="shared" si="3"/>
        <v>1072.1368006948337</v>
      </c>
    </row>
    <row r="28" spans="1:12">
      <c r="A28" s="33" t="str">
        <f t="shared" si="4"/>
        <v>Other minor capital works</v>
      </c>
      <c r="B28" s="33" t="str">
        <f>'2.0 Capex Real Dollars'!$M$10</f>
        <v>2022/23</v>
      </c>
      <c r="C28" s="33" t="str">
        <f t="shared" si="5"/>
        <v>Other operating assets</v>
      </c>
      <c r="D28" s="33" t="str">
        <f t="shared" si="5"/>
        <v>Replacement expenditure</v>
      </c>
      <c r="E28" s="6">
        <f>E12*'1.1 Input'!$B$13</f>
        <v>101.04691818394467</v>
      </c>
      <c r="F28" s="6">
        <f>F12*'1.1 Input'!$B$13</f>
        <v>170.31184662090604</v>
      </c>
      <c r="G28" s="6">
        <f>G12*'1.1 Input'!$B$13</f>
        <v>119.69950468955747</v>
      </c>
      <c r="H28" s="6">
        <f>H12*'1.1 Input'!$B$13</f>
        <v>34.596753981858413</v>
      </c>
      <c r="I28" s="6">
        <f>I12*'1.1 Input'!$B$13</f>
        <v>379.3944965398556</v>
      </c>
      <c r="J28" s="46">
        <f t="shared" si="3"/>
        <v>805.04952001612219</v>
      </c>
    </row>
    <row r="29" spans="1:12">
      <c r="A29" s="33" t="str">
        <f t="shared" si="4"/>
        <v>VSD Refurbishment</v>
      </c>
      <c r="B29" s="33" t="str">
        <f>'2.0 Capex Real Dollars'!$M$10</f>
        <v>2022/23</v>
      </c>
      <c r="C29" s="33" t="str">
        <f t="shared" si="5"/>
        <v>Other operating assets</v>
      </c>
      <c r="D29" s="33" t="str">
        <f t="shared" si="5"/>
        <v>Replacement expenditure</v>
      </c>
      <c r="E29" s="6">
        <f>E13*'1.1 Input'!$B$13</f>
        <v>0</v>
      </c>
      <c r="F29" s="6">
        <f>F13*'1.1 Input'!$B$13</f>
        <v>0</v>
      </c>
      <c r="G29" s="6">
        <f>G13*'1.1 Input'!$B$13</f>
        <v>339.70713050184082</v>
      </c>
      <c r="H29" s="6">
        <f>H13*'1.1 Input'!$B$13</f>
        <v>339.70713050184082</v>
      </c>
      <c r="I29" s="6">
        <f>I13*'1.1 Input'!$B$13</f>
        <v>0</v>
      </c>
      <c r="J29" s="46">
        <f t="shared" si="3"/>
        <v>679.41426100368164</v>
      </c>
    </row>
    <row r="30" spans="1:12">
      <c r="A30" s="33" t="str">
        <f t="shared" si="4"/>
        <v>Coms Site Huts x 2</v>
      </c>
      <c r="B30" s="33" t="str">
        <f>'2.0 Capex Real Dollars'!$M$10</f>
        <v>2022/23</v>
      </c>
      <c r="C30" s="33" t="str">
        <f t="shared" si="5"/>
        <v>Other operating assets</v>
      </c>
      <c r="D30" s="33" t="str">
        <f t="shared" si="5"/>
        <v>Replacement expenditure</v>
      </c>
      <c r="E30" s="6">
        <f>E14*'1.1 Input'!$B$13</f>
        <v>92.255130435639941</v>
      </c>
      <c r="F30" s="6">
        <f>F14*'1.1 Input'!$B$13</f>
        <v>92.255130435639941</v>
      </c>
      <c r="G30" s="6">
        <f>G14*'1.1 Input'!$B$13</f>
        <v>0</v>
      </c>
      <c r="H30" s="6">
        <f>H14*'1.1 Input'!$B$13</f>
        <v>0</v>
      </c>
      <c r="I30" s="6">
        <f>I14*'1.1 Input'!$B$13</f>
        <v>0</v>
      </c>
      <c r="J30" s="46">
        <f t="shared" si="3"/>
        <v>184.51026087127988</v>
      </c>
    </row>
    <row r="31" spans="1:12">
      <c r="A31" s="33" t="str">
        <f t="shared" si="4"/>
        <v>Maintenance surveillance cameras</v>
      </c>
      <c r="B31" s="33" t="str">
        <f>'2.0 Capex Real Dollars'!$M$10</f>
        <v>2022/23</v>
      </c>
      <c r="C31" s="33" t="str">
        <f t="shared" si="5"/>
        <v>Other operating assets</v>
      </c>
      <c r="D31" s="33" t="str">
        <f t="shared" si="5"/>
        <v>Replacement expenditure</v>
      </c>
      <c r="E31" s="6">
        <f>E15*'1.1 Input'!$B$13</f>
        <v>0</v>
      </c>
      <c r="F31" s="6">
        <f>F15*'1.1 Input'!$B$13</f>
        <v>0</v>
      </c>
      <c r="G31" s="6">
        <f>G15*'1.1 Input'!$B$13</f>
        <v>0</v>
      </c>
      <c r="H31" s="6">
        <f>H15*'1.1 Input'!$B$13</f>
        <v>0</v>
      </c>
      <c r="I31" s="6">
        <f>I15*'1.1 Input'!$B$13</f>
        <v>0</v>
      </c>
      <c r="J31" s="46">
        <f t="shared" si="3"/>
        <v>0</v>
      </c>
    </row>
    <row r="32" spans="1:12">
      <c r="A32" s="33" t="str">
        <f t="shared" si="4"/>
        <v>battery chargers</v>
      </c>
      <c r="B32" s="33" t="str">
        <f>'2.0 Capex Real Dollars'!$M$10</f>
        <v>2022/23</v>
      </c>
      <c r="C32" s="33" t="str">
        <f t="shared" si="5"/>
        <v>Other operating assets</v>
      </c>
      <c r="D32" s="33" t="str">
        <f t="shared" si="5"/>
        <v>Replacement expenditure</v>
      </c>
      <c r="E32" s="6">
        <f>E16*'1.1 Input'!$B$13</f>
        <v>0</v>
      </c>
      <c r="F32" s="6">
        <f>F16*'1.1 Input'!$B$13</f>
        <v>0</v>
      </c>
      <c r="G32" s="6">
        <f>G16*'1.1 Input'!$B$13</f>
        <v>83.252543529121866</v>
      </c>
      <c r="H32" s="6">
        <f>H16*'1.1 Input'!$B$13</f>
        <v>83.252543529121866</v>
      </c>
      <c r="I32" s="6">
        <f>I16*'1.1 Input'!$B$13</f>
        <v>0</v>
      </c>
      <c r="J32" s="46">
        <f t="shared" si="3"/>
        <v>166.50508705824373</v>
      </c>
    </row>
    <row r="33" spans="1:12">
      <c r="A33" s="33" t="str">
        <f t="shared" si="4"/>
        <v>cable fault location relays (WAP)</v>
      </c>
      <c r="B33" s="33" t="str">
        <f>'2.0 Capex Real Dollars'!$M$10</f>
        <v>2022/23</v>
      </c>
      <c r="C33" s="33" t="str">
        <f t="shared" si="5"/>
        <v>Transmission line</v>
      </c>
      <c r="D33" s="33" t="str">
        <f t="shared" si="5"/>
        <v>Replacement expenditure</v>
      </c>
      <c r="E33" s="6">
        <f>E17*'1.1 Input'!$B$13</f>
        <v>0</v>
      </c>
      <c r="F33" s="6">
        <f>F17*'1.1 Input'!$B$13</f>
        <v>0</v>
      </c>
      <c r="G33" s="6">
        <f>G17*'1.1 Input'!$B$13</f>
        <v>0</v>
      </c>
      <c r="H33" s="6">
        <f>H17*'1.1 Input'!$B$13</f>
        <v>82.219466323366049</v>
      </c>
      <c r="I33" s="6">
        <f>I17*'1.1 Input'!$B$13</f>
        <v>82.219466323366049</v>
      </c>
      <c r="J33" s="46">
        <f t="shared" si="3"/>
        <v>164.4389326467321</v>
      </c>
    </row>
    <row r="34" spans="1:12">
      <c r="A34" s="33" t="str">
        <f t="shared" si="4"/>
        <v>Capacitors</v>
      </c>
      <c r="B34" s="33" t="str">
        <f>'2.0 Capex Real Dollars'!$M$10</f>
        <v>2022/23</v>
      </c>
      <c r="C34" s="33" t="str">
        <f t="shared" si="5"/>
        <v>Switchyard</v>
      </c>
      <c r="D34" s="33" t="str">
        <f t="shared" si="5"/>
        <v>Replacement expenditure</v>
      </c>
      <c r="E34" s="6">
        <f>E18*'1.1 Input'!$B$13</f>
        <v>67.992420671509294</v>
      </c>
      <c r="F34" s="6">
        <f>F18*'1.1 Input'!$B$13</f>
        <v>121.74838823067464</v>
      </c>
      <c r="G34" s="6">
        <f>G18*'1.1 Input'!$B$13</f>
        <v>121.74838823067464</v>
      </c>
      <c r="H34" s="6">
        <f>H18*'1.1 Input'!$B$13</f>
        <v>117.64693996824967</v>
      </c>
      <c r="I34" s="6">
        <f>I18*'1.1 Input'!$B$13</f>
        <v>115.09056483584814</v>
      </c>
      <c r="J34" s="46">
        <f t="shared" si="3"/>
        <v>544.22670193695637</v>
      </c>
    </row>
    <row r="35" spans="1:12" ht="15.75" thickBot="1">
      <c r="A35" s="33" t="str">
        <f t="shared" si="4"/>
        <v>Revenue Determination</v>
      </c>
      <c r="B35" s="33" t="str">
        <f>'2.0 Capex Real Dollars'!$M$10</f>
        <v>2022/23</v>
      </c>
      <c r="C35" s="33" t="str">
        <f t="shared" si="5"/>
        <v>Other operating assets</v>
      </c>
      <c r="D35" s="33" t="str">
        <f t="shared" si="5"/>
        <v>Non-network</v>
      </c>
      <c r="E35" s="6">
        <f>E19*'1.1 Input'!$B$13</f>
        <v>11.833146067415734</v>
      </c>
      <c r="F35" s="6">
        <f>F19*'1.1 Input'!$B$13</f>
        <v>41.416011235955075</v>
      </c>
      <c r="G35" s="6">
        <f>G19*'1.1 Input'!$B$13</f>
        <v>70.998876404494411</v>
      </c>
      <c r="H35" s="6">
        <f>H19*'1.1 Input'!$B$13</f>
        <v>94.665168539325876</v>
      </c>
      <c r="I35" s="6">
        <f>I19*'1.1 Input'!$B$13</f>
        <v>65.082303370786548</v>
      </c>
      <c r="J35" s="46">
        <f t="shared" si="3"/>
        <v>283.99550561797764</v>
      </c>
    </row>
    <row r="36" spans="1:12" ht="15.75" thickTop="1">
      <c r="A36" s="22" t="s">
        <v>15</v>
      </c>
      <c r="B36" s="22" t="str">
        <f>B35</f>
        <v>2022/23</v>
      </c>
      <c r="E36" s="27">
        <f t="shared" ref="E36:J36" si="6">SUM(E25:E35)</f>
        <v>5046.5874840806027</v>
      </c>
      <c r="F36" s="27">
        <f t="shared" si="6"/>
        <v>13907.75532390781</v>
      </c>
      <c r="G36" s="27">
        <f t="shared" si="6"/>
        <v>11213.98645861642</v>
      </c>
      <c r="H36" s="27">
        <f t="shared" si="6"/>
        <v>2497.4563269971291</v>
      </c>
      <c r="I36" s="27">
        <f t="shared" si="6"/>
        <v>930.86271461444301</v>
      </c>
      <c r="J36" s="27">
        <f t="shared" si="6"/>
        <v>33596.648308216405</v>
      </c>
    </row>
    <row r="39" spans="1:12" ht="19.5">
      <c r="A39" s="2" t="s">
        <v>127</v>
      </c>
      <c r="B39" s="2"/>
      <c r="C39" s="2"/>
      <c r="D39" s="2"/>
      <c r="E39" s="2"/>
      <c r="F39" s="2"/>
      <c r="G39" s="2"/>
      <c r="H39" s="2"/>
      <c r="I39" s="2"/>
      <c r="J39" s="2"/>
      <c r="K39" s="2"/>
      <c r="L39" s="2"/>
    </row>
    <row r="40" spans="1:12" ht="16.5">
      <c r="A40" s="26" t="str">
        <f>B42</f>
        <v>nominal</v>
      </c>
      <c r="B40" s="4"/>
      <c r="C40" s="4"/>
      <c r="D40" s="4"/>
      <c r="E40" s="4"/>
      <c r="F40" s="4"/>
      <c r="G40" s="4"/>
      <c r="H40" s="4"/>
      <c r="I40" s="4"/>
      <c r="J40" s="4"/>
      <c r="K40" s="4"/>
      <c r="L40" s="4"/>
    </row>
    <row r="41" spans="1:12">
      <c r="A41" s="3" t="str">
        <f>A24</f>
        <v>Project</v>
      </c>
      <c r="B41" s="3" t="str">
        <f t="shared" ref="B41:J41" si="7">B24</f>
        <v>$</v>
      </c>
      <c r="C41" s="3" t="str">
        <f t="shared" si="7"/>
        <v>Asset Class</v>
      </c>
      <c r="D41" s="3" t="str">
        <f t="shared" si="7"/>
        <v>Asset Driver</v>
      </c>
      <c r="E41" s="3" t="str">
        <f t="shared" si="7"/>
        <v>2018/19</v>
      </c>
      <c r="F41" s="3" t="str">
        <f t="shared" si="7"/>
        <v>2019/20</v>
      </c>
      <c r="G41" s="3" t="str">
        <f t="shared" si="7"/>
        <v>2020/21</v>
      </c>
      <c r="H41" s="3" t="str">
        <f t="shared" si="7"/>
        <v>2021/22</v>
      </c>
      <c r="I41" s="3" t="str">
        <f t="shared" si="7"/>
        <v>2022/23</v>
      </c>
      <c r="J41" s="3" t="str">
        <f t="shared" si="7"/>
        <v>Total</v>
      </c>
    </row>
    <row r="42" spans="1:12">
      <c r="A42" s="33" t="str">
        <f>A25</f>
        <v>Cable relocation</v>
      </c>
      <c r="B42" s="5" t="s">
        <v>23</v>
      </c>
      <c r="C42" s="33" t="str">
        <f t="shared" ref="C42:D52" si="8">C25</f>
        <v>Transmission line</v>
      </c>
      <c r="D42" s="33" t="str">
        <f t="shared" si="8"/>
        <v>Replacement expenditure</v>
      </c>
      <c r="E42" s="6">
        <f>E25/'1.1 Input'!E$13</f>
        <v>40.525990301055067</v>
      </c>
      <c r="F42" s="6">
        <f>F25/'1.1 Input'!F$13</f>
        <v>82.131713913861162</v>
      </c>
      <c r="G42" s="6">
        <f>G25/'1.1 Input'!G$13</f>
        <v>83.931269433446218</v>
      </c>
      <c r="H42" s="6">
        <f>H25/'1.1 Input'!H$13</f>
        <v>84.867038303630437</v>
      </c>
      <c r="I42" s="6">
        <f>I25/'1.1 Input'!I$13</f>
        <v>89.185971550634534</v>
      </c>
      <c r="J42" s="46">
        <f>SUM(E42:I42)</f>
        <v>380.6419835026274</v>
      </c>
    </row>
    <row r="43" spans="1:12">
      <c r="A43" s="33" t="str">
        <f t="shared" ref="A43:A52" si="9">A26</f>
        <v>Replacement of Control System</v>
      </c>
      <c r="B43" s="5" t="s">
        <v>23</v>
      </c>
      <c r="C43" s="33" t="str">
        <f t="shared" si="8"/>
        <v>Ancillary 15 - control systems</v>
      </c>
      <c r="D43" s="33" t="str">
        <f t="shared" si="8"/>
        <v>Replacement expenditure</v>
      </c>
      <c r="E43" s="6">
        <f>E26/'1.1 Input'!E$13</f>
        <v>4124.179821166209</v>
      </c>
      <c r="F43" s="6">
        <f>F26/'1.1 Input'!F$13</f>
        <v>12069.949211147346</v>
      </c>
      <c r="G43" s="6">
        <f>G26/'1.1 Input'!G$13</f>
        <v>9593.4292980216815</v>
      </c>
      <c r="H43" s="6">
        <f>H26/'1.1 Input'!H$13</f>
        <v>1385.7698042596865</v>
      </c>
      <c r="I43" s="6">
        <f>I26/'1.1 Input'!I$13</f>
        <v>0</v>
      </c>
      <c r="J43" s="46">
        <f t="shared" ref="J43:J52" si="10">SUM(E43:I43)</f>
        <v>27173.328134594922</v>
      </c>
    </row>
    <row r="44" spans="1:12">
      <c r="A44" s="33" t="str">
        <f t="shared" si="9"/>
        <v>IGBTs</v>
      </c>
      <c r="B44" s="5" t="s">
        <v>23</v>
      </c>
      <c r="C44" s="33" t="str">
        <f t="shared" si="8"/>
        <v>Switchyard</v>
      </c>
      <c r="D44" s="33" t="str">
        <f t="shared" si="8"/>
        <v>Replacement expenditure</v>
      </c>
      <c r="E44" s="6">
        <f>E27/'1.1 Input'!E$13</f>
        <v>173.40218867888251</v>
      </c>
      <c r="F44" s="6">
        <f>F27/'1.1 Input'!F$13</f>
        <v>263.56824682407483</v>
      </c>
      <c r="G44" s="6">
        <f>G27/'1.1 Input'!G$13</f>
        <v>183.83741300815853</v>
      </c>
      <c r="H44" s="6">
        <f>H27/'1.1 Input'!H$13</f>
        <v>190.21001310804638</v>
      </c>
      <c r="I44" s="6">
        <f>I27/'1.1 Input'!I$13</f>
        <v>199.8899119939521</v>
      </c>
      <c r="J44" s="46">
        <f t="shared" si="10"/>
        <v>1010.9077736131144</v>
      </c>
    </row>
    <row r="45" spans="1:12">
      <c r="A45" s="33" t="str">
        <f t="shared" si="9"/>
        <v>Other minor capital works</v>
      </c>
      <c r="B45" s="5" t="s">
        <v>23</v>
      </c>
      <c r="C45" s="33" t="str">
        <f t="shared" si="8"/>
        <v>Other operating assets</v>
      </c>
      <c r="D45" s="33" t="str">
        <f t="shared" si="8"/>
        <v>Replacement expenditure</v>
      </c>
      <c r="E45" s="6">
        <f>E28/'1.1 Input'!E$13</f>
        <v>91.83117826886334</v>
      </c>
      <c r="F45" s="6">
        <f>F28/'1.1 Input'!F$13</f>
        <v>156.84085310286824</v>
      </c>
      <c r="G45" s="6">
        <f>G28/'1.1 Input'!G$13</f>
        <v>112.64699149961582</v>
      </c>
      <c r="H45" s="6">
        <f>H28/'1.1 Input'!H$13</f>
        <v>32.921366379831369</v>
      </c>
      <c r="I45" s="6">
        <f>I28/'1.1 Input'!I$13</f>
        <v>379.3944965398556</v>
      </c>
      <c r="J45" s="46">
        <f t="shared" si="10"/>
        <v>773.63488579103432</v>
      </c>
    </row>
    <row r="46" spans="1:12">
      <c r="A46" s="33" t="str">
        <f t="shared" si="9"/>
        <v>VSD Refurbishment</v>
      </c>
      <c r="B46" s="5" t="s">
        <v>23</v>
      </c>
      <c r="C46" s="33" t="str">
        <f t="shared" si="8"/>
        <v>Other operating assets</v>
      </c>
      <c r="D46" s="33" t="str">
        <f t="shared" si="8"/>
        <v>Replacement expenditure</v>
      </c>
      <c r="E46" s="6">
        <f>E29/'1.1 Input'!E$13</f>
        <v>0</v>
      </c>
      <c r="F46" s="6">
        <f>F29/'1.1 Input'!F$13</f>
        <v>0</v>
      </c>
      <c r="G46" s="6">
        <f>G29/'1.1 Input'!G$13</f>
        <v>319.6921018282053</v>
      </c>
      <c r="H46" s="6">
        <f>H29/'1.1 Input'!H$13</f>
        <v>323.25642200296232</v>
      </c>
      <c r="I46" s="6">
        <f>I29/'1.1 Input'!I$13</f>
        <v>0</v>
      </c>
      <c r="J46" s="46">
        <f t="shared" si="10"/>
        <v>642.94852383116768</v>
      </c>
    </row>
    <row r="47" spans="1:12">
      <c r="A47" s="33" t="str">
        <f t="shared" si="9"/>
        <v>Coms Site Huts x 2</v>
      </c>
      <c r="B47" s="5" t="s">
        <v>23</v>
      </c>
      <c r="C47" s="33" t="str">
        <f t="shared" si="8"/>
        <v>Other operating assets</v>
      </c>
      <c r="D47" s="33" t="str">
        <f t="shared" si="8"/>
        <v>Replacement expenditure</v>
      </c>
      <c r="E47" s="6">
        <f>E30/'1.1 Input'!E$13</f>
        <v>83.841224270000453</v>
      </c>
      <c r="F47" s="6">
        <f>F30/'1.1 Input'!F$13</f>
        <v>84.958114468979147</v>
      </c>
      <c r="G47" s="6">
        <f>G30/'1.1 Input'!G$13</f>
        <v>0</v>
      </c>
      <c r="H47" s="6">
        <f>H30/'1.1 Input'!H$13</f>
        <v>0</v>
      </c>
      <c r="I47" s="6">
        <f>I30/'1.1 Input'!I$13</f>
        <v>0</v>
      </c>
      <c r="J47" s="46">
        <f t="shared" si="10"/>
        <v>168.7993387389796</v>
      </c>
    </row>
    <row r="48" spans="1:12">
      <c r="A48" s="33" t="str">
        <f t="shared" si="9"/>
        <v>Maintenance surveillance cameras</v>
      </c>
      <c r="B48" s="5" t="s">
        <v>23</v>
      </c>
      <c r="C48" s="33" t="str">
        <f t="shared" si="8"/>
        <v>Other operating assets</v>
      </c>
      <c r="D48" s="33" t="str">
        <f t="shared" si="8"/>
        <v>Replacement expenditure</v>
      </c>
      <c r="E48" s="6">
        <f>E31/'1.1 Input'!E$13</f>
        <v>0</v>
      </c>
      <c r="F48" s="6">
        <f>F31/'1.1 Input'!F$13</f>
        <v>0</v>
      </c>
      <c r="G48" s="6">
        <f>G31/'1.1 Input'!G$13</f>
        <v>0</v>
      </c>
      <c r="H48" s="6">
        <f>H31/'1.1 Input'!H$13</f>
        <v>0</v>
      </c>
      <c r="I48" s="6">
        <f>I31/'1.1 Input'!I$13</f>
        <v>0</v>
      </c>
      <c r="J48" s="46">
        <f t="shared" si="10"/>
        <v>0</v>
      </c>
    </row>
    <row r="49" spans="1:10">
      <c r="A49" s="33" t="str">
        <f t="shared" si="9"/>
        <v>battery chargers</v>
      </c>
      <c r="B49" s="5" t="s">
        <v>23</v>
      </c>
      <c r="C49" s="33" t="str">
        <f t="shared" si="8"/>
        <v>Other operating assets</v>
      </c>
      <c r="D49" s="33" t="str">
        <f t="shared" si="8"/>
        <v>Replacement expenditure</v>
      </c>
      <c r="E49" s="6">
        <f>E32/'1.1 Input'!E$13</f>
        <v>0</v>
      </c>
      <c r="F49" s="6">
        <f>F32/'1.1 Input'!F$13</f>
        <v>0</v>
      </c>
      <c r="G49" s="6">
        <f>G32/'1.1 Input'!G$13</f>
        <v>78.347429987858021</v>
      </c>
      <c r="H49" s="6">
        <f>H32/'1.1 Input'!H$13</f>
        <v>79.220943358220083</v>
      </c>
      <c r="I49" s="6">
        <f>I32/'1.1 Input'!I$13</f>
        <v>0</v>
      </c>
      <c r="J49" s="46">
        <f t="shared" si="10"/>
        <v>157.56837334607809</v>
      </c>
    </row>
    <row r="50" spans="1:10">
      <c r="A50" s="33" t="str">
        <f t="shared" si="9"/>
        <v>cable fault location relays (WAP)</v>
      </c>
      <c r="B50" s="5" t="s">
        <v>23</v>
      </c>
      <c r="C50" s="33" t="str">
        <f t="shared" si="8"/>
        <v>Transmission line</v>
      </c>
      <c r="D50" s="33" t="str">
        <f t="shared" si="8"/>
        <v>Replacement expenditure</v>
      </c>
      <c r="E50" s="6">
        <f>E33/'1.1 Input'!E$13</f>
        <v>0</v>
      </c>
      <c r="F50" s="6">
        <f>F33/'1.1 Input'!F$13</f>
        <v>0</v>
      </c>
      <c r="G50" s="6">
        <f>G33/'1.1 Input'!G$13</f>
        <v>0</v>
      </c>
      <c r="H50" s="6">
        <f>H33/'1.1 Input'!H$13</f>
        <v>78.237894104316851</v>
      </c>
      <c r="I50" s="6">
        <f>I33/'1.1 Input'!I$13</f>
        <v>82.219466323366049</v>
      </c>
      <c r="J50" s="46">
        <f t="shared" si="10"/>
        <v>160.45736042768289</v>
      </c>
    </row>
    <row r="51" spans="1:10">
      <c r="A51" s="33" t="str">
        <f t="shared" si="9"/>
        <v>Capacitors</v>
      </c>
      <c r="B51" s="5" t="s">
        <v>23</v>
      </c>
      <c r="C51" s="33" t="str">
        <f t="shared" si="8"/>
        <v>Switchyard</v>
      </c>
      <c r="D51" s="33" t="str">
        <f t="shared" si="8"/>
        <v>Replacement expenditure</v>
      </c>
      <c r="E51" s="6">
        <f>E34/'1.1 Input'!E$13</f>
        <v>61.791336300338536</v>
      </c>
      <c r="F51" s="6">
        <f>F34/'1.1 Input'!F$13</f>
        <v>112.11857221242917</v>
      </c>
      <c r="G51" s="6">
        <f>G34/'1.1 Input'!G$13</f>
        <v>114.57515793136935</v>
      </c>
      <c r="H51" s="6">
        <f>H34/'1.1 Input'!H$13</f>
        <v>111.94975159206324</v>
      </c>
      <c r="I51" s="6">
        <f>I34/'1.1 Input'!I$13</f>
        <v>115.09056483584814</v>
      </c>
      <c r="J51" s="46">
        <f t="shared" si="10"/>
        <v>515.52538287204845</v>
      </c>
    </row>
    <row r="52" spans="1:10" ht="15.75" thickBot="1">
      <c r="A52" s="33" t="str">
        <f t="shared" si="9"/>
        <v>Revenue Determination</v>
      </c>
      <c r="B52" s="5" t="s">
        <v>23</v>
      </c>
      <c r="C52" s="33" t="str">
        <f t="shared" si="8"/>
        <v>Other operating assets</v>
      </c>
      <c r="D52" s="33" t="str">
        <f t="shared" si="8"/>
        <v>Non-network</v>
      </c>
      <c r="E52" s="6">
        <f>E35/'1.1 Input'!E$13</f>
        <v>10.753932584269664</v>
      </c>
      <c r="F52" s="6">
        <f>F35/'1.1 Input'!F$13</f>
        <v>38.140168539325856</v>
      </c>
      <c r="G52" s="6">
        <f>G35/'1.1 Input'!G$13</f>
        <v>66.815730337078676</v>
      </c>
      <c r="H52" s="6">
        <f>H35/'1.1 Input'!H$13</f>
        <v>90.080898876404518</v>
      </c>
      <c r="I52" s="6">
        <f>I35/'1.1 Input'!I$13</f>
        <v>65.082303370786548</v>
      </c>
      <c r="J52" s="46">
        <f t="shared" si="10"/>
        <v>270.87303370786526</v>
      </c>
    </row>
    <row r="53" spans="1:10" ht="15.75" thickTop="1">
      <c r="A53" s="22" t="s">
        <v>15</v>
      </c>
      <c r="B53" s="22" t="str">
        <f>B52</f>
        <v>nominal</v>
      </c>
      <c r="E53" s="27">
        <f t="shared" ref="E53:J53" si="11">SUM(E42:E52)</f>
        <v>4586.325671569618</v>
      </c>
      <c r="F53" s="27">
        <f t="shared" si="11"/>
        <v>12807.706880208885</v>
      </c>
      <c r="G53" s="27">
        <f t="shared" si="11"/>
        <v>10553.275392047413</v>
      </c>
      <c r="H53" s="27">
        <f t="shared" si="11"/>
        <v>2376.5141319851618</v>
      </c>
      <c r="I53" s="27">
        <f t="shared" si="11"/>
        <v>930.86271461444301</v>
      </c>
      <c r="J53" s="27">
        <f t="shared" si="11"/>
        <v>31254.684790425523</v>
      </c>
    </row>
    <row r="55" spans="1:10" ht="19.5">
      <c r="A55" s="2" t="s">
        <v>128</v>
      </c>
      <c r="B55" s="2"/>
      <c r="C55" s="2"/>
      <c r="D55" s="2"/>
      <c r="E55" s="2"/>
      <c r="F55" s="2"/>
    </row>
    <row r="56" spans="1:10" ht="16.5">
      <c r="A56" s="26" t="str">
        <f>A40</f>
        <v>nominal</v>
      </c>
      <c r="B56" s="4"/>
      <c r="C56" s="4"/>
      <c r="D56" s="4"/>
      <c r="E56" s="4"/>
      <c r="F56" s="4"/>
    </row>
    <row r="57" spans="1:10">
      <c r="A57" s="3" t="str">
        <f>A41</f>
        <v>Project</v>
      </c>
      <c r="B57" s="3" t="str">
        <f>B41</f>
        <v>$</v>
      </c>
      <c r="C57" s="3" t="str">
        <f>C41</f>
        <v>Asset Class</v>
      </c>
      <c r="D57" s="3" t="str">
        <f>D41</f>
        <v>Asset Driver</v>
      </c>
      <c r="E57" s="3" t="s">
        <v>8</v>
      </c>
      <c r="F57" s="3" t="s">
        <v>9</v>
      </c>
    </row>
    <row r="58" spans="1:10">
      <c r="A58" s="5" t="s">
        <v>36</v>
      </c>
      <c r="B58" s="5" t="s">
        <v>23</v>
      </c>
      <c r="C58" s="6" t="s">
        <v>36</v>
      </c>
      <c r="E58" s="5">
        <v>105.55254600000002</v>
      </c>
      <c r="F58" s="5">
        <v>135.16352240953105</v>
      </c>
    </row>
    <row r="59" spans="1:10">
      <c r="A59" s="5" t="s">
        <v>70</v>
      </c>
      <c r="B59" s="5" t="s">
        <v>23</v>
      </c>
      <c r="C59" s="6" t="s">
        <v>70</v>
      </c>
      <c r="E59" s="5">
        <v>17.866416971058655</v>
      </c>
      <c r="F59" s="5">
        <v>17.938649106827125</v>
      </c>
    </row>
    <row r="60" spans="1:10">
      <c r="A60" s="5" t="s">
        <v>118</v>
      </c>
      <c r="B60" s="5" t="s">
        <v>23</v>
      </c>
      <c r="C60" s="6" t="s">
        <v>118</v>
      </c>
      <c r="E60" s="5">
        <v>0</v>
      </c>
      <c r="F60" s="5">
        <v>0</v>
      </c>
    </row>
    <row r="61" spans="1:10">
      <c r="A61" s="5" t="s">
        <v>33</v>
      </c>
      <c r="B61" s="5" t="s">
        <v>23</v>
      </c>
      <c r="C61" s="6" t="s">
        <v>33</v>
      </c>
      <c r="E61" s="5">
        <v>10.813352000000002</v>
      </c>
      <c r="F61" s="5">
        <v>10.813352000000002</v>
      </c>
    </row>
    <row r="62" spans="1:10">
      <c r="A62" s="5" t="s">
        <v>30</v>
      </c>
      <c r="B62" s="5" t="s">
        <v>23</v>
      </c>
      <c r="C62" s="6" t="s">
        <v>30</v>
      </c>
      <c r="E62" s="5">
        <v>278.22200933808909</v>
      </c>
      <c r="F62" s="5">
        <v>358.33836302333088</v>
      </c>
    </row>
    <row r="63" spans="1:10">
      <c r="A63" s="5" t="s">
        <v>84</v>
      </c>
      <c r="B63" s="5" t="s">
        <v>23</v>
      </c>
      <c r="C63" s="6" t="s">
        <v>84</v>
      </c>
      <c r="E63" s="5">
        <v>11.041885390450533</v>
      </c>
      <c r="F63" s="5">
        <v>0</v>
      </c>
    </row>
    <row r="64" spans="1:10">
      <c r="A64" s="5" t="s">
        <v>129</v>
      </c>
      <c r="B64" s="5" t="s">
        <v>23</v>
      </c>
      <c r="C64" s="6" t="s">
        <v>129</v>
      </c>
      <c r="E64" s="5">
        <v>0</v>
      </c>
      <c r="F64" s="5">
        <v>0</v>
      </c>
    </row>
    <row r="65" spans="1:6">
      <c r="A65" s="5" t="s">
        <v>24</v>
      </c>
      <c r="B65" s="5" t="s">
        <v>23</v>
      </c>
      <c r="C65" s="6" t="s">
        <v>24</v>
      </c>
      <c r="E65" s="5">
        <v>0</v>
      </c>
      <c r="F65" s="5">
        <v>0</v>
      </c>
    </row>
    <row r="66" spans="1:6" ht="15.75" thickBot="1">
      <c r="A66" s="5" t="s">
        <v>121</v>
      </c>
      <c r="B66" s="5" t="s">
        <v>23</v>
      </c>
      <c r="C66" s="6" t="s">
        <v>121</v>
      </c>
      <c r="E66" s="5">
        <v>0</v>
      </c>
      <c r="F66" s="5">
        <v>0</v>
      </c>
    </row>
    <row r="67" spans="1:6" ht="15.75" thickTop="1">
      <c r="A67" s="6" t="s">
        <v>15</v>
      </c>
      <c r="B67" s="6" t="str">
        <f>B66</f>
        <v>nominal</v>
      </c>
      <c r="E67" s="69">
        <f>SUM(E58:E66)</f>
        <v>423.4962096995983</v>
      </c>
      <c r="F67" s="69">
        <f>SUM(F58:F66)</f>
        <v>522.25388653968912</v>
      </c>
    </row>
    <row r="68" spans="1:6">
      <c r="A68" s="19"/>
    </row>
    <row r="69" spans="1:6" ht="19.5">
      <c r="A69" s="2" t="s">
        <v>128</v>
      </c>
      <c r="B69" s="2"/>
      <c r="C69" s="2"/>
      <c r="D69" s="2"/>
      <c r="E69" s="2"/>
      <c r="F69" s="2"/>
    </row>
    <row r="70" spans="1:6" ht="16.5">
      <c r="A70" s="26" t="s">
        <v>130</v>
      </c>
      <c r="B70" s="4"/>
      <c r="C70" s="4"/>
      <c r="D70" s="4"/>
      <c r="E70" s="4"/>
      <c r="F70" s="4"/>
    </row>
    <row r="71" spans="1:6">
      <c r="A71" s="56" t="str">
        <f t="shared" ref="A71" si="12">A57</f>
        <v>Project</v>
      </c>
      <c r="B71" s="56" t="str">
        <f>B57</f>
        <v>$</v>
      </c>
      <c r="C71" s="56" t="str">
        <f>C57</f>
        <v>Asset Class</v>
      </c>
      <c r="D71" s="3">
        <f>D55</f>
        <v>0</v>
      </c>
      <c r="E71" s="3" t="s">
        <v>8</v>
      </c>
      <c r="F71" s="3" t="s">
        <v>9</v>
      </c>
    </row>
    <row r="72" spans="1:6">
      <c r="A72" s="5" t="s">
        <v>36</v>
      </c>
      <c r="B72" s="5" t="s">
        <v>23</v>
      </c>
      <c r="C72" s="6" t="s">
        <v>36</v>
      </c>
      <c r="E72" s="5">
        <v>107.79626925138633</v>
      </c>
      <c r="F72" s="5">
        <v>135.16352240953105</v>
      </c>
    </row>
    <row r="73" spans="1:6">
      <c r="A73" s="5" t="s">
        <v>70</v>
      </c>
      <c r="B73" s="5" t="s">
        <v>23</v>
      </c>
      <c r="C73" s="6" t="s">
        <v>70</v>
      </c>
      <c r="E73" s="5">
        <v>18.246202174694837</v>
      </c>
      <c r="F73" s="5">
        <v>17.938649106827125</v>
      </c>
    </row>
    <row r="74" spans="1:6">
      <c r="A74" s="5" t="s">
        <v>118</v>
      </c>
      <c r="B74" s="5" t="s">
        <v>23</v>
      </c>
      <c r="C74" s="6" t="s">
        <v>118</v>
      </c>
      <c r="E74" s="5">
        <v>0</v>
      </c>
      <c r="F74" s="5">
        <v>0</v>
      </c>
    </row>
    <row r="75" spans="1:6">
      <c r="A75" s="5" t="s">
        <v>33</v>
      </c>
      <c r="B75" s="5" t="s">
        <v>23</v>
      </c>
      <c r="C75" s="6" t="s">
        <v>33</v>
      </c>
      <c r="E75" s="5">
        <v>11.043210683918669</v>
      </c>
      <c r="F75" s="5">
        <v>10.813352000000002</v>
      </c>
    </row>
    <row r="76" spans="1:6">
      <c r="A76" s="5" t="s">
        <v>30</v>
      </c>
      <c r="B76" s="5" t="s">
        <v>23</v>
      </c>
      <c r="C76" s="6" t="s">
        <v>30</v>
      </c>
      <c r="E76" s="5">
        <v>284.13615556246623</v>
      </c>
      <c r="F76" s="5">
        <v>358.33836302333088</v>
      </c>
    </row>
    <row r="77" spans="1:6">
      <c r="A77" s="5" t="s">
        <v>84</v>
      </c>
      <c r="B77" s="5" t="s">
        <v>23</v>
      </c>
      <c r="C77" s="6" t="s">
        <v>84</v>
      </c>
      <c r="E77" s="5">
        <v>11.276601993020183</v>
      </c>
      <c r="F77" s="5">
        <v>0</v>
      </c>
    </row>
    <row r="78" spans="1:6">
      <c r="A78" s="5" t="s">
        <v>129</v>
      </c>
      <c r="B78" s="5" t="s">
        <v>23</v>
      </c>
      <c r="C78" s="6" t="s">
        <v>129</v>
      </c>
      <c r="E78" s="5">
        <v>0</v>
      </c>
      <c r="F78" s="5">
        <v>0</v>
      </c>
    </row>
    <row r="79" spans="1:6">
      <c r="A79" s="5" t="s">
        <v>24</v>
      </c>
      <c r="B79" s="5" t="s">
        <v>23</v>
      </c>
      <c r="C79" s="6" t="s">
        <v>24</v>
      </c>
      <c r="E79" s="5">
        <v>0</v>
      </c>
      <c r="F79" s="5">
        <v>0</v>
      </c>
    </row>
    <row r="80" spans="1:6">
      <c r="A80" s="5" t="s">
        <v>121</v>
      </c>
      <c r="B80" s="5" t="s">
        <v>23</v>
      </c>
      <c r="C80" s="6" t="s">
        <v>121</v>
      </c>
      <c r="E80" s="5">
        <v>0</v>
      </c>
      <c r="F80" s="5">
        <v>0</v>
      </c>
    </row>
    <row r="81" spans="1:6">
      <c r="A81" s="6" t="s">
        <v>15</v>
      </c>
      <c r="B81" s="6" t="str">
        <f>B80</f>
        <v>nominal</v>
      </c>
      <c r="E81" s="6">
        <f>SUM(E72:E80)</f>
        <v>432.49843966548622</v>
      </c>
      <c r="F81" s="6">
        <f>SUM(F72:F80)</f>
        <v>522.25388653968912</v>
      </c>
    </row>
  </sheetData>
  <phoneticPr fontId="30" type="noConversion"/>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Z129"/>
  <sheetViews>
    <sheetView topLeftCell="D103" workbookViewId="0">
      <selection activeCell="L29" sqref="L29"/>
    </sheetView>
  </sheetViews>
  <sheetFormatPr defaultRowHeight="15"/>
  <cols>
    <col min="1" max="1" width="33.375" customWidth="1"/>
    <col min="3" max="3" width="13.125" customWidth="1"/>
    <col min="5" max="5" width="9.875" customWidth="1"/>
    <col min="11" max="11" width="7.375" customWidth="1"/>
    <col min="12" max="12" width="38.375" customWidth="1"/>
    <col min="13" max="13" width="7.25" bestFit="1" customWidth="1"/>
    <col min="14" max="14" width="23.75" customWidth="1"/>
    <col min="15" max="15" width="18.875" bestFit="1" customWidth="1"/>
    <col min="16" max="17" width="10.25" customWidth="1"/>
    <col min="18" max="20" width="9" customWidth="1"/>
    <col min="21" max="21" width="9.875" customWidth="1"/>
  </cols>
  <sheetData>
    <row r="1" spans="1:25" ht="22.5">
      <c r="A1" s="1"/>
      <c r="B1" s="1"/>
      <c r="C1" s="1"/>
      <c r="D1" s="1"/>
      <c r="E1" s="1"/>
      <c r="F1" s="1"/>
      <c r="G1" s="1"/>
      <c r="H1" s="1"/>
      <c r="I1" s="1"/>
      <c r="J1" s="1"/>
      <c r="K1" s="1"/>
      <c r="L1" s="1"/>
      <c r="M1" s="1"/>
      <c r="N1" s="1"/>
      <c r="O1" s="1"/>
      <c r="P1" s="1"/>
      <c r="Q1" s="1"/>
      <c r="R1" s="1"/>
      <c r="S1" s="1"/>
      <c r="T1" s="1"/>
      <c r="U1" s="1"/>
      <c r="V1" s="1"/>
      <c r="W1" s="1"/>
      <c r="X1" s="1"/>
      <c r="Y1" s="1"/>
    </row>
    <row r="2" spans="1:25" ht="22.5">
      <c r="A2" s="1"/>
      <c r="B2" s="1"/>
      <c r="C2" s="1"/>
      <c r="D2" s="1"/>
      <c r="E2" s="1"/>
      <c r="F2" s="1"/>
      <c r="G2" s="1"/>
      <c r="H2" s="1"/>
      <c r="I2" s="1"/>
      <c r="J2" s="1"/>
      <c r="K2" s="1"/>
      <c r="L2" s="1"/>
      <c r="M2" s="1"/>
      <c r="N2" s="1"/>
      <c r="O2" s="1"/>
      <c r="P2" s="1"/>
      <c r="Q2" s="1"/>
      <c r="R2" s="1"/>
      <c r="S2" s="1"/>
      <c r="T2" s="1"/>
      <c r="U2" s="1"/>
      <c r="V2" s="1"/>
      <c r="W2" s="1"/>
      <c r="X2" s="1"/>
      <c r="Y2" s="1"/>
    </row>
    <row r="3" spans="1:25" ht="23.25" thickBot="1">
      <c r="A3" s="1"/>
      <c r="B3" s="1"/>
      <c r="C3" s="1"/>
      <c r="D3" s="1"/>
      <c r="E3" s="1"/>
      <c r="F3" s="1"/>
      <c r="G3" s="1"/>
      <c r="H3" s="1"/>
      <c r="I3" s="1"/>
      <c r="J3" s="1"/>
      <c r="K3" s="1"/>
      <c r="L3" s="1"/>
      <c r="M3" s="1"/>
      <c r="N3" s="1"/>
      <c r="O3" s="1"/>
      <c r="P3" s="1"/>
      <c r="Q3" s="1"/>
      <c r="R3" s="1"/>
      <c r="S3" s="1"/>
      <c r="T3" s="1"/>
      <c r="U3" s="1"/>
      <c r="V3" s="1"/>
      <c r="W3" s="1"/>
      <c r="X3" s="1"/>
      <c r="Y3" s="1"/>
    </row>
    <row r="4" spans="1:25" ht="24" thickTop="1" thickBot="1">
      <c r="A4" s="1"/>
      <c r="B4" s="1"/>
      <c r="C4" s="1"/>
      <c r="D4" s="1"/>
      <c r="E4" s="38">
        <f>E5-'1.0 Data'!H5*'1.1 Input'!E13</f>
        <v>0</v>
      </c>
      <c r="F4" s="38">
        <f>F5-'1.0 Data'!I5*'1.1 Input'!F13</f>
        <v>0</v>
      </c>
      <c r="G4" s="38">
        <f>G5-'1.0 Data'!J5*'1.1 Input'!G13</f>
        <v>0</v>
      </c>
      <c r="H4" s="38">
        <f>H5-'1.0 Data'!K5*'1.1 Input'!H13</f>
        <v>0</v>
      </c>
      <c r="I4" s="38">
        <f>I5-'1.0 Data'!L5*'1.1 Input'!I13</f>
        <v>0</v>
      </c>
      <c r="J4" s="38"/>
      <c r="K4" s="31"/>
      <c r="L4" s="1"/>
      <c r="M4" s="1"/>
      <c r="N4" s="1"/>
      <c r="O4" s="1"/>
      <c r="P4" s="37">
        <f>'1.0 Data'!U5/'1.1 Input'!$J$13-P5</f>
        <v>-24.15701795439054</v>
      </c>
      <c r="Q4" s="37">
        <f>'1.0 Data'!V5/'1.1 Input'!$J$13-Q5</f>
        <v>-24.948871297824553</v>
      </c>
      <c r="R4" s="37">
        <f>'1.0 Data'!W5/'1.1 Input'!$J$13-R5</f>
        <v>-20.477221752248624</v>
      </c>
      <c r="S4" s="37">
        <f>'1.0 Data'!X5/'1.1 Input'!$J$13-S5</f>
        <v>-10.179197440912048</v>
      </c>
      <c r="T4" s="37">
        <f>'1.0 Data'!Y5/'1.1 Input'!$J$13-T5</f>
        <v>-4.5838507270361788</v>
      </c>
      <c r="U4" s="1"/>
      <c r="V4" s="1"/>
      <c r="W4" s="1"/>
      <c r="X4" s="1"/>
      <c r="Y4" s="1"/>
    </row>
    <row r="5" spans="1:25" ht="23.25" thickTop="1">
      <c r="A5" s="1" t="str">
        <f ca="1">RIGHT(CELL("filename"),LEN(CELL("filename"))-FIND("]",CELL("filename")))</f>
        <v>1.0 Data</v>
      </c>
      <c r="B5" s="1"/>
      <c r="C5" s="1"/>
      <c r="D5" s="1"/>
      <c r="E5" s="32">
        <f>SUM(E10:E42)</f>
        <v>11290.278659461816</v>
      </c>
      <c r="F5" s="32">
        <f>SUM(F10:F42)</f>
        <v>7340.8902467484677</v>
      </c>
      <c r="G5" s="32">
        <f>SUM(G10:G42)</f>
        <v>6052.5158925900505</v>
      </c>
      <c r="H5" s="32">
        <f>SUM(H10:H42)</f>
        <v>2597.4588943511444</v>
      </c>
      <c r="I5" s="32">
        <f>SUM(I10:I42)</f>
        <v>3700.3788265387793</v>
      </c>
      <c r="J5" s="32">
        <f>SUM(E5:I5)</f>
        <v>30981.522519690254</v>
      </c>
      <c r="K5" s="31"/>
      <c r="L5" s="1"/>
      <c r="M5" s="1"/>
      <c r="N5" s="1"/>
      <c r="O5" s="1"/>
      <c r="P5" s="27">
        <f>SUM(P10:P42)</f>
        <v>4309.6537430507897</v>
      </c>
      <c r="Q5" s="27">
        <f>SUM(Q10:Q42)</f>
        <v>4450.9217477328248</v>
      </c>
      <c r="R5" s="27">
        <f>SUM(R10:R42)</f>
        <v>3653.171742409771</v>
      </c>
      <c r="S5" s="27">
        <f>SUM(S10:S42)</f>
        <v>1815.9864117048346</v>
      </c>
      <c r="T5" s="27">
        <f>SUM(T10:T42)</f>
        <v>817.76688996367739</v>
      </c>
      <c r="U5" s="27">
        <f>SUM(P5:T5)</f>
        <v>15047.500534861898</v>
      </c>
      <c r="V5" s="1"/>
      <c r="W5" s="1"/>
      <c r="X5" s="1"/>
      <c r="Y5" s="1"/>
    </row>
    <row r="6" spans="1:25" ht="19.5">
      <c r="A6" s="2" t="s">
        <v>131</v>
      </c>
      <c r="B6" s="2"/>
      <c r="C6" s="2"/>
      <c r="D6" s="2"/>
      <c r="E6" s="2"/>
      <c r="F6" s="2"/>
      <c r="G6" s="2"/>
      <c r="H6" s="2"/>
      <c r="I6" s="2"/>
      <c r="J6" s="2"/>
      <c r="K6" s="2"/>
      <c r="L6" s="2"/>
      <c r="M6" s="2"/>
      <c r="N6" s="2"/>
      <c r="O6" s="2"/>
      <c r="P6" s="2"/>
      <c r="Q6" s="2"/>
      <c r="R6" s="2"/>
      <c r="S6" s="2"/>
      <c r="T6" s="2"/>
      <c r="U6" s="2"/>
      <c r="V6" s="2"/>
      <c r="W6" s="2"/>
      <c r="X6" s="2"/>
      <c r="Y6" s="2"/>
    </row>
    <row r="7" spans="1:25" ht="16.5">
      <c r="A7" s="4" t="s">
        <v>132</v>
      </c>
      <c r="B7" s="4"/>
      <c r="C7" s="4"/>
      <c r="D7" s="4"/>
      <c r="E7" s="4"/>
      <c r="F7" s="4"/>
      <c r="G7" s="4"/>
      <c r="H7" s="4"/>
      <c r="I7" s="4"/>
      <c r="J7" s="4"/>
      <c r="K7" s="4"/>
      <c r="L7" s="4" t="s">
        <v>133</v>
      </c>
      <c r="M7" s="4"/>
      <c r="N7" s="4"/>
      <c r="O7" s="4"/>
      <c r="P7" s="4"/>
      <c r="Q7" s="4"/>
      <c r="R7" s="4"/>
      <c r="S7" s="4"/>
      <c r="T7" s="4"/>
      <c r="U7" s="4"/>
      <c r="V7" s="4"/>
      <c r="W7" s="4"/>
      <c r="X7" s="4"/>
      <c r="Y7" s="4"/>
    </row>
    <row r="8" spans="1:25">
      <c r="A8" s="3" t="s">
        <v>3</v>
      </c>
      <c r="B8" s="3" t="s">
        <v>4</v>
      </c>
      <c r="C8" s="3" t="s">
        <v>6</v>
      </c>
      <c r="D8" s="3" t="s">
        <v>7</v>
      </c>
      <c r="E8" s="3" t="str">
        <f>'1.0 Data'!H8</f>
        <v>2018/19</v>
      </c>
      <c r="F8" s="3" t="str">
        <f>'1.0 Data'!I8</f>
        <v>2019/20</v>
      </c>
      <c r="G8" s="3" t="str">
        <f>'1.0 Data'!J8</f>
        <v>2020/21</v>
      </c>
      <c r="H8" s="3" t="str">
        <f>'1.0 Data'!K8</f>
        <v>2021/22</v>
      </c>
      <c r="I8" s="3" t="str">
        <f>'1.0 Data'!L8</f>
        <v>2022/23</v>
      </c>
      <c r="J8" s="3" t="str">
        <f>'1.0 Data'!M8</f>
        <v>Total</v>
      </c>
      <c r="K8" s="3"/>
      <c r="L8" s="3" t="s">
        <v>16</v>
      </c>
      <c r="M8" s="3" t="s">
        <v>134</v>
      </c>
      <c r="N8" s="3" t="str">
        <f>C8</f>
        <v>Asset Class</v>
      </c>
      <c r="O8" s="3" t="str">
        <f>D8</f>
        <v>Asset Driver</v>
      </c>
      <c r="P8" s="3" t="str">
        <f>'1.0 Data'!U8</f>
        <v>2023/24</v>
      </c>
      <c r="Q8" s="3" t="str">
        <f>'1.0 Data'!V8</f>
        <v>2024/25</v>
      </c>
      <c r="R8" s="3" t="str">
        <f>'1.0 Data'!W8</f>
        <v>2025/26</v>
      </c>
      <c r="S8" s="3" t="str">
        <f>'1.0 Data'!X8</f>
        <v>2026/27</v>
      </c>
      <c r="T8" s="3" t="str">
        <f>'1.0 Data'!Y8</f>
        <v>2027/28</v>
      </c>
      <c r="U8" s="3" t="str">
        <f>'1.0 Data'!Z8</f>
        <v>Total</v>
      </c>
      <c r="V8" s="3"/>
      <c r="W8" s="3"/>
      <c r="X8" s="3"/>
      <c r="Y8" s="3"/>
    </row>
    <row r="10" spans="1:25">
      <c r="A10" s="6" t="str">
        <f>'1.0 Data'!A9</f>
        <v xml:space="preserve">Fire suppression </v>
      </c>
      <c r="B10" s="14" t="str">
        <f t="shared" ref="B10:B28" si="0">IF(A10="","",$I$8)</f>
        <v>2022/23</v>
      </c>
      <c r="C10" s="6" t="str" cm="1">
        <f t="array" ref="C10">_xlfn.IFNA(INDEX('1.0 Data'!$D$9:$D$38,MATCH(A10,'1.0 Data'!$A$9:$A$38,0),0),"")</f>
        <v>Other operating assets</v>
      </c>
      <c r="D10" s="6" t="str">
        <f>'1.0 Data'!E9</f>
        <v>Replacement expenditure</v>
      </c>
      <c r="E10" s="6">
        <f>IFERROR('1.0 Data'!H9*HLOOKUP(E$8,'1.1 Input'!$A$8:$N$14,6,FALSE),0)</f>
        <v>1316.9268829928958</v>
      </c>
      <c r="F10" s="6">
        <f>IFERROR('1.0 Data'!I9*HLOOKUP(F$8,'1.1 Input'!$A$8:$N$14,6,FALSE),0)</f>
        <v>10.301888650306747</v>
      </c>
      <c r="G10" s="6">
        <f>IFERROR('1.0 Data'!J9*HLOOKUP(G$8,'1.1 Input'!$A$8:$N$14,6,FALSE),0)</f>
        <v>0</v>
      </c>
      <c r="H10" s="6">
        <f>IFERROR('1.0 Data'!K9*HLOOKUP(H$8,'1.1 Input'!$A$8:$N$14,6,FALSE),0)</f>
        <v>0</v>
      </c>
      <c r="I10" s="6">
        <f>IFERROR('1.0 Data'!L9*HLOOKUP(I$8,'1.1 Input'!$A$8:$N$14,6,FALSE),0)</f>
        <v>0</v>
      </c>
      <c r="J10" s="46">
        <f>SUM(E10:I10)</f>
        <v>1327.2287716432024</v>
      </c>
      <c r="L10" s="6" t="str">
        <f t="array" ref="L10">_xlfn.IFNA(INDEX('1.0 Data'!$R$9:$R$36,MATCH(0,COUNTIF($L$1:L9,'1.0 Data'!$R$9:$R$36),0)),"")</f>
        <v>Cable Protection/Modification</v>
      </c>
      <c r="M10" s="14" t="str">
        <f>IF(L10="","",$I$8)</f>
        <v>2022/23</v>
      </c>
      <c r="N10" s="6" t="str" cm="1">
        <f t="array" ref="N10">INDEX('1.0 Data'!S$9:S$36,MATCH($L10,'1.0 Data'!$R$9:$R$36,0),0)</f>
        <v>Transmission Cable</v>
      </c>
      <c r="O10" s="6" t="str" cm="1">
        <f t="array" ref="O10">INDEX('1.0 Data'!T$9:T$36,MATCH($L10,'1.0 Data'!$R$9:$R$36,0),0)</f>
        <v>Replacement expenditure</v>
      </c>
      <c r="P10" s="6">
        <f>SUMIF('1.0 Data'!$R$9:$R$36,$L10,'1.0 Data'!U$9:U$36)*'1.1 Input'!$H$13</f>
        <v>252.60467175572521</v>
      </c>
      <c r="Q10" s="6">
        <f>SUMIF('1.0 Data'!$R$9:$R$36,$L10,'1.0 Data'!V$9:V$36)*'1.1 Input'!$H$13</f>
        <v>252.60467175572521</v>
      </c>
      <c r="R10" s="6">
        <f>SUMIF('1.0 Data'!$R$9:$R$36,$L10,'1.0 Data'!W$9:W$36)*'1.1 Input'!$H$13</f>
        <v>1422.2942340966922</v>
      </c>
      <c r="S10" s="6">
        <f>SUMIF('1.0 Data'!$R$9:$R$36,$L10,'1.0 Data'!X$9:X$36)*'1.1 Input'!$H$13</f>
        <v>252.60467175572521</v>
      </c>
      <c r="T10" s="6">
        <f>SUMIF('1.0 Data'!$R$9:$R$36,$L10,'1.0 Data'!Y$9:Y$36)*'1.1 Input'!$H$13</f>
        <v>252.60467175572521</v>
      </c>
      <c r="U10" s="46">
        <f>SUM(P10:T10)</f>
        <v>2432.7129211195929</v>
      </c>
    </row>
    <row r="11" spans="1:25">
      <c r="A11" s="6" t="str">
        <f>'1.0 Data'!A10</f>
        <v>NSW Runback Scheme</v>
      </c>
      <c r="B11" s="14" t="str">
        <f t="shared" si="0"/>
        <v>2022/23</v>
      </c>
      <c r="C11" s="6" t="str" cm="1">
        <f t="array" ref="C11">_xlfn.IFNA(INDEX('1.0 Data'!$D$9:$D$38,MATCH(A11,'1.0 Data'!$A$9:$A$38,0),0),"")</f>
        <v>Ancillary 30</v>
      </c>
      <c r="D11" s="6" t="str">
        <f>'1.0 Data'!E10</f>
        <v>Replacement expenditure</v>
      </c>
      <c r="E11" s="6">
        <f>IFERROR('1.0 Data'!H10*HLOOKUP(E$8,'1.1 Input'!$A$8:$N$14,6,FALSE),0)</f>
        <v>10.411770346358779</v>
      </c>
      <c r="F11" s="6">
        <f>IFERROR('1.0 Data'!I10*HLOOKUP(F$8,'1.1 Input'!$A$8:$N$14,6,FALSE),0)</f>
        <v>13.790504355828222</v>
      </c>
      <c r="G11" s="6">
        <f>IFERROR('1.0 Data'!J10*HLOOKUP(G$8,'1.1 Input'!$A$8:$N$14,6,FALSE),0)</f>
        <v>0</v>
      </c>
      <c r="H11" s="6">
        <f>IFERROR('1.0 Data'!K10*HLOOKUP(H$8,'1.1 Input'!$A$8:$N$14,6,FALSE),0)</f>
        <v>0</v>
      </c>
      <c r="I11" s="6">
        <f>IFERROR('1.0 Data'!L10*HLOOKUP(I$8,'1.1 Input'!$A$8:$N$14,6,FALSE),0)</f>
        <v>0</v>
      </c>
      <c r="J11" s="46">
        <f t="shared" ref="J11:J28" si="1">SUM(E11:I11)</f>
        <v>24.202274702187001</v>
      </c>
      <c r="L11" s="6" t="str">
        <f t="array" ref="L11">_xlfn.IFNA(INDEX('1.0 Data'!$R$9:$R$36,MATCH(0,COUNTIF($L$1:L10,'1.0 Data'!$R$9:$R$36),0)),"")</f>
        <v>Essential Spares</v>
      </c>
      <c r="M11" s="14" t="str">
        <f t="shared" ref="M11:M19" si="2">IF(L11="","",$I$8)</f>
        <v>2022/23</v>
      </c>
      <c r="N11" s="6" t="str" cm="1">
        <f t="array" ref="N11">INDEX('1.0 Data'!$S$9:$S$36,MATCH(L11,'1.0 Data'!$R$9:$R$36,0),0)</f>
        <v>Switchyard</v>
      </c>
      <c r="O11" s="6" t="str" cm="1">
        <f t="array" ref="O11">INDEX('1.0 Data'!T$9:T$36,MATCH($L11,'1.0 Data'!$R$9:$R$36,0),0)</f>
        <v>Replacement expenditure</v>
      </c>
      <c r="P11" s="6">
        <f>SUMIF('1.0 Data'!$R$9:$R$36,$L11,'1.0 Data'!U$9:U$36)*'1.1 Input'!$H$13</f>
        <v>241.14891348600511</v>
      </c>
      <c r="Q11" s="6">
        <f>SUMIF('1.0 Data'!$R$9:$R$36,$L11,'1.0 Data'!V$9:V$36)*'1.1 Input'!$H$13</f>
        <v>241.14891348600511</v>
      </c>
      <c r="R11" s="6">
        <f>SUMIF('1.0 Data'!$R$9:$R$36,$L11,'1.0 Data'!W$9:W$36)*'1.1 Input'!$H$13</f>
        <v>241.14891348600511</v>
      </c>
      <c r="S11" s="6">
        <f>SUMIF('1.0 Data'!$R$9:$R$36,$L11,'1.0 Data'!X$9:X$36)*'1.1 Input'!$H$13</f>
        <v>241.14891348600511</v>
      </c>
      <c r="T11" s="6">
        <f>SUMIF('1.0 Data'!$R$9:$R$36,$L11,'1.0 Data'!Y$9:Y$36)*'1.1 Input'!$H$13</f>
        <v>241.14891348600511</v>
      </c>
      <c r="U11" s="46">
        <f t="shared" ref="U11:U19" si="3">SUM(P11:T11)</f>
        <v>1205.7445674300257</v>
      </c>
    </row>
    <row r="12" spans="1:25">
      <c r="A12" s="6" t="str">
        <f>'1.0 Data'!A11</f>
        <v>Replacement of Control System</v>
      </c>
      <c r="B12" s="14" t="str">
        <f t="shared" si="0"/>
        <v>2022/23</v>
      </c>
      <c r="C12" s="6" t="str" cm="1">
        <f t="array" ref="C12">_xlfn.IFNA(INDEX('1.0 Data'!$D$9:$D$38,MATCH(A12,'1.0 Data'!$A$9:$A$38,0),0),"")</f>
        <v>Ancillary 15 - control systems</v>
      </c>
      <c r="D12" s="6" t="str">
        <f>'1.0 Data'!E11</f>
        <v>Replacement expenditure</v>
      </c>
      <c r="E12" s="6">
        <f>IFERROR('1.0 Data'!H11*HLOOKUP(E$8,'1.1 Input'!$A$8:$N$14,6,FALSE),0)</f>
        <v>9577.0325867850825</v>
      </c>
      <c r="F12" s="6">
        <f>IFERROR('1.0 Data'!I11*HLOOKUP(F$8,'1.1 Input'!$A$8:$N$14,6,FALSE),0)</f>
        <v>7214.7588196932529</v>
      </c>
      <c r="G12" s="6">
        <f>IFERROR('1.0 Data'!J11*HLOOKUP(G$8,'1.1 Input'!$A$8:$N$14,6,FALSE),0)</f>
        <v>5388.4815889965685</v>
      </c>
      <c r="H12" s="6">
        <f>IFERROR('1.0 Data'!K11*HLOOKUP(H$8,'1.1 Input'!$A$8:$N$14,6,FALSE),0)</f>
        <v>595.6026430025446</v>
      </c>
      <c r="I12" s="6">
        <f>IFERROR('1.0 Data'!L11*HLOOKUP(I$8,'1.1 Input'!$A$8:$N$14,6,FALSE),0)</f>
        <v>236.45038167938932</v>
      </c>
      <c r="J12" s="46">
        <f t="shared" si="1"/>
        <v>23012.326020156837</v>
      </c>
      <c r="L12" s="6" t="str">
        <f t="array" ref="L12">_xlfn.IFNA(INDEX('1.0 Data'!$R$9:$R$36,MATCH(0,COUNTIF($L$1:L11,'1.0 Data'!$R$9:$R$36),0)),"")</f>
        <v>IGBTs</v>
      </c>
      <c r="M12" s="14" t="str">
        <f t="shared" si="2"/>
        <v>2022/23</v>
      </c>
      <c r="N12" s="6" t="str" cm="1">
        <f t="array" ref="N12">INDEX('1.0 Data'!$S$9:$S$36,MATCH(L12,'1.0 Data'!$R$9:$R$36,0),0)</f>
        <v>Switchyard</v>
      </c>
      <c r="O12" s="6" t="str" cm="1">
        <f t="array" ref="O12">INDEX('1.0 Data'!T$9:T$36,MATCH($L12,'1.0 Data'!$R$9:$R$36,0),0)</f>
        <v>Replacement expenditure</v>
      </c>
      <c r="P12" s="6">
        <f>SUMIF('1.0 Data'!$R$9:$R$36,$L12,'1.0 Data'!U$9:U$36)*'1.1 Input'!$H$13</f>
        <v>0</v>
      </c>
      <c r="Q12" s="6">
        <f>SUMIF('1.0 Data'!$R$9:$R$36,$L12,'1.0 Data'!V$9:V$36)*'1.1 Input'!$H$13</f>
        <v>0</v>
      </c>
      <c r="R12" s="6">
        <f>SUMIF('1.0 Data'!$R$9:$R$36,$L12,'1.0 Data'!W$9:W$36)*'1.1 Input'!$H$13</f>
        <v>0</v>
      </c>
      <c r="S12" s="6">
        <f>SUMIF('1.0 Data'!$R$9:$R$36,$L12,'1.0 Data'!X$9:X$36)*'1.1 Input'!$H$13</f>
        <v>0</v>
      </c>
      <c r="T12" s="6">
        <f>SUMIF('1.0 Data'!$R$9:$R$36,$L12,'1.0 Data'!Y$9:Y$36)*'1.1 Input'!$H$13</f>
        <v>0</v>
      </c>
      <c r="U12" s="46">
        <f t="shared" si="3"/>
        <v>0</v>
      </c>
    </row>
    <row r="13" spans="1:25">
      <c r="A13" s="6" t="str">
        <f>'1.0 Data'!A12</f>
        <v>Security Fence</v>
      </c>
      <c r="B13" s="14" t="str">
        <f t="shared" si="0"/>
        <v>2022/23</v>
      </c>
      <c r="C13" s="6" t="str" cm="1">
        <f t="array" ref="C13">_xlfn.IFNA(INDEX('1.0 Data'!$D$9:$D$38,MATCH(A13,'1.0 Data'!$A$9:$A$38,0),0),"")</f>
        <v>Switchyard</v>
      </c>
      <c r="D13" s="6" t="str">
        <f>'1.0 Data'!E12</f>
        <v>Replacement expenditure</v>
      </c>
      <c r="E13" s="6">
        <f>IFERROR('1.0 Data'!H12*HLOOKUP(E$8,'1.1 Input'!$A$8:$N$14,6,FALSE),0)</f>
        <v>341.46616187744223</v>
      </c>
      <c r="F13" s="6">
        <f>IFERROR('1.0 Data'!I12*HLOOKUP(F$8,'1.1 Input'!$A$8:$N$14,6,FALSE),0)</f>
        <v>0</v>
      </c>
      <c r="G13" s="6">
        <f>IFERROR('1.0 Data'!J12*HLOOKUP(G$8,'1.1 Input'!$A$8:$N$14,6,FALSE),0)</f>
        <v>0</v>
      </c>
      <c r="H13" s="6">
        <f>IFERROR('1.0 Data'!K12*HLOOKUP(H$8,'1.1 Input'!$A$8:$N$14,6,FALSE),0)</f>
        <v>0</v>
      </c>
      <c r="I13" s="6">
        <f>IFERROR('1.0 Data'!L12*HLOOKUP(I$8,'1.1 Input'!$A$8:$N$14,6,FALSE),0)</f>
        <v>0</v>
      </c>
      <c r="J13" s="46">
        <f t="shared" si="1"/>
        <v>341.46616187744223</v>
      </c>
      <c r="L13" s="6" t="str">
        <f t="array" ref="L13">_xlfn.IFNA(INDEX('1.0 Data'!$R$9:$R$36,MATCH(0,COUNTIF($L$1:L12,'1.0 Data'!$R$9:$R$36),0)),"")</f>
        <v>Stay in business</v>
      </c>
      <c r="M13" s="14" t="str">
        <f t="shared" si="2"/>
        <v>2022/23</v>
      </c>
      <c r="N13" s="6" t="str" cm="1">
        <f t="array" ref="N13">INDEX('1.0 Data'!$S$9:$S$36,MATCH(L13,'1.0 Data'!$R$9:$R$36,0),0)</f>
        <v>Other operating assets</v>
      </c>
      <c r="O13" s="6" t="str" cm="1">
        <f t="array" ref="O13">INDEX('1.0 Data'!T$9:T$36,MATCH($L13,'1.0 Data'!$R$9:$R$36,0),0)</f>
        <v>Replacement expenditure</v>
      </c>
      <c r="P13" s="6">
        <f>SUMIF('1.0 Data'!$R$9:$R$36,$L13,'1.0 Data'!U$9:U$36)*'1.1 Input'!$H$13</f>
        <v>1126.5732986004073</v>
      </c>
      <c r="Q13" s="6">
        <f>SUMIF('1.0 Data'!$R$9:$R$36,$L13,'1.0 Data'!V$9:V$36)*'1.1 Input'!$H$13</f>
        <v>1070.2654871501272</v>
      </c>
      <c r="R13" s="6">
        <f>SUMIF('1.0 Data'!$R$9:$R$36,$L13,'1.0 Data'!W$9:W$36)*'1.1 Input'!$H$13</f>
        <v>906.77199482707385</v>
      </c>
      <c r="S13" s="6">
        <f>SUMIF('1.0 Data'!$R$9:$R$36,$L13,'1.0 Data'!X$9:X$36)*'1.1 Input'!$H$13</f>
        <v>239.27622646310431</v>
      </c>
      <c r="T13" s="6">
        <f>SUMIF('1.0 Data'!$R$9:$R$36,$L13,'1.0 Data'!Y$9:Y$36)*'1.1 Input'!$H$13</f>
        <v>158.35765139949109</v>
      </c>
      <c r="U13" s="46">
        <f t="shared" si="3"/>
        <v>3501.2446584402037</v>
      </c>
    </row>
    <row r="14" spans="1:25">
      <c r="A14" s="6" t="str">
        <f>'1.0 Data'!A13</f>
        <v>Revenue Determination</v>
      </c>
      <c r="B14" s="14" t="str">
        <f t="shared" si="0"/>
        <v>2022/23</v>
      </c>
      <c r="C14" s="6" t="str" cm="1">
        <f t="array" ref="C14">_xlfn.IFNA(INDEX('1.0 Data'!$D$9:$D$38,MATCH(A14,'1.0 Data'!$A$9:$A$38,0),0),"")</f>
        <v>Other operating assets</v>
      </c>
      <c r="D14" s="6" t="str">
        <f>'1.0 Data'!E13</f>
        <v>Non-network</v>
      </c>
      <c r="E14" s="6">
        <f>IFERROR('1.0 Data'!H13*HLOOKUP(E$8,'1.1 Input'!$A$8:$N$14,6,FALSE),0)</f>
        <v>44.441257460035537</v>
      </c>
      <c r="F14" s="6">
        <f>IFERROR('1.0 Data'!I13*HLOOKUP(F$8,'1.1 Input'!$A$8:$N$14,6,FALSE),0)</f>
        <v>0</v>
      </c>
      <c r="G14" s="6">
        <f>IFERROR('1.0 Data'!J13*HLOOKUP(G$8,'1.1 Input'!$A$8:$N$14,6,FALSE),0)</f>
        <v>0</v>
      </c>
      <c r="H14" s="6">
        <f>IFERROR('1.0 Data'!K13*HLOOKUP(H$8,'1.1 Input'!$A$8:$N$14,6,FALSE),0)</f>
        <v>0</v>
      </c>
      <c r="I14" s="6">
        <f>IFERROR('1.0 Data'!L13*HLOOKUP(I$8,'1.1 Input'!$A$8:$N$14,6,FALSE),0)</f>
        <v>157.63358778625954</v>
      </c>
      <c r="J14" s="46">
        <f t="shared" si="1"/>
        <v>202.07484524629507</v>
      </c>
      <c r="L14" s="6" t="str">
        <f t="array" ref="L14">_xlfn.IFNA(INDEX('1.0 Data'!$R$9:$R$36,MATCH(0,COUNTIF($L$1:L13,'1.0 Data'!$R$9:$R$36),0)),"")</f>
        <v>Reliability</v>
      </c>
      <c r="M14" s="14" t="str">
        <f t="shared" si="2"/>
        <v>2022/23</v>
      </c>
      <c r="N14" s="6" t="str" cm="1">
        <f t="array" ref="N14">INDEX('1.0 Data'!$S$9:$S$36,MATCH(L14,'1.0 Data'!$R$9:$R$36,0),0)</f>
        <v>Other operating assets</v>
      </c>
      <c r="O14" s="6" t="str" cm="1">
        <f t="array" ref="O14">INDEX('1.0 Data'!T$9:T$36,MATCH($L14,'1.0 Data'!$R$9:$R$36,0),0)</f>
        <v>Replacement expenditure</v>
      </c>
      <c r="P14" s="6">
        <f>SUMIF('1.0 Data'!$R$9:$R$36,$L14,'1.0 Data'!U$9:U$36)*'1.1 Input'!$H$13</f>
        <v>530.51836183206103</v>
      </c>
      <c r="Q14" s="6">
        <f>SUMIF('1.0 Data'!$R$9:$R$36,$L14,'1.0 Data'!V$9:V$36)*'1.1 Input'!$H$13</f>
        <v>1237.1719548091605</v>
      </c>
      <c r="R14" s="6">
        <f>SUMIF('1.0 Data'!$R$9:$R$36,$L14,'1.0 Data'!W$9:W$36)*'1.1 Input'!$H$13</f>
        <v>0</v>
      </c>
      <c r="S14" s="6">
        <f>SUMIF('1.0 Data'!$R$9:$R$36,$L14,'1.0 Data'!X$9:X$36)*'1.1 Input'!$H$13</f>
        <v>0</v>
      </c>
      <c r="T14" s="6">
        <f>SUMIF('1.0 Data'!$R$9:$R$36,$L14,'1.0 Data'!Y$9:Y$36)*'1.1 Input'!$H$13</f>
        <v>0</v>
      </c>
      <c r="U14" s="46">
        <f t="shared" si="3"/>
        <v>1767.6903166412217</v>
      </c>
    </row>
    <row r="15" spans="1:25">
      <c r="A15" s="6" t="str">
        <f>'1.0 Data'!A14</f>
        <v>Earth Switch Upgrade</v>
      </c>
      <c r="B15" s="14" t="str">
        <f t="shared" si="0"/>
        <v>2022/23</v>
      </c>
      <c r="C15" s="6" t="str" cm="1">
        <f t="array" ref="C15">_xlfn.IFNA(INDEX('1.0 Data'!$D$9:$D$38,MATCH(A15,'1.0 Data'!$A$9:$A$38,0),0),"")</f>
        <v>Switchyard</v>
      </c>
      <c r="D15" s="6" t="str">
        <f>'1.0 Data'!E14</f>
        <v>Replacement expenditure</v>
      </c>
      <c r="E15" s="6">
        <f>IFERROR('1.0 Data'!H14*HLOOKUP(E$8,'1.1 Input'!$A$8:$N$14,6,FALSE),0)</f>
        <v>0</v>
      </c>
      <c r="F15" s="6">
        <f>IFERROR('1.0 Data'!I14*HLOOKUP(F$8,'1.1 Input'!$A$8:$N$14,6,FALSE),0)</f>
        <v>0</v>
      </c>
      <c r="G15" s="6">
        <f>IFERROR('1.0 Data'!J14*HLOOKUP(G$8,'1.1 Input'!$A$8:$N$14,6,FALSE),0)</f>
        <v>0</v>
      </c>
      <c r="H15" s="6">
        <f>IFERROR('1.0 Data'!K14*HLOOKUP(H$8,'1.1 Input'!$A$8:$N$14,6,FALSE),0)</f>
        <v>0</v>
      </c>
      <c r="I15" s="6">
        <f>IFERROR('1.0 Data'!L14*HLOOKUP(I$8,'1.1 Input'!$A$8:$N$14,6,FALSE),0)</f>
        <v>0</v>
      </c>
      <c r="J15" s="46">
        <f t="shared" si="1"/>
        <v>0</v>
      </c>
      <c r="L15" s="6" t="str">
        <f t="array" ref="L15">_xlfn.IFNA(INDEX('1.0 Data'!$R$9:$R$36,MATCH(0,COUNTIF($L$1:L14,'1.0 Data'!$R$9:$R$36),0)),"")</f>
        <v>SOCI</v>
      </c>
      <c r="M15" s="14" t="str">
        <f t="shared" si="2"/>
        <v>2022/23</v>
      </c>
      <c r="N15" s="6" t="str" cm="1">
        <f t="array" ref="N15">INDEX('1.0 Data'!$S$9:$S$36,MATCH(L15,'1.0 Data'!$R$9:$R$36,0),0)</f>
        <v>Non ancillary asset</v>
      </c>
      <c r="O15" s="6" t="str" cm="1">
        <f t="array" ref="O15">INDEX('1.0 Data'!T$9:T$36,MATCH($L15,'1.0 Data'!$R$9:$R$36,0),0)</f>
        <v>Replacement expenditure</v>
      </c>
      <c r="P15" s="6">
        <f>SUMIF('1.0 Data'!$R$9:$R$36,$L15,'1.0 Data'!U$9:U$36)*'1.1 Input'!$H$13</f>
        <v>466.63430279898222</v>
      </c>
      <c r="Q15" s="6">
        <f>SUMIF('1.0 Data'!$R$9:$R$36,$L15,'1.0 Data'!V$9:V$36)*'1.1 Input'!$H$13</f>
        <v>0</v>
      </c>
      <c r="R15" s="6">
        <f>SUMIF('1.0 Data'!$R$9:$R$36,$L15,'1.0 Data'!W$9:W$36)*'1.1 Input'!$H$13</f>
        <v>1082.9566</v>
      </c>
      <c r="S15" s="6">
        <f>SUMIF('1.0 Data'!$R$9:$R$36,$L15,'1.0 Data'!X$9:X$36)*'1.1 Input'!$H$13</f>
        <v>1082.9566</v>
      </c>
      <c r="T15" s="6">
        <f>SUMIF('1.0 Data'!$R$9:$R$36,$L15,'1.0 Data'!Y$9:Y$36)*'1.1 Input'!$H$13</f>
        <v>0</v>
      </c>
      <c r="U15" s="46">
        <f t="shared" si="3"/>
        <v>2632.5475027989824</v>
      </c>
    </row>
    <row r="16" spans="1:25">
      <c r="A16" s="6" t="str">
        <f>'1.0 Data'!A15</f>
        <v>IGBTs</v>
      </c>
      <c r="B16" s="14" t="str">
        <f t="shared" si="0"/>
        <v>2022/23</v>
      </c>
      <c r="C16" s="6" t="str" cm="1">
        <f t="array" ref="C16">_xlfn.IFNA(INDEX('1.0 Data'!$D$9:$D$38,MATCH(A16,'1.0 Data'!$A$9:$A$38,0),0),"")</f>
        <v>Switchyard</v>
      </c>
      <c r="D16" s="6" t="str">
        <f>'1.0 Data'!E15</f>
        <v>Replacement expenditure</v>
      </c>
      <c r="E16" s="6">
        <f>IFERROR('1.0 Data'!H15*HLOOKUP(E$8,'1.1 Input'!$A$8:$N$14,6,FALSE),0)</f>
        <v>0</v>
      </c>
      <c r="F16" s="6">
        <f>IFERROR('1.0 Data'!I15*HLOOKUP(F$8,'1.1 Input'!$A$8:$N$14,6,FALSE),0)</f>
        <v>0</v>
      </c>
      <c r="G16" s="6">
        <f>IFERROR('1.0 Data'!J15*HLOOKUP(G$8,'1.1 Input'!$A$8:$N$14,6,FALSE),0)</f>
        <v>380.6287695540309</v>
      </c>
      <c r="H16" s="6">
        <f>IFERROR('1.0 Data'!K15*HLOOKUP(H$8,'1.1 Input'!$A$8:$N$14,6,FALSE),0)</f>
        <v>964.52690468193384</v>
      </c>
      <c r="I16" s="6">
        <f>IFERROR('1.0 Data'!L15*HLOOKUP(I$8,'1.1 Input'!$A$8:$N$14,6,FALSE),0)</f>
        <v>0</v>
      </c>
      <c r="J16" s="46">
        <f t="shared" si="1"/>
        <v>1345.1556742359649</v>
      </c>
      <c r="L16" s="6" t="str">
        <f t="array" ref="L16">_xlfn.IFNA(INDEX('1.0 Data'!$R$9:$R$36,MATCH(0,COUNTIF($L$1:L15,'1.0 Data'!$R$9:$R$36),0)),"")</f>
        <v>Enhanced Cooling</v>
      </c>
      <c r="M16" s="14" t="str">
        <f t="shared" si="2"/>
        <v>2022/23</v>
      </c>
      <c r="N16" s="6" t="str" cm="1">
        <f t="array" ref="N16">INDEX('1.0 Data'!$S$9:$S$36,MATCH(L16,'1.0 Data'!$R$9:$R$36,0),0)</f>
        <v>Other operating assets</v>
      </c>
      <c r="O16" s="6" t="str" cm="1">
        <f t="array" ref="O16">INDEX('1.0 Data'!T$9:T$36,MATCH($L16,'1.0 Data'!$R$9:$R$36,0),0)</f>
        <v>Replacement expenditure</v>
      </c>
      <c r="P16" s="6">
        <f>SUMIF('1.0 Data'!$R$9:$R$36,$L16,'1.0 Data'!U$9:U$36)*'1.1 Input'!$H$13</f>
        <v>1649.7307205318068</v>
      </c>
      <c r="Q16" s="6">
        <f>SUMIF('1.0 Data'!$R$9:$R$36,$L16,'1.0 Data'!V$9:V$36)*'1.1 Input'!$H$13</f>
        <v>1649.7307205318068</v>
      </c>
      <c r="R16" s="6">
        <f>SUMIF('1.0 Data'!$R$9:$R$36,$L16,'1.0 Data'!W$9:W$36)*'1.1 Input'!$H$13</f>
        <v>0</v>
      </c>
      <c r="S16" s="6">
        <f>SUMIF('1.0 Data'!$R$9:$R$36,$L16,'1.0 Data'!X$9:X$36)*'1.1 Input'!$H$13</f>
        <v>0</v>
      </c>
      <c r="T16" s="6">
        <f>SUMIF('1.0 Data'!$R$9:$R$36,$L16,'1.0 Data'!Y$9:Y$36)*'1.1 Input'!$H$13</f>
        <v>0</v>
      </c>
      <c r="U16" s="46">
        <f t="shared" si="3"/>
        <v>3299.4614410636136</v>
      </c>
    </row>
    <row r="17" spans="1:21">
      <c r="A17" s="6" t="str">
        <f>'1.0 Data'!A16</f>
        <v>Other</v>
      </c>
      <c r="B17" s="14" t="str">
        <f t="shared" si="0"/>
        <v>2022/23</v>
      </c>
      <c r="C17" s="6" t="str" cm="1">
        <f t="array" ref="C17">_xlfn.IFNA(INDEX('1.0 Data'!$D$9:$D$38,MATCH(A17,'1.0 Data'!$A$9:$A$38,0),0),"")</f>
        <v>Other operating assets</v>
      </c>
      <c r="D17" s="6" t="str">
        <f>'1.0 Data'!E16</f>
        <v>Replacement expenditure</v>
      </c>
      <c r="E17" s="6">
        <f>IFERROR('1.0 Data'!H16*HLOOKUP(E$8,'1.1 Input'!$A$8:$N$14,6,FALSE),0)</f>
        <v>0</v>
      </c>
      <c r="F17" s="6">
        <f>IFERROR('1.0 Data'!I16*HLOOKUP(F$8,'1.1 Input'!$A$8:$N$14,6,FALSE),0)</f>
        <v>39.33103969325154</v>
      </c>
      <c r="G17" s="6">
        <f>IFERROR('1.0 Data'!J16*HLOOKUP(G$8,'1.1 Input'!$A$8:$N$14,6,FALSE),0)</f>
        <v>-2.1336196312178357</v>
      </c>
      <c r="H17" s="6">
        <f>IFERROR('1.0 Data'!K16*HLOOKUP(H$8,'1.1 Input'!$A$8:$N$14,6,FALSE),0)</f>
        <v>0</v>
      </c>
      <c r="I17" s="6">
        <f>IFERROR('1.0 Data'!L16*HLOOKUP(I$8,'1.1 Input'!$A$8:$N$14,6,FALSE),0)</f>
        <v>0</v>
      </c>
      <c r="J17" s="46">
        <f t="shared" si="1"/>
        <v>37.197420062033707</v>
      </c>
      <c r="L17" s="6" t="str">
        <f t="array" ref="L17">_xlfn.IFNA(INDEX('1.0 Data'!$R$9:$R$36,MATCH(0,COUNTIF($L$1:L16,'1.0 Data'!$R$9:$R$36),0)),"")</f>
        <v>Regulatory Reset</v>
      </c>
      <c r="M17" s="14" t="str">
        <f t="shared" si="2"/>
        <v>2022/23</v>
      </c>
      <c r="N17" s="6" t="str" cm="1">
        <f t="array" ref="N17">INDEX('1.0 Data'!$S$9:$S$36,MATCH(L17,'1.0 Data'!$R$9:$R$36,0),0)</f>
        <v>Non ancillary asset</v>
      </c>
      <c r="O17" s="6" t="str" cm="1">
        <f t="array" ref="O17">INDEX('1.0 Data'!T$9:T$36,MATCH($L17,'1.0 Data'!$R$9:$R$36,0),0)</f>
        <v>Non-network</v>
      </c>
      <c r="P17" s="6">
        <f>SUMIF('1.0 Data'!$R$9:$R$36,$L17,'1.0 Data'!U$9:U$36)*'1.1 Input'!$H$13</f>
        <v>42.44347404580153</v>
      </c>
      <c r="Q17" s="6">
        <f>SUMIF('1.0 Data'!$R$9:$R$36,$L17,'1.0 Data'!V$9:V$36)*'1.1 Input'!$H$13</f>
        <v>0</v>
      </c>
      <c r="R17" s="6">
        <f>SUMIF('1.0 Data'!$R$9:$R$36,$L17,'1.0 Data'!W$9:W$36)*'1.1 Input'!$H$13</f>
        <v>0</v>
      </c>
      <c r="S17" s="6">
        <f>SUMIF('1.0 Data'!$R$9:$R$36,$L17,'1.0 Data'!X$9:X$36)*'1.1 Input'!$H$13</f>
        <v>0</v>
      </c>
      <c r="T17" s="6">
        <f>SUMIF('1.0 Data'!$R$9:$R$36,$L17,'1.0 Data'!Y$9:Y$36)*'1.1 Input'!$H$13</f>
        <v>165.65565332245595</v>
      </c>
      <c r="U17" s="46">
        <f t="shared" si="3"/>
        <v>208.09912736825748</v>
      </c>
    </row>
    <row r="18" spans="1:21">
      <c r="A18" s="6" t="str">
        <f>'1.0 Data'!A17</f>
        <v>Fan Coil Motors</v>
      </c>
      <c r="B18" s="14" t="str">
        <f t="shared" si="0"/>
        <v>2022/23</v>
      </c>
      <c r="C18" s="6" t="str" cm="1">
        <f t="array" ref="C18">_xlfn.IFNA(INDEX('1.0 Data'!$D$9:$D$38,MATCH(A18,'1.0 Data'!$A$9:$A$38,0),0),"")</f>
        <v>Switchyard</v>
      </c>
      <c r="D18" s="6" t="str">
        <f>'1.0 Data'!E17</f>
        <v>Replacement expenditure</v>
      </c>
      <c r="E18" s="6">
        <f>IFERROR('1.0 Data'!H17*HLOOKUP(E$8,'1.1 Input'!$A$8:$N$14,6,FALSE),0)</f>
        <v>0</v>
      </c>
      <c r="F18" s="6">
        <f>IFERROR('1.0 Data'!I17*HLOOKUP(F$8,'1.1 Input'!$A$8:$N$14,6,FALSE),0)</f>
        <v>62.707994355828234</v>
      </c>
      <c r="G18" s="6">
        <f>IFERROR('1.0 Data'!J17*HLOOKUP(G$8,'1.1 Input'!$A$8:$N$14,6,FALSE),0)</f>
        <v>0</v>
      </c>
      <c r="H18" s="6">
        <f>IFERROR('1.0 Data'!K17*HLOOKUP(H$8,'1.1 Input'!$A$8:$N$14,6,FALSE),0)</f>
        <v>0</v>
      </c>
      <c r="I18" s="6">
        <f>IFERROR('1.0 Data'!L17*HLOOKUP(I$8,'1.1 Input'!$A$8:$N$14,6,FALSE),0)</f>
        <v>0</v>
      </c>
      <c r="J18" s="46">
        <f t="shared" si="1"/>
        <v>62.707994355828234</v>
      </c>
      <c r="L18" s="6" t="str">
        <f t="array" ref="L18">_xlfn.IFNA(INDEX('1.0 Data'!$R$9:$R$36,MATCH(0,COUNTIF($L$1:L17,'1.0 Data'!$R$9:$R$36),0)),"")</f>
        <v/>
      </c>
      <c r="M18" s="14" t="str">
        <f t="shared" si="2"/>
        <v/>
      </c>
      <c r="N18" s="6" t="e" cm="1">
        <f t="array" ref="N18">INDEX('1.0 Data'!$S$9:$S$36,MATCH(L18,'1.0 Data'!$R$9:$R$36,0),0)</f>
        <v>#N/A</v>
      </c>
      <c r="O18" s="6" t="e" cm="1">
        <f t="array" ref="O18">INDEX('1.0 Data'!T$9:T$36,MATCH($L18,'1.0 Data'!$R$9:$R$36,0),0)</f>
        <v>#N/A</v>
      </c>
      <c r="P18" s="6">
        <f>SUMIF('1.0 Data'!$R$9:$R$36,$L18,'1.0 Data'!U$9:U$36)*'1.1 Input'!$H$13</f>
        <v>0</v>
      </c>
      <c r="Q18" s="6">
        <f>SUMIF('1.0 Data'!$R$9:$R$36,$L18,'1.0 Data'!V$9:V$36)*'1.1 Input'!$H$13</f>
        <v>0</v>
      </c>
      <c r="R18" s="6">
        <f>SUMIF('1.0 Data'!$R$9:$R$36,$L18,'1.0 Data'!W$9:W$36)*'1.1 Input'!$H$13</f>
        <v>0</v>
      </c>
      <c r="S18" s="6">
        <f>SUMIF('1.0 Data'!$R$9:$R$36,$L18,'1.0 Data'!X$9:X$36)*'1.1 Input'!$H$13</f>
        <v>0</v>
      </c>
      <c r="T18" s="6">
        <f>SUMIF('1.0 Data'!$R$9:$R$36,$L18,'1.0 Data'!Y$9:Y$36)*'1.1 Input'!$H$13</f>
        <v>0</v>
      </c>
      <c r="U18" s="46">
        <f t="shared" si="3"/>
        <v>0</v>
      </c>
    </row>
    <row r="19" spans="1:21">
      <c r="A19" s="6" t="str">
        <f>'1.0 Data'!A18</f>
        <v>NSW Runback Scheme()</v>
      </c>
      <c r="B19" s="14" t="str">
        <f t="shared" si="0"/>
        <v>2022/23</v>
      </c>
      <c r="C19" s="6" t="str" cm="1">
        <f t="array" ref="C19">_xlfn.IFNA(INDEX('1.0 Data'!$D$9:$D$38,MATCH(A19,'1.0 Data'!$A$9:$A$38,0),0),"")</f>
        <v>Ancillary 15 - control systems</v>
      </c>
      <c r="D19" s="6" t="str">
        <f>'1.0 Data'!E18</f>
        <v>Replacement expenditure</v>
      </c>
      <c r="E19" s="6">
        <f>IFERROR('1.0 Data'!H18*HLOOKUP(E$8,'1.1 Input'!$A$8:$N$14,6,FALSE),0)</f>
        <v>0</v>
      </c>
      <c r="F19" s="6">
        <f>IFERROR('1.0 Data'!I18*HLOOKUP(F$8,'1.1 Input'!$A$8:$N$14,6,FALSE),0)</f>
        <v>0</v>
      </c>
      <c r="G19" s="6">
        <f>IFERROR('1.0 Data'!J18*HLOOKUP(G$8,'1.1 Input'!$A$8:$N$14,6,FALSE),0)</f>
        <v>-16.247264150943394</v>
      </c>
      <c r="H19" s="6">
        <f>IFERROR('1.0 Data'!K18*HLOOKUP(H$8,'1.1 Input'!$A$8:$N$14,6,FALSE),0)</f>
        <v>0</v>
      </c>
      <c r="I19" s="6">
        <f>IFERROR('1.0 Data'!L18*HLOOKUP(I$8,'1.1 Input'!$A$8:$N$14,6,FALSE),0)</f>
        <v>0</v>
      </c>
      <c r="J19" s="46">
        <f t="shared" si="1"/>
        <v>-16.247264150943394</v>
      </c>
      <c r="L19" s="6" t="str">
        <f t="array" ref="L19">_xlfn.IFNA(INDEX('1.0 Data'!$R$9:$R$36,MATCH(0,COUNTIF($L$1:L18,'1.0 Data'!$R$9:$R$36),0)),"")</f>
        <v/>
      </c>
      <c r="M19" s="14" t="str">
        <f t="shared" si="2"/>
        <v/>
      </c>
      <c r="N19" s="6" t="e" cm="1">
        <f t="array" ref="N19">INDEX('1.0 Data'!$S$9:$S$36,MATCH(L19,'1.0 Data'!$R$9:$R$36,0),0)</f>
        <v>#N/A</v>
      </c>
      <c r="O19" s="6" t="e" cm="1">
        <f t="array" ref="O19">INDEX('1.0 Data'!T$9:T$36,MATCH($L19,'1.0 Data'!$R$9:$R$36,0),0)</f>
        <v>#N/A</v>
      </c>
      <c r="P19" s="6">
        <f>SUMIF('1.0 Data'!$R$9:$R$36,$L19,'1.0 Data'!U$9:U$36)*'1.1 Input'!$H$13</f>
        <v>0</v>
      </c>
      <c r="Q19" s="6">
        <f>SUMIF('1.0 Data'!$R$9:$R$36,$L19,'1.0 Data'!V$9:V$36)*'1.1 Input'!$H$13</f>
        <v>0</v>
      </c>
      <c r="R19" s="6">
        <f>SUMIF('1.0 Data'!$R$9:$R$36,$L19,'1.0 Data'!W$9:W$36)*'1.1 Input'!$H$13</f>
        <v>0</v>
      </c>
      <c r="S19" s="6">
        <f>SUMIF('1.0 Data'!$R$9:$R$36,$L19,'1.0 Data'!X$9:X$36)*'1.1 Input'!$H$13</f>
        <v>0</v>
      </c>
      <c r="T19" s="6">
        <f>SUMIF('1.0 Data'!$R$9:$R$36,$L19,'1.0 Data'!Y$9:Y$36)*'1.1 Input'!$H$13</f>
        <v>0</v>
      </c>
      <c r="U19" s="46">
        <f t="shared" si="3"/>
        <v>0</v>
      </c>
    </row>
    <row r="20" spans="1:21">
      <c r="A20" s="6" t="str">
        <f>'1.0 Data'!A19</f>
        <v>Capacitors</v>
      </c>
      <c r="B20" s="14" t="str">
        <f t="shared" si="0"/>
        <v>2022/23</v>
      </c>
      <c r="C20" s="6" t="str" cm="1">
        <f t="array" ref="C20">_xlfn.IFNA(INDEX('1.0 Data'!$D$9:$D$38,MATCH(A20,'1.0 Data'!$A$9:$A$38,0),0),"")</f>
        <v>Switchyard</v>
      </c>
      <c r="D20" s="6" t="str">
        <f>'1.0 Data'!E19</f>
        <v>Replacement expenditure</v>
      </c>
      <c r="E20" s="6">
        <f>IFERROR('1.0 Data'!H19*HLOOKUP(E$8,'1.1 Input'!$A$8:$N$14,6,FALSE),0)</f>
        <v>0</v>
      </c>
      <c r="F20" s="6">
        <f>IFERROR('1.0 Data'!I19*HLOOKUP(F$8,'1.1 Input'!$A$8:$N$14,6,FALSE),0)</f>
        <v>0</v>
      </c>
      <c r="G20" s="6">
        <f>IFERROR('1.0 Data'!J19*HLOOKUP(G$8,'1.1 Input'!$A$8:$N$14,6,FALSE),0)</f>
        <v>129.90353943396229</v>
      </c>
      <c r="H20" s="6">
        <f>IFERROR('1.0 Data'!K19*HLOOKUP(H$8,'1.1 Input'!$A$8:$N$14,6,FALSE),0)</f>
        <v>0</v>
      </c>
      <c r="I20" s="6">
        <f>IFERROR('1.0 Data'!L19*HLOOKUP(I$8,'1.1 Input'!$A$8:$N$14,6,FALSE),0)</f>
        <v>0</v>
      </c>
      <c r="J20" s="46">
        <f t="shared" si="1"/>
        <v>129.90353943396229</v>
      </c>
      <c r="L20" s="6" t="str">
        <f t="array" ref="L20">_xlfn.IFNA(INDEX('1.0 Data'!$R$9:$R$36,MATCH(0,COUNTIF($L$1:L19,'1.0 Data'!$R$9:$R$36),0)),"")</f>
        <v/>
      </c>
      <c r="M20" s="14" t="str">
        <f t="shared" ref="M20:M25" si="4">IF(L20="","",$I$8)</f>
        <v/>
      </c>
      <c r="N20" s="6" t="e" cm="1">
        <f t="array" ref="N20">INDEX('1.0 Data'!$S$9:$S$36,MATCH(L20,'1.0 Data'!$R$9:$R$36,0),0)</f>
        <v>#N/A</v>
      </c>
      <c r="O20" s="6" t="e" cm="1">
        <f t="array" ref="O20">INDEX('1.0 Data'!T$9:T$36,MATCH($L20,'1.0 Data'!$R$9:$R$36,0),0)</f>
        <v>#N/A</v>
      </c>
      <c r="P20" s="6">
        <f>SUMIF('1.0 Data'!$R$9:$R$36,$L20,'1.0 Data'!U$9:U$36)*'1.1 Input'!$H$13</f>
        <v>0</v>
      </c>
      <c r="Q20" s="6">
        <f>SUMIF('1.0 Data'!$R$9:$R$36,$L20,'1.0 Data'!V$9:V$36)*'1.1 Input'!$H$13</f>
        <v>0</v>
      </c>
      <c r="R20" s="6">
        <f>SUMIF('1.0 Data'!$R$9:$R$36,$L20,'1.0 Data'!W$9:W$36)*'1.1 Input'!$H$13</f>
        <v>0</v>
      </c>
      <c r="S20" s="6">
        <f>SUMIF('1.0 Data'!$R$9:$R$36,$L20,'1.0 Data'!X$9:X$36)*'1.1 Input'!$H$13</f>
        <v>0</v>
      </c>
      <c r="T20" s="6">
        <f>SUMIF('1.0 Data'!$R$9:$R$36,$L20,'1.0 Data'!Y$9:Y$36)*'1.1 Input'!$H$13</f>
        <v>0</v>
      </c>
      <c r="U20" s="46">
        <f t="shared" ref="U20:U25" si="5">SUM(P20:T20)</f>
        <v>0</v>
      </c>
    </row>
    <row r="21" spans="1:21">
      <c r="A21" s="6" t="str">
        <f>'1.0 Data'!A20</f>
        <v>Coms Site Huts x 2</v>
      </c>
      <c r="B21" s="14" t="str">
        <f t="shared" si="0"/>
        <v>2022/23</v>
      </c>
      <c r="C21" s="6" t="str" cm="1">
        <f t="array" ref="C21">_xlfn.IFNA(INDEX('1.0 Data'!$D$9:$D$38,MATCH(A21,'1.0 Data'!$A$9:$A$38,0),0),"")</f>
        <v>Other operating assets</v>
      </c>
      <c r="D21" s="6" t="str">
        <f>'1.0 Data'!E20</f>
        <v>Replacement expenditure</v>
      </c>
      <c r="E21" s="6">
        <f>IFERROR('1.0 Data'!H20*HLOOKUP(E$8,'1.1 Input'!$A$8:$N$14,6,FALSE),0)</f>
        <v>0</v>
      </c>
      <c r="F21" s="6">
        <f>IFERROR('1.0 Data'!I20*HLOOKUP(F$8,'1.1 Input'!$A$8:$N$14,6,FALSE),0)</f>
        <v>0</v>
      </c>
      <c r="G21" s="6">
        <f>IFERROR('1.0 Data'!J20*HLOOKUP(G$8,'1.1 Input'!$A$8:$N$14,6,FALSE),0)</f>
        <v>126.23883033447684</v>
      </c>
      <c r="H21" s="6">
        <f>IFERROR('1.0 Data'!K20*HLOOKUP(H$8,'1.1 Input'!$A$8:$N$14,6,FALSE),0)</f>
        <v>20.442533180661574</v>
      </c>
      <c r="I21" s="6">
        <f>IFERROR('1.0 Data'!L20*HLOOKUP(I$8,'1.1 Input'!$A$8:$N$14,6,FALSE),0)</f>
        <v>0</v>
      </c>
      <c r="J21" s="46">
        <f t="shared" si="1"/>
        <v>146.68136351513843</v>
      </c>
      <c r="L21" s="6" t="str">
        <f t="array" ref="L21">_xlfn.IFNA(INDEX('1.0 Data'!$R$9:$R$36,MATCH(0,COUNTIF($L$1:L20,'1.0 Data'!$R$9:$R$36),0)),"")</f>
        <v/>
      </c>
      <c r="M21" s="14" t="str">
        <f t="shared" si="4"/>
        <v/>
      </c>
      <c r="N21" s="6" t="e" cm="1">
        <f t="array" ref="N21">INDEX('1.0 Data'!$S$9:$S$36,MATCH(L21,'1.0 Data'!$R$9:$R$36,0),0)</f>
        <v>#N/A</v>
      </c>
      <c r="O21" s="6" t="e" cm="1">
        <f t="array" ref="O21">INDEX('1.0 Data'!T$9:T$36,MATCH($L21,'1.0 Data'!$R$9:$R$36,0),0)</f>
        <v>#N/A</v>
      </c>
      <c r="P21" s="6">
        <f>SUMIF('1.0 Data'!$R$9:$R$36,$L21,'1.0 Data'!U$9:U$36)*'1.1 Input'!$H$13</f>
        <v>0</v>
      </c>
      <c r="Q21" s="6">
        <f>SUMIF('1.0 Data'!$R$9:$R$36,$L21,'1.0 Data'!V$9:V$36)*'1.1 Input'!$H$13</f>
        <v>0</v>
      </c>
      <c r="R21" s="6">
        <f>SUMIF('1.0 Data'!$R$9:$R$36,$L21,'1.0 Data'!W$9:W$36)*'1.1 Input'!$H$13</f>
        <v>0</v>
      </c>
      <c r="S21" s="6">
        <f>SUMIF('1.0 Data'!$R$9:$R$36,$L21,'1.0 Data'!X$9:X$36)*'1.1 Input'!$H$13</f>
        <v>0</v>
      </c>
      <c r="T21" s="6">
        <f>SUMIF('1.0 Data'!$R$9:$R$36,$L21,'1.0 Data'!Y$9:Y$36)*'1.1 Input'!$H$13</f>
        <v>0</v>
      </c>
      <c r="U21" s="46">
        <f t="shared" si="5"/>
        <v>0</v>
      </c>
    </row>
    <row r="22" spans="1:21">
      <c r="A22" s="6" t="str">
        <f>'1.0 Data'!A21</f>
        <v>Chilled water piping refurbishment</v>
      </c>
      <c r="B22" s="14" t="str">
        <f t="shared" si="0"/>
        <v>2022/23</v>
      </c>
      <c r="C22" s="6" t="str" cm="1">
        <f t="array" ref="C22">_xlfn.IFNA(INDEX('1.0 Data'!$D$9:$D$38,MATCH(A22,'1.0 Data'!$A$9:$A$38,0),0),"")</f>
        <v>Other operating assets</v>
      </c>
      <c r="D22" s="6" t="str">
        <f>'1.0 Data'!E21</f>
        <v>Replacement expenditure</v>
      </c>
      <c r="E22" s="6">
        <f>IFERROR('1.0 Data'!H21*HLOOKUP(E$8,'1.1 Input'!$A$8:$N$14,6,FALSE),0)</f>
        <v>0</v>
      </c>
      <c r="F22" s="6">
        <f>IFERROR('1.0 Data'!I21*HLOOKUP(F$8,'1.1 Input'!$A$8:$N$14,6,FALSE),0)</f>
        <v>0</v>
      </c>
      <c r="G22" s="6">
        <f>IFERROR('1.0 Data'!J21*HLOOKUP(G$8,'1.1 Input'!$A$8:$N$14,6,FALSE),0)</f>
        <v>34.33244560034305</v>
      </c>
      <c r="H22" s="6">
        <f>IFERROR('1.0 Data'!K21*HLOOKUP(H$8,'1.1 Input'!$A$8:$N$14,6,FALSE),0)</f>
        <v>51.888269109414757</v>
      </c>
      <c r="I22" s="6">
        <f>IFERROR('1.0 Data'!L21*HLOOKUP(I$8,'1.1 Input'!$A$8:$N$14,6,FALSE),0)</f>
        <v>0</v>
      </c>
      <c r="J22" s="46">
        <f t="shared" si="1"/>
        <v>86.2207147097578</v>
      </c>
      <c r="L22" s="6" t="str">
        <f t="array" ref="L22">_xlfn.IFNA(INDEX('1.0 Data'!$R$9:$R$36,MATCH(0,COUNTIF($L$1:L21,'1.0 Data'!$R$9:$R$36),0)),"")</f>
        <v/>
      </c>
      <c r="M22" s="14" t="str">
        <f t="shared" si="4"/>
        <v/>
      </c>
      <c r="N22" s="6" t="e" cm="1">
        <f t="array" ref="N22">INDEX('1.0 Data'!$S$9:$S$36,MATCH(L22,'1.0 Data'!$R$9:$R$36,0),0)</f>
        <v>#N/A</v>
      </c>
      <c r="O22" s="6" t="e" cm="1">
        <f t="array" ref="O22">INDEX('1.0 Data'!T$9:T$36,MATCH($L22,'1.0 Data'!$R$9:$R$36,0),0)</f>
        <v>#N/A</v>
      </c>
      <c r="P22" s="6">
        <f>SUMIF('1.0 Data'!$R$9:$R$36,$L22,'1.0 Data'!U$9:U$36)*'1.1 Input'!$H$13</f>
        <v>0</v>
      </c>
      <c r="Q22" s="6">
        <f>SUMIF('1.0 Data'!$R$9:$R$36,$L22,'1.0 Data'!V$9:V$36)*'1.1 Input'!$H$13</f>
        <v>0</v>
      </c>
      <c r="R22" s="6">
        <f>SUMIF('1.0 Data'!$R$9:$R$36,$L22,'1.0 Data'!W$9:W$36)*'1.1 Input'!$H$13</f>
        <v>0</v>
      </c>
      <c r="S22" s="6">
        <f>SUMIF('1.0 Data'!$R$9:$R$36,$L22,'1.0 Data'!X$9:X$36)*'1.1 Input'!$H$13</f>
        <v>0</v>
      </c>
      <c r="T22" s="6">
        <f>SUMIF('1.0 Data'!$R$9:$R$36,$L22,'1.0 Data'!Y$9:Y$36)*'1.1 Input'!$H$13</f>
        <v>0</v>
      </c>
      <c r="U22" s="46">
        <f t="shared" si="5"/>
        <v>0</v>
      </c>
    </row>
    <row r="23" spans="1:21">
      <c r="A23" s="6" t="str">
        <f>'1.0 Data'!A22</f>
        <v>VSD Refurbishment</v>
      </c>
      <c r="B23" s="14" t="str">
        <f t="shared" si="0"/>
        <v>2022/23</v>
      </c>
      <c r="C23" s="6" t="str" cm="1">
        <f t="array" ref="C23">_xlfn.IFNA(INDEX('1.0 Data'!$D$9:$D$38,MATCH(A23,'1.0 Data'!$A$9:$A$38,0),0),"")</f>
        <v>Other operating assets</v>
      </c>
      <c r="D23" s="6" t="str">
        <f>'1.0 Data'!E22</f>
        <v>Replacement expenditure</v>
      </c>
      <c r="E23" s="6">
        <f>IFERROR('1.0 Data'!H22*HLOOKUP(E$8,'1.1 Input'!$A$8:$N$14,6,FALSE),0)</f>
        <v>0</v>
      </c>
      <c r="F23" s="6">
        <f>IFERROR('1.0 Data'!I22*HLOOKUP(F$8,'1.1 Input'!$A$8:$N$14,6,FALSE),0)</f>
        <v>0</v>
      </c>
      <c r="G23" s="6">
        <f>IFERROR('1.0 Data'!J22*HLOOKUP(G$8,'1.1 Input'!$A$8:$N$14,6,FALSE),0)</f>
        <v>11.311602452830188</v>
      </c>
      <c r="H23" s="6">
        <f>IFERROR('1.0 Data'!K22*HLOOKUP(H$8,'1.1 Input'!$A$8:$N$14,6,FALSE),0)</f>
        <v>589.20937147582697</v>
      </c>
      <c r="I23" s="6">
        <f>IFERROR('1.0 Data'!L22*HLOOKUP(I$8,'1.1 Input'!$A$8:$N$14,6,FALSE),0)</f>
        <v>204.92366412213741</v>
      </c>
      <c r="J23" s="46">
        <f t="shared" si="1"/>
        <v>805.44463805079465</v>
      </c>
      <c r="L23" s="6" t="str">
        <f t="array" ref="L23">_xlfn.IFNA(INDEX('1.0 Data'!$R$9:$R$36,MATCH(0,COUNTIF($L$1:L22,'1.0 Data'!$R$9:$R$36),0)),"")</f>
        <v/>
      </c>
      <c r="M23" s="14" t="str">
        <f t="shared" si="4"/>
        <v/>
      </c>
      <c r="N23" s="6" t="e" cm="1">
        <f t="array" ref="N23">INDEX('1.0 Data'!$S$9:$S$36,MATCH(L23,'1.0 Data'!$R$9:$R$36,0),0)</f>
        <v>#N/A</v>
      </c>
      <c r="O23" s="6" t="e" cm="1">
        <f t="array" ref="O23">INDEX('1.0 Data'!T$9:T$36,MATCH($L23,'1.0 Data'!$R$9:$R$36,0),0)</f>
        <v>#N/A</v>
      </c>
      <c r="P23" s="6">
        <f>SUMIF('1.0 Data'!$R$9:$R$36,$L23,'1.0 Data'!U$9:U$36)*'1.1 Input'!$H$13</f>
        <v>0</v>
      </c>
      <c r="Q23" s="6">
        <f>SUMIF('1.0 Data'!$R$9:$R$36,$L23,'1.0 Data'!V$9:V$36)*'1.1 Input'!$H$13</f>
        <v>0</v>
      </c>
      <c r="R23" s="6">
        <f>SUMIF('1.0 Data'!$R$9:$R$36,$L23,'1.0 Data'!W$9:W$36)*'1.1 Input'!$H$13</f>
        <v>0</v>
      </c>
      <c r="S23" s="6">
        <f>SUMIF('1.0 Data'!$R$9:$R$36,$L23,'1.0 Data'!X$9:X$36)*'1.1 Input'!$H$13</f>
        <v>0</v>
      </c>
      <c r="T23" s="6">
        <f>SUMIF('1.0 Data'!$R$9:$R$36,$L23,'1.0 Data'!Y$9:Y$36)*'1.1 Input'!$H$13</f>
        <v>0</v>
      </c>
      <c r="U23" s="46">
        <f t="shared" si="5"/>
        <v>0</v>
      </c>
    </row>
    <row r="24" spans="1:21">
      <c r="A24" s="6" t="str">
        <f>'1.0 Data'!A23</f>
        <v>Spares</v>
      </c>
      <c r="B24" s="14" t="str">
        <f t="shared" si="0"/>
        <v>2022/23</v>
      </c>
      <c r="C24" s="6" t="str" cm="1">
        <f t="array" ref="C24">_xlfn.IFNA(INDEX('1.0 Data'!$D$9:$D$38,MATCH(A24,'1.0 Data'!$A$9:$A$38,0),0),"")</f>
        <v>Switchyard</v>
      </c>
      <c r="D24" s="6" t="str">
        <f>'1.0 Data'!E23</f>
        <v>Replacement expenditure</v>
      </c>
      <c r="E24" s="6">
        <f>IFERROR('1.0 Data'!H23*HLOOKUP(E$8,'1.1 Input'!$A$8:$N$14,6,FALSE),0)</f>
        <v>0</v>
      </c>
      <c r="F24" s="6">
        <f>IFERROR('1.0 Data'!I23*HLOOKUP(F$8,'1.1 Input'!$A$8:$N$14,6,FALSE),0)</f>
        <v>0</v>
      </c>
      <c r="G24" s="6">
        <f>IFERROR('1.0 Data'!J23*HLOOKUP(G$8,'1.1 Input'!$A$8:$N$14,6,FALSE),0)</f>
        <v>0</v>
      </c>
      <c r="H24" s="6">
        <f>IFERROR('1.0 Data'!K23*HLOOKUP(H$8,'1.1 Input'!$A$8:$N$14,6,FALSE),0)</f>
        <v>31.368033078880405</v>
      </c>
      <c r="I24" s="6">
        <f>IFERROR('1.0 Data'!L23*HLOOKUP(I$8,'1.1 Input'!$A$8:$N$14,6,FALSE),0)</f>
        <v>25.221374045801525</v>
      </c>
      <c r="J24" s="46">
        <f t="shared" si="1"/>
        <v>56.589407124681927</v>
      </c>
      <c r="L24" s="6" t="str">
        <f t="array" ref="L24">_xlfn.IFNA(INDEX('1.0 Data'!$R$9:$R$36,MATCH(0,COUNTIF($L$1:L23,'1.0 Data'!$R$9:$R$36),0)),"")</f>
        <v/>
      </c>
      <c r="M24" s="14" t="str">
        <f t="shared" si="4"/>
        <v/>
      </c>
      <c r="N24" s="6" t="e" cm="1">
        <f t="array" ref="N24">INDEX('1.0 Data'!$S$9:$S$36,MATCH(L24,'1.0 Data'!$R$9:$R$36,0),0)</f>
        <v>#N/A</v>
      </c>
      <c r="O24" s="6" t="e" cm="1">
        <f t="array" ref="O24">INDEX('1.0 Data'!T$9:T$36,MATCH($L24,'1.0 Data'!$R$9:$R$36,0),0)</f>
        <v>#N/A</v>
      </c>
      <c r="P24" s="6">
        <f>SUMIF('1.0 Data'!$R$9:$R$36,$L24,'1.0 Data'!U$9:U$36)*'1.1 Input'!$H$13</f>
        <v>0</v>
      </c>
      <c r="Q24" s="6">
        <f>SUMIF('1.0 Data'!$R$9:$R$36,$L24,'1.0 Data'!V$9:V$36)*'1.1 Input'!$H$13</f>
        <v>0</v>
      </c>
      <c r="R24" s="6">
        <f>SUMIF('1.0 Data'!$R$9:$R$36,$L24,'1.0 Data'!W$9:W$36)*'1.1 Input'!$H$13</f>
        <v>0</v>
      </c>
      <c r="S24" s="6">
        <f>SUMIF('1.0 Data'!$R$9:$R$36,$L24,'1.0 Data'!X$9:X$36)*'1.1 Input'!$H$13</f>
        <v>0</v>
      </c>
      <c r="T24" s="6">
        <f>SUMIF('1.0 Data'!$R$9:$R$36,$L24,'1.0 Data'!Y$9:Y$36)*'1.1 Input'!$H$13</f>
        <v>0</v>
      </c>
      <c r="U24" s="46">
        <f t="shared" si="5"/>
        <v>0</v>
      </c>
    </row>
    <row r="25" spans="1:21">
      <c r="A25" s="6" t="str">
        <f>'1.0 Data'!A24</f>
        <v>Other Minor Capital Works</v>
      </c>
      <c r="B25" s="14" t="str">
        <f t="shared" si="0"/>
        <v>2022/23</v>
      </c>
      <c r="C25" s="6" t="str" cm="1">
        <f t="array" ref="C25">_xlfn.IFNA(INDEX('1.0 Data'!$D$9:$D$38,MATCH(A25,'1.0 Data'!$A$9:$A$38,0),0),"")</f>
        <v>Other operating assets</v>
      </c>
      <c r="D25" s="6" t="str">
        <f>'1.0 Data'!E24</f>
        <v>Replacement expenditure</v>
      </c>
      <c r="E25" s="6">
        <f>IFERROR('1.0 Data'!H24*HLOOKUP(E$8,'1.1 Input'!$A$8:$N$14,6,FALSE),0)</f>
        <v>0</v>
      </c>
      <c r="F25" s="6">
        <f>IFERROR('1.0 Data'!I24*HLOOKUP(F$8,'1.1 Input'!$A$8:$N$14,6,FALSE),0)</f>
        <v>0</v>
      </c>
      <c r="G25" s="6">
        <f>IFERROR('1.0 Data'!J24*HLOOKUP(G$8,'1.1 Input'!$A$8:$N$14,6,FALSE),0)</f>
        <v>0</v>
      </c>
      <c r="H25" s="6">
        <f>IFERROR('1.0 Data'!K24*HLOOKUP(H$8,'1.1 Input'!$A$8:$N$14,6,FALSE),0)</f>
        <v>226.00678867684479</v>
      </c>
      <c r="I25" s="6">
        <f>IFERROR('1.0 Data'!L24*HLOOKUP(I$8,'1.1 Input'!$A$8:$N$14,6,FALSE),0)</f>
        <v>184.95674300254453</v>
      </c>
      <c r="J25" s="46">
        <f t="shared" si="1"/>
        <v>410.96353167938935</v>
      </c>
      <c r="L25" s="6" t="str">
        <f t="array" ref="L25">_xlfn.IFNA(INDEX('1.0 Data'!$R$9:$R$36,MATCH(0,COUNTIF($L$1:L24,'1.0 Data'!$R$9:$R$36),0)),"")</f>
        <v/>
      </c>
      <c r="M25" s="14" t="str">
        <f t="shared" si="4"/>
        <v/>
      </c>
      <c r="N25" s="6" t="e" cm="1">
        <f t="array" ref="N25">INDEX('1.0 Data'!$S$9:$S$36,MATCH(L25,'1.0 Data'!$R$9:$R$36,0),0)</f>
        <v>#N/A</v>
      </c>
      <c r="O25" s="6" t="e" cm="1">
        <f t="array" ref="O25">INDEX('1.0 Data'!T$9:T$36,MATCH($L25,'1.0 Data'!$R$9:$R$36,0),0)</f>
        <v>#N/A</v>
      </c>
      <c r="P25" s="6">
        <f>SUMIF('1.0 Data'!$R$9:$R$36,$L25,'1.0 Data'!U$9:U$36)*'1.1 Input'!$H$13</f>
        <v>0</v>
      </c>
      <c r="Q25" s="6">
        <f>SUMIF('1.0 Data'!$R$9:$R$36,$L25,'1.0 Data'!V$9:V$36)*'1.1 Input'!$H$13</f>
        <v>0</v>
      </c>
      <c r="R25" s="6">
        <f>SUMIF('1.0 Data'!$R$9:$R$36,$L25,'1.0 Data'!W$9:W$36)*'1.1 Input'!$H$13</f>
        <v>0</v>
      </c>
      <c r="S25" s="6">
        <f>SUMIF('1.0 Data'!$R$9:$R$36,$L25,'1.0 Data'!X$9:X$36)*'1.1 Input'!$H$13</f>
        <v>0</v>
      </c>
      <c r="T25" s="6">
        <f>SUMIF('1.0 Data'!$R$9:$R$36,$L25,'1.0 Data'!Y$9:Y$36)*'1.1 Input'!$H$13</f>
        <v>0</v>
      </c>
      <c r="U25" s="46">
        <f t="shared" si="5"/>
        <v>0</v>
      </c>
    </row>
    <row r="26" spans="1:21">
      <c r="A26" s="6" t="str">
        <f>'1.0 Data'!A25</f>
        <v>Enhanced cooling systems</v>
      </c>
      <c r="B26" s="14" t="str">
        <f t="shared" si="0"/>
        <v>2022/23</v>
      </c>
      <c r="C26" s="6" t="str" cm="1">
        <f t="array" ref="C26">_xlfn.IFNA(INDEX('1.0 Data'!$D$9:$D$38,MATCH(A26,'1.0 Data'!$A$9:$A$38,0),0),"")</f>
        <v>Other operating assets</v>
      </c>
      <c r="D26" s="6" t="str">
        <f>'1.0 Data'!E25</f>
        <v>Replacement expenditure</v>
      </c>
      <c r="E26" s="6">
        <f>IFERROR('1.0 Data'!H25*HLOOKUP(E$8,'1.1 Input'!$A$8:$N$14,6,FALSE),0)</f>
        <v>0</v>
      </c>
      <c r="F26" s="6">
        <f>IFERROR('1.0 Data'!I25*HLOOKUP(F$8,'1.1 Input'!$A$8:$N$14,6,FALSE),0)</f>
        <v>0</v>
      </c>
      <c r="G26" s="6">
        <f>IFERROR('1.0 Data'!J25*HLOOKUP(G$8,'1.1 Input'!$A$8:$N$14,6,FALSE),0)</f>
        <v>0</v>
      </c>
      <c r="H26" s="6">
        <f>IFERROR('1.0 Data'!K25*HLOOKUP(H$8,'1.1 Input'!$A$8:$N$14,6,FALSE),0)</f>
        <v>73.562340966921127</v>
      </c>
      <c r="I26" s="6">
        <f>IFERROR('1.0 Data'!L25*HLOOKUP(I$8,'1.1 Input'!$A$8:$N$14,6,FALSE),0)</f>
        <v>425.64899540012732</v>
      </c>
      <c r="J26" s="46">
        <f t="shared" si="1"/>
        <v>499.21133636704843</v>
      </c>
    </row>
    <row r="27" spans="1:21">
      <c r="A27" s="6" t="str">
        <f>'1.0 Data'!A26</f>
        <v>Cable relocation</v>
      </c>
      <c r="B27" s="14" t="str">
        <f t="shared" si="0"/>
        <v>2022/23</v>
      </c>
      <c r="C27" s="6" t="str" cm="1">
        <f t="array" ref="C27">_xlfn.IFNA(INDEX('1.0 Data'!$D$9:$D$38,MATCH(A27,'1.0 Data'!$A$9:$A$38,0),0),"")</f>
        <v>Transmission line</v>
      </c>
      <c r="D27" s="6" t="str">
        <f>'1.0 Data'!E26</f>
        <v>Replacement expenditure</v>
      </c>
      <c r="E27" s="6">
        <f>IFERROR('1.0 Data'!H26*HLOOKUP(E$8,'1.1 Input'!$A$8:$N$14,6,FALSE),0)</f>
        <v>0</v>
      </c>
      <c r="F27" s="6">
        <f>IFERROR('1.0 Data'!I26*HLOOKUP(F$8,'1.1 Input'!$A$8:$N$14,6,FALSE),0)</f>
        <v>0</v>
      </c>
      <c r="G27" s="6">
        <f>IFERROR('1.0 Data'!J26*HLOOKUP(G$8,'1.1 Input'!$A$8:$N$14,6,FALSE),0)</f>
        <v>0</v>
      </c>
      <c r="H27" s="6">
        <f>IFERROR('1.0 Data'!K26*HLOOKUP(H$8,'1.1 Input'!$A$8:$N$14,6,FALSE),0)</f>
        <v>0</v>
      </c>
      <c r="I27" s="6">
        <f>IFERROR('1.0 Data'!L26*HLOOKUP(I$8,'1.1 Input'!$A$8:$N$14,6,FALSE),0)</f>
        <v>37.832061068702288</v>
      </c>
      <c r="J27" s="46">
        <f t="shared" si="1"/>
        <v>37.832061068702288</v>
      </c>
    </row>
    <row r="28" spans="1:21">
      <c r="A28" s="6" t="str">
        <f>'1.0 Data'!A27</f>
        <v xml:space="preserve">Cable Protection </v>
      </c>
      <c r="B28" s="14" t="str">
        <f t="shared" si="0"/>
        <v>2022/23</v>
      </c>
      <c r="C28" s="6" t="str" cm="1">
        <f t="array" ref="C28">_xlfn.IFNA(INDEX('1.0 Data'!$D$9:$D$38,MATCH(A28,'1.0 Data'!$A$9:$A$38,0),0),"")</f>
        <v>Switchyard</v>
      </c>
      <c r="D28" s="6" t="str">
        <f>'1.0 Data'!E27</f>
        <v>Replacement expenditure</v>
      </c>
      <c r="E28" s="6">
        <f>IFERROR('1.0 Data'!H27*HLOOKUP(E$8,'1.1 Input'!$A$8:$N$14,6,FALSE),0)</f>
        <v>0</v>
      </c>
      <c r="F28" s="6">
        <f>IFERROR('1.0 Data'!I27*HLOOKUP(F$8,'1.1 Input'!$A$8:$N$14,6,FALSE),0)</f>
        <v>0</v>
      </c>
      <c r="G28" s="6">
        <f>IFERROR('1.0 Data'!J27*HLOOKUP(G$8,'1.1 Input'!$A$8:$N$14,6,FALSE),0)</f>
        <v>0</v>
      </c>
      <c r="H28" s="6">
        <f>IFERROR('1.0 Data'!K27*HLOOKUP(H$8,'1.1 Input'!$A$8:$N$14,6,FALSE),0)</f>
        <v>28.899491094147582</v>
      </c>
      <c r="I28" s="6">
        <f>IFERROR('1.0 Data'!L27*HLOOKUP(I$8,'1.1 Input'!$A$8:$N$14,6,FALSE),0)</f>
        <v>26.272264631043257</v>
      </c>
      <c r="J28" s="46">
        <f t="shared" si="1"/>
        <v>55.171755725190835</v>
      </c>
    </row>
    <row r="29" spans="1:21">
      <c r="A29" s="6" t="str">
        <f>'1.0 Data'!A28</f>
        <v>Essential Spares</v>
      </c>
      <c r="B29" s="14" t="str">
        <f>IF(A29="","",$I$8)</f>
        <v>2022/23</v>
      </c>
      <c r="C29" s="6" t="str" cm="1">
        <f t="array" ref="C29">_xlfn.IFNA(INDEX('1.0 Data'!$D$9:$D$38,MATCH(A29,'1.0 Data'!$A$9:$A$38,0),0),"")</f>
        <v>Switchyard</v>
      </c>
      <c r="D29" s="6" t="str">
        <f>'1.0 Data'!E28</f>
        <v>Replacement expenditure</v>
      </c>
      <c r="E29" s="6">
        <f>IFERROR('1.0 Data'!H28*HLOOKUP(E$8,'1.1 Input'!$A$8:$N$14,6,FALSE),0)</f>
        <v>0</v>
      </c>
      <c r="F29" s="6">
        <f>IFERROR('1.0 Data'!I28*HLOOKUP(F$8,'1.1 Input'!$A$8:$N$14,6,FALSE),0)</f>
        <v>0</v>
      </c>
      <c r="G29" s="6">
        <f>IFERROR('1.0 Data'!J28*HLOOKUP(G$8,'1.1 Input'!$A$8:$N$14,6,FALSE),0)</f>
        <v>0</v>
      </c>
      <c r="H29" s="6">
        <f>IFERROR('1.0 Data'!K28*HLOOKUP(H$8,'1.1 Input'!$A$8:$N$14,6,FALSE),0)</f>
        <v>0</v>
      </c>
      <c r="I29" s="6">
        <f>IFERROR('1.0 Data'!L28*HLOOKUP(I$8,'1.1 Input'!$A$8:$N$14,6,FALSE),0)</f>
        <v>86.559493002544528</v>
      </c>
      <c r="J29" s="46">
        <f>SUM(E29:I29)</f>
        <v>86.559493002544528</v>
      </c>
    </row>
    <row r="30" spans="1:21">
      <c r="A30" s="6" t="str">
        <f>'1.0 Data'!A29</f>
        <v>Obsolete IGBTs</v>
      </c>
      <c r="B30" s="14" t="str">
        <f>IF(A30="","",$I$8)</f>
        <v>2022/23</v>
      </c>
      <c r="C30" s="6" t="str" cm="1">
        <f t="array" ref="C30">_xlfn.IFNA(INDEX('1.0 Data'!$D$9:$D$38,MATCH(A30,'1.0 Data'!$A$9:$A$38,0),0),"")</f>
        <v>Switchyard</v>
      </c>
      <c r="D30" s="6" t="str">
        <f>'1.0 Data'!E29</f>
        <v>Replacement expenditure</v>
      </c>
      <c r="E30" s="6">
        <f>IFERROR('1.0 Data'!H29*HLOOKUP(E$8,'1.1 Input'!$A$8:$N$14,6,FALSE),0)</f>
        <v>0</v>
      </c>
      <c r="F30" s="6">
        <f>IFERROR('1.0 Data'!I29*HLOOKUP(F$8,'1.1 Input'!$A$8:$N$14,6,FALSE),0)</f>
        <v>0</v>
      </c>
      <c r="G30" s="6">
        <f>IFERROR('1.0 Data'!J29*HLOOKUP(G$8,'1.1 Input'!$A$8:$N$14,6,FALSE),0)</f>
        <v>0</v>
      </c>
      <c r="H30" s="6">
        <f>IFERROR('1.0 Data'!K29*HLOOKUP(H$8,'1.1 Input'!$A$8:$N$14,6,FALSE),0)</f>
        <v>0</v>
      </c>
      <c r="I30" s="6">
        <f>IFERROR('1.0 Data'!L29*HLOOKUP(I$8,'1.1 Input'!$A$8:$N$14,6,FALSE),0)</f>
        <v>1563.5414426208654</v>
      </c>
      <c r="J30" s="46">
        <f>SUM(E30:I30)</f>
        <v>1563.5414426208654</v>
      </c>
    </row>
    <row r="31" spans="1:21">
      <c r="A31" s="6" t="str">
        <f>'1.0 Data'!A30</f>
        <v>battery chargers</v>
      </c>
      <c r="B31" s="14" t="str">
        <f>IF(A31="","",$I$8)</f>
        <v>2022/23</v>
      </c>
      <c r="C31" s="6" t="str" cm="1">
        <f t="array" ref="C31">_xlfn.IFNA(INDEX('1.0 Data'!$D$9:$D$38,MATCH(A31,'1.0 Data'!$A$9:$A$38,0),0),"")</f>
        <v>Other operating assets</v>
      </c>
      <c r="D31" s="6" t="str">
        <f>'1.0 Data'!E30</f>
        <v>Replacement expenditure</v>
      </c>
      <c r="E31" s="6">
        <f>IFERROR('1.0 Data'!H30*HLOOKUP(E$8,'1.1 Input'!$A$8:$N$14,6,FALSE),0)</f>
        <v>0</v>
      </c>
      <c r="F31" s="6">
        <f>IFERROR('1.0 Data'!I30*HLOOKUP(F$8,'1.1 Input'!$A$8:$N$14,6,FALSE),0)</f>
        <v>0</v>
      </c>
      <c r="G31" s="6">
        <f>IFERROR('1.0 Data'!J30*HLOOKUP(G$8,'1.1 Input'!$A$8:$N$14,6,FALSE),0)</f>
        <v>0</v>
      </c>
      <c r="H31" s="6">
        <f>IFERROR('1.0 Data'!K30*HLOOKUP(H$8,'1.1 Input'!$A$8:$N$14,6,FALSE),0)</f>
        <v>15.952519083969465</v>
      </c>
      <c r="I31" s="6">
        <f>IFERROR('1.0 Data'!L30*HLOOKUP(I$8,'1.1 Input'!$A$8:$N$14,6,FALSE),0)</f>
        <v>72.511450381679396</v>
      </c>
      <c r="J31" s="46">
        <f>SUM(E31:I31)</f>
        <v>88.463969465648859</v>
      </c>
    </row>
    <row r="32" spans="1:21">
      <c r="A32" s="6" t="str">
        <f>'1.0 Data'!A31</f>
        <v>Stay in business</v>
      </c>
      <c r="B32" s="14" t="str">
        <f>IF(A32="","",$I$8)</f>
        <v>2022/23</v>
      </c>
      <c r="C32" s="6" t="str" cm="1">
        <f t="array" ref="C32">_xlfn.IFNA(INDEX('1.0 Data'!$D$9:$D$38,MATCH(A32,'1.0 Data'!$A$9:$A$38,0),0),"")</f>
        <v>Other operating assets</v>
      </c>
      <c r="D32" s="6" t="str">
        <f>'1.0 Data'!E31</f>
        <v>Replacement expenditure</v>
      </c>
      <c r="E32" s="6">
        <f>IFERROR('1.0 Data'!H31*HLOOKUP(E$8,'1.1 Input'!$A$8:$N$14,6,FALSE),0)</f>
        <v>0</v>
      </c>
      <c r="F32" s="6">
        <f>IFERROR('1.0 Data'!I31*HLOOKUP(F$8,'1.1 Input'!$A$8:$N$14,6,FALSE),0)</f>
        <v>0</v>
      </c>
      <c r="G32" s="6">
        <f>IFERROR('1.0 Data'!J31*HLOOKUP(G$8,'1.1 Input'!$A$8:$N$14,6,FALSE),0)</f>
        <v>0</v>
      </c>
      <c r="H32" s="6">
        <f>IFERROR('1.0 Data'!K31*HLOOKUP(H$8,'1.1 Input'!$A$8:$N$14,6,FALSE),0)</f>
        <v>0</v>
      </c>
      <c r="I32" s="6">
        <f>IFERROR('1.0 Data'!L31*HLOOKUP(I$8,'1.1 Input'!$A$8:$N$14,6,FALSE),0)</f>
        <v>285.07167127860055</v>
      </c>
      <c r="J32" s="46">
        <f>SUM(E32:I32)</f>
        <v>285.07167127860055</v>
      </c>
    </row>
    <row r="33" spans="1:25">
      <c r="A33" s="6" t="str">
        <f>'1.0 Data'!A32</f>
        <v>- Converter Station Subsystems</v>
      </c>
      <c r="B33" s="14" t="str">
        <f t="shared" ref="B33:B38" si="6">IF(A33="","",$I$8)</f>
        <v>2022/23</v>
      </c>
      <c r="C33" s="6" t="str" cm="1">
        <f t="array" ref="C33">_xlfn.IFNA(INDEX('1.0 Data'!$D$9:$D$38,MATCH(A33,'1.0 Data'!$A$9:$A$38,0),0),"")</f>
        <v>Switchyard</v>
      </c>
      <c r="D33" s="6" t="str">
        <f>'1.0 Data'!E32</f>
        <v>Replacement expenditure</v>
      </c>
      <c r="E33" s="6">
        <f>IFERROR('1.0 Data'!H32*HLOOKUP(E$8,'1.1 Input'!$A$8:$N$14,6,FALSE),0)</f>
        <v>0</v>
      </c>
      <c r="F33" s="6">
        <f>IFERROR('1.0 Data'!I32*HLOOKUP(F$8,'1.1 Input'!$A$8:$N$14,6,FALSE),0)</f>
        <v>0</v>
      </c>
      <c r="G33" s="6">
        <f>IFERROR('1.0 Data'!J32*HLOOKUP(G$8,'1.1 Input'!$A$8:$N$14,6,FALSE),0)</f>
        <v>0</v>
      </c>
      <c r="H33" s="6">
        <f>IFERROR('1.0 Data'!K32*HLOOKUP(H$8,'1.1 Input'!$A$8:$N$14,6,FALSE),0)</f>
        <v>0</v>
      </c>
      <c r="I33" s="6">
        <f>IFERROR('1.0 Data'!L32*HLOOKUP(I$8,'1.1 Input'!$A$8:$N$14,6,FALSE),0)</f>
        <v>0</v>
      </c>
      <c r="J33" s="46">
        <f t="shared" ref="J33:J38" si="7">SUM(E33:I33)</f>
        <v>0</v>
      </c>
    </row>
    <row r="34" spans="1:25">
      <c r="A34" s="6" t="str">
        <f>'1.0 Data'!A33</f>
        <v>Cable Protection/Modification</v>
      </c>
      <c r="B34" s="14" t="str">
        <f t="shared" si="6"/>
        <v>2022/23</v>
      </c>
      <c r="C34" s="6" t="str" cm="1">
        <f t="array" ref="C34">_xlfn.IFNA(INDEX('1.0 Data'!$D$9:$D$38,MATCH(A34,'1.0 Data'!$A$9:$A$38,0),0),"")</f>
        <v>Other operating assets</v>
      </c>
      <c r="D34" s="6" t="str">
        <f>'1.0 Data'!E33</f>
        <v>Replacement expenditure</v>
      </c>
      <c r="E34" s="6">
        <f>IFERROR('1.0 Data'!H33*HLOOKUP(E$8,'1.1 Input'!$A$8:$N$14,6,FALSE),0)</f>
        <v>0</v>
      </c>
      <c r="F34" s="6">
        <f>IFERROR('1.0 Data'!I33*HLOOKUP(F$8,'1.1 Input'!$A$8:$N$14,6,FALSE),0)</f>
        <v>0</v>
      </c>
      <c r="G34" s="6">
        <f>IFERROR('1.0 Data'!J33*HLOOKUP(G$8,'1.1 Input'!$A$8:$N$14,6,FALSE),0)</f>
        <v>0</v>
      </c>
      <c r="H34" s="6">
        <f>IFERROR('1.0 Data'!K33*HLOOKUP(H$8,'1.1 Input'!$A$8:$N$14,6,FALSE),0)</f>
        <v>0</v>
      </c>
      <c r="I34" s="6">
        <f>IFERROR('1.0 Data'!L33*HLOOKUP(I$8,'1.1 Input'!$A$8:$N$14,6,FALSE),0)</f>
        <v>63.151167938931295</v>
      </c>
      <c r="J34" s="46">
        <f t="shared" si="7"/>
        <v>63.151167938931295</v>
      </c>
    </row>
    <row r="35" spans="1:25">
      <c r="A35" s="6" t="str">
        <f>'1.0 Data'!A34</f>
        <v>Testing Equipment</v>
      </c>
      <c r="B35" s="14" t="str">
        <f t="shared" si="6"/>
        <v>2022/23</v>
      </c>
      <c r="C35" s="6" t="str" cm="1">
        <f t="array" ref="C35">_xlfn.IFNA(INDEX('1.0 Data'!$D$9:$D$38,MATCH(A35,'1.0 Data'!$A$9:$A$38,0),0),"")</f>
        <v>Ancillary 7 - pressure vessel testing and inspection</v>
      </c>
      <c r="D35" s="6" t="str">
        <f>'1.0 Data'!E34</f>
        <v>Replacement expenditure</v>
      </c>
      <c r="E35" s="6">
        <f>IFERROR('1.0 Data'!H34*HLOOKUP(E$8,'1.1 Input'!$A$8:$N$14,6,FALSE),0)</f>
        <v>0</v>
      </c>
      <c r="F35" s="6">
        <f>IFERROR('1.0 Data'!I34*HLOOKUP(F$8,'1.1 Input'!$A$8:$N$14,6,FALSE),0)</f>
        <v>0</v>
      </c>
      <c r="G35" s="6">
        <f>IFERROR('1.0 Data'!J34*HLOOKUP(G$8,'1.1 Input'!$A$8:$N$14,6,FALSE),0)</f>
        <v>0</v>
      </c>
      <c r="H35" s="6">
        <f>IFERROR('1.0 Data'!K34*HLOOKUP(H$8,'1.1 Input'!$A$8:$N$14,6,FALSE),0)</f>
        <v>0</v>
      </c>
      <c r="I35" s="6">
        <f>IFERROR('1.0 Data'!L34*HLOOKUP(I$8,'1.1 Input'!$A$8:$N$14,6,FALSE),0)</f>
        <v>0</v>
      </c>
      <c r="J35" s="46">
        <f t="shared" si="7"/>
        <v>0</v>
      </c>
    </row>
    <row r="36" spans="1:25">
      <c r="A36" s="6" t="str">
        <f>'1.0 Data'!A35</f>
        <v xml:space="preserve">Reliability </v>
      </c>
      <c r="B36" s="14" t="str">
        <f t="shared" si="6"/>
        <v>2022/23</v>
      </c>
      <c r="C36" s="6" t="str" cm="1">
        <f t="array" ref="C36">_xlfn.IFNA(INDEX('1.0 Data'!$D$9:$D$38,MATCH(A36,'1.0 Data'!$A$9:$A$38,0),0),"")</f>
        <v>Other operating assets</v>
      </c>
      <c r="D36" s="6" t="str">
        <f>'1.0 Data'!E35</f>
        <v>Replacement expenditure</v>
      </c>
      <c r="E36" s="6">
        <f>IFERROR('1.0 Data'!H35*HLOOKUP(E$8,'1.1 Input'!$A$8:$N$14,6,FALSE),0)</f>
        <v>0</v>
      </c>
      <c r="F36" s="6">
        <f>IFERROR('1.0 Data'!I35*HLOOKUP(F$8,'1.1 Input'!$A$8:$N$14,6,FALSE),0)</f>
        <v>0</v>
      </c>
      <c r="G36" s="6">
        <f>IFERROR('1.0 Data'!J35*HLOOKUP(G$8,'1.1 Input'!$A$8:$N$14,6,FALSE),0)</f>
        <v>0</v>
      </c>
      <c r="H36" s="6">
        <f>IFERROR('1.0 Data'!K35*HLOOKUP(H$8,'1.1 Input'!$A$8:$N$14,6,FALSE),0)</f>
        <v>0</v>
      </c>
      <c r="I36" s="6">
        <f>IFERROR('1.0 Data'!L35*HLOOKUP(I$8,'1.1 Input'!$A$8:$N$14,6,FALSE),0)</f>
        <v>159.65379357506364</v>
      </c>
      <c r="J36" s="46">
        <f t="shared" si="7"/>
        <v>159.65379357506364</v>
      </c>
    </row>
    <row r="37" spans="1:25">
      <c r="A37" s="6" t="str">
        <f>'1.0 Data'!A36</f>
        <v>Refurbishment/Replacement</v>
      </c>
      <c r="B37" s="14" t="str">
        <f t="shared" si="6"/>
        <v>2022/23</v>
      </c>
      <c r="C37" s="6" t="str" cm="1">
        <f t="array" ref="C37">_xlfn.IFNA(INDEX('1.0 Data'!$D$9:$D$38,MATCH(A37,'1.0 Data'!$A$9:$A$38,0),0),"")</f>
        <v>Other operating assets</v>
      </c>
      <c r="D37" s="6" t="str">
        <f>'1.0 Data'!E36</f>
        <v>Replacement expenditure</v>
      </c>
      <c r="E37" s="6">
        <f>IFERROR('1.0 Data'!H36*HLOOKUP(E$8,'1.1 Input'!$A$8:$N$14,6,FALSE),0)</f>
        <v>0</v>
      </c>
      <c r="F37" s="6">
        <f>IFERROR('1.0 Data'!I36*HLOOKUP(F$8,'1.1 Input'!$A$8:$N$14,6,FALSE),0)</f>
        <v>0</v>
      </c>
      <c r="G37" s="6">
        <f>IFERROR('1.0 Data'!J36*HLOOKUP(G$8,'1.1 Input'!$A$8:$N$14,6,FALSE),0)</f>
        <v>0</v>
      </c>
      <c r="H37" s="6">
        <f>IFERROR('1.0 Data'!K36*HLOOKUP(H$8,'1.1 Input'!$A$8:$N$14,6,FALSE),0)</f>
        <v>0</v>
      </c>
      <c r="I37" s="6">
        <f>IFERROR('1.0 Data'!L36*HLOOKUP(I$8,'1.1 Input'!$A$8:$N$14,6,FALSE),0)</f>
        <v>39.58941284987278</v>
      </c>
      <c r="J37" s="46">
        <f t="shared" si="7"/>
        <v>39.58941284987278</v>
      </c>
    </row>
    <row r="38" spans="1:25">
      <c r="A38" s="6" t="str">
        <f>'1.0 Data'!A37</f>
        <v>SCADA</v>
      </c>
      <c r="B38" s="14" t="str">
        <f t="shared" si="6"/>
        <v>2022/23</v>
      </c>
      <c r="C38" s="6" t="str" cm="1">
        <f t="array" ref="C38">_xlfn.IFNA(INDEX('1.0 Data'!$D$9:$D$38,MATCH(A38,'1.0 Data'!$A$9:$A$38,0),0),"")</f>
        <v>Other operating assets</v>
      </c>
      <c r="D38" s="6" t="str">
        <f>'1.0 Data'!E37</f>
        <v>Replacement expenditure</v>
      </c>
      <c r="E38" s="6">
        <f>IFERROR('1.0 Data'!H37*HLOOKUP(E$8,'1.1 Input'!$A$8:$N$14,6,FALSE),0)</f>
        <v>0</v>
      </c>
      <c r="F38" s="6">
        <f>IFERROR('1.0 Data'!I37*HLOOKUP(F$8,'1.1 Input'!$A$8:$N$14,6,FALSE),0)</f>
        <v>0</v>
      </c>
      <c r="G38" s="6">
        <f>IFERROR('1.0 Data'!J37*HLOOKUP(G$8,'1.1 Input'!$A$8:$N$14,6,FALSE),0)</f>
        <v>0</v>
      </c>
      <c r="H38" s="6">
        <f>IFERROR('1.0 Data'!K37*HLOOKUP(H$8,'1.1 Input'!$A$8:$N$14,6,FALSE),0)</f>
        <v>0</v>
      </c>
      <c r="I38" s="6">
        <f>IFERROR('1.0 Data'!L37*HLOOKUP(I$8,'1.1 Input'!$A$8:$N$14,6,FALSE),0)</f>
        <v>131.3613231552163</v>
      </c>
      <c r="J38" s="46">
        <f t="shared" si="7"/>
        <v>131.3613231552163</v>
      </c>
    </row>
    <row r="39" spans="1:25">
      <c r="A39" s="6" t="str">
        <f>'1.0 Data'!A38</f>
        <v/>
      </c>
      <c r="B39" s="14" t="str">
        <f t="shared" ref="B39" si="8">IF(A39="","",$I$8)</f>
        <v/>
      </c>
      <c r="C39" s="6" cm="1">
        <f t="array" ref="C39">_xlfn.IFNA(INDEX('1.0 Data'!$D$9:$D$38,MATCH(A39,'1.0 Data'!$A$9:$A$38,0),0),"")</f>
        <v>0</v>
      </c>
      <c r="D39" s="6">
        <f>'1.0 Data'!E38</f>
        <v>0</v>
      </c>
      <c r="E39" s="6">
        <f>IFERROR('1.0 Data'!H38*HLOOKUP(E$8,'1.1 Input'!$A$8:$N$14,6,FALSE),0)</f>
        <v>0</v>
      </c>
      <c r="F39" s="6">
        <f>IFERROR('1.0 Data'!I38*HLOOKUP(F$8,'1.1 Input'!$A$8:$N$14,6,FALSE),0)</f>
        <v>0</v>
      </c>
      <c r="G39" s="6">
        <f>IFERROR('1.0 Data'!J38*HLOOKUP(G$8,'1.1 Input'!$A$8:$N$14,6,FALSE),0)</f>
        <v>0</v>
      </c>
      <c r="H39" s="6">
        <f>IFERROR('1.0 Data'!K38*HLOOKUP(H$8,'1.1 Input'!$A$8:$N$14,6,FALSE),0)</f>
        <v>0</v>
      </c>
      <c r="I39" s="6">
        <f>IFERROR('1.0 Data'!L38*HLOOKUP(I$8,'1.1 Input'!$A$8:$N$14,6,FALSE),0)</f>
        <v>0</v>
      </c>
      <c r="J39" s="46">
        <f t="shared" ref="J39" si="9">SUM(E39:I39)</f>
        <v>0</v>
      </c>
    </row>
    <row r="40" spans="1:25">
      <c r="A40" s="6"/>
      <c r="B40" s="14"/>
      <c r="C40" s="6"/>
      <c r="D40" s="6"/>
      <c r="E40" s="6"/>
      <c r="F40" s="6"/>
      <c r="G40" s="6"/>
      <c r="H40" s="6"/>
      <c r="I40" s="6"/>
      <c r="J40" s="46"/>
    </row>
    <row r="41" spans="1:25">
      <c r="A41" s="6"/>
      <c r="B41" s="14"/>
      <c r="C41" s="6"/>
      <c r="D41" s="6"/>
      <c r="E41" s="6"/>
      <c r="F41" s="6"/>
      <c r="G41" s="6"/>
      <c r="H41" s="6"/>
      <c r="I41" s="6"/>
      <c r="J41" s="46"/>
    </row>
    <row r="43" spans="1:25" ht="19.5">
      <c r="A43" s="2" t="str">
        <f>L43</f>
        <v>Project by size</v>
      </c>
      <c r="B43" s="2"/>
      <c r="C43" s="2"/>
      <c r="D43" s="2"/>
      <c r="E43" s="2"/>
      <c r="F43" s="2"/>
      <c r="G43" s="2"/>
      <c r="H43" s="2"/>
      <c r="I43" s="2"/>
      <c r="J43" s="2"/>
      <c r="K43" s="2"/>
      <c r="L43" s="2" t="s">
        <v>135</v>
      </c>
      <c r="M43" s="2"/>
      <c r="N43" s="2"/>
      <c r="O43" s="2"/>
      <c r="P43" s="2"/>
      <c r="Q43" s="2"/>
      <c r="R43" s="2"/>
      <c r="S43" s="2"/>
      <c r="T43" s="2"/>
      <c r="U43" s="2"/>
      <c r="V43" s="2"/>
      <c r="W43" s="2"/>
      <c r="X43" s="2"/>
      <c r="Y43" s="2"/>
    </row>
    <row r="44" spans="1:25" ht="16.5">
      <c r="A44" s="4" t="s">
        <v>136</v>
      </c>
      <c r="B44" s="4"/>
      <c r="C44" s="4"/>
      <c r="D44" s="4"/>
      <c r="E44" s="4"/>
      <c r="F44" s="4"/>
      <c r="G44" s="4"/>
      <c r="H44" s="4"/>
      <c r="I44" s="4"/>
      <c r="J44" s="4"/>
      <c r="L44" s="4" t="str">
        <f>L7</f>
        <v>Forecast Period ($FY 2022/23 '000)</v>
      </c>
      <c r="M44" s="4"/>
      <c r="N44" s="4"/>
      <c r="O44" s="4"/>
      <c r="P44" s="4"/>
      <c r="Q44" s="4"/>
      <c r="R44" s="4"/>
      <c r="S44" s="4"/>
      <c r="T44" s="4"/>
      <c r="U44" s="4"/>
    </row>
    <row r="45" spans="1:25">
      <c r="A45" s="3" t="str">
        <f t="shared" ref="A45:J45" si="10">A8</f>
        <v>Project</v>
      </c>
      <c r="B45" s="3" t="str">
        <f t="shared" si="10"/>
        <v>$</v>
      </c>
      <c r="C45" s="3" t="str">
        <f t="shared" si="10"/>
        <v>Asset Class</v>
      </c>
      <c r="D45" s="3" t="str">
        <f t="shared" si="10"/>
        <v>Asset Driver</v>
      </c>
      <c r="E45" s="3" t="str">
        <f t="shared" si="10"/>
        <v>2018/19</v>
      </c>
      <c r="F45" s="3" t="str">
        <f t="shared" si="10"/>
        <v>2019/20</v>
      </c>
      <c r="G45" s="3" t="str">
        <f t="shared" si="10"/>
        <v>2020/21</v>
      </c>
      <c r="H45" s="3" t="str">
        <f t="shared" si="10"/>
        <v>2021/22</v>
      </c>
      <c r="I45" s="3" t="str">
        <f t="shared" si="10"/>
        <v>2022/23</v>
      </c>
      <c r="J45" s="3" t="str">
        <f t="shared" si="10"/>
        <v>Total</v>
      </c>
      <c r="L45" s="3" t="str">
        <f>L8</f>
        <v>Program</v>
      </c>
      <c r="M45" s="3" t="str">
        <f t="shared" ref="M45:U45" si="11">M8</f>
        <v>input</v>
      </c>
      <c r="N45" s="3" t="str">
        <f t="shared" si="11"/>
        <v>Asset Class</v>
      </c>
      <c r="O45" s="3" t="str">
        <f t="shared" si="11"/>
        <v>Asset Driver</v>
      </c>
      <c r="P45" s="3" t="str">
        <f t="shared" si="11"/>
        <v>2023/24</v>
      </c>
      <c r="Q45" s="3" t="str">
        <f t="shared" si="11"/>
        <v>2024/25</v>
      </c>
      <c r="R45" s="3" t="str">
        <f t="shared" si="11"/>
        <v>2025/26</v>
      </c>
      <c r="S45" s="3" t="str">
        <f t="shared" si="11"/>
        <v>2026/27</v>
      </c>
      <c r="T45" s="3" t="str">
        <f t="shared" si="11"/>
        <v>2027/28</v>
      </c>
      <c r="U45" s="3" t="str">
        <f t="shared" si="11"/>
        <v>Total</v>
      </c>
    </row>
    <row r="47" spans="1:25">
      <c r="A47" s="33" t="str" cm="1">
        <f t="array" ref="A47">INDEX(A$10:A$41,MATCH($J47,$J$10:$J$41,0),0)</f>
        <v>Replacement of Control System</v>
      </c>
      <c r="B47" s="33" t="str" cm="1">
        <f t="array" ref="B47">INDEX(B$10:B$41,MATCH($A47,$A$10:$A$41,0),0)</f>
        <v>2022/23</v>
      </c>
      <c r="C47" s="33" t="str" cm="1">
        <f t="array" ref="C47">INDEX(C$10:C$41,MATCH($J47,$J$10:$J$41,0),0)</f>
        <v>Ancillary 15 - control systems</v>
      </c>
      <c r="D47" s="33" t="str" cm="1">
        <f t="array" ref="D47">INDEX(D$10:D$41,MATCH($J47,$J$10:$J$41,0),0)</f>
        <v>Replacement expenditure</v>
      </c>
      <c r="E47" s="33" cm="1">
        <f t="array" ref="E47">INDEX(E$10:E$41,MATCH($J47,$J$10:$J$41,0),0)</f>
        <v>9577.0325867850825</v>
      </c>
      <c r="F47" s="33" cm="1">
        <f t="array" ref="F47">INDEX(F$10:F$41,MATCH($J47,$J$10:$J$41,0),0)</f>
        <v>7214.7588196932529</v>
      </c>
      <c r="G47" s="33" cm="1">
        <f t="array" ref="G47">INDEX(G$10:G$41,MATCH($J47,$J$10:$J$41,0),0)</f>
        <v>5388.4815889965685</v>
      </c>
      <c r="H47" s="33" cm="1">
        <f t="array" ref="H47">INDEX(H$10:H$41,MATCH($J47,$J$10:$J$41,0),0)</f>
        <v>595.6026430025446</v>
      </c>
      <c r="I47" s="33" cm="1">
        <f t="array" ref="I47">INDEX(I$10:I$41,MATCH($J47,$J$10:$J$41,0),0)</f>
        <v>236.45038167938932</v>
      </c>
      <c r="J47" s="46">
        <f>LARGE($J$10:$J$41,ROW()-46)</f>
        <v>23012.326020156837</v>
      </c>
      <c r="L47" s="33" t="str" cm="1">
        <f t="array" ref="L47">INDEX(L$10:L$42,MATCH($U47,$U$10:$U$42,0),0)</f>
        <v>Stay in business</v>
      </c>
      <c r="M47" s="33" t="str" cm="1">
        <f t="array" ref="M47">INDEX(M$10:M$42,MATCH($U47,$U$10:$U$42,0),0)</f>
        <v>2022/23</v>
      </c>
      <c r="N47" s="33" t="str" cm="1">
        <f t="array" ref="N47">INDEX(N$10:N$42,MATCH($U47,$U$10:$U$42,0),0)</f>
        <v>Other operating assets</v>
      </c>
      <c r="O47" s="33" t="str" cm="1">
        <f t="array" ref="O47">INDEX(O$10:O$42,MATCH($U47,$U$10:$U$42,0),0)</f>
        <v>Replacement expenditure</v>
      </c>
      <c r="P47" s="33" cm="1">
        <f t="array" ref="P47">INDEX(P$10:P$42,MATCH($U47,$U$10:$U$42,0),0)</f>
        <v>1126.5732986004073</v>
      </c>
      <c r="Q47" s="33" cm="1">
        <f t="array" ref="Q47">INDEX(Q$10:Q$42,MATCH($U47,$U$10:$U$42,0),0)</f>
        <v>1070.2654871501272</v>
      </c>
      <c r="R47" s="33" cm="1">
        <f t="array" ref="R47">INDEX(R$10:R$42,MATCH($U47,$U$10:$U$42,0),0)</f>
        <v>906.77199482707385</v>
      </c>
      <c r="S47" s="33" cm="1">
        <f t="array" ref="S47">INDEX(S$10:S$42,MATCH($U47,$U$10:$U$42,0),0)</f>
        <v>239.27622646310431</v>
      </c>
      <c r="T47" s="33" cm="1">
        <f t="array" ref="T47">INDEX(T$10:T$26,MATCH($U47,$U$10:$U$26,0),0)</f>
        <v>158.35765139949109</v>
      </c>
      <c r="U47" s="46">
        <f>LARGE($U$10:$U$42,ROW()-46)</f>
        <v>3501.2446584402037</v>
      </c>
    </row>
    <row r="48" spans="1:25">
      <c r="A48" s="33" t="str" cm="1">
        <f t="array" ref="A48">INDEX(A$10:A$41,MATCH($J48,$J$10:$J$41,0),0)</f>
        <v>Obsolete IGBTs</v>
      </c>
      <c r="B48" s="33" t="str" cm="1">
        <f t="array" ref="B48">INDEX(B$10:B$41,MATCH($A48,$A$10:$A$41,0),0)</f>
        <v>2022/23</v>
      </c>
      <c r="C48" s="33" t="str" cm="1">
        <f t="array" ref="C48">INDEX(C$10:C$41,MATCH($J48,$J$10:$J$41,0),0)</f>
        <v>Switchyard</v>
      </c>
      <c r="D48" s="33" t="str" cm="1">
        <f t="array" ref="D48">INDEX(D$10:D$41,MATCH($J48,$J$10:$J$41,0),0)</f>
        <v>Replacement expenditure</v>
      </c>
      <c r="E48" s="33" cm="1">
        <f t="array" ref="E48">INDEX(E$10:E$41,MATCH($J48,$J$10:$J$41,0),0)</f>
        <v>0</v>
      </c>
      <c r="F48" s="33" cm="1">
        <f t="array" ref="F48">INDEX(F$10:F$41,MATCH($J48,$J$10:$J$41,0),0)</f>
        <v>0</v>
      </c>
      <c r="G48" s="33" cm="1">
        <f t="array" ref="G48">INDEX(G$10:G$41,MATCH($J48,$J$10:$J$41,0),0)</f>
        <v>0</v>
      </c>
      <c r="H48" s="33" cm="1">
        <f t="array" ref="H48">INDEX(H$10:H$41,MATCH($J48,$J$10:$J$41,0),0)</f>
        <v>0</v>
      </c>
      <c r="I48" s="33" cm="1">
        <f t="array" ref="I48">INDEX(I$10:I$41,MATCH($J48,$J$10:$J$41,0),0)</f>
        <v>1563.5414426208654</v>
      </c>
      <c r="J48" s="46">
        <f t="shared" ref="J48:J64" si="12">LARGE($J$10:$J$41,ROW()-46)</f>
        <v>1563.5414426208654</v>
      </c>
      <c r="L48" s="33" t="str" cm="1">
        <f t="array" ref="L48">INDEX(L$10:L$42,MATCH($U48,$U$10:$U$42,0),0)</f>
        <v>Enhanced Cooling</v>
      </c>
      <c r="M48" s="33" t="str" cm="1">
        <f t="array" ref="M48">INDEX(M$10:M$42,MATCH($U48,$U$10:$U$42,0),0)</f>
        <v>2022/23</v>
      </c>
      <c r="N48" s="33" t="str" cm="1">
        <f t="array" ref="N48">INDEX(N$10:N$42,MATCH($U48,$U$10:$U$42,0),0)</f>
        <v>Other operating assets</v>
      </c>
      <c r="O48" s="33" t="str" cm="1">
        <f t="array" ref="O48">INDEX(O$10:O$42,MATCH($U48,$U$10:$U$42,0),0)</f>
        <v>Replacement expenditure</v>
      </c>
      <c r="P48" s="33" cm="1">
        <f t="array" ref="P48">INDEX(P$10:P$42,MATCH($U48,$U$10:$U$42,0),0)</f>
        <v>1649.7307205318068</v>
      </c>
      <c r="Q48" s="33" cm="1">
        <f t="array" ref="Q48">INDEX(Q$10:Q$42,MATCH($U48,$U$10:$U$42,0),0)</f>
        <v>1649.7307205318068</v>
      </c>
      <c r="R48" s="33" cm="1">
        <f t="array" ref="R48">INDEX(R$10:R$42,MATCH($U48,$U$10:$U$42,0),0)</f>
        <v>0</v>
      </c>
      <c r="S48" s="33" cm="1">
        <f t="array" ref="S48">INDEX(S$10:S$42,MATCH($U48,$U$10:$U$42,0),0)</f>
        <v>0</v>
      </c>
      <c r="T48" s="33" cm="1">
        <f t="array" ref="T48">INDEX(T$10:T$26,MATCH($U48,$U$10:$U$26,0),0)</f>
        <v>0</v>
      </c>
      <c r="U48" s="46">
        <f t="shared" ref="U48:U62" si="13">LARGE($U$10:$U$42,ROW()-46)</f>
        <v>3299.4614410636136</v>
      </c>
    </row>
    <row r="49" spans="1:23">
      <c r="A49" s="33" t="str" cm="1">
        <f t="array" ref="A49">INDEX(A$10:A$41,MATCH($J49,$J$10:$J$41,0),0)</f>
        <v>IGBTs</v>
      </c>
      <c r="B49" s="33" t="str" cm="1">
        <f t="array" ref="B49">INDEX(B$10:B$41,MATCH($A49,$A$10:$A$41,0),0)</f>
        <v>2022/23</v>
      </c>
      <c r="C49" s="33" t="str" cm="1">
        <f t="array" ref="C49">INDEX(C$10:C$41,MATCH($J49,$J$10:$J$41,0),0)</f>
        <v>Switchyard</v>
      </c>
      <c r="D49" s="33" t="str" cm="1">
        <f t="array" ref="D49">INDEX(D$10:D$41,MATCH($J49,$J$10:$J$41,0),0)</f>
        <v>Replacement expenditure</v>
      </c>
      <c r="E49" s="33" cm="1">
        <f t="array" ref="E49">INDEX(E$10:E$41,MATCH($J49,$J$10:$J$41,0),0)</f>
        <v>0</v>
      </c>
      <c r="F49" s="33" cm="1">
        <f t="array" ref="F49">INDEX(F$10:F$41,MATCH($J49,$J$10:$J$41,0),0)</f>
        <v>0</v>
      </c>
      <c r="G49" s="33" cm="1">
        <f t="array" ref="G49">INDEX(G$10:G$41,MATCH($J49,$J$10:$J$41,0),0)</f>
        <v>380.6287695540309</v>
      </c>
      <c r="H49" s="33" cm="1">
        <f t="array" ref="H49">INDEX(H$10:H$41,MATCH($J49,$J$10:$J$41,0),0)</f>
        <v>964.52690468193384</v>
      </c>
      <c r="I49" s="33" cm="1">
        <f t="array" ref="I49">INDEX(I$10:I$41,MATCH($J49,$J$10:$J$41,0),0)</f>
        <v>0</v>
      </c>
      <c r="J49" s="46">
        <f t="shared" si="12"/>
        <v>1345.1556742359649</v>
      </c>
      <c r="L49" s="33" t="str" cm="1">
        <f t="array" ref="L49">INDEX(L$10:L$42,MATCH($U49,$U$10:$U$42,0),0)</f>
        <v>SOCI</v>
      </c>
      <c r="M49" s="33" t="str" cm="1">
        <f t="array" ref="M49">INDEX(M$10:M$42,MATCH($U49,$U$10:$U$42,0),0)</f>
        <v>2022/23</v>
      </c>
      <c r="N49" s="33" t="str" cm="1">
        <f t="array" ref="N49">INDEX(N$10:N$42,MATCH($U49,$U$10:$U$42,0),0)</f>
        <v>Non ancillary asset</v>
      </c>
      <c r="O49" s="33" t="str" cm="1">
        <f t="array" ref="O49">INDEX(O$10:O$42,MATCH($U49,$U$10:$U$42,0),0)</f>
        <v>Replacement expenditure</v>
      </c>
      <c r="P49" s="33" cm="1">
        <f t="array" ref="P49">INDEX(P$10:P$42,MATCH($U49,$U$10:$U$42,0),0)</f>
        <v>466.63430279898222</v>
      </c>
      <c r="Q49" s="33" cm="1">
        <f t="array" ref="Q49">INDEX(Q$10:Q$42,MATCH($U49,$U$10:$U$42,0),0)</f>
        <v>0</v>
      </c>
      <c r="R49" s="33" cm="1">
        <f t="array" ref="R49">INDEX(R$10:R$42,MATCH($U49,$U$10:$U$42,0),0)</f>
        <v>1082.9566</v>
      </c>
      <c r="S49" s="33" cm="1">
        <f t="array" ref="S49">INDEX(S$10:S$42,MATCH($U49,$U$10:$U$42,0),0)</f>
        <v>1082.9566</v>
      </c>
      <c r="T49" s="33" cm="1">
        <f t="array" ref="T49">INDEX(T$10:T$26,MATCH($U49,$U$10:$U$26,0),0)</f>
        <v>0</v>
      </c>
      <c r="U49" s="46">
        <f t="shared" si="13"/>
        <v>2632.5475027989824</v>
      </c>
    </row>
    <row r="50" spans="1:23">
      <c r="A50" s="33" t="str" cm="1">
        <f t="array" ref="A50">INDEX(A$10:A$41,MATCH($J50,$J$10:$J$41,0),0)</f>
        <v xml:space="preserve">Fire suppression </v>
      </c>
      <c r="B50" s="33" t="str" cm="1">
        <f t="array" ref="B50">INDEX(B$10:B$41,MATCH($A50,$A$10:$A$41,0),0)</f>
        <v>2022/23</v>
      </c>
      <c r="C50" s="33" t="str" cm="1">
        <f t="array" ref="C50">INDEX(C$10:C$41,MATCH($J50,$J$10:$J$41,0),0)</f>
        <v>Other operating assets</v>
      </c>
      <c r="D50" s="33" t="str" cm="1">
        <f t="array" ref="D50">INDEX(D$10:D$41,MATCH($J50,$J$10:$J$41,0),0)</f>
        <v>Replacement expenditure</v>
      </c>
      <c r="E50" s="33" cm="1">
        <f t="array" ref="E50">INDEX(E$10:E$41,MATCH($J50,$J$10:$J$41,0),0)</f>
        <v>1316.9268829928958</v>
      </c>
      <c r="F50" s="33" cm="1">
        <f t="array" ref="F50">INDEX(F$10:F$41,MATCH($J50,$J$10:$J$41,0),0)</f>
        <v>10.301888650306747</v>
      </c>
      <c r="G50" s="33" cm="1">
        <f t="array" ref="G50">INDEX(G$10:G$41,MATCH($J50,$J$10:$J$41,0),0)</f>
        <v>0</v>
      </c>
      <c r="H50" s="33" cm="1">
        <f t="array" ref="H50">INDEX(H$10:H$41,MATCH($J50,$J$10:$J$41,0),0)</f>
        <v>0</v>
      </c>
      <c r="I50" s="33" cm="1">
        <f t="array" ref="I50">INDEX(I$10:I$41,MATCH($J50,$J$10:$J$41,0),0)</f>
        <v>0</v>
      </c>
      <c r="J50" s="46">
        <f t="shared" si="12"/>
        <v>1327.2287716432024</v>
      </c>
      <c r="L50" s="33" t="str" cm="1">
        <f t="array" ref="L50">INDEX(L$10:L$42,MATCH($U50,$U$10:$U$42,0),0)</f>
        <v>Cable Protection/Modification</v>
      </c>
      <c r="M50" s="33" t="str" cm="1">
        <f t="array" ref="M50">INDEX(M$10:M$42,MATCH($U50,$U$10:$U$42,0),0)</f>
        <v>2022/23</v>
      </c>
      <c r="N50" s="33" t="str" cm="1">
        <f t="array" ref="N50">INDEX(N$10:N$42,MATCH($U50,$U$10:$U$42,0),0)</f>
        <v>Transmission Cable</v>
      </c>
      <c r="O50" s="33" t="str" cm="1">
        <f t="array" ref="O50">INDEX(O$10:O$42,MATCH($U50,$U$10:$U$42,0),0)</f>
        <v>Replacement expenditure</v>
      </c>
      <c r="P50" s="33" cm="1">
        <f t="array" ref="P50">INDEX(P$10:P$42,MATCH($U50,$U$10:$U$42,0),0)</f>
        <v>252.60467175572521</v>
      </c>
      <c r="Q50" s="33" cm="1">
        <f t="array" ref="Q50">INDEX(Q$10:Q$42,MATCH($U50,$U$10:$U$42,0),0)</f>
        <v>252.60467175572521</v>
      </c>
      <c r="R50" s="33" cm="1">
        <f t="array" ref="R50">INDEX(R$10:R$42,MATCH($U50,$U$10:$U$42,0),0)</f>
        <v>1422.2942340966922</v>
      </c>
      <c r="S50" s="33" cm="1">
        <f t="array" ref="S50">INDEX(S$10:S$42,MATCH($U50,$U$10:$U$42,0),0)</f>
        <v>252.60467175572521</v>
      </c>
      <c r="T50" s="33" cm="1">
        <f t="array" ref="T50">INDEX(T$10:T$26,MATCH($U50,$U$10:$U$26,0),0)</f>
        <v>252.60467175572521</v>
      </c>
      <c r="U50" s="46">
        <f t="shared" si="13"/>
        <v>2432.7129211195929</v>
      </c>
    </row>
    <row r="51" spans="1:23">
      <c r="A51" s="33" t="str" cm="1">
        <f t="array" ref="A51">INDEX(A$10:A$41,MATCH($J51,$J$10:$J$41,0),0)</f>
        <v>VSD Refurbishment</v>
      </c>
      <c r="B51" s="33" t="str" cm="1">
        <f t="array" ref="B51">INDEX(B$10:B$41,MATCH($A51,$A$10:$A$41,0),0)</f>
        <v>2022/23</v>
      </c>
      <c r="C51" s="33" t="str" cm="1">
        <f t="array" ref="C51">INDEX(C$10:C$41,MATCH($J51,$J$10:$J$41,0),0)</f>
        <v>Other operating assets</v>
      </c>
      <c r="D51" s="33" t="str" cm="1">
        <f t="array" ref="D51">INDEX(D$10:D$41,MATCH($J51,$J$10:$J$41,0),0)</f>
        <v>Replacement expenditure</v>
      </c>
      <c r="E51" s="33" cm="1">
        <f t="array" ref="E51">INDEX(E$10:E$41,MATCH($J51,$J$10:$J$41,0),0)</f>
        <v>0</v>
      </c>
      <c r="F51" s="33" cm="1">
        <f t="array" ref="F51">INDEX(F$10:F$41,MATCH($J51,$J$10:$J$41,0),0)</f>
        <v>0</v>
      </c>
      <c r="G51" s="33" cm="1">
        <f t="array" ref="G51">INDEX(G$10:G$41,MATCH($J51,$J$10:$J$41,0),0)</f>
        <v>11.311602452830188</v>
      </c>
      <c r="H51" s="33" cm="1">
        <f t="array" ref="H51">INDEX(H$10:H$41,MATCH($J51,$J$10:$J$41,0),0)</f>
        <v>589.20937147582697</v>
      </c>
      <c r="I51" s="33" cm="1">
        <f t="array" ref="I51">INDEX(I$10:I$41,MATCH($J51,$J$10:$J$41,0),0)</f>
        <v>204.92366412213741</v>
      </c>
      <c r="J51" s="46">
        <f t="shared" si="12"/>
        <v>805.44463805079465</v>
      </c>
      <c r="L51" s="33" t="str" cm="1">
        <f t="array" ref="L51">INDEX(L$10:L$42,MATCH($U51,$U$10:$U$42,0),0)</f>
        <v>Reliability</v>
      </c>
      <c r="M51" s="33" t="str" cm="1">
        <f t="array" ref="M51">INDEX(M$10:M$42,MATCH($U51,$U$10:$U$42,0),0)</f>
        <v>2022/23</v>
      </c>
      <c r="N51" s="33" t="str" cm="1">
        <f t="array" ref="N51">INDEX(N$10:N$42,MATCH($U51,$U$10:$U$42,0),0)</f>
        <v>Other operating assets</v>
      </c>
      <c r="O51" s="33" t="str" cm="1">
        <f t="array" ref="O51">INDEX(O$10:O$42,MATCH($U51,$U$10:$U$42,0),0)</f>
        <v>Replacement expenditure</v>
      </c>
      <c r="P51" s="33" cm="1">
        <f t="array" ref="P51">INDEX(P$10:P$42,MATCH($U51,$U$10:$U$42,0),0)</f>
        <v>530.51836183206103</v>
      </c>
      <c r="Q51" s="33" cm="1">
        <f t="array" ref="Q51">INDEX(Q$10:Q$42,MATCH($U51,$U$10:$U$42,0),0)</f>
        <v>1237.1719548091605</v>
      </c>
      <c r="R51" s="33" cm="1">
        <f t="array" ref="R51">INDEX(R$10:R$42,MATCH($U51,$U$10:$U$42,0),0)</f>
        <v>0</v>
      </c>
      <c r="S51" s="33" cm="1">
        <f t="array" ref="S51">INDEX(S$10:S$42,MATCH($U51,$U$10:$U$42,0),0)</f>
        <v>0</v>
      </c>
      <c r="T51" s="33" cm="1">
        <f t="array" ref="T51">INDEX(T$10:T$26,MATCH($U51,$U$10:$U$26,0),0)</f>
        <v>0</v>
      </c>
      <c r="U51" s="46">
        <f t="shared" si="13"/>
        <v>1767.6903166412217</v>
      </c>
    </row>
    <row r="52" spans="1:23">
      <c r="A52" s="33" t="str" cm="1">
        <f t="array" ref="A52">INDEX(A$10:A$41,MATCH($J52,$J$10:$J$41,0),0)</f>
        <v>Enhanced cooling systems</v>
      </c>
      <c r="B52" s="33" t="str" cm="1">
        <f t="array" ref="B52">INDEX(B$10:B$41,MATCH($A52,$A$10:$A$41,0),0)</f>
        <v>2022/23</v>
      </c>
      <c r="C52" s="33" t="str" cm="1">
        <f t="array" ref="C52">INDEX(C$10:C$41,MATCH($J52,$J$10:$J$41,0),0)</f>
        <v>Other operating assets</v>
      </c>
      <c r="D52" s="33" t="str" cm="1">
        <f t="array" ref="D52">INDEX(D$10:D$41,MATCH($J52,$J$10:$J$41,0),0)</f>
        <v>Replacement expenditure</v>
      </c>
      <c r="E52" s="33" cm="1">
        <f t="array" ref="E52">INDEX(E$10:E$41,MATCH($J52,$J$10:$J$41,0),0)</f>
        <v>0</v>
      </c>
      <c r="F52" s="33" cm="1">
        <f t="array" ref="F52">INDEX(F$10:F$41,MATCH($J52,$J$10:$J$41,0),0)</f>
        <v>0</v>
      </c>
      <c r="G52" s="33" cm="1">
        <f t="array" ref="G52">INDEX(G$10:G$41,MATCH($J52,$J$10:$J$41,0),0)</f>
        <v>0</v>
      </c>
      <c r="H52" s="33" cm="1">
        <f t="array" ref="H52">INDEX(H$10:H$41,MATCH($J52,$J$10:$J$41,0),0)</f>
        <v>73.562340966921127</v>
      </c>
      <c r="I52" s="33" cm="1">
        <f t="array" ref="I52">INDEX(I$10:I$41,MATCH($J52,$J$10:$J$41,0),0)</f>
        <v>425.64899540012732</v>
      </c>
      <c r="J52" s="46">
        <f t="shared" si="12"/>
        <v>499.21133636704843</v>
      </c>
      <c r="L52" s="33" t="str" cm="1">
        <f t="array" ref="L52">INDEX(L$10:L$42,MATCH($U52,$U$10:$U$42,0),0)</f>
        <v>Essential Spares</v>
      </c>
      <c r="M52" s="33" t="str" cm="1">
        <f t="array" ref="M52">INDEX(M$10:M$42,MATCH($U52,$U$10:$U$42,0),0)</f>
        <v>2022/23</v>
      </c>
      <c r="N52" s="33" t="str" cm="1">
        <f t="array" ref="N52">INDEX(N$10:N$42,MATCH($U52,$U$10:$U$42,0),0)</f>
        <v>Switchyard</v>
      </c>
      <c r="O52" s="33" t="str" cm="1">
        <f t="array" ref="O52">INDEX(O$10:O$42,MATCH($U52,$U$10:$U$42,0),0)</f>
        <v>Replacement expenditure</v>
      </c>
      <c r="P52" s="33" cm="1">
        <f t="array" ref="P52">INDEX(P$10:P$42,MATCH($U52,$U$10:$U$42,0),0)</f>
        <v>241.14891348600511</v>
      </c>
      <c r="Q52" s="33" cm="1">
        <f t="array" ref="Q52">INDEX(Q$10:Q$42,MATCH($U52,$U$10:$U$42,0),0)</f>
        <v>241.14891348600511</v>
      </c>
      <c r="R52" s="33" cm="1">
        <f t="array" ref="R52">INDEX(R$10:R$42,MATCH($U52,$U$10:$U$42,0),0)</f>
        <v>241.14891348600511</v>
      </c>
      <c r="S52" s="33" cm="1">
        <f t="array" ref="S52">INDEX(S$10:S$42,MATCH($U52,$U$10:$U$42,0),0)</f>
        <v>241.14891348600511</v>
      </c>
      <c r="T52" s="33" cm="1">
        <f t="array" ref="T52">INDEX(T$10:T$26,MATCH($U52,$U$10:$U$26,0),0)</f>
        <v>241.14891348600511</v>
      </c>
      <c r="U52" s="46">
        <f t="shared" si="13"/>
        <v>1205.7445674300257</v>
      </c>
    </row>
    <row r="53" spans="1:23">
      <c r="A53" s="33" t="str" cm="1">
        <f t="array" ref="A53">INDEX(A$10:A$41,MATCH($J53,$J$10:$J$41,0),0)</f>
        <v>Other Minor Capital Works</v>
      </c>
      <c r="B53" s="33" t="str" cm="1">
        <f t="array" ref="B53">INDEX(B$10:B$41,MATCH($A53,$A$10:$A$41,0),0)</f>
        <v>2022/23</v>
      </c>
      <c r="C53" s="33" t="str" cm="1">
        <f t="array" ref="C53">INDEX(C$10:C$41,MATCH($J53,$J$10:$J$41,0),0)</f>
        <v>Other operating assets</v>
      </c>
      <c r="D53" s="33" t="str" cm="1">
        <f t="array" ref="D53">INDEX(D$10:D$41,MATCH($J53,$J$10:$J$41,0),0)</f>
        <v>Replacement expenditure</v>
      </c>
      <c r="E53" s="33" cm="1">
        <f t="array" ref="E53">INDEX(E$10:E$41,MATCH($J53,$J$10:$J$41,0),0)</f>
        <v>0</v>
      </c>
      <c r="F53" s="33" cm="1">
        <f t="array" ref="F53">INDEX(F$10:F$41,MATCH($J53,$J$10:$J$41,0),0)</f>
        <v>0</v>
      </c>
      <c r="G53" s="33" cm="1">
        <f t="array" ref="G53">INDEX(G$10:G$41,MATCH($J53,$J$10:$J$41,0),0)</f>
        <v>0</v>
      </c>
      <c r="H53" s="33" cm="1">
        <f t="array" ref="H53">INDEX(H$10:H$41,MATCH($J53,$J$10:$J$41,0),0)</f>
        <v>226.00678867684479</v>
      </c>
      <c r="I53" s="33" cm="1">
        <f t="array" ref="I53">INDEX(I$10:I$41,MATCH($J53,$J$10:$J$41,0),0)</f>
        <v>184.95674300254453</v>
      </c>
      <c r="J53" s="46">
        <f t="shared" si="12"/>
        <v>410.96353167938935</v>
      </c>
      <c r="L53" s="33" t="str" cm="1">
        <f t="array" ref="L53">INDEX(L$10:L$42,MATCH($U53,$U$10:$U$42,0),0)</f>
        <v>Regulatory Reset</v>
      </c>
      <c r="M53" s="33" t="str" cm="1">
        <f t="array" ref="M53">INDEX(M$10:M$42,MATCH($U53,$U$10:$U$42,0),0)</f>
        <v>2022/23</v>
      </c>
      <c r="N53" s="33" t="str" cm="1">
        <f t="array" ref="N53">INDEX(N$10:N$42,MATCH($U53,$U$10:$U$42,0),0)</f>
        <v>Non ancillary asset</v>
      </c>
      <c r="O53" s="33" t="str" cm="1">
        <f t="array" ref="O53">INDEX(O$10:O$42,MATCH($U53,$U$10:$U$42,0),0)</f>
        <v>Non-network</v>
      </c>
      <c r="P53" s="33" cm="1">
        <f t="array" ref="P53">INDEX(P$10:P$42,MATCH($U53,$U$10:$U$42,0),0)</f>
        <v>42.44347404580153</v>
      </c>
      <c r="Q53" s="33" cm="1">
        <f t="array" ref="Q53">INDEX(Q$10:Q$42,MATCH($U53,$U$10:$U$42,0),0)</f>
        <v>0</v>
      </c>
      <c r="R53" s="33" cm="1">
        <f t="array" ref="R53">INDEX(R$10:R$42,MATCH($U53,$U$10:$U$42,0),0)</f>
        <v>0</v>
      </c>
      <c r="S53" s="33" cm="1">
        <f t="array" ref="S53">INDEX(S$10:S$42,MATCH($U53,$U$10:$U$42,0),0)</f>
        <v>0</v>
      </c>
      <c r="T53" s="33" cm="1">
        <f t="array" ref="T53">INDEX(T$10:T$26,MATCH($U53,$U$10:$U$26,0),0)</f>
        <v>165.65565332245595</v>
      </c>
      <c r="U53" s="46">
        <f t="shared" si="13"/>
        <v>208.09912736825748</v>
      </c>
    </row>
    <row r="54" spans="1:23">
      <c r="A54" s="33" t="str" cm="1">
        <f t="array" ref="A54">INDEX(A$10:A$41,MATCH($J54,$J$10:$J$41,0),0)</f>
        <v>Security Fence</v>
      </c>
      <c r="B54" s="33" t="str" cm="1">
        <f t="array" ref="B54">INDEX(B$10:B$41,MATCH($A54,$A$10:$A$41,0),0)</f>
        <v>2022/23</v>
      </c>
      <c r="C54" s="33" t="str" cm="1">
        <f t="array" ref="C54">INDEX(C$10:C$41,MATCH($J54,$J$10:$J$41,0),0)</f>
        <v>Switchyard</v>
      </c>
      <c r="D54" s="33" t="str" cm="1">
        <f t="array" ref="D54">INDEX(D$10:D$41,MATCH($J54,$J$10:$J$41,0),0)</f>
        <v>Replacement expenditure</v>
      </c>
      <c r="E54" s="33" cm="1">
        <f t="array" ref="E54">INDEX(E$10:E$41,MATCH($J54,$J$10:$J$41,0),0)</f>
        <v>341.46616187744223</v>
      </c>
      <c r="F54" s="33" cm="1">
        <f t="array" ref="F54">INDEX(F$10:F$41,MATCH($J54,$J$10:$J$41,0),0)</f>
        <v>0</v>
      </c>
      <c r="G54" s="33" cm="1">
        <f t="array" ref="G54">INDEX(G$10:G$41,MATCH($J54,$J$10:$J$41,0),0)</f>
        <v>0</v>
      </c>
      <c r="H54" s="33" cm="1">
        <f t="array" ref="H54">INDEX(H$10:H$41,MATCH($J54,$J$10:$J$41,0),0)</f>
        <v>0</v>
      </c>
      <c r="I54" s="33" cm="1">
        <f t="array" ref="I54">INDEX(I$10:I$41,MATCH($J54,$J$10:$J$41,0),0)</f>
        <v>0</v>
      </c>
      <c r="J54" s="46">
        <f t="shared" si="12"/>
        <v>341.46616187744223</v>
      </c>
      <c r="L54" s="33" t="str" cm="1">
        <f t="array" ref="L54">INDEX(L$10:L$42,MATCH($U54,$U$10:$U$42,0),0)</f>
        <v>IGBTs</v>
      </c>
      <c r="M54" s="33" t="str" cm="1">
        <f t="array" ref="M54">INDEX(M$10:M$42,MATCH($U54,$U$10:$U$42,0),0)</f>
        <v>2022/23</v>
      </c>
      <c r="N54" s="33" t="str" cm="1">
        <f t="array" ref="N54">INDEX(N$10:N$42,MATCH($U54,$U$10:$U$42,0),0)</f>
        <v>Switchyard</v>
      </c>
      <c r="O54" s="33" t="str" cm="1">
        <f t="array" ref="O54">INDEX(O$10:O$42,MATCH($U54,$U$10:$U$42,0),0)</f>
        <v>Replacement expenditure</v>
      </c>
      <c r="P54" s="33" cm="1">
        <f t="array" ref="P54">INDEX(P$10:P$42,MATCH($U54,$U$10:$U$42,0),0)</f>
        <v>0</v>
      </c>
      <c r="Q54" s="33" cm="1">
        <f t="array" ref="Q54">INDEX(Q$10:Q$42,MATCH($U54,$U$10:$U$42,0),0)</f>
        <v>0</v>
      </c>
      <c r="R54" s="33" cm="1">
        <f t="array" ref="R54">INDEX(R$10:R$42,MATCH($U54,$U$10:$U$42,0),0)</f>
        <v>0</v>
      </c>
      <c r="S54" s="33" cm="1">
        <f t="array" ref="S54">INDEX(S$10:S$42,MATCH($U54,$U$10:$U$42,0),0)</f>
        <v>0</v>
      </c>
      <c r="T54" s="33" cm="1">
        <f t="array" ref="T54">INDEX(T$10:T$26,MATCH($U54,$U$10:$U$26,0),0)</f>
        <v>0</v>
      </c>
      <c r="U54" s="46">
        <f t="shared" si="13"/>
        <v>0</v>
      </c>
    </row>
    <row r="55" spans="1:23">
      <c r="A55" s="33" t="str" cm="1">
        <f t="array" ref="A55">INDEX(A$10:A$41,MATCH($J55,$J$10:$J$41,0),0)</f>
        <v>Stay in business</v>
      </c>
      <c r="B55" s="33" t="str" cm="1">
        <f t="array" ref="B55">INDEX(B$10:B$41,MATCH($A55,$A$10:$A$41,0),0)</f>
        <v>2022/23</v>
      </c>
      <c r="C55" s="33" t="str" cm="1">
        <f t="array" ref="C55">INDEX(C$10:C$41,MATCH($J55,$J$10:$J$41,0),0)</f>
        <v>Other operating assets</v>
      </c>
      <c r="D55" s="33" t="str" cm="1">
        <f t="array" ref="D55">INDEX(D$10:D$41,MATCH($J55,$J$10:$J$41,0),0)</f>
        <v>Replacement expenditure</v>
      </c>
      <c r="E55" s="33" cm="1">
        <f t="array" ref="E55">INDEX(E$10:E$41,MATCH($J55,$J$10:$J$41,0),0)</f>
        <v>0</v>
      </c>
      <c r="F55" s="33" cm="1">
        <f t="array" ref="F55">INDEX(F$10:F$41,MATCH($J55,$J$10:$J$41,0),0)</f>
        <v>0</v>
      </c>
      <c r="G55" s="33" cm="1">
        <f t="array" ref="G55">INDEX(G$10:G$41,MATCH($J55,$J$10:$J$41,0),0)</f>
        <v>0</v>
      </c>
      <c r="H55" s="33" cm="1">
        <f t="array" ref="H55">INDEX(H$10:H$41,MATCH($J55,$J$10:$J$41,0),0)</f>
        <v>0</v>
      </c>
      <c r="I55" s="33" cm="1">
        <f t="array" ref="I55">INDEX(I$10:I$41,MATCH($J55,$J$10:$J$41,0),0)</f>
        <v>285.07167127860055</v>
      </c>
      <c r="J55" s="46">
        <f t="shared" si="12"/>
        <v>285.07167127860055</v>
      </c>
      <c r="L55" s="33" t="str" cm="1">
        <f t="array" ref="L55">INDEX(L$10:L$42,MATCH($U55,$U$10:$U$42,0),0)</f>
        <v>IGBTs</v>
      </c>
      <c r="M55" s="33" t="str" cm="1">
        <f t="array" ref="M55">INDEX(M$10:M$42,MATCH($U55,$U$10:$U$42,0),0)</f>
        <v>2022/23</v>
      </c>
      <c r="N55" s="33" t="str" cm="1">
        <f t="array" ref="N55">INDEX(N$10:N$42,MATCH($U55,$U$10:$U$42,0),0)</f>
        <v>Switchyard</v>
      </c>
      <c r="O55" s="33" t="str" cm="1">
        <f t="array" ref="O55">INDEX(O$10:O$42,MATCH($U55,$U$10:$U$42,0),0)</f>
        <v>Replacement expenditure</v>
      </c>
      <c r="P55" s="33" cm="1">
        <f t="array" ref="P55">INDEX(P$10:P$42,MATCH($U55,$U$10:$U$42,0),0)</f>
        <v>0</v>
      </c>
      <c r="Q55" s="33" cm="1">
        <f t="array" ref="Q55">INDEX(Q$10:Q$42,MATCH($U55,$U$10:$U$42,0),0)</f>
        <v>0</v>
      </c>
      <c r="R55" s="33" cm="1">
        <f t="array" ref="R55">INDEX(R$10:R$42,MATCH($U55,$U$10:$U$42,0),0)</f>
        <v>0</v>
      </c>
      <c r="S55" s="33" cm="1">
        <f t="array" ref="S55">INDEX(S$10:S$42,MATCH($U55,$U$10:$U$42,0),0)</f>
        <v>0</v>
      </c>
      <c r="T55" s="33" cm="1">
        <f t="array" ref="T55">INDEX(T$10:T$26,MATCH($U55,$U$10:$U$26,0),0)</f>
        <v>0</v>
      </c>
      <c r="U55" s="46">
        <f t="shared" si="13"/>
        <v>0</v>
      </c>
    </row>
    <row r="56" spans="1:23">
      <c r="A56" s="33" t="str" cm="1">
        <f t="array" ref="A56">INDEX(A$10:A$41,MATCH($J56,$J$10:$J$41,0),0)</f>
        <v>Revenue Determination</v>
      </c>
      <c r="B56" s="33" t="str" cm="1">
        <f t="array" ref="B56">INDEX(B$10:B$41,MATCH($A56,$A$10:$A$41,0),0)</f>
        <v>2022/23</v>
      </c>
      <c r="C56" s="33" t="str" cm="1">
        <f t="array" ref="C56">INDEX(C$10:C$41,MATCH($J56,$J$10:$J$41,0),0)</f>
        <v>Other operating assets</v>
      </c>
      <c r="D56" s="33" t="str" cm="1">
        <f t="array" ref="D56">INDEX(D$10:D$41,MATCH($J56,$J$10:$J$41,0),0)</f>
        <v>Non-network</v>
      </c>
      <c r="E56" s="33" cm="1">
        <f t="array" ref="E56">INDEX(E$10:E$41,MATCH($J56,$J$10:$J$41,0),0)</f>
        <v>44.441257460035537</v>
      </c>
      <c r="F56" s="33" cm="1">
        <f t="array" ref="F56">INDEX(F$10:F$41,MATCH($J56,$J$10:$J$41,0),0)</f>
        <v>0</v>
      </c>
      <c r="G56" s="33" cm="1">
        <f t="array" ref="G56">INDEX(G$10:G$41,MATCH($J56,$J$10:$J$41,0),0)</f>
        <v>0</v>
      </c>
      <c r="H56" s="33" cm="1">
        <f t="array" ref="H56">INDEX(H$10:H$41,MATCH($J56,$J$10:$J$41,0),0)</f>
        <v>0</v>
      </c>
      <c r="I56" s="33" cm="1">
        <f t="array" ref="I56">INDEX(I$10:I$41,MATCH($J56,$J$10:$J$41,0),0)</f>
        <v>157.63358778625954</v>
      </c>
      <c r="J56" s="46">
        <f t="shared" si="12"/>
        <v>202.07484524629507</v>
      </c>
      <c r="L56" s="33" t="str" cm="1">
        <f t="array" ref="L56">INDEX(L$10:L$42,MATCH($U56,$U$10:$U$42,0),0)</f>
        <v>IGBTs</v>
      </c>
      <c r="M56" s="33" t="str" cm="1">
        <f t="array" ref="M56">INDEX(M$10:M$42,MATCH($U56,$U$10:$U$42,0),0)</f>
        <v>2022/23</v>
      </c>
      <c r="N56" s="33" t="str" cm="1">
        <f t="array" ref="N56">INDEX(N$10:N$42,MATCH($U56,$U$10:$U$42,0),0)</f>
        <v>Switchyard</v>
      </c>
      <c r="O56" s="33" t="str" cm="1">
        <f t="array" ref="O56">INDEX(O$10:O$42,MATCH($U56,$U$10:$U$42,0),0)</f>
        <v>Replacement expenditure</v>
      </c>
      <c r="P56" s="33" cm="1">
        <f t="array" ref="P56">INDEX(P$10:P$42,MATCH($U56,$U$10:$U$42,0),0)</f>
        <v>0</v>
      </c>
      <c r="Q56" s="33" cm="1">
        <f t="array" ref="Q56">INDEX(Q$10:Q$42,MATCH($U56,$U$10:$U$42,0),0)</f>
        <v>0</v>
      </c>
      <c r="R56" s="33" cm="1">
        <f t="array" ref="R56">INDEX(R$10:R$42,MATCH($U56,$U$10:$U$42,0),0)</f>
        <v>0</v>
      </c>
      <c r="S56" s="33" cm="1">
        <f t="array" ref="S56">INDEX(S$10:S$42,MATCH($U56,$U$10:$U$42,0),0)</f>
        <v>0</v>
      </c>
      <c r="T56" s="33" cm="1">
        <f t="array" ref="T56">INDEX(T$10:T$26,MATCH($U56,$U$10:$U$26,0),0)</f>
        <v>0</v>
      </c>
      <c r="U56" s="46">
        <f t="shared" si="13"/>
        <v>0</v>
      </c>
    </row>
    <row r="57" spans="1:23">
      <c r="A57" s="33" t="str" cm="1">
        <f t="array" ref="A57">INDEX(A$10:A$41,MATCH($J57,$J$10:$J$41,0),0)</f>
        <v xml:space="preserve">Reliability </v>
      </c>
      <c r="B57" s="33" t="str" cm="1">
        <f t="array" ref="B57">INDEX(B$10:B$41,MATCH($A57,$A$10:$A$41,0),0)</f>
        <v>2022/23</v>
      </c>
      <c r="C57" s="33" t="str" cm="1">
        <f t="array" ref="C57">INDEX(C$10:C$41,MATCH($J57,$J$10:$J$41,0),0)</f>
        <v>Other operating assets</v>
      </c>
      <c r="D57" s="33" t="str" cm="1">
        <f t="array" ref="D57">INDEX(D$10:D$41,MATCH($J57,$J$10:$J$41,0),0)</f>
        <v>Replacement expenditure</v>
      </c>
      <c r="E57" s="33" cm="1">
        <f t="array" ref="E57">INDEX(E$10:E$41,MATCH($J57,$J$10:$J$41,0),0)</f>
        <v>0</v>
      </c>
      <c r="F57" s="33" cm="1">
        <f t="array" ref="F57">INDEX(F$10:F$41,MATCH($J57,$J$10:$J$41,0),0)</f>
        <v>0</v>
      </c>
      <c r="G57" s="33" cm="1">
        <f t="array" ref="G57">INDEX(G$10:G$41,MATCH($J57,$J$10:$J$41,0),0)</f>
        <v>0</v>
      </c>
      <c r="H57" s="33" cm="1">
        <f t="array" ref="H57">INDEX(H$10:H$41,MATCH($J57,$J$10:$J$41,0),0)</f>
        <v>0</v>
      </c>
      <c r="I57" s="33" cm="1">
        <f t="array" ref="I57">INDEX(I$10:I$41,MATCH($J57,$J$10:$J$41,0),0)</f>
        <v>159.65379357506364</v>
      </c>
      <c r="J57" s="46">
        <f t="shared" si="12"/>
        <v>159.65379357506364</v>
      </c>
      <c r="L57" s="33" t="str" cm="1">
        <f t="array" ref="L57">INDEX(L$10:L$42,MATCH($U57,$U$10:$U$42,0),0)</f>
        <v>IGBTs</v>
      </c>
      <c r="M57" s="33" t="str" cm="1">
        <f t="array" ref="M57">INDEX(M$10:M$42,MATCH($U57,$U$10:$U$42,0),0)</f>
        <v>2022/23</v>
      </c>
      <c r="N57" s="33" t="str" cm="1">
        <f t="array" ref="N57">INDEX(N$10:N$42,MATCH($U57,$U$10:$U$42,0),0)</f>
        <v>Switchyard</v>
      </c>
      <c r="O57" s="33" t="str" cm="1">
        <f t="array" ref="O57">INDEX(O$10:O$42,MATCH($U57,$U$10:$U$42,0),0)</f>
        <v>Replacement expenditure</v>
      </c>
      <c r="P57" s="33" cm="1">
        <f t="array" ref="P57">INDEX(P$10:P$42,MATCH($U57,$U$10:$U$42,0),0)</f>
        <v>0</v>
      </c>
      <c r="Q57" s="33" cm="1">
        <f t="array" ref="Q57">INDEX(Q$10:Q$42,MATCH($U57,$U$10:$U$42,0),0)</f>
        <v>0</v>
      </c>
      <c r="R57" s="33" cm="1">
        <f t="array" ref="R57">INDEX(R$10:R$42,MATCH($U57,$U$10:$U$42,0),0)</f>
        <v>0</v>
      </c>
      <c r="S57" s="33" cm="1">
        <f t="array" ref="S57">INDEX(S$10:S$42,MATCH($U57,$U$10:$U$42,0),0)</f>
        <v>0</v>
      </c>
      <c r="T57" s="33" cm="1">
        <f t="array" ref="T57">INDEX(T$10:T$26,MATCH($U57,$U$10:$U$26,0),0)</f>
        <v>0</v>
      </c>
      <c r="U57" s="46">
        <f t="shared" si="13"/>
        <v>0</v>
      </c>
    </row>
    <row r="58" spans="1:23">
      <c r="A58" s="33" t="str" cm="1">
        <f t="array" ref="A58">INDEX(A$10:A$41,MATCH($J58,$J$10:$J$41,0),0)</f>
        <v>Coms Site Huts x 2</v>
      </c>
      <c r="B58" s="33" t="str" cm="1">
        <f t="array" ref="B58">INDEX(B$10:B$41,MATCH($A58,$A$10:$A$41,0),0)</f>
        <v>2022/23</v>
      </c>
      <c r="C58" s="33" t="str" cm="1">
        <f t="array" ref="C58">INDEX(C$10:C$41,MATCH($J58,$J$10:$J$41,0),0)</f>
        <v>Other operating assets</v>
      </c>
      <c r="D58" s="33" t="str" cm="1">
        <f t="array" ref="D58">INDEX(D$10:D$41,MATCH($J58,$J$10:$J$41,0),0)</f>
        <v>Replacement expenditure</v>
      </c>
      <c r="E58" s="33" cm="1">
        <f t="array" ref="E58">INDEX(E$10:E$41,MATCH($J58,$J$10:$J$41,0),0)</f>
        <v>0</v>
      </c>
      <c r="F58" s="33" cm="1">
        <f t="array" ref="F58">INDEX(F$10:F$41,MATCH($J58,$J$10:$J$41,0),0)</f>
        <v>0</v>
      </c>
      <c r="G58" s="33" cm="1">
        <f t="array" ref="G58">INDEX(G$10:G$41,MATCH($J58,$J$10:$J$41,0),0)</f>
        <v>126.23883033447684</v>
      </c>
      <c r="H58" s="33" cm="1">
        <f t="array" ref="H58">INDEX(H$10:H$41,MATCH($J58,$J$10:$J$41,0),0)</f>
        <v>20.442533180661574</v>
      </c>
      <c r="I58" s="33" cm="1">
        <f t="array" ref="I58">INDEX(I$10:I$41,MATCH($J58,$J$10:$J$41,0),0)</f>
        <v>0</v>
      </c>
      <c r="J58" s="46">
        <f t="shared" si="12"/>
        <v>146.68136351513843</v>
      </c>
      <c r="L58" s="33" t="str" cm="1">
        <f t="array" ref="L58">INDEX(L$10:L$42,MATCH($U58,$U$10:$U$42,0),0)</f>
        <v>IGBTs</v>
      </c>
      <c r="M58" s="33" t="str" cm="1">
        <f t="array" ref="M58">INDEX(M$10:M$42,MATCH($U58,$U$10:$U$42,0),0)</f>
        <v>2022/23</v>
      </c>
      <c r="N58" s="33" t="str" cm="1">
        <f t="array" ref="N58">INDEX(N$10:N$42,MATCH($U58,$U$10:$U$42,0),0)</f>
        <v>Switchyard</v>
      </c>
      <c r="O58" s="33" t="str" cm="1">
        <f t="array" ref="O58">INDEX(O$10:O$42,MATCH($U58,$U$10:$U$42,0),0)</f>
        <v>Replacement expenditure</v>
      </c>
      <c r="P58" s="33" cm="1">
        <f t="array" ref="P58">INDEX(P$10:P$42,MATCH($U58,$U$10:$U$42,0),0)</f>
        <v>0</v>
      </c>
      <c r="Q58" s="33" cm="1">
        <f t="array" ref="Q58">INDEX(Q$10:Q$42,MATCH($U58,$U$10:$U$42,0),0)</f>
        <v>0</v>
      </c>
      <c r="R58" s="33" cm="1">
        <f t="array" ref="R58">INDEX(R$10:R$42,MATCH($U58,$U$10:$U$42,0),0)</f>
        <v>0</v>
      </c>
      <c r="S58" s="33" cm="1">
        <f t="array" ref="S58">INDEX(S$10:S$42,MATCH($U58,$U$10:$U$42,0),0)</f>
        <v>0</v>
      </c>
      <c r="T58" s="33" cm="1">
        <f t="array" ref="T58">INDEX(T$10:T$26,MATCH($U58,$U$10:$U$26,0),0)</f>
        <v>0</v>
      </c>
      <c r="U58" s="46">
        <f t="shared" si="13"/>
        <v>0</v>
      </c>
    </row>
    <row r="59" spans="1:23">
      <c r="A59" s="33" t="str" cm="1">
        <f t="array" ref="A59">INDEX(A$10:A$41,MATCH($J59,$J$10:$J$41,0),0)</f>
        <v>SCADA</v>
      </c>
      <c r="B59" s="33" t="str" cm="1">
        <f t="array" ref="B59">INDEX(B$10:B$41,MATCH($A59,$A$10:$A$41,0),0)</f>
        <v>2022/23</v>
      </c>
      <c r="C59" s="33" t="str" cm="1">
        <f t="array" ref="C59">INDEX(C$10:C$41,MATCH($J59,$J$10:$J$41,0),0)</f>
        <v>Other operating assets</v>
      </c>
      <c r="D59" s="33" t="str" cm="1">
        <f t="array" ref="D59">INDEX(D$10:D$41,MATCH($J59,$J$10:$J$41,0),0)</f>
        <v>Replacement expenditure</v>
      </c>
      <c r="E59" s="33" cm="1">
        <f t="array" ref="E59">INDEX(E$10:E$41,MATCH($J59,$J$10:$J$41,0),0)</f>
        <v>0</v>
      </c>
      <c r="F59" s="33" cm="1">
        <f t="array" ref="F59">INDEX(F$10:F$41,MATCH($J59,$J$10:$J$41,0),0)</f>
        <v>0</v>
      </c>
      <c r="G59" s="33" cm="1">
        <f t="array" ref="G59">INDEX(G$10:G$41,MATCH($J59,$J$10:$J$41,0),0)</f>
        <v>0</v>
      </c>
      <c r="H59" s="33" cm="1">
        <f t="array" ref="H59">INDEX(H$10:H$41,MATCH($J59,$J$10:$J$41,0),0)</f>
        <v>0</v>
      </c>
      <c r="I59" s="33" cm="1">
        <f t="array" ref="I59">INDEX(I$10:I$41,MATCH($J59,$J$10:$J$41,0),0)</f>
        <v>131.3613231552163</v>
      </c>
      <c r="J59" s="46">
        <f t="shared" si="12"/>
        <v>131.3613231552163</v>
      </c>
      <c r="L59" s="33" t="str" cm="1">
        <f t="array" ref="L59">INDEX(L$10:L$42,MATCH($U59,$U$10:$U$42,0),0)</f>
        <v>IGBTs</v>
      </c>
      <c r="M59" s="33" t="str" cm="1">
        <f t="array" ref="M59">INDEX(M$10:M$42,MATCH($U59,$U$10:$U$42,0),0)</f>
        <v>2022/23</v>
      </c>
      <c r="N59" s="33" t="str" cm="1">
        <f t="array" ref="N59">INDEX(N$10:N$42,MATCH($U59,$U$10:$U$42,0),0)</f>
        <v>Switchyard</v>
      </c>
      <c r="O59" s="33" t="str" cm="1">
        <f t="array" ref="O59">INDEX(O$10:O$42,MATCH($U59,$U$10:$U$42,0),0)</f>
        <v>Replacement expenditure</v>
      </c>
      <c r="P59" s="33" cm="1">
        <f t="array" ref="P59">INDEX(P$10:P$42,MATCH($U59,$U$10:$U$42,0),0)</f>
        <v>0</v>
      </c>
      <c r="Q59" s="33" cm="1">
        <f t="array" ref="Q59">INDEX(Q$10:Q$42,MATCH($U59,$U$10:$U$42,0),0)</f>
        <v>0</v>
      </c>
      <c r="R59" s="33" cm="1">
        <f t="array" ref="R59">INDEX(R$10:R$42,MATCH($U59,$U$10:$U$42,0),0)</f>
        <v>0</v>
      </c>
      <c r="S59" s="33" cm="1">
        <f t="array" ref="S59">INDEX(S$10:S$42,MATCH($U59,$U$10:$U$42,0),0)</f>
        <v>0</v>
      </c>
      <c r="T59" s="33" cm="1">
        <f t="array" ref="T59">INDEX(T$10:T$26,MATCH($U59,$U$10:$U$26,0),0)</f>
        <v>0</v>
      </c>
      <c r="U59" s="46">
        <f t="shared" si="13"/>
        <v>0</v>
      </c>
    </row>
    <row r="60" spans="1:23">
      <c r="A60" s="33" t="str" cm="1">
        <f t="array" ref="A60">INDEX(A$10:A$41,MATCH($J60,$J$10:$J$41,0),0)</f>
        <v>Capacitors</v>
      </c>
      <c r="B60" s="33" t="str" cm="1">
        <f t="array" ref="B60">INDEX(B$10:B$41,MATCH($A60,$A$10:$A$41,0),0)</f>
        <v>2022/23</v>
      </c>
      <c r="C60" s="33" t="str" cm="1">
        <f t="array" ref="C60">INDEX(C$10:C$41,MATCH($J60,$J$10:$J$41,0),0)</f>
        <v>Switchyard</v>
      </c>
      <c r="D60" s="33" t="str" cm="1">
        <f t="array" ref="D60">INDEX(D$10:D$41,MATCH($J60,$J$10:$J$41,0),0)</f>
        <v>Replacement expenditure</v>
      </c>
      <c r="E60" s="33" cm="1">
        <f t="array" ref="E60">INDEX(E$10:E$41,MATCH($J60,$J$10:$J$41,0),0)</f>
        <v>0</v>
      </c>
      <c r="F60" s="33" cm="1">
        <f t="array" ref="F60">INDEX(F$10:F$41,MATCH($J60,$J$10:$J$41,0),0)</f>
        <v>0</v>
      </c>
      <c r="G60" s="33" cm="1">
        <f t="array" ref="G60">INDEX(G$10:G$41,MATCH($J60,$J$10:$J$41,0),0)</f>
        <v>129.90353943396229</v>
      </c>
      <c r="H60" s="33" cm="1">
        <f t="array" ref="H60">INDEX(H$10:H$41,MATCH($J60,$J$10:$J$41,0),0)</f>
        <v>0</v>
      </c>
      <c r="I60" s="33" cm="1">
        <f t="array" ref="I60">INDEX(I$10:I$41,MATCH($J60,$J$10:$J$41,0),0)</f>
        <v>0</v>
      </c>
      <c r="J60" s="46">
        <f t="shared" si="12"/>
        <v>129.90353943396229</v>
      </c>
      <c r="L60" s="33" t="str" cm="1">
        <f t="array" ref="L60">INDEX(L$10:L$42,MATCH($U60,$U$10:$U$42,0),0)</f>
        <v>IGBTs</v>
      </c>
      <c r="M60" s="33" t="str" cm="1">
        <f t="array" ref="M60">INDEX(M$10:M$42,MATCH($U60,$U$10:$U$42,0),0)</f>
        <v>2022/23</v>
      </c>
      <c r="N60" s="33" t="str" cm="1">
        <f t="array" ref="N60">INDEX(N$10:N$42,MATCH($U60,$U$10:$U$42,0),0)</f>
        <v>Switchyard</v>
      </c>
      <c r="O60" s="33" t="str" cm="1">
        <f t="array" ref="O60">INDEX(O$10:O$42,MATCH($U60,$U$10:$U$42,0),0)</f>
        <v>Replacement expenditure</v>
      </c>
      <c r="P60" s="33" cm="1">
        <f t="array" ref="P60">INDEX(P$10:P$42,MATCH($U60,$U$10:$U$42,0),0)</f>
        <v>0</v>
      </c>
      <c r="Q60" s="33" cm="1">
        <f t="array" ref="Q60">INDEX(Q$10:Q$42,MATCH($U60,$U$10:$U$42,0),0)</f>
        <v>0</v>
      </c>
      <c r="R60" s="33" cm="1">
        <f t="array" ref="R60">INDEX(R$10:R$42,MATCH($U60,$U$10:$U$42,0),0)</f>
        <v>0</v>
      </c>
      <c r="S60" s="33" cm="1">
        <f t="array" ref="S60">INDEX(S$10:S$42,MATCH($U60,$U$10:$U$42,0),0)</f>
        <v>0</v>
      </c>
      <c r="T60" s="33" cm="1">
        <f t="array" ref="T60">INDEX(T$10:T$26,MATCH($U60,$U$10:$U$26,0),0)</f>
        <v>0</v>
      </c>
      <c r="U60" s="46">
        <f t="shared" si="13"/>
        <v>0</v>
      </c>
    </row>
    <row r="61" spans="1:23" ht="15.75" thickBot="1">
      <c r="A61" s="33" t="str" cm="1">
        <f t="array" ref="A61">INDEX(A$10:A$41,MATCH($J61,$J$10:$J$41,0),0)</f>
        <v>battery chargers</v>
      </c>
      <c r="B61" s="33" t="str" cm="1">
        <f t="array" ref="B61">INDEX(B$10:B$41,MATCH($A61,$A$10:$A$41,0),0)</f>
        <v>2022/23</v>
      </c>
      <c r="C61" s="33" t="str" cm="1">
        <f t="array" ref="C61">INDEX(C$10:C$41,MATCH($J61,$J$10:$J$41,0),0)</f>
        <v>Other operating assets</v>
      </c>
      <c r="D61" s="33" t="str" cm="1">
        <f t="array" ref="D61">INDEX(D$10:D$41,MATCH($J61,$J$10:$J$41,0),0)</f>
        <v>Replacement expenditure</v>
      </c>
      <c r="E61" s="33" cm="1">
        <f t="array" ref="E61">INDEX(E$10:E$41,MATCH($J61,$J$10:$J$41,0),0)</f>
        <v>0</v>
      </c>
      <c r="F61" s="33" cm="1">
        <f t="array" ref="F61">INDEX(F$10:F$41,MATCH($J61,$J$10:$J$41,0),0)</f>
        <v>0</v>
      </c>
      <c r="G61" s="33" cm="1">
        <f t="array" ref="G61">INDEX(G$10:G$41,MATCH($J61,$J$10:$J$41,0),0)</f>
        <v>0</v>
      </c>
      <c r="H61" s="33" cm="1">
        <f t="array" ref="H61">INDEX(H$10:H$41,MATCH($J61,$J$10:$J$41,0),0)</f>
        <v>15.952519083969465</v>
      </c>
      <c r="I61" s="33" cm="1">
        <f t="array" ref="I61">INDEX(I$10:I$41,MATCH($J61,$J$10:$J$41,0),0)</f>
        <v>72.511450381679396</v>
      </c>
      <c r="J61" s="46">
        <f t="shared" si="12"/>
        <v>88.463969465648859</v>
      </c>
      <c r="L61" s="33" t="str" cm="1">
        <f t="array" ref="L61">INDEX(L$10:L$42,MATCH($U61,$U$10:$U$42,0),0)</f>
        <v>IGBTs</v>
      </c>
      <c r="M61" s="33" t="str" cm="1">
        <f t="array" ref="M61">INDEX(M$10:M$42,MATCH($U61,$U$10:$U$42,0),0)</f>
        <v>2022/23</v>
      </c>
      <c r="N61" s="33" t="str" cm="1">
        <f t="array" ref="N61">INDEX(N$10:N$42,MATCH($U61,$U$10:$U$42,0),0)</f>
        <v>Switchyard</v>
      </c>
      <c r="O61" s="33" t="str" cm="1">
        <f t="array" ref="O61">INDEX(O$10:O$42,MATCH($U61,$U$10:$U$42,0),0)</f>
        <v>Replacement expenditure</v>
      </c>
      <c r="P61" s="33" cm="1">
        <f t="array" ref="P61">INDEX(P$10:P$42,MATCH($U61,$U$10:$U$42,0),0)</f>
        <v>0</v>
      </c>
      <c r="Q61" s="33" cm="1">
        <f t="array" ref="Q61">INDEX(Q$10:Q$42,MATCH($U61,$U$10:$U$42,0),0)</f>
        <v>0</v>
      </c>
      <c r="R61" s="33" cm="1">
        <f t="array" ref="R61">INDEX(R$10:R$42,MATCH($U61,$U$10:$U$42,0),0)</f>
        <v>0</v>
      </c>
      <c r="S61" s="33" cm="1">
        <f t="array" ref="S61">INDEX(S$10:S$42,MATCH($U61,$U$10:$U$42,0),0)</f>
        <v>0</v>
      </c>
      <c r="T61" s="33" cm="1">
        <f t="array" ref="T61">INDEX(T$10:T$26,MATCH($U61,$U$10:$U$26,0),0)</f>
        <v>0</v>
      </c>
      <c r="U61" s="46">
        <f t="shared" si="13"/>
        <v>0</v>
      </c>
    </row>
    <row r="62" spans="1:23" ht="16.5" thickTop="1" thickBot="1">
      <c r="A62" s="33" t="str" cm="1">
        <f t="array" ref="A62">INDEX(A$10:A$41,MATCH($J62,$J$10:$J$41,0),0)</f>
        <v>Essential Spares</v>
      </c>
      <c r="B62" s="33" t="str" cm="1">
        <f t="array" ref="B62">INDEX(B$10:B$41,MATCH($A62,$A$10:$A$41,0),0)</f>
        <v>2022/23</v>
      </c>
      <c r="C62" s="33" t="str" cm="1">
        <f t="array" ref="C62">INDEX(C$10:C$41,MATCH($J62,$J$10:$J$41,0),0)</f>
        <v>Switchyard</v>
      </c>
      <c r="D62" s="33" t="str" cm="1">
        <f t="array" ref="D62">INDEX(D$10:D$41,MATCH($J62,$J$10:$J$41,0),0)</f>
        <v>Replacement expenditure</v>
      </c>
      <c r="E62" s="33" cm="1">
        <f t="array" ref="E62">INDEX(E$10:E$41,MATCH($J62,$J$10:$J$41,0),0)</f>
        <v>0</v>
      </c>
      <c r="F62" s="33" cm="1">
        <f t="array" ref="F62">INDEX(F$10:F$41,MATCH($J62,$J$10:$J$41,0),0)</f>
        <v>0</v>
      </c>
      <c r="G62" s="33" cm="1">
        <f t="array" ref="G62">INDEX(G$10:G$41,MATCH($J62,$J$10:$J$41,0),0)</f>
        <v>0</v>
      </c>
      <c r="H62" s="33" cm="1">
        <f t="array" ref="H62">INDEX(H$10:H$41,MATCH($J62,$J$10:$J$41,0),0)</f>
        <v>0</v>
      </c>
      <c r="I62" s="33" cm="1">
        <f t="array" ref="I62">INDEX(I$10:I$41,MATCH($J62,$J$10:$J$41,0),0)</f>
        <v>86.559493002544528</v>
      </c>
      <c r="J62" s="46">
        <f t="shared" si="12"/>
        <v>86.559493002544528</v>
      </c>
      <c r="L62" s="33" t="str" cm="1">
        <f t="array" ref="L62">INDEX(L$10:L$42,MATCH($U62,$U$10:$U$42,0),0)</f>
        <v>IGBTs</v>
      </c>
      <c r="M62" s="33" t="str" cm="1">
        <f t="array" ref="M62">INDEX(M$10:M$42,MATCH($U62,$U$10:$U$42,0),0)</f>
        <v>2022/23</v>
      </c>
      <c r="N62" s="33" t="str" cm="1">
        <f t="array" ref="N62">INDEX(N$10:N$42,MATCH($U62,$U$10:$U$42,0),0)</f>
        <v>Switchyard</v>
      </c>
      <c r="O62" s="33" t="str" cm="1">
        <f t="array" ref="O62">INDEX(O$10:O$42,MATCH($U62,$U$10:$U$42,0),0)</f>
        <v>Replacement expenditure</v>
      </c>
      <c r="P62" s="33" cm="1">
        <f t="array" ref="P62">INDEX(P$10:P$42,MATCH($U62,$U$10:$U$42,0),0)</f>
        <v>0</v>
      </c>
      <c r="Q62" s="33" cm="1">
        <f t="array" ref="Q62">INDEX(Q$10:Q$42,MATCH($U62,$U$10:$U$42,0),0)</f>
        <v>0</v>
      </c>
      <c r="R62" s="33" cm="1">
        <f t="array" ref="R62">INDEX(R$10:R$42,MATCH($U62,$U$10:$U$42,0),0)</f>
        <v>0</v>
      </c>
      <c r="S62" s="33" cm="1">
        <f t="array" ref="S62">INDEX(S$10:S$42,MATCH($U62,$U$10:$U$42,0),0)</f>
        <v>0</v>
      </c>
      <c r="T62" s="33" cm="1">
        <f t="array" ref="T62">INDEX(T$10:T$26,MATCH($U62,$U$10:$U$26,0),0)</f>
        <v>0</v>
      </c>
      <c r="U62" s="46">
        <f t="shared" si="13"/>
        <v>0</v>
      </c>
      <c r="W62" s="47">
        <f>SUM(U47:U62)-U5</f>
        <v>0</v>
      </c>
    </row>
    <row r="63" spans="1:23" ht="15.75" thickTop="1">
      <c r="A63" s="33" t="str" cm="1">
        <f t="array" ref="A63">INDEX(A$10:A$41,MATCH($J63,$J$10:$J$41,0),0)</f>
        <v>Chilled water piping refurbishment</v>
      </c>
      <c r="B63" s="33" t="str" cm="1">
        <f t="array" ref="B63">INDEX(B$10:B$41,MATCH($A63,$A$10:$A$41,0),0)</f>
        <v>2022/23</v>
      </c>
      <c r="C63" s="33" t="str" cm="1">
        <f t="array" ref="C63">INDEX(C$10:C$41,MATCH($J63,$J$10:$J$41,0),0)</f>
        <v>Other operating assets</v>
      </c>
      <c r="D63" s="33" t="str" cm="1">
        <f t="array" ref="D63">INDEX(D$10:D$41,MATCH($J63,$J$10:$J$41,0),0)</f>
        <v>Replacement expenditure</v>
      </c>
      <c r="E63" s="33" cm="1">
        <f t="array" ref="E63">INDEX(E$10:E$41,MATCH($J63,$J$10:$J$41,0),0)</f>
        <v>0</v>
      </c>
      <c r="F63" s="33" cm="1">
        <f t="array" ref="F63">INDEX(F$10:F$41,MATCH($J63,$J$10:$J$41,0),0)</f>
        <v>0</v>
      </c>
      <c r="G63" s="33" cm="1">
        <f t="array" ref="G63">INDEX(G$10:G$41,MATCH($J63,$J$10:$J$41,0),0)</f>
        <v>34.33244560034305</v>
      </c>
      <c r="H63" s="33" cm="1">
        <f t="array" ref="H63">INDEX(H$10:H$41,MATCH($J63,$J$10:$J$41,0),0)</f>
        <v>51.888269109414757</v>
      </c>
      <c r="I63" s="33" cm="1">
        <f t="array" ref="I63">INDEX(I$10:I$41,MATCH($J63,$J$10:$J$41,0),0)</f>
        <v>0</v>
      </c>
      <c r="J63" s="46">
        <f t="shared" si="12"/>
        <v>86.2207147097578</v>
      </c>
    </row>
    <row r="64" spans="1:23">
      <c r="A64" s="33" t="str" cm="1">
        <f t="array" ref="A64">INDEX(A$10:A$41,MATCH($J64,$J$10:$J$41,0),0)</f>
        <v>Cable Protection/Modification</v>
      </c>
      <c r="B64" s="33" t="str" cm="1">
        <f t="array" ref="B64">INDEX(B$10:B$41,MATCH($A64,$A$10:$A$41,0),0)</f>
        <v>2022/23</v>
      </c>
      <c r="C64" s="33" t="str" cm="1">
        <f t="array" ref="C64">INDEX(C$10:C$41,MATCH($J64,$J$10:$J$41,0),0)</f>
        <v>Other operating assets</v>
      </c>
      <c r="D64" s="33" t="str" cm="1">
        <f t="array" ref="D64">INDEX(D$10:D$41,MATCH($J64,$J$10:$J$41,0),0)</f>
        <v>Replacement expenditure</v>
      </c>
      <c r="E64" s="33" cm="1">
        <f t="array" ref="E64">INDEX(E$10:E$41,MATCH($J64,$J$10:$J$41,0),0)</f>
        <v>0</v>
      </c>
      <c r="F64" s="33" cm="1">
        <f t="array" ref="F64">INDEX(F$10:F$41,MATCH($J64,$J$10:$J$41,0),0)</f>
        <v>0</v>
      </c>
      <c r="G64" s="33" cm="1">
        <f t="array" ref="G64">INDEX(G$10:G$41,MATCH($J64,$J$10:$J$41,0),0)</f>
        <v>0</v>
      </c>
      <c r="H64" s="33" cm="1">
        <f t="array" ref="H64">INDEX(H$10:H$41,MATCH($J64,$J$10:$J$41,0),0)</f>
        <v>0</v>
      </c>
      <c r="I64" s="33" cm="1">
        <f t="array" ref="I64">INDEX(I$10:I$41,MATCH($J64,$J$10:$J$41,0),0)</f>
        <v>63.151167938931295</v>
      </c>
      <c r="J64" s="46">
        <f t="shared" si="12"/>
        <v>63.151167938931295</v>
      </c>
    </row>
    <row r="66" spans="1:26" ht="19.5">
      <c r="A66" s="2" t="s">
        <v>137</v>
      </c>
      <c r="B66" s="2"/>
      <c r="C66" s="2"/>
      <c r="D66" s="2"/>
      <c r="E66" s="2"/>
      <c r="F66" s="2"/>
      <c r="G66" s="2"/>
      <c r="H66" s="2"/>
      <c r="I66" s="2"/>
      <c r="J66" s="2"/>
      <c r="K66" s="2"/>
      <c r="L66" s="2" t="s">
        <v>137</v>
      </c>
      <c r="M66" s="2"/>
      <c r="N66" s="2"/>
      <c r="O66" s="2"/>
      <c r="P66" s="2"/>
      <c r="Q66" s="2"/>
      <c r="R66" s="2"/>
      <c r="S66" s="2"/>
      <c r="T66" s="2"/>
      <c r="U66" s="2"/>
      <c r="V66" s="2"/>
      <c r="W66" s="2"/>
      <c r="X66" s="2"/>
      <c r="Y66" s="2"/>
    </row>
    <row r="67" spans="1:26" ht="16.5">
      <c r="A67" s="4" t="str">
        <f>A44</f>
        <v>Current Period ($2018 '000)</v>
      </c>
      <c r="B67" s="4"/>
      <c r="C67" s="4"/>
      <c r="D67" s="4"/>
      <c r="E67" s="4"/>
      <c r="F67" s="4"/>
      <c r="G67" s="4"/>
      <c r="H67" s="4"/>
      <c r="I67" s="4"/>
      <c r="J67" s="4"/>
      <c r="L67" s="4" t="str">
        <f>L44</f>
        <v>Forecast Period ($FY 2022/23 '000)</v>
      </c>
      <c r="M67" s="4"/>
      <c r="N67" s="4"/>
      <c r="O67" s="4"/>
      <c r="P67" s="4"/>
      <c r="Q67" s="4"/>
      <c r="R67" s="4"/>
      <c r="S67" s="4"/>
      <c r="T67" s="4"/>
      <c r="U67" s="4"/>
    </row>
    <row r="68" spans="1:26">
      <c r="A68" s="3" t="str">
        <f>A45</f>
        <v>Project</v>
      </c>
      <c r="B68" s="3" t="str">
        <f t="shared" ref="B68:J68" si="14">B45</f>
        <v>$</v>
      </c>
      <c r="C68" s="3" t="str">
        <f t="shared" si="14"/>
        <v>Asset Class</v>
      </c>
      <c r="D68" s="3" t="str">
        <f t="shared" si="14"/>
        <v>Asset Driver</v>
      </c>
      <c r="E68" s="3" t="str">
        <f t="shared" si="14"/>
        <v>2018/19</v>
      </c>
      <c r="F68" s="3" t="str">
        <f t="shared" si="14"/>
        <v>2019/20</v>
      </c>
      <c r="G68" s="3" t="str">
        <f t="shared" si="14"/>
        <v>2020/21</v>
      </c>
      <c r="H68" s="3" t="str">
        <f t="shared" si="14"/>
        <v>2021/22</v>
      </c>
      <c r="I68" s="3" t="str">
        <f t="shared" si="14"/>
        <v>2022/23</v>
      </c>
      <c r="J68" s="3" t="str">
        <f t="shared" si="14"/>
        <v>Total</v>
      </c>
      <c r="L68" s="3" t="str">
        <f>L45</f>
        <v>Program</v>
      </c>
      <c r="M68" s="3" t="str">
        <f t="shared" ref="M68:U68" si="15">M45</f>
        <v>input</v>
      </c>
      <c r="N68" s="3" t="str">
        <f t="shared" si="15"/>
        <v>Asset Class</v>
      </c>
      <c r="O68" s="3" t="str">
        <f t="shared" si="15"/>
        <v>Asset Driver</v>
      </c>
      <c r="P68" s="3" t="str">
        <f t="shared" si="15"/>
        <v>2023/24</v>
      </c>
      <c r="Q68" s="3" t="str">
        <f t="shared" si="15"/>
        <v>2024/25</v>
      </c>
      <c r="R68" s="3" t="str">
        <f t="shared" si="15"/>
        <v>2025/26</v>
      </c>
      <c r="S68" s="3" t="str">
        <f t="shared" si="15"/>
        <v>2026/27</v>
      </c>
      <c r="T68" s="3" t="str">
        <f t="shared" si="15"/>
        <v>2027/28</v>
      </c>
      <c r="U68" s="3" t="str">
        <f t="shared" si="15"/>
        <v>Total</v>
      </c>
    </row>
    <row r="70" spans="1:26">
      <c r="A70" s="44" t="str">
        <f>IF(J47&gt;2000,A47,"")</f>
        <v>Replacement of Control System</v>
      </c>
      <c r="B70" s="44" t="str">
        <f t="shared" ref="B70:I70" si="16">IF($J47&gt;2000,B47,"")</f>
        <v>2022/23</v>
      </c>
      <c r="C70" s="44" t="str">
        <f t="shared" si="16"/>
        <v>Ancillary 15 - control systems</v>
      </c>
      <c r="D70" s="44" t="str">
        <f t="shared" si="16"/>
        <v>Replacement expenditure</v>
      </c>
      <c r="E70" s="33">
        <f t="shared" si="16"/>
        <v>9577.0325867850825</v>
      </c>
      <c r="F70" s="33">
        <f t="shared" si="16"/>
        <v>7214.7588196932529</v>
      </c>
      <c r="G70" s="33">
        <f t="shared" si="16"/>
        <v>5388.4815889965685</v>
      </c>
      <c r="H70" s="33">
        <f t="shared" si="16"/>
        <v>595.6026430025446</v>
      </c>
      <c r="I70" s="33">
        <f t="shared" si="16"/>
        <v>236.45038167938932</v>
      </c>
      <c r="J70" s="46">
        <f>SUM(E70:I70)</f>
        <v>23012.326020156837</v>
      </c>
      <c r="L70" s="44" t="str">
        <f>IF(U47&gt;2000,L47,"")</f>
        <v>Stay in business</v>
      </c>
      <c r="M70" s="44" t="str">
        <f t="shared" ref="M70:T74" si="17">IF($U47&gt;2000,M47,"")</f>
        <v>2022/23</v>
      </c>
      <c r="N70" s="44" t="str">
        <f t="shared" si="17"/>
        <v>Other operating assets</v>
      </c>
      <c r="O70" s="44" t="str">
        <f t="shared" si="17"/>
        <v>Replacement expenditure</v>
      </c>
      <c r="P70" s="33">
        <f t="shared" si="17"/>
        <v>1126.5732986004073</v>
      </c>
      <c r="Q70" s="33">
        <f t="shared" si="17"/>
        <v>1070.2654871501272</v>
      </c>
      <c r="R70" s="33">
        <f t="shared" si="17"/>
        <v>906.77199482707385</v>
      </c>
      <c r="S70" s="33">
        <f t="shared" si="17"/>
        <v>239.27622646310431</v>
      </c>
      <c r="T70" s="33">
        <f t="shared" si="17"/>
        <v>158.35765139949109</v>
      </c>
      <c r="U70" s="46">
        <f>SUM(P70:T70)</f>
        <v>3501.2446584402037</v>
      </c>
    </row>
    <row r="71" spans="1:26">
      <c r="A71" s="44" t="str">
        <f>IF(J48&gt;2000,A48,"")</f>
        <v/>
      </c>
      <c r="B71" s="44" t="str">
        <f>IF($J48&gt;2000,B48,"")</f>
        <v/>
      </c>
      <c r="C71" s="44" t="str">
        <f t="shared" ref="C71:I71" si="18">IF($J48&gt;2000,C48,"")</f>
        <v/>
      </c>
      <c r="D71" s="44" t="str">
        <f t="shared" si="18"/>
        <v/>
      </c>
      <c r="E71" s="33" t="str">
        <f t="shared" si="18"/>
        <v/>
      </c>
      <c r="F71" s="33" t="str">
        <f t="shared" si="18"/>
        <v/>
      </c>
      <c r="G71" s="33" t="str">
        <f t="shared" si="18"/>
        <v/>
      </c>
      <c r="H71" s="33" t="str">
        <f t="shared" si="18"/>
        <v/>
      </c>
      <c r="I71" s="33" t="str">
        <f t="shared" si="18"/>
        <v/>
      </c>
      <c r="J71" s="46">
        <f>SUM(E71:I71)</f>
        <v>0</v>
      </c>
      <c r="L71" s="44" t="str">
        <f>IF($U48&gt;2000,L48,"")</f>
        <v>Enhanced Cooling</v>
      </c>
      <c r="M71" s="44" t="str">
        <f t="shared" si="17"/>
        <v>2022/23</v>
      </c>
      <c r="N71" s="44" t="str">
        <f t="shared" si="17"/>
        <v>Other operating assets</v>
      </c>
      <c r="O71" s="44" t="str">
        <f t="shared" si="17"/>
        <v>Replacement expenditure</v>
      </c>
      <c r="P71" s="33">
        <f t="shared" si="17"/>
        <v>1649.7307205318068</v>
      </c>
      <c r="Q71" s="33">
        <f t="shared" si="17"/>
        <v>1649.7307205318068</v>
      </c>
      <c r="R71" s="33">
        <f t="shared" si="17"/>
        <v>0</v>
      </c>
      <c r="S71" s="33">
        <f t="shared" si="17"/>
        <v>0</v>
      </c>
      <c r="T71" s="33">
        <f t="shared" si="17"/>
        <v>0</v>
      </c>
      <c r="U71" s="46">
        <f>SUM(P71:T71)</f>
        <v>3299.4614410636136</v>
      </c>
    </row>
    <row r="72" spans="1:26">
      <c r="A72" s="44" t="str">
        <f>IF(J49&gt;2000,A49,"")</f>
        <v/>
      </c>
      <c r="B72" s="44" t="str">
        <f>IF($J49&gt;2000,B49,"")</f>
        <v/>
      </c>
      <c r="C72" s="44" t="str">
        <f t="shared" ref="C72:I72" si="19">IF($J49&gt;2000,C49,"")</f>
        <v/>
      </c>
      <c r="D72" s="44" t="str">
        <f t="shared" si="19"/>
        <v/>
      </c>
      <c r="E72" s="33" t="str">
        <f t="shared" si="19"/>
        <v/>
      </c>
      <c r="F72" s="33" t="str">
        <f t="shared" si="19"/>
        <v/>
      </c>
      <c r="G72" s="33" t="str">
        <f t="shared" si="19"/>
        <v/>
      </c>
      <c r="H72" s="33" t="str">
        <f t="shared" si="19"/>
        <v/>
      </c>
      <c r="I72" s="33" t="str">
        <f t="shared" si="19"/>
        <v/>
      </c>
      <c r="J72" s="46">
        <f>SUM(E72:I72)</f>
        <v>0</v>
      </c>
      <c r="L72" s="44" t="str">
        <f>IF($U49&gt;2000,L49,"")</f>
        <v>SOCI</v>
      </c>
      <c r="M72" s="44" t="str">
        <f t="shared" si="17"/>
        <v>2022/23</v>
      </c>
      <c r="N72" s="44" t="str">
        <f t="shared" si="17"/>
        <v>Non ancillary asset</v>
      </c>
      <c r="O72" s="44" t="str">
        <f t="shared" si="17"/>
        <v>Replacement expenditure</v>
      </c>
      <c r="P72" s="33">
        <f t="shared" si="17"/>
        <v>466.63430279898222</v>
      </c>
      <c r="Q72" s="33">
        <f t="shared" si="17"/>
        <v>0</v>
      </c>
      <c r="R72" s="33">
        <f t="shared" si="17"/>
        <v>1082.9566</v>
      </c>
      <c r="S72" s="33">
        <f t="shared" si="17"/>
        <v>1082.9566</v>
      </c>
      <c r="T72" s="33">
        <f t="shared" si="17"/>
        <v>0</v>
      </c>
      <c r="U72" s="46">
        <f>SUM(P72:T72)</f>
        <v>2632.5475027989824</v>
      </c>
    </row>
    <row r="73" spans="1:26">
      <c r="A73" s="44" t="str">
        <f>IF(J50&gt;2000,A50,"")</f>
        <v/>
      </c>
      <c r="B73" s="44" t="str">
        <f>IF($J50&gt;2000,B50,"")</f>
        <v/>
      </c>
      <c r="C73" s="44" t="str">
        <f t="shared" ref="C73:I73" si="20">IF($J50&gt;2000,C50,"")</f>
        <v/>
      </c>
      <c r="D73" s="44" t="str">
        <f t="shared" si="20"/>
        <v/>
      </c>
      <c r="E73" s="33" t="str">
        <f t="shared" si="20"/>
        <v/>
      </c>
      <c r="F73" s="33" t="str">
        <f t="shared" si="20"/>
        <v/>
      </c>
      <c r="G73" s="33" t="str">
        <f t="shared" si="20"/>
        <v/>
      </c>
      <c r="H73" s="33" t="str">
        <f t="shared" si="20"/>
        <v/>
      </c>
      <c r="I73" s="33" t="str">
        <f t="shared" si="20"/>
        <v/>
      </c>
      <c r="J73" s="46">
        <f>SUM(E73:I73)</f>
        <v>0</v>
      </c>
      <c r="L73" s="44" t="str">
        <f>IF($U50&gt;2000,L50,"")</f>
        <v>Cable Protection/Modification</v>
      </c>
      <c r="M73" s="44" t="str">
        <f t="shared" si="17"/>
        <v>2022/23</v>
      </c>
      <c r="N73" s="44" t="str">
        <f t="shared" si="17"/>
        <v>Transmission Cable</v>
      </c>
      <c r="O73" s="44" t="str">
        <f t="shared" si="17"/>
        <v>Replacement expenditure</v>
      </c>
      <c r="P73" s="33">
        <f t="shared" si="17"/>
        <v>252.60467175572521</v>
      </c>
      <c r="Q73" s="33">
        <f t="shared" si="17"/>
        <v>252.60467175572521</v>
      </c>
      <c r="R73" s="33">
        <f t="shared" si="17"/>
        <v>1422.2942340966922</v>
      </c>
      <c r="S73" s="33">
        <f t="shared" si="17"/>
        <v>252.60467175572521</v>
      </c>
      <c r="T73" s="33">
        <f t="shared" si="17"/>
        <v>252.60467175572521</v>
      </c>
      <c r="U73" s="46">
        <f>SUM(P73:T73)</f>
        <v>2432.7129211195929</v>
      </c>
    </row>
    <row r="74" spans="1:26">
      <c r="A74" s="44" t="str">
        <f>IF(J51&gt;2000,A51,"")</f>
        <v/>
      </c>
      <c r="B74" s="44" t="str">
        <f>IF($J51&gt;2000,B51,"")</f>
        <v/>
      </c>
      <c r="C74" s="44" t="str">
        <f t="shared" ref="C74:I74" si="21">IF($J51&gt;2000,C51,"")</f>
        <v/>
      </c>
      <c r="D74" s="44" t="str">
        <f t="shared" si="21"/>
        <v/>
      </c>
      <c r="E74" s="33" t="str">
        <f t="shared" si="21"/>
        <v/>
      </c>
      <c r="F74" s="33" t="str">
        <f t="shared" si="21"/>
        <v/>
      </c>
      <c r="G74" s="33" t="str">
        <f t="shared" si="21"/>
        <v/>
      </c>
      <c r="H74" s="33" t="str">
        <f t="shared" si="21"/>
        <v/>
      </c>
      <c r="I74" s="33" t="str">
        <f t="shared" si="21"/>
        <v/>
      </c>
      <c r="J74" s="46">
        <f>SUM(E74:I74)</f>
        <v>0</v>
      </c>
      <c r="L74" s="44" t="str">
        <f>IF($U51&gt;2000,L51,"")</f>
        <v/>
      </c>
      <c r="M74" s="44" t="str">
        <f t="shared" si="17"/>
        <v/>
      </c>
      <c r="N74" s="44" t="str">
        <f t="shared" si="17"/>
        <v/>
      </c>
      <c r="O74" s="44" t="str">
        <f t="shared" si="17"/>
        <v/>
      </c>
      <c r="P74" s="33" t="str">
        <f t="shared" si="17"/>
        <v/>
      </c>
      <c r="Q74" s="33" t="str">
        <f t="shared" si="17"/>
        <v/>
      </c>
      <c r="R74" s="33" t="str">
        <f t="shared" si="17"/>
        <v/>
      </c>
      <c r="S74" s="33" t="str">
        <f t="shared" si="17"/>
        <v/>
      </c>
      <c r="T74" s="33" t="str">
        <f t="shared" si="17"/>
        <v/>
      </c>
      <c r="U74" s="46">
        <f>SUM(P74:T74)</f>
        <v>0</v>
      </c>
    </row>
    <row r="76" spans="1:26" ht="19.5">
      <c r="A76" s="2" t="s">
        <v>138</v>
      </c>
      <c r="B76" s="2"/>
      <c r="C76" s="2"/>
      <c r="D76" s="2"/>
      <c r="E76" s="2"/>
      <c r="F76" s="2"/>
      <c r="G76" s="2"/>
      <c r="H76" s="2"/>
      <c r="I76" s="2"/>
      <c r="J76" s="2"/>
      <c r="K76" s="2"/>
      <c r="L76" s="2"/>
      <c r="M76" s="2"/>
      <c r="N76" s="2"/>
      <c r="O76" s="2"/>
      <c r="P76" s="2"/>
      <c r="Q76" s="2"/>
      <c r="R76" s="2"/>
      <c r="S76" s="2"/>
      <c r="T76" s="2"/>
      <c r="U76" s="2"/>
      <c r="V76" s="2"/>
      <c r="W76" s="2"/>
      <c r="X76" s="2"/>
      <c r="Y76" s="2"/>
    </row>
    <row r="77" spans="1:26">
      <c r="A77" s="3" t="s">
        <v>6</v>
      </c>
      <c r="B77" s="3" t="s">
        <v>4</v>
      </c>
      <c r="C77" s="3"/>
      <c r="D77" s="3"/>
      <c r="E77" s="3" t="str">
        <f>E8</f>
        <v>2018/19</v>
      </c>
      <c r="F77" s="3" t="str">
        <f>F8</f>
        <v>2019/20</v>
      </c>
      <c r="G77" s="3" t="str">
        <f>G8</f>
        <v>2020/21</v>
      </c>
      <c r="H77" s="3" t="str">
        <f>H8</f>
        <v>2021/22</v>
      </c>
      <c r="I77" s="3" t="str">
        <f>I8</f>
        <v>2022/23</v>
      </c>
      <c r="J77" s="3" t="s">
        <v>15</v>
      </c>
      <c r="L77" s="3" t="s">
        <v>139</v>
      </c>
      <c r="M77" s="3" t="str">
        <f>M68</f>
        <v>input</v>
      </c>
      <c r="N77" s="3" t="str">
        <f>N68</f>
        <v>Asset Class</v>
      </c>
      <c r="O77" s="3" t="str">
        <f>O68</f>
        <v>Asset Driver</v>
      </c>
      <c r="P77" s="3" t="str">
        <f>P8</f>
        <v>2023/24</v>
      </c>
      <c r="Q77" s="3" t="str">
        <f>Q8</f>
        <v>2024/25</v>
      </c>
      <c r="R77" s="3" t="str">
        <f>R8</f>
        <v>2025/26</v>
      </c>
      <c r="S77" s="3" t="str">
        <f>S8</f>
        <v>2026/27</v>
      </c>
      <c r="T77" s="3" t="str">
        <f>T8</f>
        <v>2027/28</v>
      </c>
      <c r="U77" s="3" t="s">
        <v>15</v>
      </c>
      <c r="V77" s="3"/>
      <c r="W77" s="3"/>
      <c r="X77" s="3"/>
      <c r="Y77" s="3"/>
      <c r="Z77" s="3"/>
    </row>
    <row r="79" spans="1:26">
      <c r="A79" s="6" t="str">
        <f>'1.1 Input'!A20</f>
        <v>Switchyard</v>
      </c>
      <c r="B79" s="6" t="str">
        <f>$B$10</f>
        <v>2022/23</v>
      </c>
      <c r="C79" s="6"/>
      <c r="D79" s="6"/>
      <c r="E79" s="6">
        <f>SUMIF($C$10:$C$42,$A79,E$10:E$42)</f>
        <v>341.46616187744223</v>
      </c>
      <c r="F79" s="6">
        <f t="shared" ref="F79:I87" si="22">SUMIF($C$10:$C$42,$A79,F$10:F$42)</f>
        <v>62.707994355828234</v>
      </c>
      <c r="G79" s="6">
        <f t="shared" si="22"/>
        <v>510.53230898799319</v>
      </c>
      <c r="H79" s="6">
        <f t="shared" si="22"/>
        <v>1024.7944288549618</v>
      </c>
      <c r="I79" s="6">
        <f t="shared" si="22"/>
        <v>1701.5945743002546</v>
      </c>
      <c r="J79" s="46">
        <f t="shared" ref="J79:J88" si="23">SUM(E79:I79)</f>
        <v>3641.0954683764803</v>
      </c>
      <c r="L79" s="6" t="str">
        <f>'1.1 Input'!C20</f>
        <v>Switchyard</v>
      </c>
      <c r="M79" s="6" t="str">
        <f>$M$10</f>
        <v>2022/23</v>
      </c>
      <c r="N79" s="6"/>
      <c r="O79" s="6"/>
      <c r="P79" s="6">
        <f t="shared" ref="P79:T87" si="24">SUMIF($N$10:$N$28,$L79,P$10:P$28)</f>
        <v>241.14891348600511</v>
      </c>
      <c r="Q79" s="6">
        <f t="shared" si="24"/>
        <v>241.14891348600511</v>
      </c>
      <c r="R79" s="6">
        <f t="shared" si="24"/>
        <v>241.14891348600511</v>
      </c>
      <c r="S79" s="6">
        <f t="shared" si="24"/>
        <v>241.14891348600511</v>
      </c>
      <c r="T79" s="6">
        <f t="shared" si="24"/>
        <v>241.14891348600511</v>
      </c>
      <c r="U79" s="46">
        <f t="shared" ref="U79:U88" si="25">SUM(P79:T79)</f>
        <v>1205.7445674300257</v>
      </c>
    </row>
    <row r="80" spans="1:26">
      <c r="A80" s="6" t="str">
        <f>'1.1 Input'!A21</f>
        <v>Transmission line</v>
      </c>
      <c r="B80" s="6" t="str">
        <f t="shared" ref="B80:B87" si="26">$B$10</f>
        <v>2022/23</v>
      </c>
      <c r="C80" s="6"/>
      <c r="D80" s="6"/>
      <c r="E80" s="6">
        <f t="shared" ref="E80:E87" si="27">SUMIF($C$10:$C$42,$A80,E$10:E$42)</f>
        <v>0</v>
      </c>
      <c r="F80" s="6">
        <f t="shared" si="22"/>
        <v>0</v>
      </c>
      <c r="G80" s="6">
        <f t="shared" si="22"/>
        <v>0</v>
      </c>
      <c r="H80" s="6">
        <f t="shared" si="22"/>
        <v>0</v>
      </c>
      <c r="I80" s="6">
        <f t="shared" si="22"/>
        <v>37.832061068702288</v>
      </c>
      <c r="J80" s="46">
        <f t="shared" si="23"/>
        <v>37.832061068702288</v>
      </c>
      <c r="L80" s="6" t="str">
        <f>'1.1 Input'!C21</f>
        <v>Transmission Cable</v>
      </c>
      <c r="M80" s="6" t="str">
        <f t="shared" ref="M80:M87" si="28">$M$10</f>
        <v>2022/23</v>
      </c>
      <c r="N80" s="6"/>
      <c r="O80" s="6"/>
      <c r="P80" s="6">
        <f t="shared" si="24"/>
        <v>252.60467175572521</v>
      </c>
      <c r="Q80" s="6">
        <f t="shared" si="24"/>
        <v>252.60467175572521</v>
      </c>
      <c r="R80" s="6">
        <f t="shared" si="24"/>
        <v>1422.2942340966922</v>
      </c>
      <c r="S80" s="6">
        <f t="shared" si="24"/>
        <v>252.60467175572521</v>
      </c>
      <c r="T80" s="6">
        <f t="shared" si="24"/>
        <v>252.60467175572521</v>
      </c>
      <c r="U80" s="46">
        <f t="shared" si="25"/>
        <v>2432.7129211195929</v>
      </c>
    </row>
    <row r="81" spans="1:26">
      <c r="A81" s="6" t="str">
        <f>'1.1 Input'!A22</f>
        <v>Easements</v>
      </c>
      <c r="B81" s="6" t="str">
        <f t="shared" si="26"/>
        <v>2022/23</v>
      </c>
      <c r="C81" s="6"/>
      <c r="D81" s="6"/>
      <c r="E81" s="6">
        <f t="shared" si="27"/>
        <v>0</v>
      </c>
      <c r="F81" s="6">
        <f t="shared" si="22"/>
        <v>0</v>
      </c>
      <c r="G81" s="6">
        <f t="shared" si="22"/>
        <v>0</v>
      </c>
      <c r="H81" s="6">
        <f t="shared" si="22"/>
        <v>0</v>
      </c>
      <c r="I81" s="6">
        <f t="shared" si="22"/>
        <v>0</v>
      </c>
      <c r="J81" s="46">
        <f t="shared" si="23"/>
        <v>0</v>
      </c>
      <c r="L81" s="6" t="str">
        <f>'1.1 Input'!C22</f>
        <v>Easements</v>
      </c>
      <c r="M81" s="6" t="str">
        <f t="shared" si="28"/>
        <v>2022/23</v>
      </c>
      <c r="N81" s="6"/>
      <c r="O81" s="6"/>
      <c r="P81" s="6">
        <f t="shared" si="24"/>
        <v>0</v>
      </c>
      <c r="Q81" s="6">
        <f t="shared" si="24"/>
        <v>0</v>
      </c>
      <c r="R81" s="6">
        <f t="shared" si="24"/>
        <v>0</v>
      </c>
      <c r="S81" s="6">
        <f t="shared" si="24"/>
        <v>0</v>
      </c>
      <c r="T81" s="6">
        <f t="shared" si="24"/>
        <v>0</v>
      </c>
      <c r="U81" s="46">
        <f t="shared" si="25"/>
        <v>0</v>
      </c>
    </row>
    <row r="82" spans="1:26">
      <c r="A82" s="6" t="str">
        <f>'1.1 Input'!A23</f>
        <v>Ancillary 15 - control systems</v>
      </c>
      <c r="B82" s="6" t="str">
        <f t="shared" si="26"/>
        <v>2022/23</v>
      </c>
      <c r="C82" s="6"/>
      <c r="D82" s="6"/>
      <c r="E82" s="6">
        <f t="shared" si="27"/>
        <v>9577.0325867850825</v>
      </c>
      <c r="F82" s="6">
        <f t="shared" si="22"/>
        <v>7214.7588196932529</v>
      </c>
      <c r="G82" s="6">
        <f t="shared" si="22"/>
        <v>5372.2343248456255</v>
      </c>
      <c r="H82" s="6">
        <f t="shared" si="22"/>
        <v>595.6026430025446</v>
      </c>
      <c r="I82" s="6">
        <f t="shared" si="22"/>
        <v>236.45038167938932</v>
      </c>
      <c r="J82" s="46">
        <f t="shared" si="23"/>
        <v>22996.078756005896</v>
      </c>
      <c r="L82" s="6" t="str">
        <f>'1.1 Input'!C23</f>
        <v>Control Systems</v>
      </c>
      <c r="M82" s="6" t="str">
        <f t="shared" si="28"/>
        <v>2022/23</v>
      </c>
      <c r="N82" s="6"/>
      <c r="O82" s="6"/>
      <c r="P82" s="6">
        <f t="shared" si="24"/>
        <v>0</v>
      </c>
      <c r="Q82" s="6">
        <f t="shared" si="24"/>
        <v>0</v>
      </c>
      <c r="R82" s="6">
        <f t="shared" si="24"/>
        <v>0</v>
      </c>
      <c r="S82" s="6">
        <f t="shared" si="24"/>
        <v>0</v>
      </c>
      <c r="T82" s="6">
        <f t="shared" si="24"/>
        <v>0</v>
      </c>
      <c r="U82" s="46">
        <f t="shared" si="25"/>
        <v>0</v>
      </c>
    </row>
    <row r="83" spans="1:26">
      <c r="A83" s="6" t="str">
        <f>'1.1 Input'!A24</f>
        <v>Ancillary 30</v>
      </c>
      <c r="B83" s="6" t="str">
        <f t="shared" si="26"/>
        <v>2022/23</v>
      </c>
      <c r="C83" s="6"/>
      <c r="D83" s="6"/>
      <c r="E83" s="6">
        <f t="shared" si="27"/>
        <v>10.411770346358779</v>
      </c>
      <c r="F83" s="6">
        <f t="shared" si="22"/>
        <v>13.790504355828222</v>
      </c>
      <c r="G83" s="6">
        <f t="shared" si="22"/>
        <v>0</v>
      </c>
      <c r="H83" s="6">
        <f t="shared" si="22"/>
        <v>0</v>
      </c>
      <c r="I83" s="6">
        <f t="shared" si="22"/>
        <v>0</v>
      </c>
      <c r="J83" s="46">
        <f t="shared" si="23"/>
        <v>24.202274702187001</v>
      </c>
      <c r="L83" s="6" t="str">
        <f>'1.1 Input'!C24</f>
        <v>Ancillary asset- 30 Years</v>
      </c>
      <c r="M83" s="6" t="str">
        <f t="shared" si="28"/>
        <v>2022/23</v>
      </c>
      <c r="N83" s="6"/>
      <c r="O83" s="6"/>
      <c r="P83" s="6">
        <f t="shared" si="24"/>
        <v>0</v>
      </c>
      <c r="Q83" s="6">
        <f t="shared" si="24"/>
        <v>0</v>
      </c>
      <c r="R83" s="6">
        <f t="shared" si="24"/>
        <v>0</v>
      </c>
      <c r="S83" s="6">
        <f t="shared" si="24"/>
        <v>0</v>
      </c>
      <c r="T83" s="6">
        <f t="shared" si="24"/>
        <v>0</v>
      </c>
      <c r="U83" s="46">
        <f t="shared" si="25"/>
        <v>0</v>
      </c>
    </row>
    <row r="84" spans="1:26">
      <c r="A84" s="6" t="str">
        <f>'1.1 Input'!A25</f>
        <v>Ancillary 7 - pressure vessel testing and inspection</v>
      </c>
      <c r="B84" s="6" t="str">
        <f t="shared" si="26"/>
        <v>2022/23</v>
      </c>
      <c r="C84" s="6"/>
      <c r="D84" s="6"/>
      <c r="E84" s="6">
        <f t="shared" si="27"/>
        <v>0</v>
      </c>
      <c r="F84" s="6">
        <f t="shared" si="22"/>
        <v>0</v>
      </c>
      <c r="G84" s="6">
        <f t="shared" si="22"/>
        <v>0</v>
      </c>
      <c r="H84" s="6">
        <f t="shared" si="22"/>
        <v>0</v>
      </c>
      <c r="I84" s="6">
        <f t="shared" si="22"/>
        <v>0</v>
      </c>
      <c r="J84" s="46">
        <f t="shared" si="23"/>
        <v>0</v>
      </c>
      <c r="L84" s="6" t="str">
        <f>'1.1 Input'!C25</f>
        <v>Ancillary asset - 7 Years</v>
      </c>
      <c r="M84" s="6" t="str">
        <f t="shared" si="28"/>
        <v>2022/23</v>
      </c>
      <c r="N84" s="6"/>
      <c r="O84" s="6"/>
      <c r="P84" s="6">
        <f t="shared" si="24"/>
        <v>0</v>
      </c>
      <c r="Q84" s="6">
        <f t="shared" si="24"/>
        <v>0</v>
      </c>
      <c r="R84" s="6">
        <f t="shared" si="24"/>
        <v>0</v>
      </c>
      <c r="S84" s="6">
        <f t="shared" si="24"/>
        <v>0</v>
      </c>
      <c r="T84" s="6">
        <f t="shared" si="24"/>
        <v>0</v>
      </c>
      <c r="U84" s="46">
        <f t="shared" si="25"/>
        <v>0</v>
      </c>
    </row>
    <row r="85" spans="1:26">
      <c r="A85" s="6" t="str">
        <f>'1.1 Input'!A26</f>
        <v>Other operating assets</v>
      </c>
      <c r="B85" s="6" t="str">
        <f t="shared" si="26"/>
        <v>2022/23</v>
      </c>
      <c r="C85" s="6"/>
      <c r="D85" s="6"/>
      <c r="E85" s="6">
        <f t="shared" si="27"/>
        <v>1361.3681404529314</v>
      </c>
      <c r="F85" s="6">
        <f t="shared" si="22"/>
        <v>49.632928343558291</v>
      </c>
      <c r="G85" s="6">
        <f t="shared" si="22"/>
        <v>169.74925875643225</v>
      </c>
      <c r="H85" s="6">
        <f t="shared" si="22"/>
        <v>977.06182249363872</v>
      </c>
      <c r="I85" s="6">
        <f t="shared" si="22"/>
        <v>1724.5018094904331</v>
      </c>
      <c r="J85" s="46">
        <f t="shared" si="23"/>
        <v>4282.3139595369939</v>
      </c>
      <c r="L85" s="6" t="str">
        <f>'1.1 Input'!C26</f>
        <v>Other operating assets</v>
      </c>
      <c r="M85" s="6" t="str">
        <f t="shared" si="28"/>
        <v>2022/23</v>
      </c>
      <c r="N85" s="6"/>
      <c r="O85" s="6"/>
      <c r="P85" s="6">
        <f t="shared" si="24"/>
        <v>3306.822380964275</v>
      </c>
      <c r="Q85" s="6">
        <f t="shared" si="24"/>
        <v>3957.1681624910943</v>
      </c>
      <c r="R85" s="6">
        <f t="shared" si="24"/>
        <v>906.77199482707385</v>
      </c>
      <c r="S85" s="6">
        <f t="shared" si="24"/>
        <v>239.27622646310431</v>
      </c>
      <c r="T85" s="6">
        <f t="shared" si="24"/>
        <v>158.35765139949109</v>
      </c>
      <c r="U85" s="46">
        <f t="shared" si="25"/>
        <v>8568.3964161450385</v>
      </c>
    </row>
    <row r="86" spans="1:26">
      <c r="A86" s="6" t="str">
        <f>'1.1 Input'!A27</f>
        <v>Office machines</v>
      </c>
      <c r="B86" s="6" t="str">
        <f t="shared" si="26"/>
        <v>2022/23</v>
      </c>
      <c r="C86" s="6"/>
      <c r="D86" s="6"/>
      <c r="E86" s="6">
        <f t="shared" si="27"/>
        <v>0</v>
      </c>
      <c r="F86" s="6">
        <f t="shared" si="22"/>
        <v>0</v>
      </c>
      <c r="G86" s="6">
        <f t="shared" si="22"/>
        <v>0</v>
      </c>
      <c r="H86" s="6">
        <f t="shared" si="22"/>
        <v>0</v>
      </c>
      <c r="I86" s="6">
        <f t="shared" si="22"/>
        <v>0</v>
      </c>
      <c r="J86" s="46">
        <f t="shared" si="23"/>
        <v>0</v>
      </c>
      <c r="L86" s="6" t="str">
        <f>'1.1 Input'!C27</f>
        <v>Non ancillary asset</v>
      </c>
      <c r="M86" s="6" t="str">
        <f t="shared" si="28"/>
        <v>2022/23</v>
      </c>
      <c r="N86" s="6"/>
      <c r="O86" s="6"/>
      <c r="P86" s="6">
        <f t="shared" si="24"/>
        <v>509.07777684478373</v>
      </c>
      <c r="Q86" s="6">
        <f t="shared" si="24"/>
        <v>0</v>
      </c>
      <c r="R86" s="6">
        <f t="shared" si="24"/>
        <v>1082.9566</v>
      </c>
      <c r="S86" s="6">
        <f t="shared" si="24"/>
        <v>1082.9566</v>
      </c>
      <c r="T86" s="6">
        <f t="shared" si="24"/>
        <v>165.65565332245595</v>
      </c>
      <c r="U86" s="46">
        <f t="shared" si="25"/>
        <v>2840.6466301672399</v>
      </c>
    </row>
    <row r="87" spans="1:26" ht="15.75" thickBot="1">
      <c r="A87" s="6">
        <f>'1.1 Input'!A28</f>
        <v>0</v>
      </c>
      <c r="B87" s="6" t="str">
        <f t="shared" si="26"/>
        <v>2022/23</v>
      </c>
      <c r="C87" s="6"/>
      <c r="D87" s="6"/>
      <c r="E87" s="6">
        <f t="shared" si="27"/>
        <v>0</v>
      </c>
      <c r="F87" s="6">
        <f t="shared" si="22"/>
        <v>0</v>
      </c>
      <c r="G87" s="6">
        <f t="shared" si="22"/>
        <v>0</v>
      </c>
      <c r="H87" s="6">
        <f t="shared" si="22"/>
        <v>0</v>
      </c>
      <c r="I87" s="6">
        <f t="shared" si="22"/>
        <v>0</v>
      </c>
      <c r="J87" s="46">
        <f t="shared" si="23"/>
        <v>0</v>
      </c>
      <c r="L87" s="6" t="str">
        <f>'1.1 Input'!C28</f>
        <v>In-house software</v>
      </c>
      <c r="M87" s="6" t="str">
        <f t="shared" si="28"/>
        <v>2022/23</v>
      </c>
      <c r="N87" s="6"/>
      <c r="O87" s="6"/>
      <c r="P87" s="6">
        <f t="shared" si="24"/>
        <v>0</v>
      </c>
      <c r="Q87" s="6">
        <f t="shared" si="24"/>
        <v>0</v>
      </c>
      <c r="R87" s="6">
        <f t="shared" si="24"/>
        <v>0</v>
      </c>
      <c r="S87" s="6">
        <f t="shared" si="24"/>
        <v>0</v>
      </c>
      <c r="T87" s="6">
        <f t="shared" si="24"/>
        <v>0</v>
      </c>
      <c r="U87" s="46">
        <f t="shared" si="25"/>
        <v>0</v>
      </c>
    </row>
    <row r="88" spans="1:26" ht="16.5" thickTop="1" thickBot="1">
      <c r="A88" s="27" t="s">
        <v>15</v>
      </c>
      <c r="B88" s="27"/>
      <c r="C88" s="27"/>
      <c r="D88" s="27"/>
      <c r="E88" s="27">
        <f>SUM(E79:E87)</f>
        <v>11290.278659461814</v>
      </c>
      <c r="F88" s="27">
        <f>SUM(F79:F87)</f>
        <v>7340.8902467484677</v>
      </c>
      <c r="G88" s="27">
        <f>SUM(G79:G87)</f>
        <v>6052.5158925900505</v>
      </c>
      <c r="H88" s="27">
        <f>SUM(H79:H87)</f>
        <v>2597.4588943511453</v>
      </c>
      <c r="I88" s="27">
        <f>SUM(I79:I87)</f>
        <v>3700.3788265387793</v>
      </c>
      <c r="J88" s="27">
        <f t="shared" si="23"/>
        <v>30981.522519690254</v>
      </c>
      <c r="L88" s="27" t="s">
        <v>15</v>
      </c>
      <c r="M88" s="27"/>
      <c r="N88" s="27"/>
      <c r="O88" s="27"/>
      <c r="P88" s="27">
        <f>SUM(P79:P87)</f>
        <v>4309.6537430507888</v>
      </c>
      <c r="Q88" s="27">
        <f>SUM(Q79:Q87)</f>
        <v>4450.9217477328248</v>
      </c>
      <c r="R88" s="27">
        <f>SUM(R79:R87)</f>
        <v>3653.171742409771</v>
      </c>
      <c r="S88" s="27">
        <f>SUM(S79:S87)</f>
        <v>1815.9864117048346</v>
      </c>
      <c r="T88" s="27">
        <f>SUM(T79:T87)</f>
        <v>817.76688996367739</v>
      </c>
      <c r="U88" s="27">
        <f t="shared" si="25"/>
        <v>15047.500534861896</v>
      </c>
      <c r="W88" s="47">
        <f>U88-U5</f>
        <v>0</v>
      </c>
    </row>
    <row r="89" spans="1:26" ht="15.75" thickTop="1"/>
    <row r="90" spans="1:26" ht="19.5">
      <c r="A90" s="2" t="s">
        <v>140</v>
      </c>
      <c r="B90" s="2"/>
      <c r="C90" s="2"/>
      <c r="D90" s="2"/>
      <c r="E90" s="2"/>
      <c r="F90" s="2"/>
      <c r="G90" s="2"/>
      <c r="H90" s="2"/>
      <c r="I90" s="2"/>
      <c r="J90" s="2"/>
      <c r="K90" s="2"/>
      <c r="L90" s="2"/>
      <c r="M90" s="2"/>
      <c r="N90" s="2"/>
      <c r="O90" s="2"/>
      <c r="P90" s="2"/>
      <c r="Q90" s="2"/>
      <c r="R90" s="2"/>
      <c r="S90" s="2"/>
      <c r="T90" s="2"/>
      <c r="U90" s="2"/>
      <c r="V90" s="2"/>
      <c r="W90" s="2"/>
      <c r="X90" s="2"/>
      <c r="Y90" s="2"/>
      <c r="Z90" s="2"/>
    </row>
    <row r="91" spans="1:26">
      <c r="A91" s="3" t="s">
        <v>116</v>
      </c>
      <c r="B91" s="3" t="s">
        <v>4</v>
      </c>
      <c r="C91" s="3"/>
      <c r="D91" s="3"/>
      <c r="E91" s="3" t="str">
        <f t="shared" ref="E91:J91" si="29">E77</f>
        <v>2018/19</v>
      </c>
      <c r="F91" s="3" t="str">
        <f t="shared" si="29"/>
        <v>2019/20</v>
      </c>
      <c r="G91" s="3" t="str">
        <f t="shared" si="29"/>
        <v>2020/21</v>
      </c>
      <c r="H91" s="3" t="str">
        <f t="shared" si="29"/>
        <v>2021/22</v>
      </c>
      <c r="I91" s="3" t="str">
        <f t="shared" si="29"/>
        <v>2022/23</v>
      </c>
      <c r="J91" s="3" t="str">
        <f t="shared" si="29"/>
        <v>Total</v>
      </c>
      <c r="L91" s="3" t="s">
        <v>116</v>
      </c>
      <c r="M91" s="3" t="s">
        <v>4</v>
      </c>
      <c r="N91" s="3"/>
      <c r="O91" s="3"/>
      <c r="P91" s="3" t="str">
        <f t="shared" ref="P91:U91" si="30">P77</f>
        <v>2023/24</v>
      </c>
      <c r="Q91" s="3" t="str">
        <f t="shared" si="30"/>
        <v>2024/25</v>
      </c>
      <c r="R91" s="3" t="str">
        <f t="shared" si="30"/>
        <v>2025/26</v>
      </c>
      <c r="S91" s="3" t="str">
        <f t="shared" si="30"/>
        <v>2026/27</v>
      </c>
      <c r="T91" s="3" t="str">
        <f t="shared" si="30"/>
        <v>2027/28</v>
      </c>
      <c r="U91" s="3" t="str">
        <f t="shared" si="30"/>
        <v>Total</v>
      </c>
      <c r="V91" s="3"/>
      <c r="W91" s="3"/>
      <c r="X91" s="3"/>
      <c r="Y91" s="3"/>
      <c r="Z91" s="3"/>
    </row>
    <row r="93" spans="1:26">
      <c r="A93" s="6" t="str">
        <f>'1.1 Input'!B20</f>
        <v>Replacement expenditure</v>
      </c>
      <c r="B93" s="6" t="str">
        <f>$B$10</f>
        <v>2022/23</v>
      </c>
      <c r="C93" s="6"/>
      <c r="D93" s="6"/>
      <c r="E93" s="17">
        <f>SUMIF($D$10:$D$42,$A93,E$10:E$42)</f>
        <v>11245.83740200178</v>
      </c>
      <c r="F93" s="17">
        <f t="shared" ref="F93:I96" si="31">SUMIF($D$10:$D$42,$A93,F$10:F$42)</f>
        <v>7340.8902467484677</v>
      </c>
      <c r="G93" s="17">
        <f t="shared" si="31"/>
        <v>6052.5158925900505</v>
      </c>
      <c r="H93" s="17">
        <f t="shared" si="31"/>
        <v>2597.4588943511444</v>
      </c>
      <c r="I93" s="17">
        <f t="shared" si="31"/>
        <v>3542.7452387525191</v>
      </c>
      <c r="J93" s="46">
        <f>SUM(E93:I93)</f>
        <v>30779.44767444396</v>
      </c>
      <c r="L93" s="6" t="str">
        <f>A93</f>
        <v>Replacement expenditure</v>
      </c>
      <c r="M93" s="6" t="str">
        <f>$M$10</f>
        <v>2022/23</v>
      </c>
      <c r="N93" s="6"/>
      <c r="O93" s="6"/>
      <c r="P93" s="6">
        <f t="shared" ref="P93:T96" si="32">SUMIF($O$10:$O$28,$L93,P$10:P$28)</f>
        <v>4267.2102690049878</v>
      </c>
      <c r="Q93" s="6">
        <f t="shared" si="32"/>
        <v>4450.9217477328248</v>
      </c>
      <c r="R93" s="6">
        <f t="shared" si="32"/>
        <v>3653.171742409771</v>
      </c>
      <c r="S93" s="6">
        <f t="shared" si="32"/>
        <v>1815.9864117048346</v>
      </c>
      <c r="T93" s="6">
        <f t="shared" si="32"/>
        <v>652.11123664122147</v>
      </c>
      <c r="U93" s="46">
        <f>SUM(P93:T93)</f>
        <v>14839.40140749364</v>
      </c>
    </row>
    <row r="94" spans="1:26">
      <c r="A94" s="6" t="str">
        <f>'1.1 Input'!B21</f>
        <v>Connections</v>
      </c>
      <c r="B94" s="6" t="str">
        <f>$B$10</f>
        <v>2022/23</v>
      </c>
      <c r="C94" s="6"/>
      <c r="D94" s="6"/>
      <c r="E94" s="17">
        <f>SUMIF($D$10:$D$42,$A94,E$10:E$42)</f>
        <v>0</v>
      </c>
      <c r="F94" s="17">
        <f t="shared" si="31"/>
        <v>0</v>
      </c>
      <c r="G94" s="17">
        <f t="shared" si="31"/>
        <v>0</v>
      </c>
      <c r="H94" s="17">
        <f t="shared" si="31"/>
        <v>0</v>
      </c>
      <c r="I94" s="17">
        <f t="shared" si="31"/>
        <v>0</v>
      </c>
      <c r="J94" s="46">
        <f>SUM(E94:I94)</f>
        <v>0</v>
      </c>
      <c r="L94" s="6" t="str">
        <f>A94</f>
        <v>Connections</v>
      </c>
      <c r="M94" s="6" t="str">
        <f>$M$10</f>
        <v>2022/23</v>
      </c>
      <c r="N94" s="6"/>
      <c r="O94" s="6"/>
      <c r="P94" s="6">
        <f t="shared" si="32"/>
        <v>0</v>
      </c>
      <c r="Q94" s="6">
        <f t="shared" si="32"/>
        <v>0</v>
      </c>
      <c r="R94" s="6">
        <f t="shared" si="32"/>
        <v>0</v>
      </c>
      <c r="S94" s="6">
        <f t="shared" si="32"/>
        <v>0</v>
      </c>
      <c r="T94" s="6">
        <f t="shared" si="32"/>
        <v>0</v>
      </c>
      <c r="U94" s="46">
        <f>SUM(P94:T94)</f>
        <v>0</v>
      </c>
    </row>
    <row r="95" spans="1:26">
      <c r="A95" s="6" t="str">
        <f>'1.1 Input'!B22</f>
        <v>Augmentation Expenditure</v>
      </c>
      <c r="B95" s="6" t="str">
        <f>$B$10</f>
        <v>2022/23</v>
      </c>
      <c r="C95" s="6"/>
      <c r="D95" s="6"/>
      <c r="E95" s="17">
        <f>SUMIF($D$10:$D$42,$A95,E$10:E$42)</f>
        <v>0</v>
      </c>
      <c r="F95" s="17">
        <f t="shared" si="31"/>
        <v>0</v>
      </c>
      <c r="G95" s="17">
        <f t="shared" si="31"/>
        <v>0</v>
      </c>
      <c r="H95" s="17">
        <f t="shared" si="31"/>
        <v>0</v>
      </c>
      <c r="I95" s="17">
        <f t="shared" si="31"/>
        <v>0</v>
      </c>
      <c r="J95" s="46">
        <f>SUM(E95:I95)</f>
        <v>0</v>
      </c>
      <c r="L95" s="6" t="str">
        <f>A95</f>
        <v>Augmentation Expenditure</v>
      </c>
      <c r="M95" s="6" t="str">
        <f>$M$10</f>
        <v>2022/23</v>
      </c>
      <c r="N95" s="6"/>
      <c r="O95" s="6"/>
      <c r="P95" s="6">
        <f t="shared" si="32"/>
        <v>0</v>
      </c>
      <c r="Q95" s="6">
        <f t="shared" si="32"/>
        <v>0</v>
      </c>
      <c r="R95" s="6">
        <f t="shared" si="32"/>
        <v>0</v>
      </c>
      <c r="S95" s="6">
        <f t="shared" si="32"/>
        <v>0</v>
      </c>
      <c r="T95" s="6">
        <f t="shared" si="32"/>
        <v>0</v>
      </c>
      <c r="U95" s="46">
        <f>SUM(P95:T95)</f>
        <v>0</v>
      </c>
    </row>
    <row r="96" spans="1:26" ht="15.75" thickBot="1">
      <c r="A96" s="6" t="str">
        <f>'1.1 Input'!B23</f>
        <v>Non-network</v>
      </c>
      <c r="B96" s="6" t="str">
        <f>$B$10</f>
        <v>2022/23</v>
      </c>
      <c r="C96" s="6"/>
      <c r="D96" s="6"/>
      <c r="E96" s="17">
        <f>SUMIF($D$10:$D$42,$A96,E$10:E$42)</f>
        <v>44.441257460035537</v>
      </c>
      <c r="F96" s="17">
        <f t="shared" si="31"/>
        <v>0</v>
      </c>
      <c r="G96" s="17">
        <f t="shared" si="31"/>
        <v>0</v>
      </c>
      <c r="H96" s="17">
        <f t="shared" si="31"/>
        <v>0</v>
      </c>
      <c r="I96" s="17">
        <f t="shared" si="31"/>
        <v>157.63358778625954</v>
      </c>
      <c r="J96" s="46">
        <f>SUM(E96:I96)</f>
        <v>202.07484524629507</v>
      </c>
      <c r="L96" s="6" t="str">
        <f>A96</f>
        <v>Non-network</v>
      </c>
      <c r="M96" s="6" t="str">
        <f>$M$10</f>
        <v>2022/23</v>
      </c>
      <c r="N96" s="6"/>
      <c r="O96" s="6"/>
      <c r="P96" s="6">
        <f t="shared" si="32"/>
        <v>42.44347404580153</v>
      </c>
      <c r="Q96" s="6">
        <f t="shared" si="32"/>
        <v>0</v>
      </c>
      <c r="R96" s="6">
        <f t="shared" si="32"/>
        <v>0</v>
      </c>
      <c r="S96" s="6">
        <f t="shared" si="32"/>
        <v>0</v>
      </c>
      <c r="T96" s="6">
        <f t="shared" si="32"/>
        <v>165.65565332245595</v>
      </c>
      <c r="U96" s="46">
        <f>SUM(P96:T96)</f>
        <v>208.09912736825748</v>
      </c>
    </row>
    <row r="97" spans="1:26" ht="16.5" thickTop="1" thickBot="1">
      <c r="A97" s="27" t="s">
        <v>15</v>
      </c>
      <c r="B97" s="27"/>
      <c r="C97" s="27"/>
      <c r="D97" s="27"/>
      <c r="E97" s="27">
        <f t="shared" ref="E97:J97" si="33">SUM(E93:E96)</f>
        <v>11290.278659461816</v>
      </c>
      <c r="F97" s="27">
        <f t="shared" si="33"/>
        <v>7340.8902467484677</v>
      </c>
      <c r="G97" s="27">
        <f t="shared" si="33"/>
        <v>6052.5158925900505</v>
      </c>
      <c r="H97" s="27">
        <f t="shared" si="33"/>
        <v>2597.4588943511444</v>
      </c>
      <c r="I97" s="27">
        <f t="shared" si="33"/>
        <v>3700.3788265387784</v>
      </c>
      <c r="J97" s="27">
        <f t="shared" si="33"/>
        <v>30981.522519690254</v>
      </c>
      <c r="L97" s="27" t="s">
        <v>15</v>
      </c>
      <c r="M97" s="27"/>
      <c r="N97" s="27"/>
      <c r="O97" s="27"/>
      <c r="P97" s="27">
        <f t="shared" ref="P97:U97" si="34">SUM(P93:P96)</f>
        <v>4309.6537430507897</v>
      </c>
      <c r="Q97" s="27">
        <f t="shared" si="34"/>
        <v>4450.9217477328248</v>
      </c>
      <c r="R97" s="27">
        <f t="shared" si="34"/>
        <v>3653.171742409771</v>
      </c>
      <c r="S97" s="27">
        <f t="shared" si="34"/>
        <v>1815.9864117048346</v>
      </c>
      <c r="T97" s="27">
        <f t="shared" si="34"/>
        <v>817.76688996367739</v>
      </c>
      <c r="U97" s="27">
        <f t="shared" si="34"/>
        <v>15047.500534861898</v>
      </c>
      <c r="W97" s="47">
        <f>U97-U88</f>
        <v>0</v>
      </c>
    </row>
    <row r="98" spans="1:26" ht="15.75" thickTop="1"/>
    <row r="99" spans="1:26" ht="19.5">
      <c r="A99" s="2" t="s">
        <v>141</v>
      </c>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3" t="s">
        <v>3</v>
      </c>
      <c r="B100" s="3"/>
      <c r="C100" s="3"/>
      <c r="D100" s="3"/>
      <c r="E100" s="3" t="str">
        <f>E91</f>
        <v>2018/19</v>
      </c>
      <c r="F100" s="3" t="str">
        <f>F91</f>
        <v>2019/20</v>
      </c>
      <c r="G100" s="3" t="str">
        <f>G91</f>
        <v>2020/21</v>
      </c>
      <c r="H100" s="3" t="str">
        <f>H91</f>
        <v>2021/22</v>
      </c>
      <c r="I100" s="3" t="str">
        <f>I91</f>
        <v>2022/23</v>
      </c>
      <c r="J100" s="3" t="s">
        <v>15</v>
      </c>
      <c r="L100" s="3" t="s">
        <v>3</v>
      </c>
      <c r="M100" s="3" t="s">
        <v>4</v>
      </c>
      <c r="N100" s="3" t="s">
        <v>6</v>
      </c>
      <c r="O100" s="3" t="s">
        <v>116</v>
      </c>
      <c r="P100" s="3" t="str">
        <f>P91</f>
        <v>2023/24</v>
      </c>
      <c r="Q100" s="3" t="str">
        <f>Q91</f>
        <v>2024/25</v>
      </c>
      <c r="R100" s="3" t="str">
        <f>R91</f>
        <v>2025/26</v>
      </c>
      <c r="S100" s="3" t="str">
        <f>S91</f>
        <v>2026/27</v>
      </c>
      <c r="T100" s="3" t="str">
        <f>T91</f>
        <v>2027/28</v>
      </c>
      <c r="U100" s="3" t="s">
        <v>15</v>
      </c>
      <c r="V100" s="3"/>
      <c r="W100" s="3"/>
      <c r="X100" s="3"/>
      <c r="Y100" s="3"/>
      <c r="Z100" s="3"/>
    </row>
    <row r="102" spans="1:26">
      <c r="L102" s="6" t="str">
        <f t="shared" ref="L102:O111" si="35">L10</f>
        <v>Cable Protection/Modification</v>
      </c>
      <c r="M102" s="6" t="str">
        <f t="shared" si="35"/>
        <v>2022/23</v>
      </c>
      <c r="N102" s="6" t="str">
        <f t="shared" si="35"/>
        <v>Transmission Cable</v>
      </c>
      <c r="O102" s="6" t="str">
        <f t="shared" si="35"/>
        <v>Replacement expenditure</v>
      </c>
      <c r="P102" s="6">
        <f>SUMIF('1.0 Data'!$R$61:$R$88,$L102,'1.0 Data'!U$61:U$88)*'1.1 Input'!$H$13</f>
        <v>252.60467175572521</v>
      </c>
      <c r="Q102" s="6">
        <f>SUMIF('1.0 Data'!$R$61:$R$88,$L102,'1.0 Data'!V$61:V$88)*'1.1 Input'!$H$13</f>
        <v>252.60467175572521</v>
      </c>
      <c r="R102" s="6">
        <f>SUMIF('1.0 Data'!$R$61:$R$88,$L102,'1.0 Data'!W$61:W$88)*'1.1 Input'!$H$13</f>
        <v>1422.2942340966922</v>
      </c>
      <c r="S102" s="6">
        <f>SUMIF('1.0 Data'!$R$61:$R$88,$L102,'1.0 Data'!X$61:X$88)*'1.1 Input'!$H$13</f>
        <v>252.60467175572521</v>
      </c>
      <c r="T102" s="6">
        <f>SUMIF('1.0 Data'!$R$61:$R$88,$L102,'1.0 Data'!Y$61:Y$88)*'1.1 Input'!$H$13</f>
        <v>252.60467175572521</v>
      </c>
      <c r="U102" s="46">
        <f t="shared" ref="U102:U111" si="36">SUM(P102:T102)</f>
        <v>2432.7129211195929</v>
      </c>
    </row>
    <row r="103" spans="1:26">
      <c r="L103" s="6" t="str">
        <f t="shared" si="35"/>
        <v>Essential Spares</v>
      </c>
      <c r="M103" s="6" t="str">
        <f t="shared" si="35"/>
        <v>2022/23</v>
      </c>
      <c r="N103" s="6" t="str">
        <f t="shared" si="35"/>
        <v>Switchyard</v>
      </c>
      <c r="O103" s="6" t="str">
        <f t="shared" si="35"/>
        <v>Replacement expenditure</v>
      </c>
      <c r="P103" s="6">
        <f>SUMIF('1.0 Data'!$R$61:$R$88,$L103,'1.0 Data'!U$61:U$88)*'1.1 Input'!$H$13</f>
        <v>241.14891348600511</v>
      </c>
      <c r="Q103" s="6">
        <f>SUMIF('1.0 Data'!$R$61:$R$88,$L103,'1.0 Data'!V$61:V$88)*'1.1 Input'!$H$13</f>
        <v>241.14891348600511</v>
      </c>
      <c r="R103" s="6">
        <f>SUMIF('1.0 Data'!$R$61:$R$88,$L103,'1.0 Data'!W$61:W$88)*'1.1 Input'!$H$13</f>
        <v>241.14891348600511</v>
      </c>
      <c r="S103" s="6">
        <f>SUMIF('1.0 Data'!$R$61:$R$88,$L103,'1.0 Data'!X$61:X$88)*'1.1 Input'!$H$13</f>
        <v>241.14891348600511</v>
      </c>
      <c r="T103" s="6">
        <f>SUMIF('1.0 Data'!$R$61:$R$88,$L103,'1.0 Data'!Y$61:Y$88)*'1.1 Input'!$H$13</f>
        <v>241.14891348600511</v>
      </c>
      <c r="U103" s="46">
        <f t="shared" si="36"/>
        <v>1205.7445674300257</v>
      </c>
    </row>
    <row r="104" spans="1:26">
      <c r="L104" s="6" t="str">
        <f t="shared" si="35"/>
        <v>IGBTs</v>
      </c>
      <c r="M104" s="6" t="str">
        <f t="shared" si="35"/>
        <v>2022/23</v>
      </c>
      <c r="N104" s="6" t="str">
        <f t="shared" si="35"/>
        <v>Switchyard</v>
      </c>
      <c r="O104" s="6" t="str">
        <f t="shared" si="35"/>
        <v>Replacement expenditure</v>
      </c>
      <c r="P104" s="6">
        <f>SUMIF('1.0 Data'!$R$61:$R$88,$L104,'1.0 Data'!U$61:U$88)*'1.1 Input'!$H$13</f>
        <v>0</v>
      </c>
      <c r="Q104" s="6">
        <f>SUMIF('1.0 Data'!$R$61:$R$88,$L104,'1.0 Data'!V$61:V$88)*'1.1 Input'!$H$13</f>
        <v>0</v>
      </c>
      <c r="R104" s="6">
        <f>SUMIF('1.0 Data'!$R$61:$R$88,$L104,'1.0 Data'!W$61:W$88)*'1.1 Input'!$H$13</f>
        <v>0</v>
      </c>
      <c r="S104" s="6">
        <f>SUMIF('1.0 Data'!$R$61:$R$88,$L104,'1.0 Data'!X$61:X$88)*'1.1 Input'!$H$13</f>
        <v>0</v>
      </c>
      <c r="T104" s="6">
        <f>SUMIF('1.0 Data'!$R$61:$R$88,$L104,'1.0 Data'!Y$61:Y$88)*'1.1 Input'!$H$13</f>
        <v>0</v>
      </c>
      <c r="U104" s="46">
        <f t="shared" si="36"/>
        <v>0</v>
      </c>
    </row>
    <row r="105" spans="1:26">
      <c r="L105" s="6" t="str">
        <f t="shared" si="35"/>
        <v>Stay in business</v>
      </c>
      <c r="M105" s="6" t="str">
        <f t="shared" si="35"/>
        <v>2022/23</v>
      </c>
      <c r="N105" s="6" t="str">
        <f t="shared" si="35"/>
        <v>Other operating assets</v>
      </c>
      <c r="O105" s="6" t="str">
        <f t="shared" si="35"/>
        <v>Replacement expenditure</v>
      </c>
      <c r="P105" s="6">
        <f>SUMIF('1.0 Data'!$R$61:$R$88,$L105,'1.0 Data'!U$61:U$88)*'1.1 Input'!$H$13</f>
        <v>1126.5732986004073</v>
      </c>
      <c r="Q105" s="6">
        <f>SUMIF('1.0 Data'!$R$61:$R$88,$L105,'1.0 Data'!V$61:V$88)*'1.1 Input'!$H$13</f>
        <v>1070.2654871501272</v>
      </c>
      <c r="R105" s="6">
        <f>SUMIF('1.0 Data'!$R$61:$R$88,$L105,'1.0 Data'!W$61:W$88)*'1.1 Input'!$H$13</f>
        <v>906.77199482707385</v>
      </c>
      <c r="S105" s="6">
        <f>SUMIF('1.0 Data'!$R$61:$R$88,$L105,'1.0 Data'!X$61:X$88)*'1.1 Input'!$H$13</f>
        <v>239.27622646310431</v>
      </c>
      <c r="T105" s="6">
        <f>SUMIF('1.0 Data'!$R$61:$R$88,$L105,'1.0 Data'!Y$61:Y$88)*'1.1 Input'!$H$13</f>
        <v>158.35765139949109</v>
      </c>
      <c r="U105" s="46">
        <f t="shared" si="36"/>
        <v>3501.2446584402037</v>
      </c>
    </row>
    <row r="106" spans="1:26">
      <c r="L106" s="6" t="str">
        <f t="shared" si="35"/>
        <v>Reliability</v>
      </c>
      <c r="M106" s="6" t="str">
        <f t="shared" si="35"/>
        <v>2022/23</v>
      </c>
      <c r="N106" s="6" t="str">
        <f t="shared" si="35"/>
        <v>Other operating assets</v>
      </c>
      <c r="O106" s="6" t="str">
        <f t="shared" si="35"/>
        <v>Replacement expenditure</v>
      </c>
      <c r="P106" s="6">
        <f>SUMIF('1.0 Data'!$R$61:$R$88,$L106,'1.0 Data'!U$61:U$88)*'1.1 Input'!$H$13</f>
        <v>530.51836183206103</v>
      </c>
      <c r="Q106" s="6">
        <f>SUMIF('1.0 Data'!$R$61:$R$88,$L106,'1.0 Data'!V$61:V$88)*'1.1 Input'!$H$13</f>
        <v>1237.1719548091605</v>
      </c>
      <c r="R106" s="6">
        <f>SUMIF('1.0 Data'!$R$61:$R$88,$L106,'1.0 Data'!W$61:W$88)*'1.1 Input'!$H$13</f>
        <v>0</v>
      </c>
      <c r="S106" s="6">
        <f>SUMIF('1.0 Data'!$R$61:$R$88,$L106,'1.0 Data'!X$61:X$88)*'1.1 Input'!$H$13</f>
        <v>0</v>
      </c>
      <c r="T106" s="6">
        <f>SUMIF('1.0 Data'!$R$61:$R$88,$L106,'1.0 Data'!Y$61:Y$88)*'1.1 Input'!$H$13</f>
        <v>0</v>
      </c>
      <c r="U106" s="46">
        <f t="shared" si="36"/>
        <v>1767.6903166412217</v>
      </c>
    </row>
    <row r="107" spans="1:26">
      <c r="L107" s="6" t="str">
        <f t="shared" si="35"/>
        <v>SOCI</v>
      </c>
      <c r="M107" s="6" t="str">
        <f t="shared" si="35"/>
        <v>2022/23</v>
      </c>
      <c r="N107" s="6" t="str">
        <f t="shared" si="35"/>
        <v>Non ancillary asset</v>
      </c>
      <c r="O107" s="6" t="str">
        <f t="shared" si="35"/>
        <v>Replacement expenditure</v>
      </c>
      <c r="P107" s="6">
        <f>SUMIF('1.0 Data'!$R$61:$R$88,$L107,'1.0 Data'!U$61:U$88)*'1.1 Input'!$H$13</f>
        <v>466.63430279898222</v>
      </c>
      <c r="Q107" s="6">
        <f>SUMIF('1.0 Data'!$R$61:$R$88,$L107,'1.0 Data'!V$61:V$88)*'1.1 Input'!$H$13</f>
        <v>0</v>
      </c>
      <c r="R107" s="6">
        <f>SUMIF('1.0 Data'!$R$61:$R$88,$L107,'1.0 Data'!W$61:W$88)*'1.1 Input'!$H$13</f>
        <v>1082.9566</v>
      </c>
      <c r="S107" s="6">
        <f>SUMIF('1.0 Data'!$R$61:$R$88,$L107,'1.0 Data'!X$61:X$88)*'1.1 Input'!$H$13</f>
        <v>1082.9566</v>
      </c>
      <c r="T107" s="6">
        <f>SUMIF('1.0 Data'!$R$61:$R$88,$L107,'1.0 Data'!Y$61:Y$88)*'1.1 Input'!$H$13</f>
        <v>0</v>
      </c>
      <c r="U107" s="46">
        <f t="shared" si="36"/>
        <v>2632.5475027989824</v>
      </c>
    </row>
    <row r="108" spans="1:26">
      <c r="L108" s="6" t="str">
        <f t="shared" si="35"/>
        <v>Enhanced Cooling</v>
      </c>
      <c r="M108" s="6" t="str">
        <f t="shared" si="35"/>
        <v>2022/23</v>
      </c>
      <c r="N108" s="6" t="str">
        <f t="shared" si="35"/>
        <v>Other operating assets</v>
      </c>
      <c r="O108" s="6" t="str">
        <f t="shared" si="35"/>
        <v>Replacement expenditure</v>
      </c>
      <c r="P108" s="6">
        <f>SUMIF('1.0 Data'!$R$61:$R$88,$L108,'1.0 Data'!U$61:U$88)*'1.1 Input'!$H$13</f>
        <v>0</v>
      </c>
      <c r="Q108" s="6">
        <f>SUMIF('1.0 Data'!$R$61:$R$88,$L108,'1.0 Data'!V$61:V$88)*'1.1 Input'!$H$13</f>
        <v>3299.4614410636136</v>
      </c>
      <c r="R108" s="6">
        <f>SUMIF('1.0 Data'!$R$61:$R$88,$L108,'1.0 Data'!W$61:W$88)*'1.1 Input'!$H$13</f>
        <v>0</v>
      </c>
      <c r="S108" s="6">
        <f>SUMIF('1.0 Data'!$R$61:$R$88,$L108,'1.0 Data'!X$61:X$88)*'1.1 Input'!$H$13</f>
        <v>0</v>
      </c>
      <c r="T108" s="6">
        <f>SUMIF('1.0 Data'!$R$61:$R$88,$L108,'1.0 Data'!Y$61:Y$88)*'1.1 Input'!$H$13</f>
        <v>0</v>
      </c>
      <c r="U108" s="46">
        <f t="shared" si="36"/>
        <v>3299.4614410636136</v>
      </c>
    </row>
    <row r="109" spans="1:26">
      <c r="L109" s="6" t="str">
        <f t="shared" si="35"/>
        <v>Regulatory Reset</v>
      </c>
      <c r="M109" s="6" t="str">
        <f t="shared" si="35"/>
        <v>2022/23</v>
      </c>
      <c r="N109" s="6" t="str">
        <f t="shared" si="35"/>
        <v>Non ancillary asset</v>
      </c>
      <c r="O109" s="6" t="str">
        <f t="shared" si="35"/>
        <v>Non-network</v>
      </c>
      <c r="P109" s="6">
        <f>SUMIF('1.0 Data'!$R$61:$R$88,$L109,'1.0 Data'!U$61:U$88)*'1.1 Input'!$H$13</f>
        <v>42.44347404580153</v>
      </c>
      <c r="Q109" s="6">
        <f>SUMIF('1.0 Data'!$R$61:$R$88,$L109,'1.0 Data'!V$61:V$88)*'1.1 Input'!$H$13</f>
        <v>0</v>
      </c>
      <c r="R109" s="6">
        <f>SUMIF('1.0 Data'!$R$61:$R$88,$L109,'1.0 Data'!W$61:W$88)*'1.1 Input'!$H$13</f>
        <v>0</v>
      </c>
      <c r="S109" s="6">
        <f>SUMIF('1.0 Data'!$R$61:$R$88,$L109,'1.0 Data'!X$61:X$88)*'1.1 Input'!$H$13</f>
        <v>0</v>
      </c>
      <c r="T109" s="6">
        <f>SUMIF('1.0 Data'!$R$61:$R$88,$L109,'1.0 Data'!Y$61:Y$88)*'1.1 Input'!$H$13</f>
        <v>165.65565332245595</v>
      </c>
      <c r="U109" s="46">
        <f t="shared" si="36"/>
        <v>208.09912736825748</v>
      </c>
    </row>
    <row r="110" spans="1:26">
      <c r="L110" s="6" t="str">
        <f t="shared" si="35"/>
        <v/>
      </c>
      <c r="M110" s="6" t="str">
        <f t="shared" si="35"/>
        <v/>
      </c>
      <c r="N110" s="6" t="e">
        <f t="shared" si="35"/>
        <v>#N/A</v>
      </c>
      <c r="O110" s="6" t="e">
        <f t="shared" si="35"/>
        <v>#N/A</v>
      </c>
      <c r="P110" s="6">
        <f>SUMIF('1.0 Data'!$R$61:$R$88,$L110,'1.0 Data'!U$61:U$88)*'1.1 Input'!$H$13</f>
        <v>0</v>
      </c>
      <c r="Q110" s="6">
        <f>SUMIF('1.0 Data'!$R$61:$R$88,$L110,'1.0 Data'!V$61:V$88)*'1.1 Input'!$H$13</f>
        <v>0</v>
      </c>
      <c r="R110" s="6">
        <f>SUMIF('1.0 Data'!$R$61:$R$88,$L110,'1.0 Data'!W$61:W$88)*'1.1 Input'!$H$13</f>
        <v>0</v>
      </c>
      <c r="S110" s="6">
        <f>SUMIF('1.0 Data'!$R$61:$R$88,$L110,'1.0 Data'!X$61:X$88)*'1.1 Input'!$H$13</f>
        <v>0</v>
      </c>
      <c r="T110" s="6">
        <f>SUMIF('1.0 Data'!$R$61:$R$88,$L110,'1.0 Data'!Y$61:Y$88)*'1.1 Input'!$H$13</f>
        <v>0</v>
      </c>
      <c r="U110" s="46">
        <f t="shared" si="36"/>
        <v>0</v>
      </c>
    </row>
    <row r="111" spans="1:26" ht="15.75" thickBot="1">
      <c r="L111" s="6" t="str">
        <f t="shared" si="35"/>
        <v/>
      </c>
      <c r="M111" s="6" t="str">
        <f t="shared" si="35"/>
        <v/>
      </c>
      <c r="N111" s="6" t="e">
        <f t="shared" si="35"/>
        <v>#N/A</v>
      </c>
      <c r="O111" s="6" t="e">
        <f t="shared" si="35"/>
        <v>#N/A</v>
      </c>
      <c r="P111" s="6">
        <f>SUMIF('1.0 Data'!$R$61:$R$88,$L111,'1.0 Data'!U$61:U$88)*'1.1 Input'!$H$13</f>
        <v>0</v>
      </c>
      <c r="Q111" s="6">
        <f>SUMIF('1.0 Data'!$R$61:$R$88,$L111,'1.0 Data'!V$61:V$88)*'1.1 Input'!$H$13</f>
        <v>0</v>
      </c>
      <c r="R111" s="6">
        <f>SUMIF('1.0 Data'!$R$61:$R$88,$L111,'1.0 Data'!W$61:W$88)*'1.1 Input'!$H$13</f>
        <v>0</v>
      </c>
      <c r="S111" s="6">
        <f>SUMIF('1.0 Data'!$R$61:$R$88,$L111,'1.0 Data'!X$61:X$88)*'1.1 Input'!$H$13</f>
        <v>0</v>
      </c>
      <c r="T111" s="6">
        <f>SUMIF('1.0 Data'!$R$61:$R$88,$L111,'1.0 Data'!Y$61:Y$88)*'1.1 Input'!$H$13</f>
        <v>0</v>
      </c>
      <c r="U111" s="46">
        <f t="shared" si="36"/>
        <v>0</v>
      </c>
    </row>
    <row r="112" spans="1:26" ht="16.5" thickTop="1" thickBot="1">
      <c r="L112" s="27" t="s">
        <v>15</v>
      </c>
      <c r="M112" s="27"/>
      <c r="N112" s="27"/>
      <c r="O112" s="27"/>
      <c r="P112" s="27">
        <f t="shared" ref="P112:U112" si="37">SUM(P102:P111)</f>
        <v>2659.9230225189826</v>
      </c>
      <c r="Q112" s="27">
        <f t="shared" si="37"/>
        <v>6100.6524682646323</v>
      </c>
      <c r="R112" s="27">
        <f t="shared" si="37"/>
        <v>3653.171742409771</v>
      </c>
      <c r="S112" s="27">
        <f t="shared" si="37"/>
        <v>1815.9864117048346</v>
      </c>
      <c r="T112" s="27">
        <f t="shared" si="37"/>
        <v>817.76688996367739</v>
      </c>
      <c r="U112" s="27">
        <f t="shared" si="37"/>
        <v>15047.500534861896</v>
      </c>
      <c r="W112" s="47">
        <f>U112-U97</f>
        <v>0</v>
      </c>
    </row>
    <row r="113" spans="1:26" ht="15.75" thickTop="1"/>
    <row r="114" spans="1:26" ht="19.5">
      <c r="A114" s="2" t="s">
        <v>142</v>
      </c>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3" t="s">
        <v>6</v>
      </c>
      <c r="B115" s="3" t="s">
        <v>4</v>
      </c>
      <c r="C115" s="3"/>
      <c r="D115" s="3"/>
      <c r="E115" s="3" t="str">
        <f t="shared" ref="E115:J115" si="38">E100</f>
        <v>2018/19</v>
      </c>
      <c r="F115" s="3" t="str">
        <f t="shared" si="38"/>
        <v>2019/20</v>
      </c>
      <c r="G115" s="3" t="str">
        <f t="shared" si="38"/>
        <v>2020/21</v>
      </c>
      <c r="H115" s="3" t="str">
        <f t="shared" si="38"/>
        <v>2021/22</v>
      </c>
      <c r="I115" s="3" t="str">
        <f t="shared" si="38"/>
        <v>2022/23</v>
      </c>
      <c r="J115" s="3" t="str">
        <f t="shared" si="38"/>
        <v>Total</v>
      </c>
      <c r="K115" s="3"/>
      <c r="L115" s="3" t="s">
        <v>6</v>
      </c>
      <c r="M115" s="3" t="s">
        <v>4</v>
      </c>
      <c r="N115" s="3"/>
      <c r="O115" s="3"/>
      <c r="P115" s="3" t="str">
        <f>P100</f>
        <v>2023/24</v>
      </c>
      <c r="Q115" s="3" t="str">
        <f>Q100</f>
        <v>2024/25</v>
      </c>
      <c r="R115" s="3" t="str">
        <f>R100</f>
        <v>2025/26</v>
      </c>
      <c r="S115" s="3" t="str">
        <f>S100</f>
        <v>2026/27</v>
      </c>
      <c r="T115" s="3" t="str">
        <f>T100</f>
        <v>2027/28</v>
      </c>
      <c r="U115" s="3" t="s">
        <v>15</v>
      </c>
      <c r="V115" s="3"/>
      <c r="W115" s="3"/>
      <c r="X115" s="3"/>
      <c r="Y115" s="3"/>
      <c r="Z115" s="3"/>
    </row>
    <row r="117" spans="1:26">
      <c r="L117" s="6" t="str">
        <f>'1.1 Input'!C20</f>
        <v>Switchyard</v>
      </c>
      <c r="M117" s="6" t="str">
        <f>$M$10</f>
        <v>2022/23</v>
      </c>
      <c r="N117" s="6"/>
      <c r="O117" s="6"/>
      <c r="P117" s="6">
        <f t="shared" ref="P117:T125" si="39">SUMIF($N$102:$N$113,$L117,P$102:P$113)</f>
        <v>241.14891348600511</v>
      </c>
      <c r="Q117" s="6">
        <f t="shared" si="39"/>
        <v>241.14891348600511</v>
      </c>
      <c r="R117" s="6">
        <f t="shared" si="39"/>
        <v>241.14891348600511</v>
      </c>
      <c r="S117" s="6">
        <f t="shared" si="39"/>
        <v>241.14891348600511</v>
      </c>
      <c r="T117" s="6">
        <f t="shared" si="39"/>
        <v>241.14891348600511</v>
      </c>
      <c r="U117" s="46">
        <f t="shared" ref="U117:U125" si="40">SUM(P117:T117)</f>
        <v>1205.7445674300257</v>
      </c>
    </row>
    <row r="118" spans="1:26">
      <c r="L118" s="6" t="str">
        <f>'1.1 Input'!C21</f>
        <v>Transmission Cable</v>
      </c>
      <c r="M118" s="6" t="str">
        <f t="shared" ref="M118:M125" si="41">$M$10</f>
        <v>2022/23</v>
      </c>
      <c r="N118" s="6"/>
      <c r="O118" s="6"/>
      <c r="P118" s="6">
        <f t="shared" si="39"/>
        <v>252.60467175572521</v>
      </c>
      <c r="Q118" s="6">
        <f t="shared" si="39"/>
        <v>252.60467175572521</v>
      </c>
      <c r="R118" s="6">
        <f t="shared" si="39"/>
        <v>1422.2942340966922</v>
      </c>
      <c r="S118" s="6">
        <f t="shared" si="39"/>
        <v>252.60467175572521</v>
      </c>
      <c r="T118" s="6">
        <f t="shared" si="39"/>
        <v>252.60467175572521</v>
      </c>
      <c r="U118" s="46">
        <f t="shared" si="40"/>
        <v>2432.7129211195929</v>
      </c>
    </row>
    <row r="119" spans="1:26">
      <c r="L119" s="6" t="str">
        <f>'1.1 Input'!C22</f>
        <v>Easements</v>
      </c>
      <c r="M119" s="6" t="str">
        <f t="shared" si="41"/>
        <v>2022/23</v>
      </c>
      <c r="N119" s="6"/>
      <c r="O119" s="6"/>
      <c r="P119" s="6">
        <f t="shared" si="39"/>
        <v>0</v>
      </c>
      <c r="Q119" s="6">
        <f t="shared" si="39"/>
        <v>0</v>
      </c>
      <c r="R119" s="6">
        <f t="shared" si="39"/>
        <v>0</v>
      </c>
      <c r="S119" s="6">
        <f t="shared" si="39"/>
        <v>0</v>
      </c>
      <c r="T119" s="6">
        <f t="shared" si="39"/>
        <v>0</v>
      </c>
      <c r="U119" s="46">
        <f t="shared" si="40"/>
        <v>0</v>
      </c>
    </row>
    <row r="120" spans="1:26">
      <c r="L120" s="6" t="str">
        <f>'1.1 Input'!C23</f>
        <v>Control Systems</v>
      </c>
      <c r="M120" s="6" t="str">
        <f t="shared" si="41"/>
        <v>2022/23</v>
      </c>
      <c r="N120" s="6"/>
      <c r="O120" s="6"/>
      <c r="P120" s="6">
        <f t="shared" si="39"/>
        <v>0</v>
      </c>
      <c r="Q120" s="6">
        <f t="shared" si="39"/>
        <v>0</v>
      </c>
      <c r="R120" s="6">
        <f t="shared" si="39"/>
        <v>0</v>
      </c>
      <c r="S120" s="6">
        <f t="shared" si="39"/>
        <v>0</v>
      </c>
      <c r="T120" s="6">
        <f t="shared" si="39"/>
        <v>0</v>
      </c>
      <c r="U120" s="46">
        <f t="shared" si="40"/>
        <v>0</v>
      </c>
    </row>
    <row r="121" spans="1:26">
      <c r="L121" s="6" t="str">
        <f>'1.1 Input'!C24</f>
        <v>Ancillary asset- 30 Years</v>
      </c>
      <c r="M121" s="6" t="str">
        <f t="shared" si="41"/>
        <v>2022/23</v>
      </c>
      <c r="N121" s="6"/>
      <c r="O121" s="6"/>
      <c r="P121" s="6">
        <f t="shared" si="39"/>
        <v>0</v>
      </c>
      <c r="Q121" s="6">
        <f t="shared" si="39"/>
        <v>0</v>
      </c>
      <c r="R121" s="6">
        <f t="shared" si="39"/>
        <v>0</v>
      </c>
      <c r="S121" s="6">
        <f t="shared" si="39"/>
        <v>0</v>
      </c>
      <c r="T121" s="6">
        <f t="shared" si="39"/>
        <v>0</v>
      </c>
      <c r="U121" s="46">
        <f t="shared" si="40"/>
        <v>0</v>
      </c>
    </row>
    <row r="122" spans="1:26">
      <c r="L122" s="6" t="str">
        <f>'1.1 Input'!C25</f>
        <v>Ancillary asset - 7 Years</v>
      </c>
      <c r="M122" s="6" t="str">
        <f t="shared" si="41"/>
        <v>2022/23</v>
      </c>
      <c r="N122" s="6"/>
      <c r="O122" s="6"/>
      <c r="P122" s="6">
        <f t="shared" si="39"/>
        <v>0</v>
      </c>
      <c r="Q122" s="6">
        <f t="shared" si="39"/>
        <v>0</v>
      </c>
      <c r="R122" s="6">
        <f t="shared" si="39"/>
        <v>0</v>
      </c>
      <c r="S122" s="6">
        <f t="shared" si="39"/>
        <v>0</v>
      </c>
      <c r="T122" s="6">
        <f t="shared" si="39"/>
        <v>0</v>
      </c>
      <c r="U122" s="46">
        <f t="shared" si="40"/>
        <v>0</v>
      </c>
    </row>
    <row r="123" spans="1:26">
      <c r="L123" s="6" t="str">
        <f>'1.1 Input'!C26</f>
        <v>Other operating assets</v>
      </c>
      <c r="M123" s="6" t="str">
        <f t="shared" si="41"/>
        <v>2022/23</v>
      </c>
      <c r="N123" s="6"/>
      <c r="O123" s="6"/>
      <c r="P123" s="6">
        <f t="shared" si="39"/>
        <v>1657.0916604324684</v>
      </c>
      <c r="Q123" s="6">
        <f t="shared" si="39"/>
        <v>5606.8988830229009</v>
      </c>
      <c r="R123" s="6">
        <f t="shared" si="39"/>
        <v>906.77199482707385</v>
      </c>
      <c r="S123" s="6">
        <f t="shared" si="39"/>
        <v>239.27622646310431</v>
      </c>
      <c r="T123" s="6">
        <f t="shared" si="39"/>
        <v>158.35765139949109</v>
      </c>
      <c r="U123" s="46">
        <f t="shared" si="40"/>
        <v>8568.3964161450385</v>
      </c>
    </row>
    <row r="124" spans="1:26">
      <c r="L124" s="6" t="str">
        <f>'1.1 Input'!C27</f>
        <v>Non ancillary asset</v>
      </c>
      <c r="M124" s="6" t="str">
        <f t="shared" si="41"/>
        <v>2022/23</v>
      </c>
      <c r="N124" s="6"/>
      <c r="O124" s="6"/>
      <c r="P124" s="6">
        <f t="shared" si="39"/>
        <v>509.07777684478373</v>
      </c>
      <c r="Q124" s="6">
        <f t="shared" si="39"/>
        <v>0</v>
      </c>
      <c r="R124" s="6">
        <f t="shared" si="39"/>
        <v>1082.9566</v>
      </c>
      <c r="S124" s="6">
        <f t="shared" si="39"/>
        <v>1082.9566</v>
      </c>
      <c r="T124" s="6">
        <f t="shared" si="39"/>
        <v>165.65565332245595</v>
      </c>
      <c r="U124" s="46">
        <f t="shared" si="40"/>
        <v>2840.6466301672399</v>
      </c>
    </row>
    <row r="125" spans="1:26" ht="15.75" thickBot="1">
      <c r="L125" s="6" t="str">
        <f>'1.1 Input'!C28</f>
        <v>In-house software</v>
      </c>
      <c r="M125" s="6" t="str">
        <f t="shared" si="41"/>
        <v>2022/23</v>
      </c>
      <c r="N125" s="6"/>
      <c r="O125" s="6"/>
      <c r="P125" s="6">
        <f t="shared" si="39"/>
        <v>0</v>
      </c>
      <c r="Q125" s="6">
        <f t="shared" si="39"/>
        <v>0</v>
      </c>
      <c r="R125" s="6">
        <f t="shared" si="39"/>
        <v>0</v>
      </c>
      <c r="S125" s="6">
        <f t="shared" si="39"/>
        <v>0</v>
      </c>
      <c r="T125" s="6">
        <f t="shared" si="39"/>
        <v>0</v>
      </c>
      <c r="U125" s="46">
        <f t="shared" si="40"/>
        <v>0</v>
      </c>
    </row>
    <row r="126" spans="1:26" ht="16.5" thickTop="1" thickBot="1">
      <c r="L126" s="27" t="s">
        <v>15</v>
      </c>
      <c r="M126" s="27"/>
      <c r="N126" s="27"/>
      <c r="O126" s="27"/>
      <c r="P126" s="27">
        <f>SUM(P117:P125)</f>
        <v>2659.9230225189826</v>
      </c>
      <c r="Q126" s="27">
        <f>SUM(Q117:Q125)</f>
        <v>6100.6524682646314</v>
      </c>
      <c r="R126" s="27">
        <f>SUM(R117:R125)</f>
        <v>3653.171742409771</v>
      </c>
      <c r="S126" s="27">
        <f>SUM(S117:S125)</f>
        <v>1815.9864117048346</v>
      </c>
      <c r="T126" s="27">
        <f>SUM(T117:T125)</f>
        <v>817.76688996367739</v>
      </c>
      <c r="U126" s="27">
        <f>SUM(P126:T126)</f>
        <v>15047.500534861898</v>
      </c>
      <c r="W126" s="47">
        <f>U126-U112</f>
        <v>0</v>
      </c>
    </row>
    <row r="127" spans="1:26" ht="16.5" thickTop="1" thickBot="1"/>
    <row r="128" spans="1:26" ht="16.5" thickTop="1" thickBot="1">
      <c r="L128" s="37" t="s">
        <v>143</v>
      </c>
      <c r="M128" s="37" t="str">
        <f>M117</f>
        <v>2022/23</v>
      </c>
      <c r="P128" s="37">
        <f t="shared" ref="P128:U128" si="42">P112-P126</f>
        <v>0</v>
      </c>
      <c r="Q128" s="37">
        <f t="shared" si="42"/>
        <v>0</v>
      </c>
      <c r="R128" s="37">
        <f t="shared" si="42"/>
        <v>0</v>
      </c>
      <c r="S128" s="37">
        <f t="shared" si="42"/>
        <v>0</v>
      </c>
      <c r="T128" s="37">
        <f t="shared" si="42"/>
        <v>0</v>
      </c>
      <c r="U128" s="37">
        <f t="shared" si="42"/>
        <v>0</v>
      </c>
    </row>
    <row r="129" ht="15.75" thickTop="1"/>
  </sheetData>
  <phoneticPr fontId="15"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Z135"/>
  <sheetViews>
    <sheetView topLeftCell="A106" zoomScale="85" zoomScaleNormal="85" workbookViewId="0">
      <selection activeCell="E49" sqref="E49"/>
    </sheetView>
  </sheetViews>
  <sheetFormatPr defaultRowHeight="15"/>
  <cols>
    <col min="1" max="1" width="33.375" customWidth="1"/>
    <col min="5" max="5" width="10.125" bestFit="1" customWidth="1"/>
    <col min="12" max="12" width="35.25" bestFit="1" customWidth="1"/>
    <col min="13" max="13" width="11.875" customWidth="1"/>
    <col min="16" max="17" width="10.25" customWidth="1"/>
    <col min="18" max="20" width="9" customWidth="1"/>
    <col min="21" max="21" width="10.25" customWidth="1"/>
  </cols>
  <sheetData>
    <row r="1" spans="1:26" ht="22.5">
      <c r="A1" s="1"/>
      <c r="B1" s="1"/>
      <c r="C1" s="1"/>
      <c r="D1" s="1"/>
      <c r="E1" s="1"/>
      <c r="F1" s="1"/>
      <c r="G1" s="1"/>
      <c r="H1" s="1"/>
      <c r="I1" s="1"/>
      <c r="J1" s="1"/>
      <c r="K1" s="1"/>
      <c r="L1" s="1"/>
      <c r="M1" s="1"/>
      <c r="N1" s="1"/>
      <c r="O1" s="1"/>
      <c r="P1" s="1"/>
      <c r="Q1" s="1"/>
      <c r="R1" s="1"/>
      <c r="S1" s="1"/>
      <c r="T1" s="1"/>
      <c r="U1" s="1"/>
      <c r="V1" s="1"/>
      <c r="W1" s="1"/>
      <c r="X1" s="1"/>
      <c r="Y1" s="1"/>
      <c r="Z1" s="1"/>
    </row>
    <row r="2" spans="1:26" ht="22.5">
      <c r="A2" s="1"/>
      <c r="B2" s="1"/>
      <c r="C2" s="1"/>
      <c r="D2" s="1"/>
      <c r="E2" s="1"/>
      <c r="F2" s="1"/>
      <c r="G2" s="1"/>
      <c r="H2" s="1"/>
      <c r="I2" s="1"/>
      <c r="J2" s="1"/>
      <c r="K2" s="1"/>
      <c r="L2" s="1"/>
      <c r="M2" s="1"/>
      <c r="N2" s="1"/>
      <c r="O2" s="1"/>
      <c r="P2" s="1"/>
      <c r="Q2" s="1"/>
      <c r="R2" s="1"/>
      <c r="S2" s="1"/>
      <c r="T2" s="1"/>
      <c r="U2" s="1"/>
      <c r="V2" s="1"/>
      <c r="W2" s="1"/>
      <c r="X2" s="1"/>
      <c r="Y2" s="1"/>
      <c r="Z2" s="1"/>
    </row>
    <row r="3" spans="1:26" ht="23.25" thickBot="1">
      <c r="A3" s="1"/>
      <c r="B3" s="1"/>
      <c r="C3" s="1"/>
      <c r="D3" s="1"/>
      <c r="E3" s="1"/>
      <c r="F3" s="1"/>
      <c r="G3" s="1"/>
      <c r="H3" s="1"/>
      <c r="I3" s="1"/>
      <c r="J3" s="1"/>
      <c r="K3" s="1"/>
      <c r="L3" s="1"/>
      <c r="M3" s="1"/>
      <c r="N3" s="1"/>
      <c r="O3" s="1"/>
      <c r="P3" s="1"/>
      <c r="Q3" s="1"/>
      <c r="R3" s="1"/>
      <c r="S3" s="1"/>
      <c r="T3" s="1"/>
      <c r="U3" s="1"/>
      <c r="V3" s="1"/>
      <c r="W3" s="1"/>
      <c r="X3" s="1"/>
      <c r="Y3" s="1"/>
      <c r="Z3" s="1"/>
    </row>
    <row r="4" spans="1:26" ht="24" thickTop="1" thickBot="1">
      <c r="A4" s="1"/>
      <c r="B4" s="1"/>
      <c r="C4" s="1"/>
      <c r="D4" s="1"/>
      <c r="E4" s="38">
        <f>E5-'1.0 Data'!H5</f>
        <v>0</v>
      </c>
      <c r="F4" s="38">
        <f>F5-'1.0 Data'!I5</f>
        <v>0</v>
      </c>
      <c r="G4" s="38">
        <f>G5-'1.0 Data'!J5</f>
        <v>0</v>
      </c>
      <c r="H4" s="38">
        <f>H5-'1.0 Data'!K5</f>
        <v>0</v>
      </c>
      <c r="I4" s="38">
        <f>I5-'1.0 Data'!L5</f>
        <v>0</v>
      </c>
      <c r="J4" s="31"/>
      <c r="K4" s="1"/>
      <c r="L4" s="1"/>
      <c r="M4" s="1"/>
      <c r="N4" s="1"/>
      <c r="O4" s="1"/>
      <c r="P4" s="38">
        <f>P5-'2.0 Capex Real Dollars'!P5/'1.1 Input'!I13</f>
        <v>0</v>
      </c>
      <c r="Q4" s="38">
        <f>Q5-'2.0 Capex Real Dollars'!Q5/'1.1 Input'!J13</f>
        <v>0</v>
      </c>
      <c r="R4" s="38">
        <f>R5-'2.0 Capex Real Dollars'!R5/'1.1 Input'!K13</f>
        <v>0</v>
      </c>
      <c r="S4" s="38">
        <f>S5-'2.0 Capex Real Dollars'!S5/'1.1 Input'!L13</f>
        <v>0</v>
      </c>
      <c r="T4" s="38">
        <f>T5-'2.0 Capex Real Dollars'!T5/'1.1 Input'!M13</f>
        <v>0</v>
      </c>
      <c r="U4" s="31"/>
      <c r="V4" s="1"/>
      <c r="W4" s="1"/>
      <c r="X4" s="1"/>
      <c r="Y4" s="1"/>
      <c r="Z4" s="1"/>
    </row>
    <row r="5" spans="1:26" ht="23.25" thickTop="1">
      <c r="A5" s="1" t="str">
        <f ca="1">RIGHT(CELL("filename"),LEN(CELL("filename"))-FIND("]",CELL("filename")))</f>
        <v>1.0 Data</v>
      </c>
      <c r="B5" s="1"/>
      <c r="C5" s="1"/>
      <c r="D5" s="1"/>
      <c r="E5" s="27">
        <f>SUM(E10:E42)</f>
        <v>10260.576086000001</v>
      </c>
      <c r="F5" s="27">
        <f>SUM(F10:F42)</f>
        <v>6760.2548600000009</v>
      </c>
      <c r="G5" s="27">
        <f>SUM(G10:G42)</f>
        <v>5695.9108399999977</v>
      </c>
      <c r="H5" s="27">
        <f>SUM(H10:H42)</f>
        <v>2471.6739600000001</v>
      </c>
      <c r="I5" s="27">
        <f>SUM(I10:I42)</f>
        <v>3700.3788265387793</v>
      </c>
      <c r="J5" s="27">
        <f>SUM(E5:I5)</f>
        <v>28888.794572538776</v>
      </c>
      <c r="K5" s="1"/>
      <c r="L5" s="1"/>
      <c r="M5" s="1"/>
      <c r="N5" s="1"/>
      <c r="O5" s="1"/>
      <c r="P5" s="27">
        <f>SUM(P10:P28)</f>
        <v>4309.6537430507897</v>
      </c>
      <c r="Q5" s="27">
        <f>SUM(Q10:Q28)</f>
        <v>4651.2132263808016</v>
      </c>
      <c r="R5" s="27">
        <f>SUM(R10:R28)</f>
        <v>3970.2670496509381</v>
      </c>
      <c r="S5" s="27">
        <f>SUM(S10:S28)</f>
        <v>2042.6905233692423</v>
      </c>
      <c r="T5" s="27">
        <f>SUM(T10:T28)</f>
        <v>947.45093116215162</v>
      </c>
      <c r="U5" s="27">
        <f>SUM(P5:T5)</f>
        <v>15921.275473613921</v>
      </c>
      <c r="V5" s="1"/>
      <c r="W5" s="1"/>
      <c r="X5" s="1"/>
      <c r="Y5" s="1"/>
      <c r="Z5" s="1"/>
    </row>
    <row r="6" spans="1:26" ht="19.5">
      <c r="A6" s="2" t="s">
        <v>131</v>
      </c>
      <c r="B6" s="2"/>
      <c r="C6" s="2"/>
      <c r="D6" s="2"/>
      <c r="E6" s="2"/>
      <c r="F6" s="2"/>
      <c r="G6" s="2"/>
      <c r="H6" s="2"/>
      <c r="I6" s="2"/>
      <c r="J6" s="2"/>
      <c r="K6" s="2"/>
      <c r="L6" s="2"/>
      <c r="M6" s="2"/>
      <c r="N6" s="2"/>
      <c r="O6" s="2"/>
      <c r="P6" s="2"/>
      <c r="Q6" s="2"/>
      <c r="R6" s="2"/>
      <c r="S6" s="2"/>
      <c r="T6" s="2"/>
      <c r="U6" s="2"/>
      <c r="V6" s="2"/>
      <c r="W6" s="2"/>
      <c r="X6" s="2"/>
      <c r="Y6" s="2"/>
      <c r="Z6" s="2"/>
    </row>
    <row r="7" spans="1:26" ht="16.5">
      <c r="A7" s="4" t="s">
        <v>144</v>
      </c>
      <c r="B7" s="4"/>
      <c r="C7" s="4"/>
      <c r="D7" s="4"/>
      <c r="E7" s="4"/>
      <c r="F7" s="4"/>
      <c r="G7" s="4"/>
      <c r="H7" s="4"/>
      <c r="I7" s="4"/>
      <c r="J7" s="4"/>
      <c r="K7" s="4"/>
      <c r="L7" s="4" t="s">
        <v>145</v>
      </c>
      <c r="M7" s="4"/>
      <c r="N7" s="4"/>
      <c r="O7" s="4"/>
      <c r="P7" s="4"/>
      <c r="Q7" s="4"/>
      <c r="R7" s="4"/>
      <c r="S7" s="4"/>
      <c r="T7" s="4"/>
      <c r="U7" s="4"/>
      <c r="V7" s="4"/>
      <c r="W7" s="4"/>
      <c r="X7" s="4"/>
      <c r="Y7" s="4"/>
      <c r="Z7" s="4"/>
    </row>
    <row r="8" spans="1:26">
      <c r="A8" s="3" t="s">
        <v>3</v>
      </c>
      <c r="B8" s="3"/>
      <c r="C8" s="3" t="s">
        <v>6</v>
      </c>
      <c r="D8" s="3" t="s">
        <v>7</v>
      </c>
      <c r="E8" s="3" t="str">
        <f>'2.0 Capex Real Dollars'!E8</f>
        <v>2018/19</v>
      </c>
      <c r="F8" s="3" t="str">
        <f>'2.0 Capex Real Dollars'!F8</f>
        <v>2019/20</v>
      </c>
      <c r="G8" s="3" t="str">
        <f>'2.0 Capex Real Dollars'!G8</f>
        <v>2020/21</v>
      </c>
      <c r="H8" s="3" t="str">
        <f>'2.0 Capex Real Dollars'!H8</f>
        <v>2021/22</v>
      </c>
      <c r="I8" s="3" t="str">
        <f>'2.0 Capex Real Dollars'!I8</f>
        <v>2022/23</v>
      </c>
      <c r="J8" s="3" t="str">
        <f>'2.0 Capex Real Dollars'!J8</f>
        <v>Total</v>
      </c>
      <c r="K8" s="3"/>
      <c r="L8" s="3" t="str">
        <f>A8</f>
        <v>Project</v>
      </c>
      <c r="M8" s="3"/>
      <c r="N8" s="3" t="str">
        <f>D8</f>
        <v>Asset Driver</v>
      </c>
      <c r="O8" s="3" t="str">
        <f>D8</f>
        <v>Asset Driver</v>
      </c>
      <c r="P8" s="3" t="str">
        <f>'2.0 Capex Real Dollars'!P8</f>
        <v>2023/24</v>
      </c>
      <c r="Q8" s="3" t="str">
        <f>'2.0 Capex Real Dollars'!Q8</f>
        <v>2024/25</v>
      </c>
      <c r="R8" s="3" t="str">
        <f>'2.0 Capex Real Dollars'!R8</f>
        <v>2025/26</v>
      </c>
      <c r="S8" s="3" t="str">
        <f>'2.0 Capex Real Dollars'!S8</f>
        <v>2026/27</v>
      </c>
      <c r="T8" s="3" t="str">
        <f>'2.0 Capex Real Dollars'!T8</f>
        <v>2027/28</v>
      </c>
      <c r="U8" s="3" t="str">
        <f>'2.0 Capex Real Dollars'!U8</f>
        <v>Total</v>
      </c>
      <c r="V8" s="3"/>
      <c r="W8" s="3"/>
      <c r="X8" s="3"/>
      <c r="Y8" s="3"/>
      <c r="Z8" s="3"/>
    </row>
    <row r="9" spans="1:26">
      <c r="A9" s="3"/>
      <c r="B9" s="3"/>
      <c r="C9" s="3"/>
      <c r="D9" s="3"/>
      <c r="E9" s="3"/>
      <c r="F9" s="3"/>
      <c r="G9" s="3"/>
      <c r="H9" s="3"/>
      <c r="I9" s="3"/>
      <c r="J9" s="3"/>
      <c r="K9" s="3"/>
      <c r="L9" s="3"/>
      <c r="M9" s="3"/>
      <c r="N9" s="3"/>
      <c r="O9" s="3"/>
      <c r="P9" s="3"/>
      <c r="Q9" s="3"/>
      <c r="R9" s="3"/>
      <c r="S9" s="3"/>
      <c r="T9" s="3"/>
      <c r="U9" s="3"/>
      <c r="V9" s="3"/>
      <c r="W9" s="3"/>
      <c r="X9" s="3"/>
      <c r="Y9" s="3"/>
      <c r="Z9" s="3"/>
    </row>
    <row r="10" spans="1:26">
      <c r="A10" s="33" t="str">
        <f>'2.0 Capex Real Dollars'!A10</f>
        <v xml:space="preserve">Fire suppression </v>
      </c>
      <c r="B10" s="33" t="str">
        <f>IF(A10="","",'1.0 Data'!$B$9)</f>
        <v>nominal</v>
      </c>
      <c r="C10" s="33" t="str">
        <f>'2.0 Capex Real Dollars'!C10</f>
        <v>Other operating assets</v>
      </c>
      <c r="D10" s="33" t="str">
        <f>'2.0 Capex Real Dollars'!D10</f>
        <v>Replacement expenditure</v>
      </c>
      <c r="E10" s="17">
        <f>'2.0 Capex Real Dollars'!E10/'1.1 Input'!E$13</f>
        <v>1196.8197500000003</v>
      </c>
      <c r="F10" s="17">
        <f>'2.0 Capex Real Dollars'!F10/'1.1 Input'!F$13</f>
        <v>9.4870499999999964</v>
      </c>
      <c r="G10" s="17">
        <f>'2.0 Capex Real Dollars'!G10/'1.1 Input'!G$13</f>
        <v>0</v>
      </c>
      <c r="H10" s="17">
        <f>'2.0 Capex Real Dollars'!H10/'1.1 Input'!H$13</f>
        <v>0</v>
      </c>
      <c r="I10" s="17">
        <f>'2.0 Capex Real Dollars'!I10/'1.1 Input'!I$13</f>
        <v>0</v>
      </c>
      <c r="J10" s="46">
        <f>SUM(E10:I10)</f>
        <v>1206.3068000000003</v>
      </c>
      <c r="L10" s="33" t="str">
        <f>'2.0 Capex Real Dollars'!L10</f>
        <v>Cable Protection/Modification</v>
      </c>
      <c r="M10" s="33" t="str">
        <f>IF(L10="","",'1.0 Data'!$B$9)</f>
        <v>nominal</v>
      </c>
      <c r="N10" s="33" t="str">
        <f>'2.0 Capex Real Dollars'!N10</f>
        <v>Transmission Cable</v>
      </c>
      <c r="O10" s="33" t="str">
        <f>'2.0 Capex Real Dollars'!O10</f>
        <v>Replacement expenditure</v>
      </c>
      <c r="P10" s="6">
        <f>'2.0 Capex Real Dollars'!P10/'1.1 Input'!I$13</f>
        <v>252.60467175572521</v>
      </c>
      <c r="Q10" s="6">
        <f>'2.0 Capex Real Dollars'!Q10/'1.1 Input'!J$13</f>
        <v>263.97188198473282</v>
      </c>
      <c r="R10" s="6">
        <f>'2.0 Capex Real Dollars'!R10/'1.1 Input'!K$13</f>
        <v>1545.7493736162849</v>
      </c>
      <c r="S10" s="6">
        <f>'2.0 Capex Real Dollars'!S10/'1.1 Input'!L$13</f>
        <v>284.13933376836638</v>
      </c>
      <c r="T10" s="6">
        <f>'2.0 Capex Real Dollars'!T10/'1.1 Input'!M$13</f>
        <v>292.66351378141735</v>
      </c>
      <c r="U10" s="46">
        <f>SUM(P10:T10)</f>
        <v>2639.1287749065264</v>
      </c>
    </row>
    <row r="11" spans="1:26">
      <c r="A11" s="33" t="str">
        <f>'2.0 Capex Real Dollars'!A11</f>
        <v>NSW Runback Scheme</v>
      </c>
      <c r="B11" s="33" t="str">
        <f>IF(A11="","",'1.0 Data'!B10)</f>
        <v>nominal</v>
      </c>
      <c r="C11" s="33" t="str">
        <f>'2.0 Capex Real Dollars'!C11</f>
        <v>Ancillary 30</v>
      </c>
      <c r="D11" s="33" t="str">
        <f>'2.0 Capex Real Dollars'!D11</f>
        <v>Replacement expenditure</v>
      </c>
      <c r="E11" s="17">
        <f>'2.0 Capex Real Dollars'!E11/'1.1 Input'!E$13</f>
        <v>9.4621899999999854</v>
      </c>
      <c r="F11" s="17">
        <f>'2.0 Capex Real Dollars'!F11/'1.1 Input'!F$13</f>
        <v>12.699729999999999</v>
      </c>
      <c r="G11" s="17">
        <f>'2.0 Capex Real Dollars'!G11/'1.1 Input'!G$13</f>
        <v>0</v>
      </c>
      <c r="H11" s="17">
        <f>'2.0 Capex Real Dollars'!H11/'1.1 Input'!H$13</f>
        <v>0</v>
      </c>
      <c r="I11" s="17">
        <f>'2.0 Capex Real Dollars'!I11/'1.1 Input'!I$13</f>
        <v>0</v>
      </c>
      <c r="J11" s="46">
        <f t="shared" ref="J11:J28" si="0">SUM(E11:I11)</f>
        <v>22.161919999999984</v>
      </c>
      <c r="L11" s="33" t="str">
        <f>'2.0 Capex Real Dollars'!L11</f>
        <v>Essential Spares</v>
      </c>
      <c r="M11" s="33" t="str">
        <f>IF(L11="","",'1.0 Data'!$B$9)</f>
        <v>nominal</v>
      </c>
      <c r="N11" s="33" t="str">
        <f>'2.0 Capex Real Dollars'!N11</f>
        <v>Switchyard</v>
      </c>
      <c r="O11" s="33" t="str">
        <f>'2.0 Capex Real Dollars'!O11</f>
        <v>Replacement expenditure</v>
      </c>
      <c r="P11" s="6">
        <f>'2.0 Capex Real Dollars'!P11/'1.1 Input'!I$13</f>
        <v>241.14891348600511</v>
      </c>
      <c r="Q11" s="6">
        <f>'2.0 Capex Real Dollars'!Q11/'1.1 Input'!J$13</f>
        <v>252.00061459287531</v>
      </c>
      <c r="R11" s="6">
        <f>'2.0 Capex Real Dollars'!R11/'1.1 Input'!K$13</f>
        <v>262.08063917659035</v>
      </c>
      <c r="S11" s="6">
        <f>'2.0 Capex Real Dollars'!S11/'1.1 Input'!L$13</f>
        <v>271.25346154777094</v>
      </c>
      <c r="T11" s="6">
        <f>'2.0 Capex Real Dollars'!T11/'1.1 Input'!M$13</f>
        <v>279.39106539420408</v>
      </c>
      <c r="U11" s="46">
        <f t="shared" ref="U11:U19" si="1">SUM(P11:T11)</f>
        <v>1305.8746941974457</v>
      </c>
    </row>
    <row r="12" spans="1:26">
      <c r="A12" s="33" t="str">
        <f>'2.0 Capex Real Dollars'!A12</f>
        <v>Replacement of Control System</v>
      </c>
      <c r="B12" s="33" t="str">
        <f>IF(A12="","",'1.0 Data'!B11)</f>
        <v>nominal</v>
      </c>
      <c r="C12" s="33" t="str">
        <f>'2.0 Capex Real Dollars'!C12</f>
        <v>Ancillary 15 - control systems</v>
      </c>
      <c r="D12" s="33" t="str">
        <f>'2.0 Capex Real Dollars'!D12</f>
        <v>Replacement expenditure</v>
      </c>
      <c r="E12" s="17">
        <f>'2.0 Capex Real Dollars'!E12/'1.1 Input'!E$13</f>
        <v>8703.5824800000009</v>
      </c>
      <c r="F12" s="17">
        <f>'2.0 Capex Real Dollars'!F12/'1.1 Input'!F$13</f>
        <v>6644.0999300000003</v>
      </c>
      <c r="G12" s="17">
        <f>'2.0 Capex Real Dollars'!G12/'1.1 Input'!G$13</f>
        <v>5071.0004299999991</v>
      </c>
      <c r="H12" s="17">
        <f>'2.0 Capex Real Dollars'!H12/'1.1 Input'!H$13</f>
        <v>566.75990000000002</v>
      </c>
      <c r="I12" s="17">
        <f>'2.0 Capex Real Dollars'!I12/'1.1 Input'!I$13</f>
        <v>236.45038167938932</v>
      </c>
      <c r="J12" s="46">
        <f t="shared" si="0"/>
        <v>21221.89312167939</v>
      </c>
      <c r="L12" s="33" t="str">
        <f>'2.0 Capex Real Dollars'!L12</f>
        <v>IGBTs</v>
      </c>
      <c r="M12" s="33" t="str">
        <f>IF(L12="","",'1.0 Data'!$B$9)</f>
        <v>nominal</v>
      </c>
      <c r="N12" s="33" t="str">
        <f>'2.0 Capex Real Dollars'!N12</f>
        <v>Switchyard</v>
      </c>
      <c r="O12" s="33" t="str">
        <f>'2.0 Capex Real Dollars'!O12</f>
        <v>Replacement expenditure</v>
      </c>
      <c r="P12" s="6">
        <f>'2.0 Capex Real Dollars'!P12/'1.1 Input'!I$13</f>
        <v>0</v>
      </c>
      <c r="Q12" s="6">
        <f>'2.0 Capex Real Dollars'!Q12/'1.1 Input'!J$13</f>
        <v>0</v>
      </c>
      <c r="R12" s="6">
        <f>'2.0 Capex Real Dollars'!R12/'1.1 Input'!K$13</f>
        <v>0</v>
      </c>
      <c r="S12" s="6">
        <f>'2.0 Capex Real Dollars'!S12/'1.1 Input'!L$13</f>
        <v>0</v>
      </c>
      <c r="T12" s="6">
        <f>'2.0 Capex Real Dollars'!T12/'1.1 Input'!M$13</f>
        <v>0</v>
      </c>
      <c r="U12" s="46">
        <f t="shared" si="1"/>
        <v>0</v>
      </c>
    </row>
    <row r="13" spans="1:26">
      <c r="A13" s="33" t="str">
        <f>'2.0 Capex Real Dollars'!A13</f>
        <v>Security Fence</v>
      </c>
      <c r="B13" s="33" t="str">
        <f>IF(A13="","",'1.0 Data'!B12)</f>
        <v>nominal</v>
      </c>
      <c r="C13" s="33" t="str">
        <f>'2.0 Capex Real Dollars'!C13</f>
        <v>Switchyard</v>
      </c>
      <c r="D13" s="33" t="str">
        <f>'2.0 Capex Real Dollars'!D13</f>
        <v>Replacement expenditure</v>
      </c>
      <c r="E13" s="17">
        <f>'2.0 Capex Real Dollars'!E13/'1.1 Input'!E$13</f>
        <v>310.32356599999991</v>
      </c>
      <c r="F13" s="17">
        <f>'2.0 Capex Real Dollars'!F13/'1.1 Input'!F$13</f>
        <v>0</v>
      </c>
      <c r="G13" s="17">
        <f>'2.0 Capex Real Dollars'!G13/'1.1 Input'!G$13</f>
        <v>0</v>
      </c>
      <c r="H13" s="17">
        <f>'2.0 Capex Real Dollars'!H13/'1.1 Input'!H$13</f>
        <v>0</v>
      </c>
      <c r="I13" s="17">
        <f>'2.0 Capex Real Dollars'!I13/'1.1 Input'!I$13</f>
        <v>0</v>
      </c>
      <c r="J13" s="46">
        <f t="shared" si="0"/>
        <v>310.32356599999991</v>
      </c>
      <c r="L13" s="33" t="str">
        <f>'2.0 Capex Real Dollars'!L13</f>
        <v>Stay in business</v>
      </c>
      <c r="M13" s="33" t="str">
        <f>IF(L13="","",'1.0 Data'!$B$9)</f>
        <v>nominal</v>
      </c>
      <c r="N13" s="33" t="str">
        <f>'2.0 Capex Real Dollars'!N13</f>
        <v>Other operating assets</v>
      </c>
      <c r="O13" s="33" t="str">
        <f>'2.0 Capex Real Dollars'!O13</f>
        <v>Replacement expenditure</v>
      </c>
      <c r="P13" s="6">
        <f>'2.0 Capex Real Dollars'!P13/'1.1 Input'!I$13</f>
        <v>1126.5732986004073</v>
      </c>
      <c r="Q13" s="6">
        <f>'2.0 Capex Real Dollars'!Q13/'1.1 Input'!J$13</f>
        <v>1118.4274340718828</v>
      </c>
      <c r="R13" s="6">
        <f>'2.0 Capex Real Dollars'!R13/'1.1 Input'!K$13</f>
        <v>985.47980397806373</v>
      </c>
      <c r="S13" s="6">
        <f>'2.0 Capex Real Dollars'!S13/'1.1 Input'!L$13</f>
        <v>269.14699202230526</v>
      </c>
      <c r="T13" s="6">
        <f>'2.0 Capex Real Dollars'!T13/'1.1 Input'!M$13</f>
        <v>183.47050500144775</v>
      </c>
      <c r="U13" s="46">
        <f t="shared" si="1"/>
        <v>3683.0980336741063</v>
      </c>
    </row>
    <row r="14" spans="1:26">
      <c r="A14" s="33" t="str">
        <f>'2.0 Capex Real Dollars'!A14</f>
        <v>Revenue Determination</v>
      </c>
      <c r="B14" s="33" t="str">
        <f>IF(A14="","",'1.0 Data'!B13)</f>
        <v>nominal</v>
      </c>
      <c r="C14" s="33" t="str">
        <f>'2.0 Capex Real Dollars'!C14</f>
        <v>Other operating assets</v>
      </c>
      <c r="D14" s="33" t="str">
        <f>'2.0 Capex Real Dollars'!D14</f>
        <v>Non-network</v>
      </c>
      <c r="E14" s="17">
        <f>'2.0 Capex Real Dollars'!E14/'1.1 Input'!E$13</f>
        <v>40.388100000000001</v>
      </c>
      <c r="F14" s="17">
        <f>'2.0 Capex Real Dollars'!F14/'1.1 Input'!F$13</f>
        <v>0</v>
      </c>
      <c r="G14" s="17">
        <f>'2.0 Capex Real Dollars'!G14/'1.1 Input'!G$13</f>
        <v>0</v>
      </c>
      <c r="H14" s="17">
        <f>'2.0 Capex Real Dollars'!H14/'1.1 Input'!H$13</f>
        <v>0</v>
      </c>
      <c r="I14" s="17">
        <f>'2.0 Capex Real Dollars'!I14/'1.1 Input'!I$13</f>
        <v>157.63358778625954</v>
      </c>
      <c r="J14" s="46">
        <f t="shared" si="0"/>
        <v>198.02168778625955</v>
      </c>
      <c r="L14" s="33" t="str">
        <f>'2.0 Capex Real Dollars'!L14</f>
        <v>Reliability</v>
      </c>
      <c r="M14" s="33" t="str">
        <f>IF(L14="","",'1.0 Data'!$B$9)</f>
        <v>nominal</v>
      </c>
      <c r="N14" s="33" t="str">
        <f>'2.0 Capex Real Dollars'!N14</f>
        <v>Other operating assets</v>
      </c>
      <c r="O14" s="33" t="str">
        <f>'2.0 Capex Real Dollars'!O14</f>
        <v>Replacement expenditure</v>
      </c>
      <c r="P14" s="6">
        <f>'2.0 Capex Real Dollars'!P14/'1.1 Input'!I$13</f>
        <v>530.51836183206103</v>
      </c>
      <c r="Q14" s="6">
        <f>'2.0 Capex Real Dollars'!Q14/'1.1 Input'!J$13</f>
        <v>1292.8446927755726</v>
      </c>
      <c r="R14" s="6">
        <f>'2.0 Capex Real Dollars'!R14/'1.1 Input'!K$13</f>
        <v>0</v>
      </c>
      <c r="S14" s="6">
        <f>'2.0 Capex Real Dollars'!S14/'1.1 Input'!L$13</f>
        <v>0</v>
      </c>
      <c r="T14" s="6">
        <f>'2.0 Capex Real Dollars'!T14/'1.1 Input'!M$13</f>
        <v>0</v>
      </c>
      <c r="U14" s="46">
        <f t="shared" si="1"/>
        <v>1823.3630546076338</v>
      </c>
    </row>
    <row r="15" spans="1:26">
      <c r="A15" s="33" t="str">
        <f>'2.0 Capex Real Dollars'!A15</f>
        <v>Earth Switch Upgrade</v>
      </c>
      <c r="B15" s="33" t="str">
        <f>IF(A15="","",'1.0 Data'!B14)</f>
        <v>nominal</v>
      </c>
      <c r="C15" s="33" t="str">
        <f>'2.0 Capex Real Dollars'!C15</f>
        <v>Switchyard</v>
      </c>
      <c r="D15" s="33" t="str">
        <f>'2.0 Capex Real Dollars'!D15</f>
        <v>Replacement expenditure</v>
      </c>
      <c r="E15" s="17">
        <f>'2.0 Capex Real Dollars'!E15/'1.1 Input'!E$13</f>
        <v>0</v>
      </c>
      <c r="F15" s="17">
        <f>'2.0 Capex Real Dollars'!F15/'1.1 Input'!F$13</f>
        <v>0</v>
      </c>
      <c r="G15" s="17">
        <f>'2.0 Capex Real Dollars'!G15/'1.1 Input'!G$13</f>
        <v>0</v>
      </c>
      <c r="H15" s="17">
        <f>'2.0 Capex Real Dollars'!H15/'1.1 Input'!H$13</f>
        <v>0</v>
      </c>
      <c r="I15" s="17">
        <f>'2.0 Capex Real Dollars'!I15/'1.1 Input'!I$13</f>
        <v>0</v>
      </c>
      <c r="J15" s="46">
        <f t="shared" si="0"/>
        <v>0</v>
      </c>
      <c r="L15" s="33" t="str">
        <f>'2.0 Capex Real Dollars'!L15</f>
        <v>SOCI</v>
      </c>
      <c r="M15" s="33" t="str">
        <f>IF(L15="","",'1.0 Data'!$B$9)</f>
        <v>nominal</v>
      </c>
      <c r="N15" s="33" t="str">
        <f>'2.0 Capex Real Dollars'!N15</f>
        <v>Non ancillary asset</v>
      </c>
      <c r="O15" s="33" t="str">
        <f>'2.0 Capex Real Dollars'!O15</f>
        <v>Replacement expenditure</v>
      </c>
      <c r="P15" s="6">
        <f>'2.0 Capex Real Dollars'!P15/'1.1 Input'!I$13</f>
        <v>466.63430279898222</v>
      </c>
      <c r="Q15" s="6">
        <f>'2.0 Capex Real Dollars'!Q15/'1.1 Input'!J$13</f>
        <v>0</v>
      </c>
      <c r="R15" s="6">
        <f>'2.0 Capex Real Dollars'!R15/'1.1 Input'!K$13</f>
        <v>1176.9572328799998</v>
      </c>
      <c r="S15" s="6">
        <f>'2.0 Capex Real Dollars'!S15/'1.1 Input'!L$13</f>
        <v>1218.1507360307996</v>
      </c>
      <c r="T15" s="6">
        <f>'2.0 Capex Real Dollars'!T15/'1.1 Input'!M$13</f>
        <v>0</v>
      </c>
      <c r="U15" s="46">
        <f t="shared" si="1"/>
        <v>2861.7422717097816</v>
      </c>
    </row>
    <row r="16" spans="1:26">
      <c r="A16" s="33" t="str">
        <f>'2.0 Capex Real Dollars'!A16</f>
        <v>IGBTs</v>
      </c>
      <c r="B16" s="33" t="str">
        <f>IF(A16="","",'1.0 Data'!B15)</f>
        <v>nominal</v>
      </c>
      <c r="C16" s="33" t="str">
        <f>'2.0 Capex Real Dollars'!C16</f>
        <v>Switchyard</v>
      </c>
      <c r="D16" s="33" t="str">
        <f>'2.0 Capex Real Dollars'!D16</f>
        <v>Replacement expenditure</v>
      </c>
      <c r="E16" s="17">
        <f>'2.0 Capex Real Dollars'!E16/'1.1 Input'!E$13</f>
        <v>0</v>
      </c>
      <c r="F16" s="17">
        <f>'2.0 Capex Real Dollars'!F16/'1.1 Input'!F$13</f>
        <v>0</v>
      </c>
      <c r="G16" s="17">
        <f>'2.0 Capex Real Dollars'!G16/'1.1 Input'!G$13</f>
        <v>358.20269999999999</v>
      </c>
      <c r="H16" s="17">
        <f>'2.0 Capex Real Dollars'!H16/'1.1 Input'!H$13</f>
        <v>917.81858</v>
      </c>
      <c r="I16" s="17">
        <f>'2.0 Capex Real Dollars'!I16/'1.1 Input'!I$13</f>
        <v>0</v>
      </c>
      <c r="J16" s="46">
        <f t="shared" si="0"/>
        <v>1276.0212799999999</v>
      </c>
      <c r="L16" s="33" t="str">
        <f>'2.0 Capex Real Dollars'!L16</f>
        <v>Enhanced Cooling</v>
      </c>
      <c r="M16" s="33" t="str">
        <f>IF(L16="","",'1.0 Data'!$B$9)</f>
        <v>nominal</v>
      </c>
      <c r="N16" s="33" t="str">
        <f>'2.0 Capex Real Dollars'!N16</f>
        <v>Other operating assets</v>
      </c>
      <c r="O16" s="33" t="str">
        <f>'2.0 Capex Real Dollars'!O16</f>
        <v>Replacement expenditure</v>
      </c>
      <c r="P16" s="6">
        <f>'2.0 Capex Real Dollars'!P16/'1.1 Input'!I$13</f>
        <v>1649.7307205318068</v>
      </c>
      <c r="Q16" s="6">
        <f>'2.0 Capex Real Dollars'!Q16/'1.1 Input'!J$13</f>
        <v>1723.9686029557379</v>
      </c>
      <c r="R16" s="6">
        <f>'2.0 Capex Real Dollars'!R16/'1.1 Input'!K$13</f>
        <v>0</v>
      </c>
      <c r="S16" s="6">
        <f>'2.0 Capex Real Dollars'!S16/'1.1 Input'!L$13</f>
        <v>0</v>
      </c>
      <c r="T16" s="6">
        <f>'2.0 Capex Real Dollars'!T16/'1.1 Input'!M$13</f>
        <v>0</v>
      </c>
      <c r="U16" s="46">
        <f t="shared" si="1"/>
        <v>3373.6993234875445</v>
      </c>
    </row>
    <row r="17" spans="1:21">
      <c r="A17" s="33" t="str">
        <f>'2.0 Capex Real Dollars'!A17</f>
        <v>Other</v>
      </c>
      <c r="B17" s="33" t="str">
        <f>IF(A17="","",'1.0 Data'!B16)</f>
        <v>nominal</v>
      </c>
      <c r="C17" s="33" t="str">
        <f>'2.0 Capex Real Dollars'!C17</f>
        <v>Other operating assets</v>
      </c>
      <c r="D17" s="33" t="str">
        <f>'2.0 Capex Real Dollars'!D17</f>
        <v>Replacement expenditure</v>
      </c>
      <c r="E17" s="17">
        <f>'2.0 Capex Real Dollars'!E17/'1.1 Input'!E$13</f>
        <v>0</v>
      </c>
      <c r="F17" s="17">
        <f>'2.0 Capex Real Dollars'!F17/'1.1 Input'!F$13</f>
        <v>36.220109999999998</v>
      </c>
      <c r="G17" s="17">
        <f>'2.0 Capex Real Dollars'!G17/'1.1 Input'!G$13</f>
        <v>-2.0079099999999972</v>
      </c>
      <c r="H17" s="17">
        <f>'2.0 Capex Real Dollars'!H17/'1.1 Input'!H$13</f>
        <v>0</v>
      </c>
      <c r="I17" s="17">
        <f>'2.0 Capex Real Dollars'!I17/'1.1 Input'!I$13</f>
        <v>0</v>
      </c>
      <c r="J17" s="46">
        <f t="shared" si="0"/>
        <v>34.212200000000003</v>
      </c>
      <c r="L17" s="33" t="str">
        <f>'2.0 Capex Real Dollars'!L17</f>
        <v>Regulatory Reset</v>
      </c>
      <c r="M17" s="33" t="str">
        <f>IF(L17="","",'1.0 Data'!$B$9)</f>
        <v>nominal</v>
      </c>
      <c r="N17" s="33" t="str">
        <f>'2.0 Capex Real Dollars'!N17</f>
        <v>Non ancillary asset</v>
      </c>
      <c r="O17" s="33" t="str">
        <f>'2.0 Capex Real Dollars'!O17</f>
        <v>Non-network</v>
      </c>
      <c r="P17" s="6">
        <f>'2.0 Capex Real Dollars'!P17/'1.1 Input'!I$13</f>
        <v>42.44347404580153</v>
      </c>
      <c r="Q17" s="6">
        <f>'2.0 Capex Real Dollars'!Q17/'1.1 Input'!J$13</f>
        <v>0</v>
      </c>
      <c r="R17" s="6">
        <f>'2.0 Capex Real Dollars'!R17/'1.1 Input'!K$13</f>
        <v>0</v>
      </c>
      <c r="S17" s="6">
        <f>'2.0 Capex Real Dollars'!S17/'1.1 Input'!L$13</f>
        <v>0</v>
      </c>
      <c r="T17" s="6">
        <f>'2.0 Capex Real Dollars'!T17/'1.1 Input'!M$13</f>
        <v>191.92584698508242</v>
      </c>
      <c r="U17" s="46">
        <f t="shared" si="1"/>
        <v>234.36932103088395</v>
      </c>
    </row>
    <row r="18" spans="1:21">
      <c r="A18" s="33" t="str">
        <f>'2.0 Capex Real Dollars'!A18</f>
        <v>Fan Coil Motors</v>
      </c>
      <c r="B18" s="33" t="str">
        <f>IF(A18="","",'1.0 Data'!B17)</f>
        <v>nominal</v>
      </c>
      <c r="C18" s="33" t="str">
        <f>'2.0 Capex Real Dollars'!C18</f>
        <v>Switchyard</v>
      </c>
      <c r="D18" s="33" t="str">
        <f>'2.0 Capex Real Dollars'!D18</f>
        <v>Replacement expenditure</v>
      </c>
      <c r="E18" s="17">
        <f>'2.0 Capex Real Dollars'!E18/'1.1 Input'!E$13</f>
        <v>0</v>
      </c>
      <c r="F18" s="17">
        <f>'2.0 Capex Real Dollars'!F18/'1.1 Input'!F$13</f>
        <v>57.748040000000003</v>
      </c>
      <c r="G18" s="17">
        <f>'2.0 Capex Real Dollars'!G18/'1.1 Input'!G$13</f>
        <v>0</v>
      </c>
      <c r="H18" s="17">
        <f>'2.0 Capex Real Dollars'!H18/'1.1 Input'!H$13</f>
        <v>0</v>
      </c>
      <c r="I18" s="17">
        <f>'2.0 Capex Real Dollars'!I18/'1.1 Input'!I$13</f>
        <v>0</v>
      </c>
      <c r="J18" s="46">
        <f t="shared" si="0"/>
        <v>57.748040000000003</v>
      </c>
      <c r="L18" s="33" t="str">
        <f>'2.0 Capex Real Dollars'!L18</f>
        <v/>
      </c>
      <c r="M18" s="33" t="str">
        <f>IF(L18="","",'1.0 Data'!$B$9)</f>
        <v/>
      </c>
      <c r="N18" s="33" t="e">
        <f>'2.0 Capex Real Dollars'!N18</f>
        <v>#N/A</v>
      </c>
      <c r="O18" s="33" t="e">
        <f>'2.0 Capex Real Dollars'!O18</f>
        <v>#N/A</v>
      </c>
      <c r="P18" s="6">
        <f>'2.0 Capex Real Dollars'!P18/'1.1 Input'!I$13</f>
        <v>0</v>
      </c>
      <c r="Q18" s="6">
        <f>'2.0 Capex Real Dollars'!Q18/'1.1 Input'!J$13</f>
        <v>0</v>
      </c>
      <c r="R18" s="6">
        <f>'2.0 Capex Real Dollars'!R18/'1.1 Input'!K$13</f>
        <v>0</v>
      </c>
      <c r="S18" s="6">
        <f>'2.0 Capex Real Dollars'!S18/'1.1 Input'!L$13</f>
        <v>0</v>
      </c>
      <c r="T18" s="6">
        <f>'2.0 Capex Real Dollars'!T18/'1.1 Input'!M$13</f>
        <v>0</v>
      </c>
      <c r="U18" s="46">
        <f t="shared" si="1"/>
        <v>0</v>
      </c>
    </row>
    <row r="19" spans="1:21">
      <c r="A19" s="33" t="str">
        <f>'2.0 Capex Real Dollars'!A19</f>
        <v>NSW Runback Scheme()</v>
      </c>
      <c r="B19" s="33" t="str">
        <f>IF(A19="","",'1.0 Data'!B18)</f>
        <v>nominal</v>
      </c>
      <c r="C19" s="33" t="str">
        <f>'2.0 Capex Real Dollars'!C19</f>
        <v>Ancillary 15 - control systems</v>
      </c>
      <c r="D19" s="33" t="str">
        <f>'2.0 Capex Real Dollars'!D19</f>
        <v>Replacement expenditure</v>
      </c>
      <c r="E19" s="17">
        <f>'2.0 Capex Real Dollars'!E19/'1.1 Input'!E$13</f>
        <v>0</v>
      </c>
      <c r="F19" s="17">
        <f>'2.0 Capex Real Dollars'!F19/'1.1 Input'!F$13</f>
        <v>0</v>
      </c>
      <c r="G19" s="17">
        <f>'2.0 Capex Real Dollars'!G19/'1.1 Input'!G$13</f>
        <v>-15.289999999999997</v>
      </c>
      <c r="H19" s="17">
        <f>'2.0 Capex Real Dollars'!H19/'1.1 Input'!H$13</f>
        <v>0</v>
      </c>
      <c r="I19" s="17">
        <f>'2.0 Capex Real Dollars'!I19/'1.1 Input'!I$13</f>
        <v>0</v>
      </c>
      <c r="J19" s="46">
        <f t="shared" si="0"/>
        <v>-15.289999999999997</v>
      </c>
      <c r="L19" s="33" t="str">
        <f>'2.0 Capex Real Dollars'!L19</f>
        <v/>
      </c>
      <c r="M19" s="33" t="str">
        <f>IF(L19="","",'1.0 Data'!$B$9)</f>
        <v/>
      </c>
      <c r="N19" s="33" t="e">
        <f>'2.0 Capex Real Dollars'!N19</f>
        <v>#N/A</v>
      </c>
      <c r="O19" s="33" t="e">
        <f>'2.0 Capex Real Dollars'!O19</f>
        <v>#N/A</v>
      </c>
      <c r="P19" s="6">
        <f>'2.0 Capex Real Dollars'!P19/'1.1 Input'!I$13</f>
        <v>0</v>
      </c>
      <c r="Q19" s="6">
        <f>'2.0 Capex Real Dollars'!Q19/'1.1 Input'!J$13</f>
        <v>0</v>
      </c>
      <c r="R19" s="6">
        <f>'2.0 Capex Real Dollars'!R19/'1.1 Input'!K$13</f>
        <v>0</v>
      </c>
      <c r="S19" s="6">
        <f>'2.0 Capex Real Dollars'!S19/'1.1 Input'!L$13</f>
        <v>0</v>
      </c>
      <c r="T19" s="6">
        <f>'2.0 Capex Real Dollars'!T19/'1.1 Input'!M$13</f>
        <v>0</v>
      </c>
      <c r="U19" s="46">
        <f t="shared" si="1"/>
        <v>0</v>
      </c>
    </row>
    <row r="20" spans="1:21">
      <c r="A20" s="33" t="str">
        <f>'2.0 Capex Real Dollars'!A20</f>
        <v>Capacitors</v>
      </c>
      <c r="B20" s="33" t="str">
        <f>IF(A20="","",'1.0 Data'!B19)</f>
        <v>nominal</v>
      </c>
      <c r="C20" s="33" t="str">
        <f>'2.0 Capex Real Dollars'!C20</f>
        <v>Switchyard</v>
      </c>
      <c r="D20" s="33" t="str">
        <f>'2.0 Capex Real Dollars'!D20</f>
        <v>Replacement expenditure</v>
      </c>
      <c r="E20" s="17">
        <f>'2.0 Capex Real Dollars'!E20/'1.1 Input'!E$13</f>
        <v>0</v>
      </c>
      <c r="F20" s="17">
        <f>'2.0 Capex Real Dollars'!F20/'1.1 Input'!F$13</f>
        <v>0</v>
      </c>
      <c r="G20" s="17">
        <f>'2.0 Capex Real Dollars'!G20/'1.1 Input'!G$13</f>
        <v>122.24982000000003</v>
      </c>
      <c r="H20" s="17">
        <f>'2.0 Capex Real Dollars'!H20/'1.1 Input'!H$13</f>
        <v>0</v>
      </c>
      <c r="I20" s="17">
        <f>'2.0 Capex Real Dollars'!I20/'1.1 Input'!I$13</f>
        <v>0</v>
      </c>
      <c r="J20" s="46">
        <f t="shared" si="0"/>
        <v>122.24982000000003</v>
      </c>
    </row>
    <row r="21" spans="1:21">
      <c r="A21" s="33" t="str">
        <f>'2.0 Capex Real Dollars'!A21</f>
        <v>Coms Site Huts x 2</v>
      </c>
      <c r="B21" s="33" t="str">
        <f>IF(A21="","",'1.0 Data'!B20)</f>
        <v>nominal</v>
      </c>
      <c r="C21" s="33" t="str">
        <f>'2.0 Capex Real Dollars'!C21</f>
        <v>Other operating assets</v>
      </c>
      <c r="D21" s="33" t="str">
        <f>'2.0 Capex Real Dollars'!D21</f>
        <v>Replacement expenditure</v>
      </c>
      <c r="E21" s="17">
        <f>'2.0 Capex Real Dollars'!E21/'1.1 Input'!E$13</f>
        <v>0</v>
      </c>
      <c r="F21" s="17">
        <f>'2.0 Capex Real Dollars'!F21/'1.1 Input'!F$13</f>
        <v>0</v>
      </c>
      <c r="G21" s="17">
        <f>'2.0 Capex Real Dollars'!G21/'1.1 Input'!G$13</f>
        <v>118.80103</v>
      </c>
      <c r="H21" s="17">
        <f>'2.0 Capex Real Dollars'!H21/'1.1 Input'!H$13</f>
        <v>19.452579999999998</v>
      </c>
      <c r="I21" s="17">
        <f>'2.0 Capex Real Dollars'!I21/'1.1 Input'!I$13</f>
        <v>0</v>
      </c>
      <c r="J21" s="46">
        <f t="shared" si="0"/>
        <v>138.25360999999998</v>
      </c>
    </row>
    <row r="22" spans="1:21">
      <c r="A22" s="33" t="str">
        <f>'2.0 Capex Real Dollars'!A22</f>
        <v>Chilled water piping refurbishment</v>
      </c>
      <c r="B22" s="33" t="str">
        <f>IF(A22="","",'1.0 Data'!B21)</f>
        <v>nominal</v>
      </c>
      <c r="C22" s="33" t="str">
        <f>'2.0 Capex Real Dollars'!C22</f>
        <v>Other operating assets</v>
      </c>
      <c r="D22" s="33" t="str">
        <f>'2.0 Capex Real Dollars'!D22</f>
        <v>Replacement expenditure</v>
      </c>
      <c r="E22" s="17">
        <f>'2.0 Capex Real Dollars'!E22/'1.1 Input'!E$13</f>
        <v>0</v>
      </c>
      <c r="F22" s="17">
        <f>'2.0 Capex Real Dollars'!F22/'1.1 Input'!F$13</f>
        <v>0</v>
      </c>
      <c r="G22" s="17">
        <f>'2.0 Capex Real Dollars'!G22/'1.1 Input'!G$13</f>
        <v>32.309629999999999</v>
      </c>
      <c r="H22" s="17">
        <f>'2.0 Capex Real Dollars'!H22/'1.1 Input'!H$13</f>
        <v>49.375520000000002</v>
      </c>
      <c r="I22" s="17">
        <f>'2.0 Capex Real Dollars'!I22/'1.1 Input'!I$13</f>
        <v>0</v>
      </c>
      <c r="J22" s="46">
        <f t="shared" si="0"/>
        <v>81.685149999999993</v>
      </c>
    </row>
    <row r="23" spans="1:21">
      <c r="A23" s="33" t="str">
        <f>'2.0 Capex Real Dollars'!A23</f>
        <v>VSD Refurbishment</v>
      </c>
      <c r="B23" s="33" t="str">
        <f>IF(A23="","",'1.0 Data'!B22)</f>
        <v>nominal</v>
      </c>
      <c r="C23" s="33" t="str">
        <f>'2.0 Capex Real Dollars'!C23</f>
        <v>Other operating assets</v>
      </c>
      <c r="D23" s="33" t="str">
        <f>'2.0 Capex Real Dollars'!D23</f>
        <v>Replacement expenditure</v>
      </c>
      <c r="E23" s="17">
        <f>'2.0 Capex Real Dollars'!E23/'1.1 Input'!E$13</f>
        <v>0</v>
      </c>
      <c r="F23" s="17">
        <f>'2.0 Capex Real Dollars'!F23/'1.1 Input'!F$13</f>
        <v>0</v>
      </c>
      <c r="G23" s="17">
        <f>'2.0 Capex Real Dollars'!G23/'1.1 Input'!G$13</f>
        <v>10.64514</v>
      </c>
      <c r="H23" s="17">
        <f>'2.0 Capex Real Dollars'!H23/'1.1 Input'!H$13</f>
        <v>560.67623000000003</v>
      </c>
      <c r="I23" s="17">
        <f>'2.0 Capex Real Dollars'!I23/'1.1 Input'!I$13</f>
        <v>204.92366412213741</v>
      </c>
      <c r="J23" s="46">
        <f t="shared" si="0"/>
        <v>776.24503412213744</v>
      </c>
    </row>
    <row r="24" spans="1:21">
      <c r="A24" s="33" t="str">
        <f>'2.0 Capex Real Dollars'!A24</f>
        <v>Spares</v>
      </c>
      <c r="B24" s="33" t="str">
        <f>IF(A24="","",'1.0 Data'!B23)</f>
        <v>nominal</v>
      </c>
      <c r="C24" s="33" t="str">
        <f>'2.0 Capex Real Dollars'!C24</f>
        <v>Switchyard</v>
      </c>
      <c r="D24" s="33" t="str">
        <f>'2.0 Capex Real Dollars'!D24</f>
        <v>Replacement expenditure</v>
      </c>
      <c r="E24" s="17">
        <f>'2.0 Capex Real Dollars'!E24/'1.1 Input'!E$13</f>
        <v>0</v>
      </c>
      <c r="F24" s="17">
        <f>'2.0 Capex Real Dollars'!F24/'1.1 Input'!F$13</f>
        <v>0</v>
      </c>
      <c r="G24" s="17">
        <f>'2.0 Capex Real Dollars'!G24/'1.1 Input'!G$13</f>
        <v>0</v>
      </c>
      <c r="H24" s="17">
        <f>'2.0 Capex Real Dollars'!H24/'1.1 Input'!H$13</f>
        <v>29.848999999999997</v>
      </c>
      <c r="I24" s="17">
        <f>'2.0 Capex Real Dollars'!I24/'1.1 Input'!I$13</f>
        <v>25.221374045801525</v>
      </c>
      <c r="J24" s="46">
        <f t="shared" si="0"/>
        <v>55.070374045801522</v>
      </c>
    </row>
    <row r="25" spans="1:21">
      <c r="A25" s="33" t="str">
        <f>'2.0 Capex Real Dollars'!A25</f>
        <v>Other Minor Capital Works</v>
      </c>
      <c r="B25" s="33" t="str">
        <f>IF(A25="","",'1.0 Data'!B24)</f>
        <v>nominal</v>
      </c>
      <c r="C25" s="33" t="str">
        <f>'2.0 Capex Real Dollars'!C25</f>
        <v>Other operating assets</v>
      </c>
      <c r="D25" s="33" t="str">
        <f>'2.0 Capex Real Dollars'!D25</f>
        <v>Replacement expenditure</v>
      </c>
      <c r="E25" s="17">
        <f>'2.0 Capex Real Dollars'!E25/'1.1 Input'!E$13</f>
        <v>0</v>
      </c>
      <c r="F25" s="17">
        <f>'2.0 Capex Real Dollars'!F25/'1.1 Input'!F$13</f>
        <v>0</v>
      </c>
      <c r="G25" s="17">
        <f>'2.0 Capex Real Dollars'!G25/'1.1 Input'!G$13</f>
        <v>0</v>
      </c>
      <c r="H25" s="17">
        <f>'2.0 Capex Real Dollars'!H25/'1.1 Input'!H$13</f>
        <v>215.06215</v>
      </c>
      <c r="I25" s="17">
        <f>'2.0 Capex Real Dollars'!I25/'1.1 Input'!I$13</f>
        <v>184.95674300254453</v>
      </c>
      <c r="J25" s="46">
        <f t="shared" si="0"/>
        <v>400.01889300254453</v>
      </c>
    </row>
    <row r="26" spans="1:21">
      <c r="A26" s="33" t="str">
        <f>'2.0 Capex Real Dollars'!A26</f>
        <v>Enhanced cooling systems</v>
      </c>
      <c r="B26" s="33" t="str">
        <f>IF(A26="","",'1.0 Data'!B25)</f>
        <v>nominal</v>
      </c>
      <c r="C26" s="33" t="str">
        <f>'2.0 Capex Real Dollars'!C26</f>
        <v>Other operating assets</v>
      </c>
      <c r="D26" s="33" t="str">
        <f>'2.0 Capex Real Dollars'!D26</f>
        <v>Replacement expenditure</v>
      </c>
      <c r="E26" s="17">
        <f>'2.0 Capex Real Dollars'!E26/'1.1 Input'!E$13</f>
        <v>0</v>
      </c>
      <c r="F26" s="17">
        <f>'2.0 Capex Real Dollars'!F26/'1.1 Input'!F$13</f>
        <v>0</v>
      </c>
      <c r="G26" s="17">
        <f>'2.0 Capex Real Dollars'!G26/'1.1 Input'!G$13</f>
        <v>0</v>
      </c>
      <c r="H26" s="17">
        <f>'2.0 Capex Real Dollars'!H26/'1.1 Input'!H$13</f>
        <v>70</v>
      </c>
      <c r="I26" s="17">
        <f>'2.0 Capex Real Dollars'!I26/'1.1 Input'!I$13</f>
        <v>425.64899540012732</v>
      </c>
      <c r="J26" s="46">
        <f t="shared" si="0"/>
        <v>495.64899540012732</v>
      </c>
    </row>
    <row r="27" spans="1:21">
      <c r="A27" s="33" t="str">
        <f>'2.0 Capex Real Dollars'!A27</f>
        <v>Cable relocation</v>
      </c>
      <c r="B27" s="33" t="str">
        <f>IF(A27="","",'1.0 Data'!B26)</f>
        <v>nominal</v>
      </c>
      <c r="C27" s="33" t="str">
        <f>'2.0 Capex Real Dollars'!C27</f>
        <v>Transmission line</v>
      </c>
      <c r="D27" s="33" t="str">
        <f>'2.0 Capex Real Dollars'!D27</f>
        <v>Replacement expenditure</v>
      </c>
      <c r="E27" s="17">
        <f>'2.0 Capex Real Dollars'!E27/'1.1 Input'!E$13</f>
        <v>0</v>
      </c>
      <c r="F27" s="17">
        <f>'2.0 Capex Real Dollars'!F27/'1.1 Input'!F$13</f>
        <v>0</v>
      </c>
      <c r="G27" s="17">
        <f>'2.0 Capex Real Dollars'!G27/'1.1 Input'!G$13</f>
        <v>0</v>
      </c>
      <c r="H27" s="17">
        <f>'2.0 Capex Real Dollars'!H27/'1.1 Input'!H$13</f>
        <v>0</v>
      </c>
      <c r="I27" s="17">
        <f>'2.0 Capex Real Dollars'!I27/'1.1 Input'!I$13</f>
        <v>37.832061068702288</v>
      </c>
      <c r="J27" s="46">
        <f t="shared" si="0"/>
        <v>37.832061068702288</v>
      </c>
    </row>
    <row r="28" spans="1:21">
      <c r="A28" s="33" t="str">
        <f>'2.0 Capex Real Dollars'!A28</f>
        <v xml:space="preserve">Cable Protection </v>
      </c>
      <c r="B28" s="33" t="str">
        <f>IF(A28="","",'1.0 Data'!B27)</f>
        <v>nominal</v>
      </c>
      <c r="C28" s="33" t="str">
        <f>'2.0 Capex Real Dollars'!C28</f>
        <v>Switchyard</v>
      </c>
      <c r="D28" s="33" t="str">
        <f>'2.0 Capex Real Dollars'!D28</f>
        <v>Replacement expenditure</v>
      </c>
      <c r="E28" s="17">
        <f>'2.0 Capex Real Dollars'!E28/'1.1 Input'!E$13</f>
        <v>0</v>
      </c>
      <c r="F28" s="17">
        <f>'2.0 Capex Real Dollars'!F28/'1.1 Input'!F$13</f>
        <v>0</v>
      </c>
      <c r="G28" s="17">
        <f>'2.0 Capex Real Dollars'!G28/'1.1 Input'!G$13</f>
        <v>0</v>
      </c>
      <c r="H28" s="17">
        <f>'2.0 Capex Real Dollars'!H28/'1.1 Input'!H$13</f>
        <v>27.5</v>
      </c>
      <c r="I28" s="17">
        <f>'2.0 Capex Real Dollars'!I28/'1.1 Input'!I$13</f>
        <v>26.272264631043257</v>
      </c>
      <c r="J28" s="46">
        <f t="shared" si="0"/>
        <v>53.772264631043257</v>
      </c>
    </row>
    <row r="29" spans="1:21">
      <c r="A29" s="33" t="str">
        <f>'2.0 Capex Real Dollars'!A29</f>
        <v>Essential Spares</v>
      </c>
      <c r="B29" s="33" t="str">
        <f>IF(A29="","",'1.0 Data'!B28)</f>
        <v>nominal</v>
      </c>
      <c r="C29" s="33" t="str">
        <f>'2.0 Capex Real Dollars'!C29</f>
        <v>Switchyard</v>
      </c>
      <c r="D29" s="33" t="str">
        <f>'2.0 Capex Real Dollars'!D29</f>
        <v>Replacement expenditure</v>
      </c>
      <c r="E29" s="17">
        <f>'2.0 Capex Real Dollars'!E29/'1.1 Input'!E$13</f>
        <v>0</v>
      </c>
      <c r="F29" s="17">
        <f>'2.0 Capex Real Dollars'!F29/'1.1 Input'!F$13</f>
        <v>0</v>
      </c>
      <c r="G29" s="17">
        <f>'2.0 Capex Real Dollars'!G29/'1.1 Input'!G$13</f>
        <v>0</v>
      </c>
      <c r="H29" s="17">
        <f>'2.0 Capex Real Dollars'!H29/'1.1 Input'!H$13</f>
        <v>0</v>
      </c>
      <c r="I29" s="17">
        <f>'2.0 Capex Real Dollars'!I29/'1.1 Input'!I$13</f>
        <v>86.559493002544528</v>
      </c>
      <c r="J29" s="46">
        <f t="shared" ref="J29:J41" si="2">SUM(E29:I29)</f>
        <v>86.559493002544528</v>
      </c>
    </row>
    <row r="30" spans="1:21">
      <c r="A30" s="33" t="str">
        <f>'2.0 Capex Real Dollars'!A30</f>
        <v>Obsolete IGBTs</v>
      </c>
      <c r="B30" s="33" t="str">
        <f>IF(A30="","",'1.0 Data'!B29)</f>
        <v>nominal</v>
      </c>
      <c r="C30" s="33" t="str">
        <f>'2.0 Capex Real Dollars'!C30</f>
        <v>Switchyard</v>
      </c>
      <c r="D30" s="33" t="str">
        <f>'2.0 Capex Real Dollars'!D30</f>
        <v>Replacement expenditure</v>
      </c>
      <c r="E30" s="17">
        <f>'2.0 Capex Real Dollars'!E30/'1.1 Input'!E$13</f>
        <v>0</v>
      </c>
      <c r="F30" s="17">
        <f>'2.0 Capex Real Dollars'!F30/'1.1 Input'!F$13</f>
        <v>0</v>
      </c>
      <c r="G30" s="17">
        <f>'2.0 Capex Real Dollars'!G30/'1.1 Input'!G$13</f>
        <v>0</v>
      </c>
      <c r="H30" s="17">
        <f>'2.0 Capex Real Dollars'!H30/'1.1 Input'!H$13</f>
        <v>0</v>
      </c>
      <c r="I30" s="17">
        <f>'2.0 Capex Real Dollars'!I30/'1.1 Input'!I$13</f>
        <v>1563.5414426208654</v>
      </c>
      <c r="J30" s="46">
        <f t="shared" si="2"/>
        <v>1563.5414426208654</v>
      </c>
    </row>
    <row r="31" spans="1:21">
      <c r="A31" s="33" t="str">
        <f>'2.0 Capex Real Dollars'!A31</f>
        <v>battery chargers</v>
      </c>
      <c r="B31" s="33" t="str">
        <f>IF(A31="","",'1.0 Data'!B30)</f>
        <v>nominal</v>
      </c>
      <c r="C31" s="33" t="str">
        <f>'2.0 Capex Real Dollars'!C31</f>
        <v>Other operating assets</v>
      </c>
      <c r="D31" s="33" t="str">
        <f>'2.0 Capex Real Dollars'!D31</f>
        <v>Replacement expenditure</v>
      </c>
      <c r="E31" s="17">
        <f>'2.0 Capex Real Dollars'!E31/'1.1 Input'!E$13</f>
        <v>0</v>
      </c>
      <c r="F31" s="17">
        <f>'2.0 Capex Real Dollars'!F31/'1.1 Input'!F$13</f>
        <v>0</v>
      </c>
      <c r="G31" s="17">
        <f>'2.0 Capex Real Dollars'!G31/'1.1 Input'!G$13</f>
        <v>0</v>
      </c>
      <c r="H31" s="17">
        <f>'2.0 Capex Real Dollars'!H31/'1.1 Input'!H$13</f>
        <v>15.18</v>
      </c>
      <c r="I31" s="17">
        <f>'2.0 Capex Real Dollars'!I31/'1.1 Input'!I$13</f>
        <v>72.511450381679396</v>
      </c>
      <c r="J31" s="46">
        <f t="shared" si="2"/>
        <v>87.691450381679402</v>
      </c>
    </row>
    <row r="32" spans="1:21">
      <c r="A32" s="33" t="str">
        <f>'2.0 Capex Real Dollars'!A32</f>
        <v>Stay in business</v>
      </c>
      <c r="B32" s="33" t="str">
        <f>IF(A32="","",'1.0 Data'!B31)</f>
        <v>nominal</v>
      </c>
      <c r="C32" s="33" t="str">
        <f>'2.0 Capex Real Dollars'!C32</f>
        <v>Other operating assets</v>
      </c>
      <c r="D32" s="33" t="str">
        <f>'2.0 Capex Real Dollars'!D32</f>
        <v>Replacement expenditure</v>
      </c>
      <c r="E32" s="17">
        <f>'2.0 Capex Real Dollars'!E32/'1.1 Input'!E$13</f>
        <v>0</v>
      </c>
      <c r="F32" s="17">
        <f>'2.0 Capex Real Dollars'!F32/'1.1 Input'!F$13</f>
        <v>0</v>
      </c>
      <c r="G32" s="17">
        <f>'2.0 Capex Real Dollars'!G32/'1.1 Input'!G$13</f>
        <v>0</v>
      </c>
      <c r="H32" s="17">
        <f>'2.0 Capex Real Dollars'!H32/'1.1 Input'!H$13</f>
        <v>0</v>
      </c>
      <c r="I32" s="17">
        <f>'2.0 Capex Real Dollars'!I32/'1.1 Input'!I$13</f>
        <v>285.07167127860055</v>
      </c>
      <c r="J32" s="46">
        <f t="shared" si="2"/>
        <v>285.07167127860055</v>
      </c>
    </row>
    <row r="33" spans="1:21">
      <c r="A33" s="33" t="str">
        <f>'2.0 Capex Real Dollars'!A33</f>
        <v>- Converter Station Subsystems</v>
      </c>
      <c r="B33" s="33" t="str">
        <f>IF(A33="","",'1.0 Data'!B32)</f>
        <v>nominal</v>
      </c>
      <c r="C33" s="33" t="str">
        <f>'2.0 Capex Real Dollars'!C33</f>
        <v>Switchyard</v>
      </c>
      <c r="D33" s="33" t="str">
        <f>'2.0 Capex Real Dollars'!D33</f>
        <v>Replacement expenditure</v>
      </c>
      <c r="E33" s="17">
        <f>'2.0 Capex Real Dollars'!E33/'1.1 Input'!E$13</f>
        <v>0</v>
      </c>
      <c r="F33" s="17">
        <f>'2.0 Capex Real Dollars'!F33/'1.1 Input'!F$13</f>
        <v>0</v>
      </c>
      <c r="G33" s="17">
        <f>'2.0 Capex Real Dollars'!G33/'1.1 Input'!G$13</f>
        <v>0</v>
      </c>
      <c r="H33" s="17">
        <f>'2.0 Capex Real Dollars'!H33/'1.1 Input'!H$13</f>
        <v>0</v>
      </c>
      <c r="I33" s="17">
        <f>'2.0 Capex Real Dollars'!I33/'1.1 Input'!I$13</f>
        <v>0</v>
      </c>
      <c r="J33" s="46">
        <f t="shared" si="2"/>
        <v>0</v>
      </c>
    </row>
    <row r="34" spans="1:21">
      <c r="A34" s="33" t="str">
        <f>'2.0 Capex Real Dollars'!A34</f>
        <v>Cable Protection/Modification</v>
      </c>
      <c r="B34" s="33" t="str">
        <f>IF(A34="","",'1.0 Data'!B33)</f>
        <v>nominal</v>
      </c>
      <c r="C34" s="33" t="str">
        <f>'2.0 Capex Real Dollars'!C34</f>
        <v>Other operating assets</v>
      </c>
      <c r="D34" s="33" t="str">
        <f>'2.0 Capex Real Dollars'!D34</f>
        <v>Replacement expenditure</v>
      </c>
      <c r="E34" s="17">
        <f>'2.0 Capex Real Dollars'!E34/'1.1 Input'!E$13</f>
        <v>0</v>
      </c>
      <c r="F34" s="17">
        <f>'2.0 Capex Real Dollars'!F34/'1.1 Input'!F$13</f>
        <v>0</v>
      </c>
      <c r="G34" s="17">
        <f>'2.0 Capex Real Dollars'!G34/'1.1 Input'!G$13</f>
        <v>0</v>
      </c>
      <c r="H34" s="17">
        <f>'2.0 Capex Real Dollars'!H34/'1.1 Input'!H$13</f>
        <v>0</v>
      </c>
      <c r="I34" s="17">
        <f>'2.0 Capex Real Dollars'!I34/'1.1 Input'!I$13</f>
        <v>63.151167938931295</v>
      </c>
      <c r="J34" s="46">
        <f t="shared" si="2"/>
        <v>63.151167938931295</v>
      </c>
    </row>
    <row r="35" spans="1:21">
      <c r="A35" s="33" t="str">
        <f>'2.0 Capex Real Dollars'!A35</f>
        <v>Testing Equipment</v>
      </c>
      <c r="B35" s="33" t="str">
        <f>IF(A35="","",'1.0 Data'!B34)</f>
        <v>nominal</v>
      </c>
      <c r="C35" s="33" t="str">
        <f>'2.0 Capex Real Dollars'!C35</f>
        <v>Ancillary 7 - pressure vessel testing and inspection</v>
      </c>
      <c r="D35" s="33" t="str">
        <f>'2.0 Capex Real Dollars'!D35</f>
        <v>Replacement expenditure</v>
      </c>
      <c r="E35" s="17">
        <f>'2.0 Capex Real Dollars'!E35/'1.1 Input'!E$13</f>
        <v>0</v>
      </c>
      <c r="F35" s="17">
        <f>'2.0 Capex Real Dollars'!F35/'1.1 Input'!F$13</f>
        <v>0</v>
      </c>
      <c r="G35" s="17">
        <f>'2.0 Capex Real Dollars'!G35/'1.1 Input'!G$13</f>
        <v>0</v>
      </c>
      <c r="H35" s="17">
        <f>'2.0 Capex Real Dollars'!H35/'1.1 Input'!H$13</f>
        <v>0</v>
      </c>
      <c r="I35" s="17">
        <f>'2.0 Capex Real Dollars'!I35/'1.1 Input'!I$13</f>
        <v>0</v>
      </c>
      <c r="J35" s="46">
        <f t="shared" si="2"/>
        <v>0</v>
      </c>
    </row>
    <row r="36" spans="1:21">
      <c r="A36" s="33" t="str">
        <f>'2.0 Capex Real Dollars'!A36</f>
        <v xml:space="preserve">Reliability </v>
      </c>
      <c r="B36" s="33" t="str">
        <f>IF(A36="","",'1.0 Data'!B35)</f>
        <v>nominal</v>
      </c>
      <c r="C36" s="33" t="str">
        <f>'2.0 Capex Real Dollars'!C36</f>
        <v>Other operating assets</v>
      </c>
      <c r="D36" s="33" t="str">
        <f>'2.0 Capex Real Dollars'!D36</f>
        <v>Replacement expenditure</v>
      </c>
      <c r="E36" s="17">
        <f>'2.0 Capex Real Dollars'!E36/'1.1 Input'!E$13</f>
        <v>0</v>
      </c>
      <c r="F36" s="17">
        <f>'2.0 Capex Real Dollars'!F36/'1.1 Input'!F$13</f>
        <v>0</v>
      </c>
      <c r="G36" s="17">
        <f>'2.0 Capex Real Dollars'!G36/'1.1 Input'!G$13</f>
        <v>0</v>
      </c>
      <c r="H36" s="17">
        <f>'2.0 Capex Real Dollars'!H36/'1.1 Input'!H$13</f>
        <v>0</v>
      </c>
      <c r="I36" s="17">
        <f>'2.0 Capex Real Dollars'!I36/'1.1 Input'!I$13</f>
        <v>159.65379357506364</v>
      </c>
      <c r="J36" s="46">
        <f t="shared" si="2"/>
        <v>159.65379357506364</v>
      </c>
    </row>
    <row r="37" spans="1:21">
      <c r="A37" s="33" t="str">
        <f>'2.0 Capex Real Dollars'!A37</f>
        <v>Refurbishment/Replacement</v>
      </c>
      <c r="B37" s="33" t="str">
        <f>IF(A37="","",'1.0 Data'!B36)</f>
        <v>nominal</v>
      </c>
      <c r="C37" s="33" t="str">
        <f>'2.0 Capex Real Dollars'!C37</f>
        <v>Other operating assets</v>
      </c>
      <c r="D37" s="33" t="str">
        <f>'2.0 Capex Real Dollars'!D37</f>
        <v>Replacement expenditure</v>
      </c>
      <c r="E37" s="17">
        <f>'2.0 Capex Real Dollars'!E37/'1.1 Input'!E$13</f>
        <v>0</v>
      </c>
      <c r="F37" s="17">
        <f>'2.0 Capex Real Dollars'!F37/'1.1 Input'!F$13</f>
        <v>0</v>
      </c>
      <c r="G37" s="17">
        <f>'2.0 Capex Real Dollars'!G37/'1.1 Input'!G$13</f>
        <v>0</v>
      </c>
      <c r="H37" s="17">
        <f>'2.0 Capex Real Dollars'!H37/'1.1 Input'!H$13</f>
        <v>0</v>
      </c>
      <c r="I37" s="17">
        <f>'2.0 Capex Real Dollars'!I37/'1.1 Input'!I$13</f>
        <v>39.58941284987278</v>
      </c>
      <c r="J37" s="46">
        <f t="shared" si="2"/>
        <v>39.58941284987278</v>
      </c>
    </row>
    <row r="38" spans="1:21">
      <c r="A38" s="33" t="str">
        <f>'2.0 Capex Real Dollars'!A38</f>
        <v>SCADA</v>
      </c>
      <c r="B38" s="33" t="str">
        <f>IF(A38="","",'1.0 Data'!B37)</f>
        <v>nominal</v>
      </c>
      <c r="C38" s="33" t="str">
        <f>'2.0 Capex Real Dollars'!C38</f>
        <v>Other operating assets</v>
      </c>
      <c r="D38" s="33" t="str">
        <f>'2.0 Capex Real Dollars'!D38</f>
        <v>Replacement expenditure</v>
      </c>
      <c r="E38" s="17">
        <f>'2.0 Capex Real Dollars'!E38/'1.1 Input'!E$13</f>
        <v>0</v>
      </c>
      <c r="F38" s="17">
        <f>'2.0 Capex Real Dollars'!F38/'1.1 Input'!F$13</f>
        <v>0</v>
      </c>
      <c r="G38" s="17">
        <f>'2.0 Capex Real Dollars'!G38/'1.1 Input'!G$13</f>
        <v>0</v>
      </c>
      <c r="H38" s="17">
        <f>'2.0 Capex Real Dollars'!H38/'1.1 Input'!H$13</f>
        <v>0</v>
      </c>
      <c r="I38" s="17">
        <f>'2.0 Capex Real Dollars'!I38/'1.1 Input'!I$13</f>
        <v>131.3613231552163</v>
      </c>
      <c r="J38" s="46">
        <f t="shared" si="2"/>
        <v>131.3613231552163</v>
      </c>
    </row>
    <row r="39" spans="1:21">
      <c r="A39" s="33" t="str">
        <f>'2.0 Capex Real Dollars'!A39</f>
        <v/>
      </c>
      <c r="B39" s="33" t="str">
        <f>IF(A39="","",'1.0 Data'!B38)</f>
        <v/>
      </c>
      <c r="C39" s="33">
        <f>'2.0 Capex Real Dollars'!C39</f>
        <v>0</v>
      </c>
      <c r="D39" s="33">
        <f>'2.0 Capex Real Dollars'!D39</f>
        <v>0</v>
      </c>
      <c r="E39" s="17">
        <f>'2.0 Capex Real Dollars'!E39/'1.1 Input'!E$13</f>
        <v>0</v>
      </c>
      <c r="F39" s="17">
        <f>'2.0 Capex Real Dollars'!F39/'1.1 Input'!F$13</f>
        <v>0</v>
      </c>
      <c r="G39" s="17">
        <f>'2.0 Capex Real Dollars'!G39/'1.1 Input'!G$13</f>
        <v>0</v>
      </c>
      <c r="H39" s="17">
        <f>'2.0 Capex Real Dollars'!H39/'1.1 Input'!H$13</f>
        <v>0</v>
      </c>
      <c r="I39" s="17">
        <f>'2.0 Capex Real Dollars'!I39/'1.1 Input'!I$13</f>
        <v>0</v>
      </c>
      <c r="J39" s="46">
        <f t="shared" si="2"/>
        <v>0</v>
      </c>
    </row>
    <row r="40" spans="1:21">
      <c r="A40" s="33">
        <f>'2.0 Capex Real Dollars'!A40</f>
        <v>0</v>
      </c>
      <c r="B40" s="33">
        <f>IF(A40="","",'1.0 Data'!B39)</f>
        <v>0</v>
      </c>
      <c r="C40" s="33">
        <f>'2.0 Capex Real Dollars'!C40</f>
        <v>0</v>
      </c>
      <c r="D40" s="33">
        <f>'2.0 Capex Real Dollars'!D40</f>
        <v>0</v>
      </c>
      <c r="E40" s="17">
        <f>'2.0 Capex Real Dollars'!E40/'1.1 Input'!E$13</f>
        <v>0</v>
      </c>
      <c r="F40" s="17">
        <f>'2.0 Capex Real Dollars'!F40/'1.1 Input'!F$13</f>
        <v>0</v>
      </c>
      <c r="G40" s="17">
        <f>'2.0 Capex Real Dollars'!G40/'1.1 Input'!G$13</f>
        <v>0</v>
      </c>
      <c r="H40" s="17">
        <f>'2.0 Capex Real Dollars'!H40/'1.1 Input'!H$13</f>
        <v>0</v>
      </c>
      <c r="I40" s="17">
        <f>'2.0 Capex Real Dollars'!I40/'1.1 Input'!I$13</f>
        <v>0</v>
      </c>
      <c r="J40" s="46">
        <f t="shared" si="2"/>
        <v>0</v>
      </c>
    </row>
    <row r="41" spans="1:21">
      <c r="A41" s="33">
        <f>'2.0 Capex Real Dollars'!A41</f>
        <v>0</v>
      </c>
      <c r="B41" s="33">
        <f>IF(A41="","",'1.0 Data'!B40)</f>
        <v>0</v>
      </c>
      <c r="C41" s="33">
        <f>'2.0 Capex Real Dollars'!C41</f>
        <v>0</v>
      </c>
      <c r="D41" s="33">
        <f>'2.0 Capex Real Dollars'!D41</f>
        <v>0</v>
      </c>
      <c r="E41" s="17">
        <f>'2.0 Capex Real Dollars'!E41/'1.1 Input'!E$13</f>
        <v>0</v>
      </c>
      <c r="F41" s="17">
        <f>'2.0 Capex Real Dollars'!F41/'1.1 Input'!F$13</f>
        <v>0</v>
      </c>
      <c r="G41" s="17">
        <f>'2.0 Capex Real Dollars'!G41/'1.1 Input'!G$13</f>
        <v>0</v>
      </c>
      <c r="H41" s="17">
        <f>'2.0 Capex Real Dollars'!H41/'1.1 Input'!H$13</f>
        <v>0</v>
      </c>
      <c r="I41" s="17">
        <f>'2.0 Capex Real Dollars'!I41/'1.1 Input'!I$13</f>
        <v>0</v>
      </c>
      <c r="J41" s="46">
        <f t="shared" si="2"/>
        <v>0</v>
      </c>
    </row>
    <row r="43" spans="1:21" ht="19.5">
      <c r="A43" s="2" t="str">
        <f>'2.0 Capex Real Dollars'!A43</f>
        <v>Project by size</v>
      </c>
      <c r="B43" s="2"/>
      <c r="C43" s="2"/>
      <c r="D43" s="2"/>
      <c r="E43" s="2"/>
      <c r="F43" s="2"/>
      <c r="G43" s="2"/>
      <c r="H43" s="2"/>
      <c r="I43" s="2"/>
      <c r="J43" s="2"/>
      <c r="K43" s="2"/>
      <c r="L43" s="2" t="str">
        <f>'2.0 Capex Real Dollars'!L43</f>
        <v>Project by size</v>
      </c>
      <c r="M43" s="2"/>
      <c r="N43" s="2"/>
      <c r="O43" s="2"/>
      <c r="P43" s="2"/>
      <c r="Q43" s="2"/>
      <c r="R43" s="2"/>
      <c r="S43" s="2"/>
      <c r="T43" s="2"/>
      <c r="U43" s="2"/>
    </row>
    <row r="44" spans="1:21" ht="16.5">
      <c r="A44" s="4" t="str">
        <f>'2.0 Capex Real Dollars'!A44</f>
        <v>Current Period ($2018 '000)</v>
      </c>
      <c r="B44" s="4"/>
      <c r="C44" s="4"/>
      <c r="D44" s="4"/>
      <c r="E44" s="4"/>
      <c r="F44" s="4"/>
      <c r="G44" s="4"/>
      <c r="H44" s="4"/>
      <c r="I44" s="4"/>
      <c r="J44" s="4"/>
      <c r="K44" s="4"/>
      <c r="L44" s="4" t="str">
        <f>'2.0 Capex Real Dollars'!L44</f>
        <v>Forecast Period ($FY 2022/23 '000)</v>
      </c>
      <c r="M44" s="4"/>
      <c r="N44" s="4"/>
      <c r="O44" s="4"/>
      <c r="P44" s="4"/>
      <c r="Q44" s="4"/>
      <c r="R44" s="4"/>
      <c r="S44" s="4"/>
      <c r="T44" s="4"/>
      <c r="U44" s="4"/>
    </row>
    <row r="45" spans="1:21">
      <c r="A45" s="3" t="str">
        <f>'2.0 Capex Real Dollars'!A45</f>
        <v>Project</v>
      </c>
      <c r="B45" s="3"/>
      <c r="C45" s="3" t="str">
        <f>'2.0 Capex Real Dollars'!C45</f>
        <v>Asset Class</v>
      </c>
      <c r="D45" s="3" t="str">
        <f>'2.0 Capex Real Dollars'!D45</f>
        <v>Asset Driver</v>
      </c>
      <c r="E45" s="3" t="str">
        <f>'2.0 Capex Real Dollars'!E45</f>
        <v>2018/19</v>
      </c>
      <c r="F45" s="3" t="str">
        <f>'2.0 Capex Real Dollars'!F45</f>
        <v>2019/20</v>
      </c>
      <c r="G45" s="3" t="str">
        <f>'2.0 Capex Real Dollars'!G45</f>
        <v>2020/21</v>
      </c>
      <c r="H45" s="3" t="str">
        <f>'2.0 Capex Real Dollars'!H45</f>
        <v>2021/22</v>
      </c>
      <c r="I45" s="3" t="str">
        <f>'2.0 Capex Real Dollars'!I45</f>
        <v>2022/23</v>
      </c>
      <c r="J45" s="3" t="str">
        <f>'2.0 Capex Real Dollars'!J45</f>
        <v>Total</v>
      </c>
      <c r="K45" s="3"/>
      <c r="L45" s="3" t="str">
        <f>'2.0 Capex Real Dollars'!L45</f>
        <v>Program</v>
      </c>
      <c r="M45" s="3" t="str">
        <f>'2.0 Capex Real Dollars'!M45</f>
        <v>input</v>
      </c>
      <c r="N45" s="3" t="str">
        <f>'2.0 Capex Real Dollars'!N45</f>
        <v>Asset Class</v>
      </c>
      <c r="O45" s="3" t="str">
        <f>'2.0 Capex Real Dollars'!O45</f>
        <v>Asset Driver</v>
      </c>
      <c r="P45" s="3" t="str">
        <f>'2.0 Capex Real Dollars'!P45</f>
        <v>2023/24</v>
      </c>
      <c r="Q45" s="3" t="str">
        <f>'2.0 Capex Real Dollars'!Q45</f>
        <v>2024/25</v>
      </c>
      <c r="R45" s="3" t="str">
        <f>'2.0 Capex Real Dollars'!R45</f>
        <v>2025/26</v>
      </c>
      <c r="S45" s="3" t="str">
        <f>'2.0 Capex Real Dollars'!S45</f>
        <v>2026/27</v>
      </c>
      <c r="T45" s="3" t="str">
        <f>'2.0 Capex Real Dollars'!T45</f>
        <v>2027/28</v>
      </c>
      <c r="U45" s="3" t="str">
        <f>'2.0 Capex Real Dollars'!U45</f>
        <v>Total</v>
      </c>
    </row>
    <row r="47" spans="1:21">
      <c r="A47" s="33" t="str" cm="1">
        <f t="array" ref="A47">INDEX(A$10:A$46,MATCH($J47,$J$10:$J$46,0),0)</f>
        <v>Replacement of Control System</v>
      </c>
      <c r="B47" s="33" t="str" cm="1">
        <f t="array" ref="B47">INDEX(B$10:B$46,MATCH($A47,$A$10:$A$46,0),0)</f>
        <v>nominal</v>
      </c>
      <c r="C47" s="33" t="str" cm="1">
        <f t="array" ref="C47">INDEX(C$10:C$42,MATCH($J47,$J$10:$J$42,0),0)</f>
        <v>Ancillary 15 - control systems</v>
      </c>
      <c r="D47" s="33" t="str" cm="1">
        <f t="array" ref="D47">INDEX(D$10:D$42,MATCH($J47,$J$10:$J$42,0),0)</f>
        <v>Replacement expenditure</v>
      </c>
      <c r="E47" s="17">
        <f>SUMIF($A$10:$A$42,$A47,E$10:E$42)</f>
        <v>8703.5824800000009</v>
      </c>
      <c r="F47" s="17">
        <f>SUMIF($A$10:$A$42,$A47,F$10:F$42)</f>
        <v>6644.0999300000003</v>
      </c>
      <c r="G47" s="17">
        <f>SUMIF($A$10:$A$42,$A47,G$10:G$42)</f>
        <v>5071.0004299999991</v>
      </c>
      <c r="H47" s="17">
        <f>SUMIF($A$10:$A$42,$A47,H$10:H$42)</f>
        <v>566.75990000000002</v>
      </c>
      <c r="I47" s="17">
        <f>SUMIF($A$10:$A$42,$A47,I$10:I$42)</f>
        <v>236.45038167938932</v>
      </c>
      <c r="J47" s="46">
        <f>LARGE($J$10:$J$42,ROW()-46)</f>
        <v>21221.89312167939</v>
      </c>
      <c r="L47" s="33" t="str">
        <f>'2.0 Capex Real Dollars'!L47</f>
        <v>Stay in business</v>
      </c>
      <c r="M47" s="33" t="str">
        <f>IF(L47="","",'1.0 Data'!$B$9)</f>
        <v>nominal</v>
      </c>
      <c r="N47" s="33" t="str">
        <f>'2.0 Capex Real Dollars'!N47</f>
        <v>Other operating assets</v>
      </c>
      <c r="O47" s="33" t="str">
        <f>'2.0 Capex Real Dollars'!O47</f>
        <v>Replacement expenditure</v>
      </c>
      <c r="P47" s="6">
        <f>'2.0 Capex Real Dollars'!P47/'1.1 Input'!I$13</f>
        <v>1126.5732986004073</v>
      </c>
      <c r="Q47" s="6">
        <f>'2.0 Capex Real Dollars'!Q47/'1.1 Input'!J$13</f>
        <v>1118.4274340718828</v>
      </c>
      <c r="R47" s="6">
        <f>'2.0 Capex Real Dollars'!R47/'1.1 Input'!K$13</f>
        <v>985.47980397806373</v>
      </c>
      <c r="S47" s="6">
        <f>'2.0 Capex Real Dollars'!S47/'1.1 Input'!L$13</f>
        <v>269.14699202230526</v>
      </c>
      <c r="T47" s="6">
        <f>'2.0 Capex Real Dollars'!T47/'1.1 Input'!M$13</f>
        <v>183.47050500144775</v>
      </c>
      <c r="U47" s="46">
        <f t="shared" ref="U47:U56" si="3">SUM(P47:T47)</f>
        <v>3683.0980336741063</v>
      </c>
    </row>
    <row r="48" spans="1:21">
      <c r="A48" s="33" t="str" cm="1">
        <f t="array" ref="A48">INDEX(A$10:A$46,MATCH($J48,$J$10:$J$46,0),0)</f>
        <v>Obsolete IGBTs</v>
      </c>
      <c r="B48" s="33" t="str" cm="1">
        <f t="array" ref="B48">INDEX(B$10:B$46,MATCH($A48,$A$10:$A$46,0),0)</f>
        <v>nominal</v>
      </c>
      <c r="C48" s="33" t="str" cm="1">
        <f t="array" ref="C48">INDEX(C$10:C$42,MATCH($J48,$J$10:$J$42,0),0)</f>
        <v>Switchyard</v>
      </c>
      <c r="D48" s="33" t="str" cm="1">
        <f t="array" ref="D48">INDEX(D$10:D$42,MATCH($J48,$J$10:$J$42,0),0)</f>
        <v>Replacement expenditure</v>
      </c>
      <c r="E48" s="17">
        <f t="shared" ref="E48:I64" si="4">SUMIF($A$10:$A$42,$A48,E$10:E$42)</f>
        <v>0</v>
      </c>
      <c r="F48" s="17">
        <f t="shared" si="4"/>
        <v>0</v>
      </c>
      <c r="G48" s="17">
        <f t="shared" si="4"/>
        <v>0</v>
      </c>
      <c r="H48" s="17">
        <f t="shared" si="4"/>
        <v>0</v>
      </c>
      <c r="I48" s="17">
        <f t="shared" si="4"/>
        <v>1563.5414426208654</v>
      </c>
      <c r="J48" s="46">
        <f t="shared" ref="J48:J64" si="5">LARGE($J$10:$J$42,ROW()-46)</f>
        <v>1563.5414426208654</v>
      </c>
      <c r="L48" s="33" t="str">
        <f>'2.0 Capex Real Dollars'!L48</f>
        <v>Enhanced Cooling</v>
      </c>
      <c r="M48" s="33" t="str">
        <f>IF(L48="","",'1.0 Data'!$B$9)</f>
        <v>nominal</v>
      </c>
      <c r="N48" s="33" t="str">
        <f>'2.0 Capex Real Dollars'!N48</f>
        <v>Other operating assets</v>
      </c>
      <c r="O48" s="33" t="str">
        <f>'2.0 Capex Real Dollars'!O48</f>
        <v>Replacement expenditure</v>
      </c>
      <c r="P48" s="6">
        <f>'2.0 Capex Real Dollars'!P48/'1.1 Input'!I$13</f>
        <v>1649.7307205318068</v>
      </c>
      <c r="Q48" s="6">
        <f>'2.0 Capex Real Dollars'!Q48/'1.1 Input'!J$13</f>
        <v>1723.9686029557379</v>
      </c>
      <c r="R48" s="6">
        <f>'2.0 Capex Real Dollars'!R48/'1.1 Input'!K$13</f>
        <v>0</v>
      </c>
      <c r="S48" s="6">
        <f>'2.0 Capex Real Dollars'!S48/'1.1 Input'!L$13</f>
        <v>0</v>
      </c>
      <c r="T48" s="6">
        <f>'2.0 Capex Real Dollars'!T48/'1.1 Input'!M$13</f>
        <v>0</v>
      </c>
      <c r="U48" s="46">
        <f t="shared" si="3"/>
        <v>3373.6993234875445</v>
      </c>
    </row>
    <row r="49" spans="1:21">
      <c r="A49" s="33" t="str" cm="1">
        <f t="array" ref="A49">INDEX(A$10:A$46,MATCH($J49,$J$10:$J$46,0),0)</f>
        <v>IGBTs</v>
      </c>
      <c r="B49" s="33" t="str" cm="1">
        <f t="array" ref="B49">INDEX(B$10:B$46,MATCH($A49,$A$10:$A$46,0),0)</f>
        <v>nominal</v>
      </c>
      <c r="C49" s="33" t="str" cm="1">
        <f t="array" ref="C49">INDEX(C$10:C$42,MATCH($J49,$J$10:$J$42,0),0)</f>
        <v>Switchyard</v>
      </c>
      <c r="D49" s="33" t="str" cm="1">
        <f t="array" ref="D49">INDEX(D$10:D$42,MATCH($J49,$J$10:$J$42,0),0)</f>
        <v>Replacement expenditure</v>
      </c>
      <c r="E49" s="17">
        <f t="shared" si="4"/>
        <v>0</v>
      </c>
      <c r="F49" s="17">
        <f t="shared" si="4"/>
        <v>0</v>
      </c>
      <c r="G49" s="17">
        <f t="shared" si="4"/>
        <v>358.20269999999999</v>
      </c>
      <c r="H49" s="17">
        <f t="shared" si="4"/>
        <v>917.81858</v>
      </c>
      <c r="I49" s="17">
        <f t="shared" si="4"/>
        <v>0</v>
      </c>
      <c r="J49" s="46">
        <f t="shared" si="5"/>
        <v>1276.0212799999999</v>
      </c>
      <c r="L49" s="33" t="str">
        <f>'2.0 Capex Real Dollars'!L49</f>
        <v>SOCI</v>
      </c>
      <c r="M49" s="33" t="str">
        <f>IF(L49="","",'1.0 Data'!$B$9)</f>
        <v>nominal</v>
      </c>
      <c r="N49" s="33" t="str">
        <f>'2.0 Capex Real Dollars'!N49</f>
        <v>Non ancillary asset</v>
      </c>
      <c r="O49" s="33" t="str">
        <f>'2.0 Capex Real Dollars'!O49</f>
        <v>Replacement expenditure</v>
      </c>
      <c r="P49" s="6">
        <f>'2.0 Capex Real Dollars'!P49/'1.1 Input'!I$13</f>
        <v>466.63430279898222</v>
      </c>
      <c r="Q49" s="6">
        <f>'2.0 Capex Real Dollars'!Q49/'1.1 Input'!J$13</f>
        <v>0</v>
      </c>
      <c r="R49" s="6">
        <f>'2.0 Capex Real Dollars'!R49/'1.1 Input'!K$13</f>
        <v>1176.9572328799998</v>
      </c>
      <c r="S49" s="6">
        <f>'2.0 Capex Real Dollars'!S49/'1.1 Input'!L$13</f>
        <v>1218.1507360307996</v>
      </c>
      <c r="T49" s="6">
        <f>'2.0 Capex Real Dollars'!T49/'1.1 Input'!M$13</f>
        <v>0</v>
      </c>
      <c r="U49" s="46">
        <f t="shared" si="3"/>
        <v>2861.7422717097816</v>
      </c>
    </row>
    <row r="50" spans="1:21">
      <c r="A50" s="33" t="str" cm="1">
        <f t="array" ref="A50">INDEX(A$10:A$46,MATCH($J50,$J$10:$J$46,0),0)</f>
        <v xml:space="preserve">Fire suppression </v>
      </c>
      <c r="B50" s="33" t="str" cm="1">
        <f t="array" ref="B50">INDEX(B$10:B$46,MATCH($A50,$A$10:$A$46,0),0)</f>
        <v>nominal</v>
      </c>
      <c r="C50" s="33" t="str" cm="1">
        <f t="array" ref="C50">INDEX(C$10:C$42,MATCH($J50,$J$10:$J$42,0),0)</f>
        <v>Other operating assets</v>
      </c>
      <c r="D50" s="33" t="str" cm="1">
        <f t="array" ref="D50">INDEX(D$10:D$42,MATCH($J50,$J$10:$J$42,0),0)</f>
        <v>Replacement expenditure</v>
      </c>
      <c r="E50" s="17">
        <f t="shared" si="4"/>
        <v>1196.8197500000003</v>
      </c>
      <c r="F50" s="17">
        <f t="shared" si="4"/>
        <v>9.4870499999999964</v>
      </c>
      <c r="G50" s="17">
        <f t="shared" si="4"/>
        <v>0</v>
      </c>
      <c r="H50" s="17">
        <f t="shared" si="4"/>
        <v>0</v>
      </c>
      <c r="I50" s="17">
        <f t="shared" si="4"/>
        <v>0</v>
      </c>
      <c r="J50" s="46">
        <f t="shared" si="5"/>
        <v>1206.3068000000003</v>
      </c>
      <c r="L50" s="33" t="str">
        <f>'2.0 Capex Real Dollars'!L50</f>
        <v>Cable Protection/Modification</v>
      </c>
      <c r="M50" s="33" t="str">
        <f>IF(L50="","",'1.0 Data'!$B$9)</f>
        <v>nominal</v>
      </c>
      <c r="N50" s="33" t="str">
        <f>'2.0 Capex Real Dollars'!N50</f>
        <v>Transmission Cable</v>
      </c>
      <c r="O50" s="33" t="str">
        <f>'2.0 Capex Real Dollars'!O50</f>
        <v>Replacement expenditure</v>
      </c>
      <c r="P50" s="6">
        <f>'2.0 Capex Real Dollars'!P50/'1.1 Input'!I$13</f>
        <v>252.60467175572521</v>
      </c>
      <c r="Q50" s="6">
        <f>'2.0 Capex Real Dollars'!Q50/'1.1 Input'!J$13</f>
        <v>263.97188198473282</v>
      </c>
      <c r="R50" s="6">
        <f>'2.0 Capex Real Dollars'!R50/'1.1 Input'!K$13</f>
        <v>1545.7493736162849</v>
      </c>
      <c r="S50" s="6">
        <f>'2.0 Capex Real Dollars'!S50/'1.1 Input'!L$13</f>
        <v>284.13933376836638</v>
      </c>
      <c r="T50" s="6">
        <f>'2.0 Capex Real Dollars'!T50/'1.1 Input'!M$13</f>
        <v>292.66351378141735</v>
      </c>
      <c r="U50" s="46">
        <f t="shared" si="3"/>
        <v>2639.1287749065264</v>
      </c>
    </row>
    <row r="51" spans="1:21">
      <c r="A51" s="33" t="str" cm="1">
        <f t="array" ref="A51">INDEX(A$10:A$46,MATCH($J51,$J$10:$J$46,0),0)</f>
        <v>VSD Refurbishment</v>
      </c>
      <c r="B51" s="33" t="str" cm="1">
        <f t="array" ref="B51">INDEX(B$10:B$46,MATCH($A51,$A$10:$A$46,0),0)</f>
        <v>nominal</v>
      </c>
      <c r="C51" s="33" t="str" cm="1">
        <f t="array" ref="C51">INDEX(C$10:C$42,MATCH($J51,$J$10:$J$42,0),0)</f>
        <v>Other operating assets</v>
      </c>
      <c r="D51" s="33" t="str" cm="1">
        <f t="array" ref="D51">INDEX(D$10:D$42,MATCH($J51,$J$10:$J$42,0),0)</f>
        <v>Replacement expenditure</v>
      </c>
      <c r="E51" s="17">
        <f t="shared" si="4"/>
        <v>0</v>
      </c>
      <c r="F51" s="17">
        <f t="shared" si="4"/>
        <v>0</v>
      </c>
      <c r="G51" s="17">
        <f t="shared" si="4"/>
        <v>10.64514</v>
      </c>
      <c r="H51" s="17">
        <f t="shared" si="4"/>
        <v>560.67623000000003</v>
      </c>
      <c r="I51" s="17">
        <f t="shared" si="4"/>
        <v>204.92366412213741</v>
      </c>
      <c r="J51" s="46">
        <f t="shared" si="5"/>
        <v>776.24503412213744</v>
      </c>
      <c r="L51" s="33" t="str">
        <f>'2.0 Capex Real Dollars'!L51</f>
        <v>Reliability</v>
      </c>
      <c r="M51" s="33" t="str">
        <f>IF(L51="","",'1.0 Data'!$B$9)</f>
        <v>nominal</v>
      </c>
      <c r="N51" s="33" t="str">
        <f>'2.0 Capex Real Dollars'!N51</f>
        <v>Other operating assets</v>
      </c>
      <c r="O51" s="33" t="str">
        <f>'2.0 Capex Real Dollars'!O51</f>
        <v>Replacement expenditure</v>
      </c>
      <c r="P51" s="6">
        <f>'2.0 Capex Real Dollars'!P51/'1.1 Input'!I$13</f>
        <v>530.51836183206103</v>
      </c>
      <c r="Q51" s="6">
        <f>'2.0 Capex Real Dollars'!Q51/'1.1 Input'!J$13</f>
        <v>1292.8446927755726</v>
      </c>
      <c r="R51" s="6">
        <f>'2.0 Capex Real Dollars'!R51/'1.1 Input'!K$13</f>
        <v>0</v>
      </c>
      <c r="S51" s="6">
        <f>'2.0 Capex Real Dollars'!S51/'1.1 Input'!L$13</f>
        <v>0</v>
      </c>
      <c r="T51" s="6">
        <f>'2.0 Capex Real Dollars'!T51/'1.1 Input'!M$13</f>
        <v>0</v>
      </c>
      <c r="U51" s="46">
        <f t="shared" si="3"/>
        <v>1823.3630546076338</v>
      </c>
    </row>
    <row r="52" spans="1:21">
      <c r="A52" s="33" t="str" cm="1">
        <f t="array" ref="A52">INDEX(A$10:A$46,MATCH($J52,$J$10:$J$46,0),0)</f>
        <v>Enhanced cooling systems</v>
      </c>
      <c r="B52" s="33" t="str" cm="1">
        <f t="array" ref="B52">INDEX(B$10:B$46,MATCH($A52,$A$10:$A$46,0),0)</f>
        <v>nominal</v>
      </c>
      <c r="C52" s="33" t="str" cm="1">
        <f t="array" ref="C52">INDEX(C$10:C$42,MATCH($J52,$J$10:$J$42,0),0)</f>
        <v>Other operating assets</v>
      </c>
      <c r="D52" s="33" t="str" cm="1">
        <f t="array" ref="D52">INDEX(D$10:D$42,MATCH($J52,$J$10:$J$42,0),0)</f>
        <v>Replacement expenditure</v>
      </c>
      <c r="E52" s="17">
        <f t="shared" si="4"/>
        <v>0</v>
      </c>
      <c r="F52" s="17">
        <f t="shared" si="4"/>
        <v>0</v>
      </c>
      <c r="G52" s="17">
        <f t="shared" si="4"/>
        <v>0</v>
      </c>
      <c r="H52" s="17">
        <f t="shared" si="4"/>
        <v>70</v>
      </c>
      <c r="I52" s="17">
        <f t="shared" si="4"/>
        <v>425.64899540012732</v>
      </c>
      <c r="J52" s="46">
        <f t="shared" si="5"/>
        <v>495.64899540012732</v>
      </c>
      <c r="L52" s="33" t="str">
        <f>'2.0 Capex Real Dollars'!L52</f>
        <v>Essential Spares</v>
      </c>
      <c r="M52" s="33" t="str">
        <f>IF(L52="","",'1.0 Data'!$B$9)</f>
        <v>nominal</v>
      </c>
      <c r="N52" s="33" t="str">
        <f>'2.0 Capex Real Dollars'!N52</f>
        <v>Switchyard</v>
      </c>
      <c r="O52" s="33" t="str">
        <f>'2.0 Capex Real Dollars'!O52</f>
        <v>Replacement expenditure</v>
      </c>
      <c r="P52" s="6">
        <f>'2.0 Capex Real Dollars'!P52/'1.1 Input'!I$13</f>
        <v>241.14891348600511</v>
      </c>
      <c r="Q52" s="6">
        <f>'2.0 Capex Real Dollars'!Q52/'1.1 Input'!J$13</f>
        <v>252.00061459287531</v>
      </c>
      <c r="R52" s="6">
        <f>'2.0 Capex Real Dollars'!R52/'1.1 Input'!K$13</f>
        <v>262.08063917659035</v>
      </c>
      <c r="S52" s="6">
        <f>'2.0 Capex Real Dollars'!S52/'1.1 Input'!L$13</f>
        <v>271.25346154777094</v>
      </c>
      <c r="T52" s="6">
        <f>'2.0 Capex Real Dollars'!T52/'1.1 Input'!M$13</f>
        <v>279.39106539420408</v>
      </c>
      <c r="U52" s="46">
        <f t="shared" si="3"/>
        <v>1305.8746941974457</v>
      </c>
    </row>
    <row r="53" spans="1:21">
      <c r="A53" s="33" t="str" cm="1">
        <f t="array" ref="A53">INDEX(A$10:A$46,MATCH($J53,$J$10:$J$46,0),0)</f>
        <v>Other Minor Capital Works</v>
      </c>
      <c r="B53" s="33" t="str" cm="1">
        <f t="array" ref="B53">INDEX(B$10:B$46,MATCH($A53,$A$10:$A$46,0),0)</f>
        <v>nominal</v>
      </c>
      <c r="C53" s="33" t="str" cm="1">
        <f t="array" ref="C53">INDEX(C$10:C$42,MATCH($J53,$J$10:$J$42,0),0)</f>
        <v>Other operating assets</v>
      </c>
      <c r="D53" s="33" t="str" cm="1">
        <f t="array" ref="D53">INDEX(D$10:D$42,MATCH($J53,$J$10:$J$42,0),0)</f>
        <v>Replacement expenditure</v>
      </c>
      <c r="E53" s="17">
        <f t="shared" si="4"/>
        <v>0</v>
      </c>
      <c r="F53" s="17">
        <f t="shared" si="4"/>
        <v>0</v>
      </c>
      <c r="G53" s="17">
        <f t="shared" si="4"/>
        <v>0</v>
      </c>
      <c r="H53" s="17">
        <f t="shared" si="4"/>
        <v>215.06215</v>
      </c>
      <c r="I53" s="17">
        <f t="shared" si="4"/>
        <v>184.95674300254453</v>
      </c>
      <c r="J53" s="46">
        <f t="shared" si="5"/>
        <v>400.01889300254453</v>
      </c>
      <c r="L53" s="33" t="str">
        <f>'2.0 Capex Real Dollars'!L53</f>
        <v>Regulatory Reset</v>
      </c>
      <c r="M53" s="33" t="str">
        <f>IF(L53="","",'1.0 Data'!$B$9)</f>
        <v>nominal</v>
      </c>
      <c r="N53" s="33" t="str">
        <f>'2.0 Capex Real Dollars'!N53</f>
        <v>Non ancillary asset</v>
      </c>
      <c r="O53" s="33" t="str">
        <f>'2.0 Capex Real Dollars'!O53</f>
        <v>Non-network</v>
      </c>
      <c r="P53" s="6">
        <f>'2.0 Capex Real Dollars'!P53/'1.1 Input'!I$13</f>
        <v>42.44347404580153</v>
      </c>
      <c r="Q53" s="6">
        <f>'2.0 Capex Real Dollars'!Q53/'1.1 Input'!J$13</f>
        <v>0</v>
      </c>
      <c r="R53" s="6">
        <f>'2.0 Capex Real Dollars'!R53/'1.1 Input'!K$13</f>
        <v>0</v>
      </c>
      <c r="S53" s="6">
        <f>'2.0 Capex Real Dollars'!S53/'1.1 Input'!L$13</f>
        <v>0</v>
      </c>
      <c r="T53" s="6">
        <f>'2.0 Capex Real Dollars'!T53/'1.1 Input'!M$13</f>
        <v>191.92584698508242</v>
      </c>
      <c r="U53" s="46">
        <f t="shared" si="3"/>
        <v>234.36932103088395</v>
      </c>
    </row>
    <row r="54" spans="1:21">
      <c r="A54" s="33" t="str" cm="1">
        <f t="array" ref="A54">INDEX(A$10:A$46,MATCH($J54,$J$10:$J$46,0),0)</f>
        <v>Security Fence</v>
      </c>
      <c r="B54" s="33" t="str" cm="1">
        <f t="array" ref="B54">INDEX(B$10:B$46,MATCH($A54,$A$10:$A$46,0),0)</f>
        <v>nominal</v>
      </c>
      <c r="C54" s="33" t="str" cm="1">
        <f t="array" ref="C54">INDEX(C$10:C$42,MATCH($J54,$J$10:$J$42,0),0)</f>
        <v>Switchyard</v>
      </c>
      <c r="D54" s="33" t="str" cm="1">
        <f t="array" ref="D54">INDEX(D$10:D$42,MATCH($J54,$J$10:$J$42,0),0)</f>
        <v>Replacement expenditure</v>
      </c>
      <c r="E54" s="17">
        <f t="shared" si="4"/>
        <v>310.32356599999991</v>
      </c>
      <c r="F54" s="17">
        <f t="shared" si="4"/>
        <v>0</v>
      </c>
      <c r="G54" s="17">
        <f t="shared" si="4"/>
        <v>0</v>
      </c>
      <c r="H54" s="17">
        <f t="shared" si="4"/>
        <v>0</v>
      </c>
      <c r="I54" s="17">
        <f t="shared" si="4"/>
        <v>0</v>
      </c>
      <c r="J54" s="46">
        <f t="shared" si="5"/>
        <v>310.32356599999991</v>
      </c>
      <c r="L54" s="33" t="str">
        <f>'2.0 Capex Real Dollars'!L54</f>
        <v>IGBTs</v>
      </c>
      <c r="M54" s="33" t="str">
        <f>IF(L54="","",'1.0 Data'!$B$9)</f>
        <v>nominal</v>
      </c>
      <c r="N54" s="33" t="str">
        <f>'2.0 Capex Real Dollars'!N54</f>
        <v>Switchyard</v>
      </c>
      <c r="O54" s="33" t="str">
        <f>'2.0 Capex Real Dollars'!O54</f>
        <v>Replacement expenditure</v>
      </c>
      <c r="P54" s="6">
        <f>'2.0 Capex Real Dollars'!P54/'1.1 Input'!I$13</f>
        <v>0</v>
      </c>
      <c r="Q54" s="6">
        <f>'2.0 Capex Real Dollars'!Q54/'1.1 Input'!J$13</f>
        <v>0</v>
      </c>
      <c r="R54" s="6">
        <f>'2.0 Capex Real Dollars'!R54/'1.1 Input'!K$13</f>
        <v>0</v>
      </c>
      <c r="S54" s="6">
        <f>'2.0 Capex Real Dollars'!S54/'1.1 Input'!L$13</f>
        <v>0</v>
      </c>
      <c r="T54" s="6">
        <f>'2.0 Capex Real Dollars'!T54/'1.1 Input'!M$13</f>
        <v>0</v>
      </c>
      <c r="U54" s="46">
        <f t="shared" si="3"/>
        <v>0</v>
      </c>
    </row>
    <row r="55" spans="1:21">
      <c r="A55" s="33" t="str" cm="1">
        <f t="array" ref="A55">INDEX(A$10:A$46,MATCH($J55,$J$10:$J$46,0),0)</f>
        <v>Stay in business</v>
      </c>
      <c r="B55" s="33" t="str" cm="1">
        <f t="array" ref="B55">INDEX(B$10:B$46,MATCH($A55,$A$10:$A$46,0),0)</f>
        <v>nominal</v>
      </c>
      <c r="C55" s="33" t="str" cm="1">
        <f t="array" ref="C55">INDEX(C$10:C$42,MATCH($J55,$J$10:$J$42,0),0)</f>
        <v>Other operating assets</v>
      </c>
      <c r="D55" s="33" t="str" cm="1">
        <f t="array" ref="D55">INDEX(D$10:D$42,MATCH($J55,$J$10:$J$42,0),0)</f>
        <v>Replacement expenditure</v>
      </c>
      <c r="E55" s="17">
        <f t="shared" si="4"/>
        <v>0</v>
      </c>
      <c r="F55" s="17">
        <f t="shared" si="4"/>
        <v>0</v>
      </c>
      <c r="G55" s="17">
        <f t="shared" si="4"/>
        <v>0</v>
      </c>
      <c r="H55" s="17">
        <f t="shared" si="4"/>
        <v>0</v>
      </c>
      <c r="I55" s="17">
        <f t="shared" si="4"/>
        <v>285.07167127860055</v>
      </c>
      <c r="J55" s="46">
        <f t="shared" si="5"/>
        <v>285.07167127860055</v>
      </c>
      <c r="L55" s="33" t="str">
        <f>'2.0 Capex Real Dollars'!L55</f>
        <v>IGBTs</v>
      </c>
      <c r="M55" s="33" t="str">
        <f>IF(L55="","",'1.0 Data'!$B$9)</f>
        <v>nominal</v>
      </c>
      <c r="N55" s="33" t="str">
        <f>'2.0 Capex Real Dollars'!N55</f>
        <v>Switchyard</v>
      </c>
      <c r="O55" s="33" t="str">
        <f>'2.0 Capex Real Dollars'!O55</f>
        <v>Replacement expenditure</v>
      </c>
      <c r="P55" s="6">
        <f>'2.0 Capex Real Dollars'!P55/'1.1 Input'!I$13</f>
        <v>0</v>
      </c>
      <c r="Q55" s="6">
        <f>'2.0 Capex Real Dollars'!Q55/'1.1 Input'!J$13</f>
        <v>0</v>
      </c>
      <c r="R55" s="6">
        <f>'2.0 Capex Real Dollars'!R55/'1.1 Input'!K$13</f>
        <v>0</v>
      </c>
      <c r="S55" s="6">
        <f>'2.0 Capex Real Dollars'!S55/'1.1 Input'!L$13</f>
        <v>0</v>
      </c>
      <c r="T55" s="6">
        <f>'2.0 Capex Real Dollars'!T55/'1.1 Input'!M$13</f>
        <v>0</v>
      </c>
      <c r="U55" s="46">
        <f t="shared" si="3"/>
        <v>0</v>
      </c>
    </row>
    <row r="56" spans="1:21">
      <c r="A56" s="33" t="str" cm="1">
        <f t="array" ref="A56">INDEX(A$10:A$46,MATCH($J56,$J$10:$J$46,0),0)</f>
        <v>Revenue Determination</v>
      </c>
      <c r="B56" s="33" t="str" cm="1">
        <f t="array" ref="B56">INDEX(B$10:B$46,MATCH($A56,$A$10:$A$46,0),0)</f>
        <v>nominal</v>
      </c>
      <c r="C56" s="33" t="str" cm="1">
        <f t="array" ref="C56">INDEX(C$10:C$42,MATCH($J56,$J$10:$J$42,0),0)</f>
        <v>Other operating assets</v>
      </c>
      <c r="D56" s="33" t="str" cm="1">
        <f t="array" ref="D56">INDEX(D$10:D$42,MATCH($J56,$J$10:$J$42,0),0)</f>
        <v>Non-network</v>
      </c>
      <c r="E56" s="17">
        <f t="shared" si="4"/>
        <v>40.388100000000001</v>
      </c>
      <c r="F56" s="17">
        <f t="shared" si="4"/>
        <v>0</v>
      </c>
      <c r="G56" s="17">
        <f t="shared" si="4"/>
        <v>0</v>
      </c>
      <c r="H56" s="17">
        <f t="shared" si="4"/>
        <v>0</v>
      </c>
      <c r="I56" s="17">
        <f t="shared" si="4"/>
        <v>157.63358778625954</v>
      </c>
      <c r="J56" s="46">
        <f t="shared" si="5"/>
        <v>198.02168778625955</v>
      </c>
      <c r="L56" s="33" t="str">
        <f>'2.0 Capex Real Dollars'!L56</f>
        <v>IGBTs</v>
      </c>
      <c r="M56" s="33" t="str">
        <f>IF(L56="","",'1.0 Data'!$B$9)</f>
        <v>nominal</v>
      </c>
      <c r="N56" s="33" t="str">
        <f>'2.0 Capex Real Dollars'!N56</f>
        <v>Switchyard</v>
      </c>
      <c r="O56" s="33" t="str">
        <f>'2.0 Capex Real Dollars'!O56</f>
        <v>Replacement expenditure</v>
      </c>
      <c r="P56" s="6">
        <f>'2.0 Capex Real Dollars'!P56/'1.1 Input'!I$13</f>
        <v>0</v>
      </c>
      <c r="Q56" s="6">
        <f>'2.0 Capex Real Dollars'!Q56/'1.1 Input'!J$13</f>
        <v>0</v>
      </c>
      <c r="R56" s="6">
        <f>'2.0 Capex Real Dollars'!R56/'1.1 Input'!K$13</f>
        <v>0</v>
      </c>
      <c r="S56" s="6">
        <f>'2.0 Capex Real Dollars'!S56/'1.1 Input'!L$13</f>
        <v>0</v>
      </c>
      <c r="T56" s="6">
        <f>'2.0 Capex Real Dollars'!T56/'1.1 Input'!M$13</f>
        <v>0</v>
      </c>
      <c r="U56" s="46">
        <f t="shared" si="3"/>
        <v>0</v>
      </c>
    </row>
    <row r="57" spans="1:21">
      <c r="A57" s="33" t="str" cm="1">
        <f t="array" ref="A57">INDEX(A$10:A$46,MATCH($J57,$J$10:$J$46,0),0)</f>
        <v xml:space="preserve">Reliability </v>
      </c>
      <c r="B57" s="33" t="str" cm="1">
        <f t="array" ref="B57">INDEX(B$10:B$46,MATCH($A57,$A$10:$A$46,0),0)</f>
        <v>nominal</v>
      </c>
      <c r="C57" s="33" t="str" cm="1">
        <f t="array" ref="C57">INDEX(C$10:C$42,MATCH($J57,$J$10:$J$42,0),0)</f>
        <v>Other operating assets</v>
      </c>
      <c r="D57" s="33" t="str" cm="1">
        <f t="array" ref="D57">INDEX(D$10:D$42,MATCH($J57,$J$10:$J$42,0),0)</f>
        <v>Replacement expenditure</v>
      </c>
      <c r="E57" s="17">
        <f t="shared" si="4"/>
        <v>0</v>
      </c>
      <c r="F57" s="17">
        <f t="shared" si="4"/>
        <v>0</v>
      </c>
      <c r="G57" s="17">
        <f t="shared" si="4"/>
        <v>0</v>
      </c>
      <c r="H57" s="17">
        <f t="shared" si="4"/>
        <v>0</v>
      </c>
      <c r="I57" s="17">
        <f t="shared" si="4"/>
        <v>159.65379357506364</v>
      </c>
      <c r="J57" s="46">
        <f t="shared" si="5"/>
        <v>159.65379357506364</v>
      </c>
    </row>
    <row r="58" spans="1:21">
      <c r="A58" s="33" t="str" cm="1">
        <f t="array" ref="A58">INDEX(A$10:A$46,MATCH($J58,$J$10:$J$46,0),0)</f>
        <v>Coms Site Huts x 2</v>
      </c>
      <c r="B58" s="33" t="str" cm="1">
        <f t="array" ref="B58">INDEX(B$10:B$46,MATCH($A58,$A$10:$A$46,0),0)</f>
        <v>nominal</v>
      </c>
      <c r="C58" s="33" t="str" cm="1">
        <f t="array" ref="C58">INDEX(C$10:C$42,MATCH($J58,$J$10:$J$42,0),0)</f>
        <v>Other operating assets</v>
      </c>
      <c r="D58" s="33" t="str" cm="1">
        <f t="array" ref="D58">INDEX(D$10:D$42,MATCH($J58,$J$10:$J$42,0),0)</f>
        <v>Replacement expenditure</v>
      </c>
      <c r="E58" s="17">
        <f t="shared" si="4"/>
        <v>0</v>
      </c>
      <c r="F58" s="17">
        <f t="shared" si="4"/>
        <v>0</v>
      </c>
      <c r="G58" s="17">
        <f t="shared" si="4"/>
        <v>118.80103</v>
      </c>
      <c r="H58" s="17">
        <f t="shared" si="4"/>
        <v>19.452579999999998</v>
      </c>
      <c r="I58" s="17">
        <f t="shared" si="4"/>
        <v>0</v>
      </c>
      <c r="J58" s="46">
        <f t="shared" si="5"/>
        <v>138.25360999999998</v>
      </c>
    </row>
    <row r="59" spans="1:21">
      <c r="A59" s="33" t="str" cm="1">
        <f t="array" ref="A59">INDEX(A$10:A$46,MATCH($J59,$J$10:$J$46,0),0)</f>
        <v>SCADA</v>
      </c>
      <c r="B59" s="33" t="str" cm="1">
        <f t="array" ref="B59">INDEX(B$10:B$46,MATCH($A59,$A$10:$A$46,0),0)</f>
        <v>nominal</v>
      </c>
      <c r="C59" s="33" t="str" cm="1">
        <f t="array" ref="C59">INDEX(C$10:C$42,MATCH($J59,$J$10:$J$42,0),0)</f>
        <v>Other operating assets</v>
      </c>
      <c r="D59" s="33" t="str" cm="1">
        <f t="array" ref="D59">INDEX(D$10:D$42,MATCH($J59,$J$10:$J$42,0),0)</f>
        <v>Replacement expenditure</v>
      </c>
      <c r="E59" s="17">
        <f t="shared" si="4"/>
        <v>0</v>
      </c>
      <c r="F59" s="17">
        <f t="shared" si="4"/>
        <v>0</v>
      </c>
      <c r="G59" s="17">
        <f t="shared" si="4"/>
        <v>0</v>
      </c>
      <c r="H59" s="17">
        <f t="shared" si="4"/>
        <v>0</v>
      </c>
      <c r="I59" s="17">
        <f t="shared" si="4"/>
        <v>131.3613231552163</v>
      </c>
      <c r="J59" s="46">
        <f t="shared" si="5"/>
        <v>131.3613231552163</v>
      </c>
    </row>
    <row r="60" spans="1:21">
      <c r="A60" s="33" t="str" cm="1">
        <f t="array" ref="A60">INDEX(A$10:A$46,MATCH($J60,$J$10:$J$46,0),0)</f>
        <v>Capacitors</v>
      </c>
      <c r="B60" s="33" t="str" cm="1">
        <f t="array" ref="B60">INDEX(B$10:B$46,MATCH($A60,$A$10:$A$46,0),0)</f>
        <v>nominal</v>
      </c>
      <c r="C60" s="33" t="str" cm="1">
        <f t="array" ref="C60">INDEX(C$10:C$42,MATCH($J60,$J$10:$J$42,0),0)</f>
        <v>Switchyard</v>
      </c>
      <c r="D60" s="33" t="str" cm="1">
        <f t="array" ref="D60">INDEX(D$10:D$42,MATCH($J60,$J$10:$J$42,0),0)</f>
        <v>Replacement expenditure</v>
      </c>
      <c r="E60" s="17">
        <f t="shared" si="4"/>
        <v>0</v>
      </c>
      <c r="F60" s="17">
        <f t="shared" si="4"/>
        <v>0</v>
      </c>
      <c r="G60" s="17">
        <f t="shared" si="4"/>
        <v>122.24982000000003</v>
      </c>
      <c r="H60" s="17">
        <f t="shared" si="4"/>
        <v>0</v>
      </c>
      <c r="I60" s="17">
        <f t="shared" si="4"/>
        <v>0</v>
      </c>
      <c r="J60" s="46">
        <f t="shared" si="5"/>
        <v>122.24982000000003</v>
      </c>
    </row>
    <row r="61" spans="1:21">
      <c r="A61" s="33" t="str" cm="1">
        <f t="array" ref="A61">INDEX(A$10:A$46,MATCH($J61,$J$10:$J$46,0),0)</f>
        <v>battery chargers</v>
      </c>
      <c r="B61" s="33" t="str" cm="1">
        <f t="array" ref="B61">INDEX(B$10:B$46,MATCH($A61,$A$10:$A$46,0),0)</f>
        <v>nominal</v>
      </c>
      <c r="C61" s="33" t="str" cm="1">
        <f t="array" ref="C61">INDEX(C$10:C$42,MATCH($J61,$J$10:$J$42,0),0)</f>
        <v>Other operating assets</v>
      </c>
      <c r="D61" s="33" t="str" cm="1">
        <f t="array" ref="D61">INDEX(D$10:D$42,MATCH($J61,$J$10:$J$42,0),0)</f>
        <v>Replacement expenditure</v>
      </c>
      <c r="E61" s="17">
        <f t="shared" si="4"/>
        <v>0</v>
      </c>
      <c r="F61" s="17">
        <f t="shared" si="4"/>
        <v>0</v>
      </c>
      <c r="G61" s="17">
        <f t="shared" si="4"/>
        <v>0</v>
      </c>
      <c r="H61" s="17">
        <f t="shared" si="4"/>
        <v>15.18</v>
      </c>
      <c r="I61" s="17">
        <f t="shared" si="4"/>
        <v>72.511450381679396</v>
      </c>
      <c r="J61" s="46">
        <f t="shared" si="5"/>
        <v>87.691450381679402</v>
      </c>
    </row>
    <row r="62" spans="1:21">
      <c r="A62" s="33" t="str" cm="1">
        <f t="array" ref="A62">INDEX(A$10:A$46,MATCH($J62,$J$10:$J$46,0),0)</f>
        <v>Essential Spares</v>
      </c>
      <c r="B62" s="33" t="str" cm="1">
        <f t="array" ref="B62">INDEX(B$10:B$46,MATCH($A62,$A$10:$A$46,0),0)</f>
        <v>nominal</v>
      </c>
      <c r="C62" s="33" t="str" cm="1">
        <f t="array" ref="C62">INDEX(C$10:C$42,MATCH($J62,$J$10:$J$42,0),0)</f>
        <v>Switchyard</v>
      </c>
      <c r="D62" s="33" t="str" cm="1">
        <f t="array" ref="D62">INDEX(D$10:D$42,MATCH($J62,$J$10:$J$42,0),0)</f>
        <v>Replacement expenditure</v>
      </c>
      <c r="E62" s="17">
        <f t="shared" si="4"/>
        <v>0</v>
      </c>
      <c r="F62" s="17">
        <f t="shared" si="4"/>
        <v>0</v>
      </c>
      <c r="G62" s="17">
        <f t="shared" si="4"/>
        <v>0</v>
      </c>
      <c r="H62" s="17">
        <f t="shared" si="4"/>
        <v>0</v>
      </c>
      <c r="I62" s="17">
        <f t="shared" si="4"/>
        <v>86.559493002544528</v>
      </c>
      <c r="J62" s="46">
        <f t="shared" si="5"/>
        <v>86.559493002544528</v>
      </c>
    </row>
    <row r="63" spans="1:21">
      <c r="A63" s="33" t="str" cm="1">
        <f t="array" ref="A63">INDEX(A$10:A$46,MATCH($J63,$J$10:$J$46,0),0)</f>
        <v>Chilled water piping refurbishment</v>
      </c>
      <c r="B63" s="33" t="str" cm="1">
        <f t="array" ref="B63">INDEX(B$10:B$46,MATCH($A63,$A$10:$A$46,0),0)</f>
        <v>nominal</v>
      </c>
      <c r="C63" s="33" t="str" cm="1">
        <f t="array" ref="C63">INDEX(C$10:C$42,MATCH($J63,$J$10:$J$42,0),0)</f>
        <v>Other operating assets</v>
      </c>
      <c r="D63" s="33" t="str" cm="1">
        <f t="array" ref="D63">INDEX(D$10:D$42,MATCH($J63,$J$10:$J$42,0),0)</f>
        <v>Replacement expenditure</v>
      </c>
      <c r="E63" s="17">
        <f t="shared" si="4"/>
        <v>0</v>
      </c>
      <c r="F63" s="17">
        <f t="shared" si="4"/>
        <v>0</v>
      </c>
      <c r="G63" s="17">
        <f t="shared" si="4"/>
        <v>32.309629999999999</v>
      </c>
      <c r="H63" s="17">
        <f t="shared" si="4"/>
        <v>49.375520000000002</v>
      </c>
      <c r="I63" s="17">
        <f t="shared" si="4"/>
        <v>0</v>
      </c>
      <c r="J63" s="46">
        <f t="shared" si="5"/>
        <v>81.685149999999993</v>
      </c>
    </row>
    <row r="64" spans="1:21">
      <c r="A64" s="33" t="str" cm="1">
        <f t="array" ref="A64">INDEX(A$10:A$46,MATCH($J64,$J$10:$J$46,0),0)</f>
        <v>Cable Protection/Modification</v>
      </c>
      <c r="B64" s="33" t="str" cm="1">
        <f t="array" ref="B64">INDEX(B$10:B$46,MATCH($A64,$A$10:$A$46,0),0)</f>
        <v>nominal</v>
      </c>
      <c r="C64" s="33" t="str" cm="1">
        <f t="array" ref="C64">INDEX(C$10:C$42,MATCH($J64,$J$10:$J$42,0),0)</f>
        <v>Other operating assets</v>
      </c>
      <c r="D64" s="33" t="str" cm="1">
        <f t="array" ref="D64">INDEX(D$10:D$42,MATCH($J64,$J$10:$J$42,0),0)</f>
        <v>Replacement expenditure</v>
      </c>
      <c r="E64" s="17">
        <f t="shared" si="4"/>
        <v>0</v>
      </c>
      <c r="F64" s="17">
        <f t="shared" si="4"/>
        <v>0</v>
      </c>
      <c r="G64" s="17">
        <f t="shared" si="4"/>
        <v>0</v>
      </c>
      <c r="H64" s="17">
        <f t="shared" si="4"/>
        <v>0</v>
      </c>
      <c r="I64" s="17">
        <f t="shared" si="4"/>
        <v>63.151167938931295</v>
      </c>
      <c r="J64" s="46">
        <f t="shared" si="5"/>
        <v>63.151167938931295</v>
      </c>
    </row>
    <row r="66" spans="1:26" ht="19.5">
      <c r="A66" s="2" t="str">
        <f>'2.0 Capex Real Dollars'!A66</f>
        <v>Material Projects</v>
      </c>
      <c r="B66" s="2" t="e">
        <f>IF(A66="","",'1.0 Data'!B62)</f>
        <v>#REF!</v>
      </c>
      <c r="C66" s="2"/>
      <c r="D66" s="2"/>
      <c r="E66" s="2"/>
      <c r="F66" s="2"/>
      <c r="G66" s="2"/>
      <c r="H66" s="2"/>
      <c r="I66" s="2"/>
      <c r="J66" s="2"/>
      <c r="K66" s="2"/>
      <c r="L66" s="2" t="str">
        <f>'2.0 Capex Real Dollars'!L66</f>
        <v>Material Projects</v>
      </c>
      <c r="M66" s="2"/>
      <c r="N66" s="2"/>
      <c r="O66" s="2"/>
      <c r="P66" s="2"/>
      <c r="Q66" s="2"/>
      <c r="R66" s="2"/>
      <c r="S66" s="2"/>
      <c r="T66" s="2"/>
      <c r="U66" s="2"/>
    </row>
    <row r="67" spans="1:26" ht="16.5">
      <c r="A67" s="4" t="str">
        <f>'2.0 Capex Real Dollars'!A67</f>
        <v>Current Period ($2018 '000)</v>
      </c>
      <c r="B67" s="4" t="e">
        <f>IF(A67="","",'1.0 Data'!B63)</f>
        <v>#REF!</v>
      </c>
      <c r="C67" s="4"/>
      <c r="D67" s="4"/>
      <c r="E67" s="4"/>
      <c r="F67" s="4"/>
      <c r="G67" s="4"/>
      <c r="H67" s="4"/>
      <c r="I67" s="4"/>
      <c r="J67" s="4"/>
      <c r="K67" s="4"/>
      <c r="L67" s="4" t="str">
        <f>'2.0 Capex Real Dollars'!L67</f>
        <v>Forecast Period ($FY 2022/23 '000)</v>
      </c>
      <c r="M67" s="4"/>
      <c r="N67" s="4"/>
      <c r="O67" s="4"/>
      <c r="P67" s="4"/>
      <c r="Q67" s="4"/>
      <c r="R67" s="4"/>
      <c r="S67" s="4"/>
      <c r="T67" s="4"/>
      <c r="U67" s="4"/>
    </row>
    <row r="68" spans="1:26">
      <c r="A68" s="3" t="str">
        <f>'2.0 Capex Real Dollars'!A68</f>
        <v>Project</v>
      </c>
      <c r="B68" s="3" t="e">
        <f>IF(A68="","",'1.0 Data'!B64)</f>
        <v>#REF!</v>
      </c>
      <c r="C68" s="3" t="str">
        <f>'2.0 Capex Real Dollars'!C68</f>
        <v>Asset Class</v>
      </c>
      <c r="D68" s="3" t="str">
        <f>'2.0 Capex Real Dollars'!D68</f>
        <v>Asset Driver</v>
      </c>
      <c r="E68" s="3" t="str">
        <f>'2.0 Capex Real Dollars'!E68</f>
        <v>2018/19</v>
      </c>
      <c r="F68" s="3" t="str">
        <f>'2.0 Capex Real Dollars'!F68</f>
        <v>2019/20</v>
      </c>
      <c r="G68" s="3" t="str">
        <f>'2.0 Capex Real Dollars'!G68</f>
        <v>2020/21</v>
      </c>
      <c r="H68" s="3" t="str">
        <f>'2.0 Capex Real Dollars'!H68</f>
        <v>2021/22</v>
      </c>
      <c r="I68" s="3" t="str">
        <f>'2.0 Capex Real Dollars'!I68</f>
        <v>2022/23</v>
      </c>
      <c r="J68" s="3" t="str">
        <f>'2.0 Capex Real Dollars'!J68</f>
        <v>Total</v>
      </c>
      <c r="K68" s="3"/>
      <c r="L68" s="3" t="str">
        <f>'2.0 Capex Real Dollars'!L68</f>
        <v>Program</v>
      </c>
      <c r="M68" s="3" t="str">
        <f>'2.0 Capex Real Dollars'!M68</f>
        <v>input</v>
      </c>
      <c r="N68" s="3" t="str">
        <f>'2.0 Capex Real Dollars'!N68</f>
        <v>Asset Class</v>
      </c>
      <c r="O68" s="3" t="str">
        <f>'2.0 Capex Real Dollars'!O68</f>
        <v>Asset Driver</v>
      </c>
      <c r="P68" s="3" t="str">
        <f>'2.0 Capex Real Dollars'!P68</f>
        <v>2023/24</v>
      </c>
      <c r="Q68" s="3" t="str">
        <f>'2.0 Capex Real Dollars'!Q68</f>
        <v>2024/25</v>
      </c>
      <c r="R68" s="3" t="str">
        <f>'2.0 Capex Real Dollars'!R68</f>
        <v>2025/26</v>
      </c>
      <c r="S68" s="3" t="str">
        <f>'2.0 Capex Real Dollars'!S68</f>
        <v>2026/27</v>
      </c>
      <c r="T68" s="3" t="str">
        <f>'2.0 Capex Real Dollars'!T68</f>
        <v>2027/28</v>
      </c>
      <c r="U68" s="3" t="str">
        <f>'2.0 Capex Real Dollars'!U68</f>
        <v>Total</v>
      </c>
    </row>
    <row r="70" spans="1:26">
      <c r="A70" s="33" t="str">
        <f>'2.0 Capex Real Dollars'!A70</f>
        <v>Replacement of Control System</v>
      </c>
      <c r="B70" s="33" t="str">
        <f>IF(A70="","",'1.0 Data'!$B$9)</f>
        <v>nominal</v>
      </c>
      <c r="C70" s="33" t="str">
        <f>'2.0 Capex Real Dollars'!C70</f>
        <v>Ancillary 15 - control systems</v>
      </c>
      <c r="D70" s="33" t="str">
        <f>'2.0 Capex Real Dollars'!D70</f>
        <v>Replacement expenditure</v>
      </c>
      <c r="E70" s="17">
        <f>SUMIF($A$10:$A$42,$A70,E$10:E$42)</f>
        <v>8703.5824800000009</v>
      </c>
      <c r="F70" s="17">
        <f t="shared" ref="F70:I74" si="6">SUMIF($A$10:$A$42,$A70,F$10:F$42)</f>
        <v>6644.0999300000003</v>
      </c>
      <c r="G70" s="17">
        <f t="shared" si="6"/>
        <v>5071.0004299999991</v>
      </c>
      <c r="H70" s="17">
        <f t="shared" si="6"/>
        <v>566.75990000000002</v>
      </c>
      <c r="I70" s="17">
        <f t="shared" si="6"/>
        <v>236.45038167938932</v>
      </c>
      <c r="J70" s="46">
        <f>SUM(E70:I70)</f>
        <v>21221.89312167939</v>
      </c>
      <c r="L70" s="33" t="str">
        <f>'2.0 Capex Real Dollars'!L70</f>
        <v>Stay in business</v>
      </c>
      <c r="M70" s="33" t="str">
        <f>IF(L70="","",'1.0 Data'!$B$9)</f>
        <v>nominal</v>
      </c>
      <c r="N70" s="33" t="str">
        <f>'2.0 Capex Real Dollars'!N70</f>
        <v>Other operating assets</v>
      </c>
      <c r="O70" s="33" t="str">
        <f>'2.0 Capex Real Dollars'!O70</f>
        <v>Replacement expenditure</v>
      </c>
      <c r="P70" s="6">
        <f>'2.0 Capex Real Dollars'!P70/'1.1 Input'!I$13</f>
        <v>1126.5732986004073</v>
      </c>
      <c r="Q70" s="6">
        <f>'2.0 Capex Real Dollars'!Q70/'1.1 Input'!J$13</f>
        <v>1118.4274340718828</v>
      </c>
      <c r="R70" s="6">
        <f>'2.0 Capex Real Dollars'!R70/'1.1 Input'!K$13</f>
        <v>985.47980397806373</v>
      </c>
      <c r="S70" s="6">
        <f>'2.0 Capex Real Dollars'!S70/'1.1 Input'!L$13</f>
        <v>269.14699202230526</v>
      </c>
      <c r="T70" s="6">
        <f>'2.0 Capex Real Dollars'!T70/'1.1 Input'!M$13</f>
        <v>183.47050500144775</v>
      </c>
      <c r="U70" s="46">
        <f>SUM(P70:T70)</f>
        <v>3683.0980336741063</v>
      </c>
    </row>
    <row r="71" spans="1:26">
      <c r="A71" s="33" t="str">
        <f>'2.0 Capex Real Dollars'!A71</f>
        <v/>
      </c>
      <c r="B71" s="33" t="str">
        <f>IF(A71="","",'1.0 Data'!$B$9)</f>
        <v/>
      </c>
      <c r="C71" s="33" t="str">
        <f>'2.0 Capex Real Dollars'!C71</f>
        <v/>
      </c>
      <c r="D71" s="33" t="str">
        <f>'2.0 Capex Real Dollars'!D71</f>
        <v/>
      </c>
      <c r="E71" s="17">
        <f t="shared" ref="E71:E74" si="7">SUMIF($A$10:$A$42,$A71,E$10:E$42)</f>
        <v>0</v>
      </c>
      <c r="F71" s="17">
        <f t="shared" si="6"/>
        <v>0</v>
      </c>
      <c r="G71" s="17">
        <f t="shared" si="6"/>
        <v>0</v>
      </c>
      <c r="H71" s="17">
        <f t="shared" si="6"/>
        <v>0</v>
      </c>
      <c r="I71" s="17">
        <f t="shared" si="6"/>
        <v>0</v>
      </c>
      <c r="J71" s="46">
        <f>SUM(E71:I71)</f>
        <v>0</v>
      </c>
      <c r="L71" s="33" t="str">
        <f>'2.0 Capex Real Dollars'!L71</f>
        <v>Enhanced Cooling</v>
      </c>
      <c r="M71" s="33" t="str">
        <f>IF(L71="","",'1.0 Data'!$B$9)</f>
        <v>nominal</v>
      </c>
      <c r="N71" s="33" t="str">
        <f>'2.0 Capex Real Dollars'!N71</f>
        <v>Other operating assets</v>
      </c>
      <c r="O71" s="33" t="str">
        <f>'2.0 Capex Real Dollars'!O71</f>
        <v>Replacement expenditure</v>
      </c>
      <c r="P71" s="6">
        <f>'2.0 Capex Real Dollars'!P71/'1.1 Input'!I$13</f>
        <v>1649.7307205318068</v>
      </c>
      <c r="Q71" s="6">
        <f>'2.0 Capex Real Dollars'!Q71/'1.1 Input'!J$13</f>
        <v>1723.9686029557379</v>
      </c>
      <c r="R71" s="6">
        <f>'2.0 Capex Real Dollars'!R71/'1.1 Input'!K$13</f>
        <v>0</v>
      </c>
      <c r="S71" s="6">
        <f>'2.0 Capex Real Dollars'!S71/'1.1 Input'!L$13</f>
        <v>0</v>
      </c>
      <c r="T71" s="6">
        <f>'2.0 Capex Real Dollars'!T71/'1.1 Input'!M$13</f>
        <v>0</v>
      </c>
      <c r="U71" s="46">
        <f>SUM(P71:T71)</f>
        <v>3373.6993234875445</v>
      </c>
    </row>
    <row r="72" spans="1:26">
      <c r="A72" s="33" t="str">
        <f>'2.0 Capex Real Dollars'!A72</f>
        <v/>
      </c>
      <c r="B72" s="33" t="str">
        <f>IF(A72="","",'1.0 Data'!$B$9)</f>
        <v/>
      </c>
      <c r="C72" s="33" t="str">
        <f>'2.0 Capex Real Dollars'!C72</f>
        <v/>
      </c>
      <c r="D72" s="33" t="str">
        <f>'2.0 Capex Real Dollars'!D72</f>
        <v/>
      </c>
      <c r="E72" s="17">
        <f t="shared" si="7"/>
        <v>0</v>
      </c>
      <c r="F72" s="17">
        <f t="shared" si="6"/>
        <v>0</v>
      </c>
      <c r="G72" s="17">
        <f t="shared" si="6"/>
        <v>0</v>
      </c>
      <c r="H72" s="17">
        <f t="shared" si="6"/>
        <v>0</v>
      </c>
      <c r="I72" s="17">
        <f t="shared" si="6"/>
        <v>0</v>
      </c>
      <c r="J72" s="46">
        <f>SUM(E72:I72)</f>
        <v>0</v>
      </c>
      <c r="L72" s="33" t="str">
        <f>'2.0 Capex Real Dollars'!L72</f>
        <v>SOCI</v>
      </c>
      <c r="M72" s="33" t="str">
        <f>IF(L72="","",'1.0 Data'!$B$9)</f>
        <v>nominal</v>
      </c>
      <c r="N72" s="33" t="str">
        <f>'2.0 Capex Real Dollars'!N72</f>
        <v>Non ancillary asset</v>
      </c>
      <c r="O72" s="33" t="str">
        <f>'2.0 Capex Real Dollars'!O72</f>
        <v>Replacement expenditure</v>
      </c>
      <c r="P72" s="6">
        <f>'2.0 Capex Real Dollars'!P72/'1.1 Input'!I$13</f>
        <v>466.63430279898222</v>
      </c>
      <c r="Q72" s="6">
        <f>'2.0 Capex Real Dollars'!Q72/'1.1 Input'!J$13</f>
        <v>0</v>
      </c>
      <c r="R72" s="6">
        <f>'2.0 Capex Real Dollars'!R72/'1.1 Input'!K$13</f>
        <v>1176.9572328799998</v>
      </c>
      <c r="S72" s="6">
        <f>'2.0 Capex Real Dollars'!S72/'1.1 Input'!L$13</f>
        <v>1218.1507360307996</v>
      </c>
      <c r="T72" s="6">
        <f>'2.0 Capex Real Dollars'!T72/'1.1 Input'!M$13</f>
        <v>0</v>
      </c>
      <c r="U72" s="46">
        <f>SUM(P72:T72)</f>
        <v>2861.7422717097816</v>
      </c>
    </row>
    <row r="73" spans="1:26">
      <c r="A73" s="33" t="str">
        <f>'2.0 Capex Real Dollars'!A73</f>
        <v/>
      </c>
      <c r="B73" s="33" t="str">
        <f>IF(A73="","",'1.0 Data'!$B$9)</f>
        <v/>
      </c>
      <c r="C73" s="33" t="str">
        <f>'2.0 Capex Real Dollars'!C73</f>
        <v/>
      </c>
      <c r="D73" s="33" t="str">
        <f>'2.0 Capex Real Dollars'!D73</f>
        <v/>
      </c>
      <c r="E73" s="17">
        <f t="shared" si="7"/>
        <v>0</v>
      </c>
      <c r="F73" s="17">
        <f t="shared" si="6"/>
        <v>0</v>
      </c>
      <c r="G73" s="17">
        <f t="shared" si="6"/>
        <v>0</v>
      </c>
      <c r="H73" s="17">
        <f t="shared" si="6"/>
        <v>0</v>
      </c>
      <c r="I73" s="17">
        <f t="shared" si="6"/>
        <v>0</v>
      </c>
      <c r="J73" s="46">
        <f>SUM(E73:I73)</f>
        <v>0</v>
      </c>
      <c r="L73" s="33"/>
      <c r="M73" s="33"/>
      <c r="N73" s="33"/>
      <c r="O73" s="33"/>
      <c r="P73" s="6"/>
      <c r="Q73" s="6"/>
      <c r="R73" s="6"/>
      <c r="S73" s="6"/>
      <c r="T73" s="6"/>
      <c r="U73" s="46"/>
    </row>
    <row r="74" spans="1:26">
      <c r="A74" s="33" t="str">
        <f>'2.0 Capex Real Dollars'!A74</f>
        <v/>
      </c>
      <c r="B74" s="33" t="str">
        <f>IF(A74="","",'1.0 Data'!$B$9)</f>
        <v/>
      </c>
      <c r="C74" s="33" t="str">
        <f>'2.0 Capex Real Dollars'!C74</f>
        <v/>
      </c>
      <c r="D74" s="33" t="str">
        <f>'2.0 Capex Real Dollars'!D74</f>
        <v/>
      </c>
      <c r="E74" s="17">
        <f t="shared" si="7"/>
        <v>0</v>
      </c>
      <c r="F74" s="17">
        <f t="shared" si="6"/>
        <v>0</v>
      </c>
      <c r="G74" s="17">
        <f t="shared" si="6"/>
        <v>0</v>
      </c>
      <c r="H74" s="17">
        <f t="shared" si="6"/>
        <v>0</v>
      </c>
      <c r="I74" s="17">
        <f t="shared" si="6"/>
        <v>0</v>
      </c>
      <c r="J74" s="46">
        <f>SUM(E74:I74)</f>
        <v>0</v>
      </c>
      <c r="L74" s="33"/>
      <c r="M74" s="33"/>
      <c r="N74" s="33"/>
      <c r="O74" s="33"/>
      <c r="P74" s="6"/>
      <c r="Q74" s="6"/>
      <c r="R74" s="6"/>
      <c r="S74" s="6"/>
      <c r="T74" s="6"/>
      <c r="U74" s="46"/>
    </row>
    <row r="76" spans="1:26" ht="19.5">
      <c r="A76" s="2" t="str">
        <f>'2.0 Capex Real Dollars'!A76</f>
        <v>By Asset Class (As incurred)</v>
      </c>
      <c r="B76" s="2" t="e">
        <f>IF(A76="","",'1.0 Data'!B71)</f>
        <v>#REF!</v>
      </c>
      <c r="C76" s="2"/>
      <c r="D76" s="2"/>
      <c r="E76" s="2"/>
      <c r="F76" s="2"/>
      <c r="G76" s="2"/>
      <c r="H76" s="2"/>
      <c r="I76" s="2"/>
      <c r="J76" s="2"/>
      <c r="K76" s="2"/>
      <c r="L76" s="2"/>
      <c r="M76" s="2"/>
      <c r="N76" s="2"/>
      <c r="O76" s="2"/>
      <c r="P76" s="2"/>
      <c r="Q76" s="2"/>
      <c r="R76" s="2"/>
      <c r="S76" s="2"/>
      <c r="T76" s="2"/>
      <c r="U76" s="2"/>
      <c r="V76" s="3"/>
      <c r="W76" s="3"/>
      <c r="X76" s="3"/>
      <c r="Y76" s="3"/>
      <c r="Z76" s="3"/>
    </row>
    <row r="77" spans="1:26">
      <c r="A77" s="3"/>
      <c r="B77" s="3"/>
      <c r="C77" s="3"/>
      <c r="D77" s="3"/>
      <c r="E77" s="3" t="str">
        <f>'2.0 Capex Real Dollars'!E77</f>
        <v>2018/19</v>
      </c>
      <c r="F77" s="3" t="str">
        <f>'2.0 Capex Real Dollars'!F77</f>
        <v>2019/20</v>
      </c>
      <c r="G77" s="3" t="str">
        <f>'2.0 Capex Real Dollars'!G77</f>
        <v>2020/21</v>
      </c>
      <c r="H77" s="3" t="str">
        <f>'2.0 Capex Real Dollars'!H77</f>
        <v>2021/22</v>
      </c>
      <c r="I77" s="3" t="str">
        <f>'2.0 Capex Real Dollars'!I77</f>
        <v>2022/23</v>
      </c>
      <c r="J77" s="3" t="str">
        <f>'2.0 Capex Real Dollars'!J77</f>
        <v>Total</v>
      </c>
      <c r="L77" s="3" t="str">
        <f>'2.0 Capex Real Dollars'!L77</f>
        <v>Asset Classes</v>
      </c>
      <c r="M77" s="3" t="str">
        <f>'2.0 Capex Real Dollars'!M77</f>
        <v>input</v>
      </c>
      <c r="N77" s="3" t="str">
        <f>'2.0 Capex Real Dollars'!N77</f>
        <v>Asset Class</v>
      </c>
      <c r="O77" s="3" t="str">
        <f>'2.0 Capex Real Dollars'!O77</f>
        <v>Asset Driver</v>
      </c>
      <c r="P77" s="3" t="str">
        <f>'2.0 Capex Real Dollars'!P77</f>
        <v>2023/24</v>
      </c>
      <c r="Q77" s="3" t="str">
        <f>'2.0 Capex Real Dollars'!Q77</f>
        <v>2024/25</v>
      </c>
      <c r="R77" s="3" t="str">
        <f>'2.0 Capex Real Dollars'!R77</f>
        <v>2025/26</v>
      </c>
      <c r="S77" s="3" t="str">
        <f>'2.0 Capex Real Dollars'!S77</f>
        <v>2026/27</v>
      </c>
      <c r="T77" s="3" t="str">
        <f>'2.0 Capex Real Dollars'!T77</f>
        <v>2027/28</v>
      </c>
      <c r="U77" s="3" t="str">
        <f>'2.0 Capex Real Dollars'!U77</f>
        <v>Total</v>
      </c>
    </row>
    <row r="79" spans="1:26">
      <c r="A79" s="33" t="str">
        <f>'2.0 Capex Real Dollars'!A79</f>
        <v>Switchyard</v>
      </c>
      <c r="B79" s="33" t="e">
        <f>IF(A79="","",'1.0 Data'!B74)</f>
        <v>#REF!</v>
      </c>
      <c r="C79" s="33">
        <f>'2.0 Capex Real Dollars'!C79</f>
        <v>0</v>
      </c>
      <c r="D79" s="33">
        <f>'2.0 Capex Real Dollars'!D79</f>
        <v>0</v>
      </c>
      <c r="E79" s="17">
        <f>SUMIF($C$10:$C$42,$A79,E$10:E$42)</f>
        <v>310.32356599999991</v>
      </c>
      <c r="F79" s="17">
        <f t="shared" ref="F79:I79" si="8">SUMIF($C$10:$C$42,$A79,F$10:F$42)</f>
        <v>57.748040000000003</v>
      </c>
      <c r="G79" s="17">
        <f t="shared" si="8"/>
        <v>480.45252000000005</v>
      </c>
      <c r="H79" s="17">
        <f t="shared" si="8"/>
        <v>975.16758000000004</v>
      </c>
      <c r="I79" s="17">
        <f t="shared" si="8"/>
        <v>1701.5945743002546</v>
      </c>
      <c r="J79" s="46">
        <f t="shared" ref="J79:J87" si="9">SUM(E79:I79)</f>
        <v>3525.2862803002545</v>
      </c>
      <c r="L79" s="33" t="str">
        <f>'2.0 Capex Real Dollars'!L79</f>
        <v>Switchyard</v>
      </c>
      <c r="M79" s="33" t="str">
        <f>IF(L79="","",'1.0 Data'!$B$9)</f>
        <v>nominal</v>
      </c>
      <c r="N79" s="33">
        <f>'2.0 Capex Real Dollars'!N79</f>
        <v>0</v>
      </c>
      <c r="O79" s="33">
        <f>'2.0 Capex Real Dollars'!O79</f>
        <v>0</v>
      </c>
      <c r="P79" s="17">
        <f>'2.0 Capex Real Dollars'!P79/'1.1 Input'!I$13</f>
        <v>241.14891348600511</v>
      </c>
      <c r="Q79" s="17">
        <f>'2.0 Capex Real Dollars'!Q79/'1.1 Input'!J$13</f>
        <v>252.00061459287531</v>
      </c>
      <c r="R79" s="17">
        <f>'2.0 Capex Real Dollars'!R79/'1.1 Input'!K$13</f>
        <v>262.08063917659035</v>
      </c>
      <c r="S79" s="17">
        <f>'2.0 Capex Real Dollars'!S79/'1.1 Input'!L$13</f>
        <v>271.25346154777094</v>
      </c>
      <c r="T79" s="17">
        <f>'2.0 Capex Real Dollars'!T79/'1.1 Input'!M$13</f>
        <v>279.39106539420408</v>
      </c>
      <c r="U79" s="46">
        <f t="shared" ref="U79:U87" si="10">SUM(P79:T79)</f>
        <v>1305.8746941974457</v>
      </c>
    </row>
    <row r="80" spans="1:26">
      <c r="A80" s="33" t="str">
        <f>'2.0 Capex Real Dollars'!A80</f>
        <v>Transmission line</v>
      </c>
      <c r="B80" s="33" t="e">
        <f>IF(A80="","",'1.0 Data'!B75)</f>
        <v>#REF!</v>
      </c>
      <c r="C80" s="33">
        <f>'2.0 Capex Real Dollars'!C80</f>
        <v>0</v>
      </c>
      <c r="D80" s="33">
        <f>'2.0 Capex Real Dollars'!D80</f>
        <v>0</v>
      </c>
      <c r="E80" s="17">
        <f t="shared" ref="E80:I87" si="11">SUMIF($C$10:$C$42,$A80,E$10:E$42)</f>
        <v>0</v>
      </c>
      <c r="F80" s="17">
        <f t="shared" si="11"/>
        <v>0</v>
      </c>
      <c r="G80" s="17">
        <f t="shared" si="11"/>
        <v>0</v>
      </c>
      <c r="H80" s="17">
        <f t="shared" si="11"/>
        <v>0</v>
      </c>
      <c r="I80" s="17">
        <f t="shared" si="11"/>
        <v>37.832061068702288</v>
      </c>
      <c r="J80" s="46">
        <f t="shared" si="9"/>
        <v>37.832061068702288</v>
      </c>
      <c r="L80" s="33" t="str">
        <f>'2.0 Capex Real Dollars'!L80</f>
        <v>Transmission Cable</v>
      </c>
      <c r="M80" s="33" t="str">
        <f>IF(L80="","",'1.0 Data'!$B$9)</f>
        <v>nominal</v>
      </c>
      <c r="N80" s="33">
        <f>'2.0 Capex Real Dollars'!N80</f>
        <v>0</v>
      </c>
      <c r="O80" s="33">
        <f>'2.0 Capex Real Dollars'!O80</f>
        <v>0</v>
      </c>
      <c r="P80" s="17">
        <f>'2.0 Capex Real Dollars'!P80/'1.1 Input'!I$13</f>
        <v>252.60467175572521</v>
      </c>
      <c r="Q80" s="17">
        <f>'2.0 Capex Real Dollars'!Q80/'1.1 Input'!J$13</f>
        <v>263.97188198473282</v>
      </c>
      <c r="R80" s="17">
        <f>'2.0 Capex Real Dollars'!R80/'1.1 Input'!K$13</f>
        <v>1545.7493736162849</v>
      </c>
      <c r="S80" s="17">
        <f>'2.0 Capex Real Dollars'!S80/'1.1 Input'!L$13</f>
        <v>284.13933376836638</v>
      </c>
      <c r="T80" s="17">
        <f>'2.0 Capex Real Dollars'!T80/'1.1 Input'!M$13</f>
        <v>292.66351378141735</v>
      </c>
      <c r="U80" s="46">
        <f t="shared" si="10"/>
        <v>2639.1287749065264</v>
      </c>
    </row>
    <row r="81" spans="1:26">
      <c r="A81" s="33" t="str">
        <f>'2.0 Capex Real Dollars'!A81</f>
        <v>Easements</v>
      </c>
      <c r="B81" s="33" t="e">
        <f>IF(A81="","",'1.0 Data'!B76)</f>
        <v>#REF!</v>
      </c>
      <c r="C81" s="33">
        <f>'2.0 Capex Real Dollars'!C81</f>
        <v>0</v>
      </c>
      <c r="D81" s="33">
        <f>'2.0 Capex Real Dollars'!D81</f>
        <v>0</v>
      </c>
      <c r="E81" s="17">
        <f t="shared" si="11"/>
        <v>0</v>
      </c>
      <c r="F81" s="17">
        <f t="shared" si="11"/>
        <v>0</v>
      </c>
      <c r="G81" s="17">
        <f t="shared" si="11"/>
        <v>0</v>
      </c>
      <c r="H81" s="17">
        <f t="shared" si="11"/>
        <v>0</v>
      </c>
      <c r="I81" s="17">
        <f t="shared" si="11"/>
        <v>0</v>
      </c>
      <c r="J81" s="46">
        <f t="shared" si="9"/>
        <v>0</v>
      </c>
      <c r="L81" s="33" t="str">
        <f>'2.0 Capex Real Dollars'!L81</f>
        <v>Easements</v>
      </c>
      <c r="M81" s="33" t="str">
        <f>IF(L81="","",'1.0 Data'!$B$9)</f>
        <v>nominal</v>
      </c>
      <c r="N81" s="33">
        <f>'2.0 Capex Real Dollars'!N81</f>
        <v>0</v>
      </c>
      <c r="O81" s="33">
        <f>'2.0 Capex Real Dollars'!O81</f>
        <v>0</v>
      </c>
      <c r="P81" s="17">
        <f>'2.0 Capex Real Dollars'!P81/'1.1 Input'!I$13</f>
        <v>0</v>
      </c>
      <c r="Q81" s="17">
        <f>'2.0 Capex Real Dollars'!Q81/'1.1 Input'!J$13</f>
        <v>0</v>
      </c>
      <c r="R81" s="17">
        <f>'2.0 Capex Real Dollars'!R81/'1.1 Input'!K$13</f>
        <v>0</v>
      </c>
      <c r="S81" s="17">
        <f>'2.0 Capex Real Dollars'!S81/'1.1 Input'!L$13</f>
        <v>0</v>
      </c>
      <c r="T81" s="17">
        <f>'2.0 Capex Real Dollars'!T81/'1.1 Input'!M$13</f>
        <v>0</v>
      </c>
      <c r="U81" s="46">
        <f t="shared" si="10"/>
        <v>0</v>
      </c>
    </row>
    <row r="82" spans="1:26">
      <c r="A82" s="33" t="str">
        <f>'2.0 Capex Real Dollars'!A82</f>
        <v>Ancillary 15 - control systems</v>
      </c>
      <c r="B82" s="33" t="e">
        <f>IF(A82="","",'1.0 Data'!B77)</f>
        <v>#REF!</v>
      </c>
      <c r="C82" s="33">
        <f>'2.0 Capex Real Dollars'!C82</f>
        <v>0</v>
      </c>
      <c r="D82" s="33">
        <f>'2.0 Capex Real Dollars'!D82</f>
        <v>0</v>
      </c>
      <c r="E82" s="17">
        <f t="shared" si="11"/>
        <v>8703.5824800000009</v>
      </c>
      <c r="F82" s="17">
        <f t="shared" si="11"/>
        <v>6644.0999300000003</v>
      </c>
      <c r="G82" s="17">
        <f t="shared" si="11"/>
        <v>5055.7104299999992</v>
      </c>
      <c r="H82" s="17">
        <f t="shared" si="11"/>
        <v>566.75990000000002</v>
      </c>
      <c r="I82" s="17">
        <f t="shared" si="11"/>
        <v>236.45038167938932</v>
      </c>
      <c r="J82" s="46">
        <f t="shared" si="9"/>
        <v>21206.603121679389</v>
      </c>
      <c r="L82" s="33" t="str">
        <f>'2.0 Capex Real Dollars'!L82</f>
        <v>Control Systems</v>
      </c>
      <c r="M82" s="33" t="str">
        <f>IF(L82="","",'1.0 Data'!$B$9)</f>
        <v>nominal</v>
      </c>
      <c r="N82" s="33">
        <f>'2.0 Capex Real Dollars'!N82</f>
        <v>0</v>
      </c>
      <c r="O82" s="33">
        <f>'2.0 Capex Real Dollars'!O82</f>
        <v>0</v>
      </c>
      <c r="P82" s="17">
        <f>'2.0 Capex Real Dollars'!P82/'1.1 Input'!I$13</f>
        <v>0</v>
      </c>
      <c r="Q82" s="17">
        <f>'2.0 Capex Real Dollars'!Q82/'1.1 Input'!J$13</f>
        <v>0</v>
      </c>
      <c r="R82" s="17">
        <f>'2.0 Capex Real Dollars'!R82/'1.1 Input'!K$13</f>
        <v>0</v>
      </c>
      <c r="S82" s="17">
        <f>'2.0 Capex Real Dollars'!S82/'1.1 Input'!L$13</f>
        <v>0</v>
      </c>
      <c r="T82" s="17">
        <f>'2.0 Capex Real Dollars'!T82/'1.1 Input'!M$13</f>
        <v>0</v>
      </c>
      <c r="U82" s="46">
        <f t="shared" si="10"/>
        <v>0</v>
      </c>
    </row>
    <row r="83" spans="1:26">
      <c r="A83" s="33" t="str">
        <f>'2.0 Capex Real Dollars'!A83</f>
        <v>Ancillary 30</v>
      </c>
      <c r="B83" s="33" t="e">
        <f>IF(A83="","",'1.0 Data'!B78)</f>
        <v>#REF!</v>
      </c>
      <c r="C83" s="33">
        <f>'2.0 Capex Real Dollars'!C83</f>
        <v>0</v>
      </c>
      <c r="D83" s="33">
        <f>'2.0 Capex Real Dollars'!D83</f>
        <v>0</v>
      </c>
      <c r="E83" s="17">
        <f t="shared" si="11"/>
        <v>9.4621899999999854</v>
      </c>
      <c r="F83" s="17">
        <f t="shared" si="11"/>
        <v>12.699729999999999</v>
      </c>
      <c r="G83" s="17">
        <f t="shared" si="11"/>
        <v>0</v>
      </c>
      <c r="H83" s="17">
        <f t="shared" si="11"/>
        <v>0</v>
      </c>
      <c r="I83" s="17">
        <f t="shared" si="11"/>
        <v>0</v>
      </c>
      <c r="J83" s="46">
        <f t="shared" si="9"/>
        <v>22.161919999999984</v>
      </c>
      <c r="L83" s="33" t="str">
        <f>'2.0 Capex Real Dollars'!L83</f>
        <v>Ancillary asset- 30 Years</v>
      </c>
      <c r="M83" s="33" t="str">
        <f>IF(L83="","",'1.0 Data'!$B$9)</f>
        <v>nominal</v>
      </c>
      <c r="N83" s="33">
        <f>'2.0 Capex Real Dollars'!N83</f>
        <v>0</v>
      </c>
      <c r="O83" s="33">
        <f>'2.0 Capex Real Dollars'!O83</f>
        <v>0</v>
      </c>
      <c r="P83" s="17">
        <f>'2.0 Capex Real Dollars'!P83/'1.1 Input'!I$13</f>
        <v>0</v>
      </c>
      <c r="Q83" s="17">
        <f>'2.0 Capex Real Dollars'!Q83/'1.1 Input'!J$13</f>
        <v>0</v>
      </c>
      <c r="R83" s="17">
        <f>'2.0 Capex Real Dollars'!R83/'1.1 Input'!K$13</f>
        <v>0</v>
      </c>
      <c r="S83" s="17">
        <f>'2.0 Capex Real Dollars'!S83/'1.1 Input'!L$13</f>
        <v>0</v>
      </c>
      <c r="T83" s="17">
        <f>'2.0 Capex Real Dollars'!T83/'1.1 Input'!M$13</f>
        <v>0</v>
      </c>
      <c r="U83" s="46">
        <f t="shared" si="10"/>
        <v>0</v>
      </c>
    </row>
    <row r="84" spans="1:26">
      <c r="A84" s="33" t="str">
        <f>'2.0 Capex Real Dollars'!A84</f>
        <v>Ancillary 7 - pressure vessel testing and inspection</v>
      </c>
      <c r="B84" s="33" t="e">
        <f>IF(A84="","",'1.0 Data'!B79)</f>
        <v>#REF!</v>
      </c>
      <c r="C84" s="33">
        <f>'2.0 Capex Real Dollars'!C84</f>
        <v>0</v>
      </c>
      <c r="D84" s="33">
        <f>'2.0 Capex Real Dollars'!D84</f>
        <v>0</v>
      </c>
      <c r="E84" s="17">
        <f t="shared" si="11"/>
        <v>0</v>
      </c>
      <c r="F84" s="17">
        <f t="shared" si="11"/>
        <v>0</v>
      </c>
      <c r="G84" s="17">
        <f t="shared" si="11"/>
        <v>0</v>
      </c>
      <c r="H84" s="17">
        <f t="shared" si="11"/>
        <v>0</v>
      </c>
      <c r="I84" s="17">
        <f t="shared" si="11"/>
        <v>0</v>
      </c>
      <c r="J84" s="46">
        <f t="shared" si="9"/>
        <v>0</v>
      </c>
      <c r="L84" s="33" t="str">
        <f>'2.0 Capex Real Dollars'!L84</f>
        <v>Ancillary asset - 7 Years</v>
      </c>
      <c r="M84" s="33" t="str">
        <f>IF(L84="","",'1.0 Data'!$B$9)</f>
        <v>nominal</v>
      </c>
      <c r="N84" s="33">
        <f>'2.0 Capex Real Dollars'!N84</f>
        <v>0</v>
      </c>
      <c r="O84" s="33">
        <f>'2.0 Capex Real Dollars'!O84</f>
        <v>0</v>
      </c>
      <c r="P84" s="17">
        <f>'2.0 Capex Real Dollars'!P84/'1.1 Input'!I$13</f>
        <v>0</v>
      </c>
      <c r="Q84" s="17">
        <f>'2.0 Capex Real Dollars'!Q84/'1.1 Input'!J$13</f>
        <v>0</v>
      </c>
      <c r="R84" s="17">
        <f>'2.0 Capex Real Dollars'!R84/'1.1 Input'!K$13</f>
        <v>0</v>
      </c>
      <c r="S84" s="17">
        <f>'2.0 Capex Real Dollars'!S84/'1.1 Input'!L$13</f>
        <v>0</v>
      </c>
      <c r="T84" s="17">
        <f>'2.0 Capex Real Dollars'!T84/'1.1 Input'!M$13</f>
        <v>0</v>
      </c>
      <c r="U84" s="46">
        <f t="shared" si="10"/>
        <v>0</v>
      </c>
    </row>
    <row r="85" spans="1:26">
      <c r="A85" s="33" t="str">
        <f>'2.0 Capex Real Dollars'!A85</f>
        <v>Other operating assets</v>
      </c>
      <c r="B85" s="33" t="e">
        <f>IF(A85="","",'1.0 Data'!B80)</f>
        <v>#REF!</v>
      </c>
      <c r="C85" s="33">
        <f>'2.0 Capex Real Dollars'!C85</f>
        <v>0</v>
      </c>
      <c r="D85" s="33">
        <f>'2.0 Capex Real Dollars'!D85</f>
        <v>0</v>
      </c>
      <c r="E85" s="17">
        <f t="shared" si="11"/>
        <v>1237.2078500000002</v>
      </c>
      <c r="F85" s="17">
        <f t="shared" si="11"/>
        <v>45.707159999999995</v>
      </c>
      <c r="G85" s="17">
        <f t="shared" si="11"/>
        <v>159.74789000000001</v>
      </c>
      <c r="H85" s="17">
        <f t="shared" si="11"/>
        <v>929.74647999999991</v>
      </c>
      <c r="I85" s="17">
        <f t="shared" si="11"/>
        <v>1724.5018094904331</v>
      </c>
      <c r="J85" s="46">
        <f t="shared" si="9"/>
        <v>4096.9111894904327</v>
      </c>
      <c r="L85" s="33" t="str">
        <f>'2.0 Capex Real Dollars'!L85</f>
        <v>Other operating assets</v>
      </c>
      <c r="M85" s="33" t="str">
        <f>IF(L85="","",'1.0 Data'!$B$9)</f>
        <v>nominal</v>
      </c>
      <c r="N85" s="33">
        <f>'2.0 Capex Real Dollars'!N85</f>
        <v>0</v>
      </c>
      <c r="O85" s="33">
        <f>'2.0 Capex Real Dollars'!O85</f>
        <v>0</v>
      </c>
      <c r="P85" s="17">
        <f>'2.0 Capex Real Dollars'!P85/'1.1 Input'!I$13</f>
        <v>3306.822380964275</v>
      </c>
      <c r="Q85" s="17">
        <f>'2.0 Capex Real Dollars'!Q85/'1.1 Input'!J$13</f>
        <v>4135.2407298031931</v>
      </c>
      <c r="R85" s="17">
        <f>'2.0 Capex Real Dollars'!R85/'1.1 Input'!K$13</f>
        <v>985.47980397806373</v>
      </c>
      <c r="S85" s="17">
        <f>'2.0 Capex Real Dollars'!S85/'1.1 Input'!L$13</f>
        <v>269.14699202230526</v>
      </c>
      <c r="T85" s="17">
        <f>'2.0 Capex Real Dollars'!T85/'1.1 Input'!M$13</f>
        <v>183.47050500144775</v>
      </c>
      <c r="U85" s="46">
        <f t="shared" si="10"/>
        <v>8880.1604117692841</v>
      </c>
    </row>
    <row r="86" spans="1:26">
      <c r="A86" s="33" t="str">
        <f>'2.0 Capex Real Dollars'!A86</f>
        <v>Office machines</v>
      </c>
      <c r="B86" s="33" t="e">
        <f>IF(A86="","",'1.0 Data'!B81)</f>
        <v>#REF!</v>
      </c>
      <c r="C86" s="33">
        <f>'2.0 Capex Real Dollars'!C86</f>
        <v>0</v>
      </c>
      <c r="D86" s="33">
        <f>'2.0 Capex Real Dollars'!D86</f>
        <v>0</v>
      </c>
      <c r="E86" s="17">
        <f t="shared" si="11"/>
        <v>0</v>
      </c>
      <c r="F86" s="17">
        <f t="shared" si="11"/>
        <v>0</v>
      </c>
      <c r="G86" s="17">
        <f t="shared" si="11"/>
        <v>0</v>
      </c>
      <c r="H86" s="17">
        <f t="shared" si="11"/>
        <v>0</v>
      </c>
      <c r="I86" s="17">
        <f t="shared" si="11"/>
        <v>0</v>
      </c>
      <c r="J86" s="46">
        <f t="shared" si="9"/>
        <v>0</v>
      </c>
      <c r="L86" s="33" t="str">
        <f>'2.0 Capex Real Dollars'!L86</f>
        <v>Non ancillary asset</v>
      </c>
      <c r="M86" s="33" t="str">
        <f>IF(L86="","",'1.0 Data'!$B$9)</f>
        <v>nominal</v>
      </c>
      <c r="N86" s="33">
        <f>'2.0 Capex Real Dollars'!N86</f>
        <v>0</v>
      </c>
      <c r="O86" s="33">
        <f>'2.0 Capex Real Dollars'!O86</f>
        <v>0</v>
      </c>
      <c r="P86" s="17">
        <f>'2.0 Capex Real Dollars'!P86/'1.1 Input'!I$13</f>
        <v>509.07777684478373</v>
      </c>
      <c r="Q86" s="17">
        <f>'2.0 Capex Real Dollars'!Q86/'1.1 Input'!J$13</f>
        <v>0</v>
      </c>
      <c r="R86" s="17">
        <f>'2.0 Capex Real Dollars'!R86/'1.1 Input'!K$13</f>
        <v>1176.9572328799998</v>
      </c>
      <c r="S86" s="17">
        <f>'2.0 Capex Real Dollars'!S86/'1.1 Input'!L$13</f>
        <v>1218.1507360307996</v>
      </c>
      <c r="T86" s="17">
        <f>'2.0 Capex Real Dollars'!T86/'1.1 Input'!M$13</f>
        <v>191.92584698508242</v>
      </c>
      <c r="U86" s="46">
        <f t="shared" si="10"/>
        <v>3096.1115927406659</v>
      </c>
    </row>
    <row r="87" spans="1:26" ht="15.75" thickBot="1">
      <c r="A87" s="33">
        <f>'2.0 Capex Real Dollars'!A87</f>
        <v>0</v>
      </c>
      <c r="B87" s="33" t="e">
        <f>IF(A87="","",'1.0 Data'!B82)</f>
        <v>#REF!</v>
      </c>
      <c r="C87" s="33">
        <f>'2.0 Capex Real Dollars'!C87</f>
        <v>0</v>
      </c>
      <c r="D87" s="33">
        <f>'2.0 Capex Real Dollars'!D87</f>
        <v>0</v>
      </c>
      <c r="E87" s="17">
        <f t="shared" si="11"/>
        <v>0</v>
      </c>
      <c r="F87" s="17">
        <f t="shared" si="11"/>
        <v>0</v>
      </c>
      <c r="G87" s="17">
        <f t="shared" si="11"/>
        <v>0</v>
      </c>
      <c r="H87" s="17">
        <f t="shared" si="11"/>
        <v>0</v>
      </c>
      <c r="I87" s="17">
        <f t="shared" si="11"/>
        <v>0</v>
      </c>
      <c r="J87" s="46">
        <f t="shared" si="9"/>
        <v>0</v>
      </c>
      <c r="L87" s="33" t="str">
        <f>'2.0 Capex Real Dollars'!L87</f>
        <v>In-house software</v>
      </c>
      <c r="M87" s="33" t="str">
        <f>IF(L87="","",'1.0 Data'!$B$9)</f>
        <v>nominal</v>
      </c>
      <c r="N87" s="33">
        <f>'2.0 Capex Real Dollars'!N87</f>
        <v>0</v>
      </c>
      <c r="O87" s="33">
        <f>'2.0 Capex Real Dollars'!O87</f>
        <v>0</v>
      </c>
      <c r="P87" s="17">
        <f>'2.0 Capex Real Dollars'!P87/'1.1 Input'!I$13</f>
        <v>0</v>
      </c>
      <c r="Q87" s="17">
        <f>'2.0 Capex Real Dollars'!Q87/'1.1 Input'!J$13</f>
        <v>0</v>
      </c>
      <c r="R87" s="17">
        <f>'2.0 Capex Real Dollars'!R87/'1.1 Input'!K$13</f>
        <v>0</v>
      </c>
      <c r="S87" s="17">
        <f>'2.0 Capex Real Dollars'!S87/'1.1 Input'!L$13</f>
        <v>0</v>
      </c>
      <c r="T87" s="17">
        <f>'2.0 Capex Real Dollars'!T87/'1.1 Input'!M$13</f>
        <v>0</v>
      </c>
      <c r="U87" s="46">
        <f t="shared" si="10"/>
        <v>0</v>
      </c>
    </row>
    <row r="88" spans="1:26" ht="15.75" thickTop="1">
      <c r="A88" s="33" t="str">
        <f>'2.0 Capex Real Dollars'!A88</f>
        <v>Total</v>
      </c>
      <c r="B88" s="33">
        <f>IF(A88="","",'1.0 Data'!B83)</f>
        <v>0</v>
      </c>
      <c r="C88" s="33">
        <f>'2.0 Capex Real Dollars'!C88</f>
        <v>0</v>
      </c>
      <c r="D88" s="33">
        <f>'2.0 Capex Real Dollars'!D88</f>
        <v>0</v>
      </c>
      <c r="E88" s="27">
        <f t="shared" ref="E88:J88" si="12">SUM(E79:E87)</f>
        <v>10260.576086000001</v>
      </c>
      <c r="F88" s="27">
        <f t="shared" si="12"/>
        <v>6760.2548600000009</v>
      </c>
      <c r="G88" s="27">
        <f t="shared" si="12"/>
        <v>5695.9108399999986</v>
      </c>
      <c r="H88" s="27">
        <f t="shared" si="12"/>
        <v>2471.6739600000001</v>
      </c>
      <c r="I88" s="27">
        <f t="shared" si="12"/>
        <v>3700.3788265387793</v>
      </c>
      <c r="J88" s="27">
        <f t="shared" si="12"/>
        <v>28888.794572538776</v>
      </c>
      <c r="L88" s="33" t="str">
        <f>'2.0 Capex Real Dollars'!L88</f>
        <v>Total</v>
      </c>
      <c r="M88" s="33" t="str">
        <f>IF(L88="","",'1.0 Data'!$B$9)</f>
        <v>nominal</v>
      </c>
      <c r="N88" s="33">
        <f>'2.0 Capex Real Dollars'!N88</f>
        <v>0</v>
      </c>
      <c r="O88" s="33">
        <f>'2.0 Capex Real Dollars'!O88</f>
        <v>0</v>
      </c>
      <c r="P88" s="27">
        <f t="shared" ref="P88:U88" si="13">SUM(P79:P87)</f>
        <v>4309.6537430507888</v>
      </c>
      <c r="Q88" s="27">
        <f t="shared" si="13"/>
        <v>4651.2132263808016</v>
      </c>
      <c r="R88" s="27">
        <f t="shared" si="13"/>
        <v>3970.2670496509381</v>
      </c>
      <c r="S88" s="27">
        <f t="shared" si="13"/>
        <v>2042.6905233692423</v>
      </c>
      <c r="T88" s="27">
        <f t="shared" si="13"/>
        <v>947.45093116215162</v>
      </c>
      <c r="U88" s="27">
        <f t="shared" si="13"/>
        <v>15921.275473613923</v>
      </c>
    </row>
    <row r="90" spans="1:26" ht="19.5">
      <c r="A90" s="2" t="str">
        <f>'2.0 Capex Real Dollars'!A90</f>
        <v>By Driver</v>
      </c>
      <c r="B90" s="2"/>
      <c r="C90" s="2"/>
      <c r="D90" s="2"/>
      <c r="E90" s="2"/>
      <c r="F90" s="2"/>
      <c r="G90" s="2"/>
      <c r="H90" s="2"/>
      <c r="I90" s="2"/>
      <c r="J90" s="2"/>
      <c r="K90" s="2"/>
      <c r="L90" s="2"/>
      <c r="M90" s="2"/>
      <c r="N90" s="2"/>
      <c r="O90" s="2"/>
      <c r="P90" s="2"/>
      <c r="Q90" s="2"/>
      <c r="R90" s="2"/>
      <c r="S90" s="2"/>
      <c r="T90" s="2"/>
      <c r="U90" s="2"/>
      <c r="V90" s="3"/>
      <c r="W90" s="3"/>
      <c r="X90" s="3"/>
      <c r="Y90" s="3"/>
      <c r="Z90" s="3"/>
    </row>
    <row r="91" spans="1:26">
      <c r="A91" s="3"/>
      <c r="B91" s="3"/>
      <c r="C91" s="3"/>
      <c r="D91" s="3"/>
      <c r="E91" s="3" t="str">
        <f>'2.0 Capex Real Dollars'!E91</f>
        <v>2018/19</v>
      </c>
      <c r="F91" s="3" t="str">
        <f>'2.0 Capex Real Dollars'!F91</f>
        <v>2019/20</v>
      </c>
      <c r="G91" s="3" t="str">
        <f>'2.0 Capex Real Dollars'!G91</f>
        <v>2020/21</v>
      </c>
      <c r="H91" s="3" t="str">
        <f>'2.0 Capex Real Dollars'!H91</f>
        <v>2021/22</v>
      </c>
      <c r="I91" s="3" t="str">
        <f>'2.0 Capex Real Dollars'!I91</f>
        <v>2022/23</v>
      </c>
      <c r="J91" s="3" t="str">
        <f>'2.0 Capex Real Dollars'!J91</f>
        <v>Total</v>
      </c>
      <c r="L91" s="3" t="str">
        <f>'2.0 Capex Real Dollars'!L91</f>
        <v>Driver</v>
      </c>
      <c r="M91" s="3" t="str">
        <f>'2.0 Capex Real Dollars'!M91</f>
        <v>$</v>
      </c>
      <c r="N91" s="3">
        <f>'2.0 Capex Real Dollars'!N91</f>
        <v>0</v>
      </c>
      <c r="O91" s="3">
        <f>'2.0 Capex Real Dollars'!O91</f>
        <v>0</v>
      </c>
      <c r="P91" s="3" t="str">
        <f>'2.0 Capex Real Dollars'!P91</f>
        <v>2023/24</v>
      </c>
      <c r="Q91" s="3" t="str">
        <f>'2.0 Capex Real Dollars'!Q91</f>
        <v>2024/25</v>
      </c>
      <c r="R91" s="3" t="str">
        <f>'2.0 Capex Real Dollars'!R91</f>
        <v>2025/26</v>
      </c>
      <c r="S91" s="3" t="str">
        <f>'2.0 Capex Real Dollars'!S91</f>
        <v>2026/27</v>
      </c>
      <c r="T91" s="3" t="str">
        <f>'2.0 Capex Real Dollars'!T91</f>
        <v>2027/28</v>
      </c>
      <c r="U91" s="3" t="str">
        <f>'2.0 Capex Real Dollars'!U91</f>
        <v>Total</v>
      </c>
    </row>
    <row r="93" spans="1:26">
      <c r="A93" s="33" t="str">
        <f>'2.0 Capex Real Dollars'!A93</f>
        <v>Replacement expenditure</v>
      </c>
      <c r="B93" s="33">
        <f>IF(A93="","",'1.0 Data'!B88)</f>
        <v>0</v>
      </c>
      <c r="C93" s="33">
        <f>'2.0 Capex Real Dollars'!C93</f>
        <v>0</v>
      </c>
      <c r="D93" s="33">
        <f>'2.0 Capex Real Dollars'!D93</f>
        <v>0</v>
      </c>
      <c r="E93" s="17">
        <f>SUMIF($D$10:$D$42,$A93,E$10:E$42)</f>
        <v>10220.187986000001</v>
      </c>
      <c r="F93" s="17">
        <f t="shared" ref="F93:I96" si="14">SUMIF($D$10:$D$42,$A93,F$10:F$42)</f>
        <v>6760.2548600000009</v>
      </c>
      <c r="G93" s="17">
        <f t="shared" si="14"/>
        <v>5695.9108399999977</v>
      </c>
      <c r="H93" s="17">
        <f t="shared" si="14"/>
        <v>2471.6739600000001</v>
      </c>
      <c r="I93" s="17">
        <f t="shared" si="14"/>
        <v>3542.7452387525191</v>
      </c>
      <c r="J93" s="46">
        <f>SUM(E93:I93)</f>
        <v>28690.772884752518</v>
      </c>
      <c r="L93" s="33" t="str">
        <f>'2.0 Capex Real Dollars'!L93</f>
        <v>Replacement expenditure</v>
      </c>
      <c r="M93" s="33" t="str">
        <f>IF(L93="","",'1.0 Data'!$B$9)</f>
        <v>nominal</v>
      </c>
      <c r="N93" s="33">
        <f>'2.0 Capex Real Dollars'!N93</f>
        <v>0</v>
      </c>
      <c r="O93" s="33">
        <f>'2.0 Capex Real Dollars'!O93</f>
        <v>0</v>
      </c>
      <c r="P93" s="17">
        <f>'2.0 Capex Real Dollars'!P93/'1.1 Input'!I$13</f>
        <v>4267.2102690049878</v>
      </c>
      <c r="Q93" s="17">
        <f>'2.0 Capex Real Dollars'!Q93/'1.1 Input'!J$13</f>
        <v>4651.2132263808016</v>
      </c>
      <c r="R93" s="17">
        <f>'2.0 Capex Real Dollars'!R93/'1.1 Input'!K$13</f>
        <v>3970.2670496509386</v>
      </c>
      <c r="S93" s="17">
        <f>'2.0 Capex Real Dollars'!S93/'1.1 Input'!L$13</f>
        <v>2042.6905233692423</v>
      </c>
      <c r="T93" s="17">
        <f>'2.0 Capex Real Dollars'!T93/'1.1 Input'!M$13</f>
        <v>755.52508417706929</v>
      </c>
      <c r="U93" s="46">
        <f>SUM(P93:T93)</f>
        <v>15686.906152583037</v>
      </c>
    </row>
    <row r="94" spans="1:26">
      <c r="A94" s="33" t="str">
        <f>'2.0 Capex Real Dollars'!A94</f>
        <v>Connections</v>
      </c>
      <c r="B94" s="33">
        <f>IF(A94="","",'1.0 Data'!B89)</f>
        <v>0</v>
      </c>
      <c r="C94" s="33">
        <f>'2.0 Capex Real Dollars'!C94</f>
        <v>0</v>
      </c>
      <c r="D94" s="33">
        <f>'2.0 Capex Real Dollars'!D94</f>
        <v>0</v>
      </c>
      <c r="E94" s="17">
        <f t="shared" ref="E94:E96" si="15">SUMIF($D$10:$D$42,$A94,E$10:E$42)</f>
        <v>0</v>
      </c>
      <c r="F94" s="17">
        <f t="shared" si="14"/>
        <v>0</v>
      </c>
      <c r="G94" s="17">
        <f t="shared" si="14"/>
        <v>0</v>
      </c>
      <c r="H94" s="17">
        <f t="shared" si="14"/>
        <v>0</v>
      </c>
      <c r="I94" s="17">
        <f t="shared" si="14"/>
        <v>0</v>
      </c>
      <c r="J94" s="46">
        <f>SUM(E94:I94)</f>
        <v>0</v>
      </c>
      <c r="L94" s="33" t="str">
        <f>'2.0 Capex Real Dollars'!L94</f>
        <v>Connections</v>
      </c>
      <c r="M94" s="33" t="str">
        <f>IF(L94="","",'1.0 Data'!$B$9)</f>
        <v>nominal</v>
      </c>
      <c r="N94" s="33">
        <f>'2.0 Capex Real Dollars'!N94</f>
        <v>0</v>
      </c>
      <c r="O94" s="33">
        <f>'2.0 Capex Real Dollars'!O94</f>
        <v>0</v>
      </c>
      <c r="P94" s="17">
        <f>'2.0 Capex Real Dollars'!P94/'1.1 Input'!I$13</f>
        <v>0</v>
      </c>
      <c r="Q94" s="17">
        <f>'2.0 Capex Real Dollars'!Q94/'1.1 Input'!J$13</f>
        <v>0</v>
      </c>
      <c r="R94" s="17">
        <f>'2.0 Capex Real Dollars'!R94/'1.1 Input'!K$13</f>
        <v>0</v>
      </c>
      <c r="S94" s="17">
        <f>'2.0 Capex Real Dollars'!S94/'1.1 Input'!L$13</f>
        <v>0</v>
      </c>
      <c r="T94" s="17">
        <f>'2.0 Capex Real Dollars'!T94/'1.1 Input'!M$13</f>
        <v>0</v>
      </c>
      <c r="U94" s="46">
        <f>SUM(P94:T94)</f>
        <v>0</v>
      </c>
    </row>
    <row r="95" spans="1:26">
      <c r="A95" s="33" t="str">
        <f>'2.0 Capex Real Dollars'!A95</f>
        <v>Augmentation Expenditure</v>
      </c>
      <c r="B95" s="33">
        <f>IF(A95="","",'1.0 Data'!B90)</f>
        <v>0</v>
      </c>
      <c r="C95" s="33">
        <f>'2.0 Capex Real Dollars'!C95</f>
        <v>0</v>
      </c>
      <c r="D95" s="33">
        <f>'2.0 Capex Real Dollars'!D95</f>
        <v>0</v>
      </c>
      <c r="E95" s="17">
        <f t="shared" si="15"/>
        <v>0</v>
      </c>
      <c r="F95" s="17">
        <f t="shared" si="14"/>
        <v>0</v>
      </c>
      <c r="G95" s="17">
        <f t="shared" si="14"/>
        <v>0</v>
      </c>
      <c r="H95" s="17">
        <f t="shared" si="14"/>
        <v>0</v>
      </c>
      <c r="I95" s="17">
        <f t="shared" si="14"/>
        <v>0</v>
      </c>
      <c r="J95" s="46">
        <f>SUM(E95:I95)</f>
        <v>0</v>
      </c>
      <c r="L95" s="33" t="str">
        <f>'2.0 Capex Real Dollars'!L95</f>
        <v>Augmentation Expenditure</v>
      </c>
      <c r="M95" s="33" t="str">
        <f>IF(L95="","",'1.0 Data'!$B$9)</f>
        <v>nominal</v>
      </c>
      <c r="N95" s="33">
        <f>'2.0 Capex Real Dollars'!N95</f>
        <v>0</v>
      </c>
      <c r="O95" s="33">
        <f>'2.0 Capex Real Dollars'!O95</f>
        <v>0</v>
      </c>
      <c r="P95" s="17">
        <f>'2.0 Capex Real Dollars'!P95/'1.1 Input'!I$13</f>
        <v>0</v>
      </c>
      <c r="Q95" s="17">
        <f>'2.0 Capex Real Dollars'!Q95/'1.1 Input'!J$13</f>
        <v>0</v>
      </c>
      <c r="R95" s="17">
        <f>'2.0 Capex Real Dollars'!R95/'1.1 Input'!K$13</f>
        <v>0</v>
      </c>
      <c r="S95" s="17">
        <f>'2.0 Capex Real Dollars'!S95/'1.1 Input'!L$13</f>
        <v>0</v>
      </c>
      <c r="T95" s="17">
        <f>'2.0 Capex Real Dollars'!T95/'1.1 Input'!M$13</f>
        <v>0</v>
      </c>
      <c r="U95" s="46">
        <f>SUM(P95:T95)</f>
        <v>0</v>
      </c>
    </row>
    <row r="96" spans="1:26" ht="15.75" thickBot="1">
      <c r="A96" s="33" t="str">
        <f>'2.0 Capex Real Dollars'!A96</f>
        <v>Non-network</v>
      </c>
      <c r="B96" s="33">
        <f>IF(A96="","",'1.0 Data'!B91)</f>
        <v>0</v>
      </c>
      <c r="C96" s="33">
        <f>'2.0 Capex Real Dollars'!C96</f>
        <v>0</v>
      </c>
      <c r="D96" s="33">
        <f>'2.0 Capex Real Dollars'!D96</f>
        <v>0</v>
      </c>
      <c r="E96" s="17">
        <f t="shared" si="15"/>
        <v>40.388100000000001</v>
      </c>
      <c r="F96" s="17">
        <f t="shared" si="14"/>
        <v>0</v>
      </c>
      <c r="G96" s="17">
        <f t="shared" si="14"/>
        <v>0</v>
      </c>
      <c r="H96" s="17">
        <f t="shared" si="14"/>
        <v>0</v>
      </c>
      <c r="I96" s="17">
        <f t="shared" si="14"/>
        <v>157.63358778625954</v>
      </c>
      <c r="J96" s="46">
        <f>SUM(E96:I96)</f>
        <v>198.02168778625955</v>
      </c>
      <c r="L96" s="33" t="str">
        <f>'2.0 Capex Real Dollars'!L96</f>
        <v>Non-network</v>
      </c>
      <c r="M96" s="33" t="str">
        <f>IF(L96="","",'1.0 Data'!$B$9)</f>
        <v>nominal</v>
      </c>
      <c r="N96" s="33">
        <f>'2.0 Capex Real Dollars'!N96</f>
        <v>0</v>
      </c>
      <c r="O96" s="33">
        <f>'2.0 Capex Real Dollars'!O96</f>
        <v>0</v>
      </c>
      <c r="P96" s="17">
        <f>'2.0 Capex Real Dollars'!P96/'1.1 Input'!I$13</f>
        <v>42.44347404580153</v>
      </c>
      <c r="Q96" s="17">
        <f>'2.0 Capex Real Dollars'!Q96/'1.1 Input'!J$13</f>
        <v>0</v>
      </c>
      <c r="R96" s="17">
        <f>'2.0 Capex Real Dollars'!R96/'1.1 Input'!K$13</f>
        <v>0</v>
      </c>
      <c r="S96" s="17">
        <f>'2.0 Capex Real Dollars'!S96/'1.1 Input'!L$13</f>
        <v>0</v>
      </c>
      <c r="T96" s="17">
        <f>'2.0 Capex Real Dollars'!T96/'1.1 Input'!M$13</f>
        <v>191.92584698508242</v>
      </c>
      <c r="U96" s="46">
        <f>SUM(P96:T96)</f>
        <v>234.36932103088395</v>
      </c>
    </row>
    <row r="97" spans="1:22" ht="15.75" thickTop="1">
      <c r="A97" s="33" t="str">
        <f>'2.0 Capex Real Dollars'!A97</f>
        <v>Total</v>
      </c>
      <c r="B97" s="33">
        <f>IF(A97="","",'1.0 Data'!B92)</f>
        <v>0</v>
      </c>
      <c r="C97" s="33">
        <f>'2.0 Capex Real Dollars'!C97</f>
        <v>0</v>
      </c>
      <c r="D97" s="33">
        <f>'2.0 Capex Real Dollars'!D97</f>
        <v>0</v>
      </c>
      <c r="E97" s="27">
        <f t="shared" ref="E97:J97" si="16">SUM(E93:E96)</f>
        <v>10260.576086000001</v>
      </c>
      <c r="F97" s="27">
        <f t="shared" si="16"/>
        <v>6760.2548600000009</v>
      </c>
      <c r="G97" s="27">
        <f t="shared" si="16"/>
        <v>5695.9108399999977</v>
      </c>
      <c r="H97" s="27">
        <f t="shared" si="16"/>
        <v>2471.6739600000001</v>
      </c>
      <c r="I97" s="27">
        <f t="shared" si="16"/>
        <v>3700.3788265387784</v>
      </c>
      <c r="J97" s="27">
        <f t="shared" si="16"/>
        <v>28888.794572538776</v>
      </c>
      <c r="L97" s="33" t="str">
        <f>'2.0 Capex Real Dollars'!L97</f>
        <v>Total</v>
      </c>
      <c r="M97" s="33" t="str">
        <f>IF(L97="","",'1.0 Data'!$B$9)</f>
        <v>nominal</v>
      </c>
      <c r="N97" s="33">
        <f>'2.0 Capex Real Dollars'!N97</f>
        <v>0</v>
      </c>
      <c r="O97" s="33">
        <f>'2.0 Capex Real Dollars'!O97</f>
        <v>0</v>
      </c>
      <c r="P97" s="27">
        <f t="shared" ref="P97:U97" si="17">SUM(P93:P96)</f>
        <v>4309.6537430507897</v>
      </c>
      <c r="Q97" s="27">
        <f t="shared" si="17"/>
        <v>4651.2132263808016</v>
      </c>
      <c r="R97" s="27">
        <f t="shared" si="17"/>
        <v>3970.2670496509386</v>
      </c>
      <c r="S97" s="27">
        <f t="shared" si="17"/>
        <v>2042.6905233692423</v>
      </c>
      <c r="T97" s="27">
        <f t="shared" si="17"/>
        <v>947.45093116215173</v>
      </c>
      <c r="U97" s="27">
        <f t="shared" si="17"/>
        <v>15921.275473613921</v>
      </c>
    </row>
    <row r="99" spans="1:22" ht="19.5">
      <c r="A99" s="2" t="str">
        <f>'2.0 Capex Real Dollars'!A99</f>
        <v>By Project (As Commissioned)</v>
      </c>
      <c r="B99" s="2"/>
      <c r="C99" s="2"/>
      <c r="D99" s="2"/>
      <c r="E99" s="2"/>
      <c r="F99" s="2"/>
      <c r="G99" s="2"/>
      <c r="H99" s="2"/>
      <c r="I99" s="2"/>
      <c r="J99" s="2"/>
      <c r="K99" s="2"/>
      <c r="L99" s="2"/>
      <c r="M99" s="2"/>
      <c r="N99" s="2"/>
      <c r="O99" s="2"/>
      <c r="P99" s="2"/>
      <c r="Q99" s="2"/>
      <c r="R99" s="2"/>
      <c r="S99" s="2"/>
      <c r="T99" s="2"/>
      <c r="U99" s="2"/>
    </row>
    <row r="100" spans="1:22">
      <c r="A100" s="3"/>
      <c r="B100" s="3"/>
      <c r="C100" s="3"/>
      <c r="D100" s="3"/>
      <c r="E100" s="3" t="str">
        <f>'2.0 Capex Real Dollars'!E100</f>
        <v>2018/19</v>
      </c>
      <c r="F100" s="3" t="str">
        <f>'2.0 Capex Real Dollars'!F100</f>
        <v>2019/20</v>
      </c>
      <c r="G100" s="3" t="str">
        <f>'2.0 Capex Real Dollars'!G100</f>
        <v>2020/21</v>
      </c>
      <c r="H100" s="3" t="str">
        <f>'2.0 Capex Real Dollars'!H100</f>
        <v>2021/22</v>
      </c>
      <c r="I100" s="3" t="str">
        <f>'2.0 Capex Real Dollars'!I100</f>
        <v>2022/23</v>
      </c>
      <c r="J100" s="3" t="str">
        <f>'2.0 Capex Real Dollars'!J100</f>
        <v>Total</v>
      </c>
      <c r="L100" s="3" t="str">
        <f>L68</f>
        <v>Program</v>
      </c>
      <c r="M100" s="3" t="str">
        <f>M68</f>
        <v>input</v>
      </c>
      <c r="N100" s="3" t="str">
        <f>N68</f>
        <v>Asset Class</v>
      </c>
      <c r="O100" s="3" t="str">
        <f>O68</f>
        <v>Asset Driver</v>
      </c>
      <c r="P100" s="3" t="str">
        <f>'2.0 Capex Real Dollars'!P100</f>
        <v>2023/24</v>
      </c>
      <c r="Q100" s="3" t="str">
        <f>'2.0 Capex Real Dollars'!Q100</f>
        <v>2024/25</v>
      </c>
      <c r="R100" s="3" t="str">
        <f>'2.0 Capex Real Dollars'!R100</f>
        <v>2025/26</v>
      </c>
      <c r="S100" s="3" t="str">
        <f>'2.0 Capex Real Dollars'!S100</f>
        <v>2026/27</v>
      </c>
      <c r="T100" s="3" t="str">
        <f>'2.0 Capex Real Dollars'!T100</f>
        <v>2027/28</v>
      </c>
      <c r="U100" s="3" t="str">
        <f>'2.0 Capex Real Dollars'!U100</f>
        <v>Total</v>
      </c>
    </row>
    <row r="102" spans="1:22">
      <c r="L102" s="33" t="str">
        <f>'2.0 Capex Real Dollars'!L102</f>
        <v>Cable Protection/Modification</v>
      </c>
      <c r="M102" s="33" t="str">
        <f>IF(L102="","",'1.0 Data'!$B$9)</f>
        <v>nominal</v>
      </c>
      <c r="N102" s="33" t="str">
        <f>'2.0 Capex Real Dollars'!N102</f>
        <v>Transmission Cable</v>
      </c>
      <c r="O102" s="33" t="str">
        <f>'2.0 Capex Real Dollars'!O102</f>
        <v>Replacement expenditure</v>
      </c>
      <c r="P102" s="17">
        <f>'2.0 Capex Real Dollars'!P102/'1.1 Input'!I$13</f>
        <v>252.60467175572521</v>
      </c>
      <c r="Q102" s="17">
        <f>'2.0 Capex Real Dollars'!Q102/'1.1 Input'!J$13</f>
        <v>263.97188198473282</v>
      </c>
      <c r="R102" s="17">
        <f>'2.0 Capex Real Dollars'!R102/'1.1 Input'!K$13</f>
        <v>1545.7493736162849</v>
      </c>
      <c r="S102" s="17">
        <f>'2.0 Capex Real Dollars'!S102/'1.1 Input'!L$13</f>
        <v>284.13933376836638</v>
      </c>
      <c r="T102" s="17">
        <f>'2.0 Capex Real Dollars'!T102/'1.1 Input'!M$13</f>
        <v>292.66351378141735</v>
      </c>
      <c r="U102" s="46">
        <f t="shared" ref="U102:U111" si="18">SUM(P102:T102)</f>
        <v>2639.1287749065264</v>
      </c>
      <c r="V102" s="54">
        <f t="shared" ref="V102:V112" si="19">U10</f>
        <v>2639.1287749065264</v>
      </c>
    </row>
    <row r="103" spans="1:22">
      <c r="L103" s="33" t="str">
        <f>'2.0 Capex Real Dollars'!L103</f>
        <v>Essential Spares</v>
      </c>
      <c r="M103" s="33" t="str">
        <f>IF(L103="","",'1.0 Data'!$B$9)</f>
        <v>nominal</v>
      </c>
      <c r="N103" s="33" t="str">
        <f>'2.0 Capex Real Dollars'!N103</f>
        <v>Switchyard</v>
      </c>
      <c r="O103" s="33" t="str">
        <f>'2.0 Capex Real Dollars'!O103</f>
        <v>Replacement expenditure</v>
      </c>
      <c r="P103" s="17">
        <f>'2.0 Capex Real Dollars'!P103/'1.1 Input'!I$13</f>
        <v>241.14891348600511</v>
      </c>
      <c r="Q103" s="17">
        <f>'2.0 Capex Real Dollars'!Q103/'1.1 Input'!J$13</f>
        <v>252.00061459287531</v>
      </c>
      <c r="R103" s="17">
        <f>'2.0 Capex Real Dollars'!R103/'1.1 Input'!K$13</f>
        <v>262.08063917659035</v>
      </c>
      <c r="S103" s="17">
        <f>'2.0 Capex Real Dollars'!S103/'1.1 Input'!L$13</f>
        <v>271.25346154777094</v>
      </c>
      <c r="T103" s="17">
        <f>'2.0 Capex Real Dollars'!T103/'1.1 Input'!M$13</f>
        <v>279.39106539420408</v>
      </c>
      <c r="U103" s="46">
        <f t="shared" si="18"/>
        <v>1305.8746941974457</v>
      </c>
      <c r="V103" s="54">
        <f t="shared" si="19"/>
        <v>1305.8746941974457</v>
      </c>
    </row>
    <row r="104" spans="1:22">
      <c r="L104" s="33" t="str">
        <f>'2.0 Capex Real Dollars'!L104</f>
        <v>IGBTs</v>
      </c>
      <c r="M104" s="33" t="str">
        <f>IF(L104="","",'1.0 Data'!$B$9)</f>
        <v>nominal</v>
      </c>
      <c r="N104" s="33" t="str">
        <f>'2.0 Capex Real Dollars'!N104</f>
        <v>Switchyard</v>
      </c>
      <c r="O104" s="33" t="str">
        <f>'2.0 Capex Real Dollars'!O104</f>
        <v>Replacement expenditure</v>
      </c>
      <c r="P104" s="17">
        <f>'2.0 Capex Real Dollars'!P104/'1.1 Input'!I$13</f>
        <v>0</v>
      </c>
      <c r="Q104" s="17">
        <f>'2.0 Capex Real Dollars'!Q104/'1.1 Input'!J$13</f>
        <v>0</v>
      </c>
      <c r="R104" s="17">
        <f>'2.0 Capex Real Dollars'!R104/'1.1 Input'!K$13</f>
        <v>0</v>
      </c>
      <c r="S104" s="17">
        <f>'2.0 Capex Real Dollars'!S104/'1.1 Input'!L$13</f>
        <v>0</v>
      </c>
      <c r="T104" s="17">
        <f>'2.0 Capex Real Dollars'!T104/'1.1 Input'!M$13</f>
        <v>0</v>
      </c>
      <c r="U104" s="46">
        <f t="shared" si="18"/>
        <v>0</v>
      </c>
      <c r="V104" s="54">
        <f t="shared" si="19"/>
        <v>0</v>
      </c>
    </row>
    <row r="105" spans="1:22">
      <c r="L105" s="33" t="str">
        <f>'2.0 Capex Real Dollars'!L105</f>
        <v>Stay in business</v>
      </c>
      <c r="M105" s="33" t="str">
        <f>IF(L105="","",'1.0 Data'!$B$9)</f>
        <v>nominal</v>
      </c>
      <c r="N105" s="33" t="str">
        <f>'2.0 Capex Real Dollars'!N105</f>
        <v>Other operating assets</v>
      </c>
      <c r="O105" s="33" t="str">
        <f>'2.0 Capex Real Dollars'!O105</f>
        <v>Replacement expenditure</v>
      </c>
      <c r="P105" s="17">
        <f>'2.0 Capex Real Dollars'!P105/'1.1 Input'!I$13</f>
        <v>1126.5732986004073</v>
      </c>
      <c r="Q105" s="17">
        <f>'2.0 Capex Real Dollars'!Q105/'1.1 Input'!J$13</f>
        <v>1118.4274340718828</v>
      </c>
      <c r="R105" s="17">
        <f>'2.0 Capex Real Dollars'!R105/'1.1 Input'!K$13</f>
        <v>985.47980397806373</v>
      </c>
      <c r="S105" s="17">
        <f>'2.0 Capex Real Dollars'!S105/'1.1 Input'!L$13</f>
        <v>269.14699202230526</v>
      </c>
      <c r="T105" s="17">
        <f>'2.0 Capex Real Dollars'!T105/'1.1 Input'!M$13</f>
        <v>183.47050500144775</v>
      </c>
      <c r="U105" s="46">
        <f t="shared" si="18"/>
        <v>3683.0980336741063</v>
      </c>
      <c r="V105" s="54">
        <f t="shared" si="19"/>
        <v>3683.0980336741063</v>
      </c>
    </row>
    <row r="106" spans="1:22">
      <c r="L106" s="33" t="str">
        <f>'2.0 Capex Real Dollars'!L106</f>
        <v>Reliability</v>
      </c>
      <c r="M106" s="33" t="str">
        <f>IF(L106="","",'1.0 Data'!$B$9)</f>
        <v>nominal</v>
      </c>
      <c r="N106" s="33" t="str">
        <f>'2.0 Capex Real Dollars'!N106</f>
        <v>Other operating assets</v>
      </c>
      <c r="O106" s="33" t="str">
        <f>'2.0 Capex Real Dollars'!O106</f>
        <v>Replacement expenditure</v>
      </c>
      <c r="P106" s="17">
        <f>'2.0 Capex Real Dollars'!P106/'1.1 Input'!I$13</f>
        <v>530.51836183206103</v>
      </c>
      <c r="Q106" s="17">
        <f>'2.0 Capex Real Dollars'!Q106/'1.1 Input'!J$13</f>
        <v>1292.8446927755726</v>
      </c>
      <c r="R106" s="17">
        <f>'2.0 Capex Real Dollars'!R106/'1.1 Input'!K$13</f>
        <v>0</v>
      </c>
      <c r="S106" s="17">
        <f>'2.0 Capex Real Dollars'!S106/'1.1 Input'!L$13</f>
        <v>0</v>
      </c>
      <c r="T106" s="17">
        <f>'2.0 Capex Real Dollars'!T106/'1.1 Input'!M$13</f>
        <v>0</v>
      </c>
      <c r="U106" s="46">
        <f t="shared" si="18"/>
        <v>1823.3630546076338</v>
      </c>
      <c r="V106" s="54">
        <f t="shared" si="19"/>
        <v>1823.3630546076338</v>
      </c>
    </row>
    <row r="107" spans="1:22">
      <c r="L107" s="33" t="str">
        <f>'2.0 Capex Real Dollars'!L107</f>
        <v>SOCI</v>
      </c>
      <c r="M107" s="33" t="str">
        <f>IF(L107="","",'1.0 Data'!$B$9)</f>
        <v>nominal</v>
      </c>
      <c r="N107" s="33" t="str">
        <f>'2.0 Capex Real Dollars'!N107</f>
        <v>Non ancillary asset</v>
      </c>
      <c r="O107" s="33" t="str">
        <f>'2.0 Capex Real Dollars'!O107</f>
        <v>Replacement expenditure</v>
      </c>
      <c r="P107" s="17">
        <f>'2.0 Capex Real Dollars'!P107/'1.1 Input'!I$13</f>
        <v>466.63430279898222</v>
      </c>
      <c r="Q107" s="17">
        <f>'2.0 Capex Real Dollars'!Q107/'1.1 Input'!J$13</f>
        <v>0</v>
      </c>
      <c r="R107" s="17">
        <f>'2.0 Capex Real Dollars'!R107/'1.1 Input'!K$13</f>
        <v>1176.9572328799998</v>
      </c>
      <c r="S107" s="17">
        <f>'2.0 Capex Real Dollars'!S107/'1.1 Input'!L$13</f>
        <v>1218.1507360307996</v>
      </c>
      <c r="T107" s="17">
        <f>'2.0 Capex Real Dollars'!T107/'1.1 Input'!M$13</f>
        <v>0</v>
      </c>
      <c r="U107" s="46">
        <f t="shared" si="18"/>
        <v>2861.7422717097816</v>
      </c>
      <c r="V107" s="54">
        <f t="shared" si="19"/>
        <v>2861.7422717097816</v>
      </c>
    </row>
    <row r="108" spans="1:22">
      <c r="L108" s="33" t="str">
        <f>'2.0 Capex Real Dollars'!L108</f>
        <v>Enhanced Cooling</v>
      </c>
      <c r="M108" s="33" t="str">
        <f>IF(L108="","",'1.0 Data'!$B$9)</f>
        <v>nominal</v>
      </c>
      <c r="N108" s="33" t="str">
        <f>'2.0 Capex Real Dollars'!N108</f>
        <v>Other operating assets</v>
      </c>
      <c r="O108" s="33" t="str">
        <f>'2.0 Capex Real Dollars'!O108</f>
        <v>Replacement expenditure</v>
      </c>
      <c r="P108" s="17">
        <f>'2.0 Capex Real Dollars'!P108/'1.1 Input'!I$13</f>
        <v>0</v>
      </c>
      <c r="Q108" s="17">
        <f>'2.0 Capex Real Dollars'!Q108/'1.1 Input'!J$13</f>
        <v>3447.9372059114758</v>
      </c>
      <c r="R108" s="17">
        <f>'2.0 Capex Real Dollars'!R108/'1.1 Input'!K$13</f>
        <v>0</v>
      </c>
      <c r="S108" s="17">
        <f>'2.0 Capex Real Dollars'!S108/'1.1 Input'!L$13</f>
        <v>0</v>
      </c>
      <c r="T108" s="17">
        <f>'2.0 Capex Real Dollars'!T108/'1.1 Input'!M$13</f>
        <v>0</v>
      </c>
      <c r="U108" s="46">
        <f t="shared" si="18"/>
        <v>3447.9372059114758</v>
      </c>
      <c r="V108" s="54">
        <f t="shared" si="19"/>
        <v>3373.6993234875445</v>
      </c>
    </row>
    <row r="109" spans="1:22">
      <c r="L109" s="33" t="str">
        <f>'2.0 Capex Real Dollars'!L109</f>
        <v>Regulatory Reset</v>
      </c>
      <c r="M109" s="33" t="str">
        <f>IF(L109="","",'1.0 Data'!$B$9)</f>
        <v>nominal</v>
      </c>
      <c r="N109" s="33" t="str">
        <f>'2.0 Capex Real Dollars'!N109</f>
        <v>Non ancillary asset</v>
      </c>
      <c r="O109" s="33" t="str">
        <f>'2.0 Capex Real Dollars'!O109</f>
        <v>Non-network</v>
      </c>
      <c r="P109" s="17">
        <f>'2.0 Capex Real Dollars'!P109/'1.1 Input'!I$13</f>
        <v>42.44347404580153</v>
      </c>
      <c r="Q109" s="17">
        <f>'2.0 Capex Real Dollars'!Q109/'1.1 Input'!J$13</f>
        <v>0</v>
      </c>
      <c r="R109" s="17">
        <f>'2.0 Capex Real Dollars'!R109/'1.1 Input'!K$13</f>
        <v>0</v>
      </c>
      <c r="S109" s="17">
        <f>'2.0 Capex Real Dollars'!S109/'1.1 Input'!L$13</f>
        <v>0</v>
      </c>
      <c r="T109" s="17">
        <f>'2.0 Capex Real Dollars'!T109/'1.1 Input'!M$13</f>
        <v>191.92584698508242</v>
      </c>
      <c r="U109" s="46">
        <f t="shared" si="18"/>
        <v>234.36932103088395</v>
      </c>
      <c r="V109" s="54">
        <f t="shared" si="19"/>
        <v>234.36932103088395</v>
      </c>
    </row>
    <row r="110" spans="1:22">
      <c r="L110" s="33" t="str">
        <f>'2.0 Capex Real Dollars'!L110</f>
        <v/>
      </c>
      <c r="M110" s="33" t="str">
        <f>IF(L110="","",'1.0 Data'!$B$9)</f>
        <v/>
      </c>
      <c r="N110" s="33" t="e">
        <f>'2.0 Capex Real Dollars'!N110</f>
        <v>#N/A</v>
      </c>
      <c r="O110" s="33" t="e">
        <f>'2.0 Capex Real Dollars'!O110</f>
        <v>#N/A</v>
      </c>
      <c r="P110" s="17">
        <f>'2.0 Capex Real Dollars'!P110/'1.1 Input'!I$13</f>
        <v>0</v>
      </c>
      <c r="Q110" s="17">
        <f>'2.0 Capex Real Dollars'!Q110/'1.1 Input'!J$13</f>
        <v>0</v>
      </c>
      <c r="R110" s="17">
        <f>'2.0 Capex Real Dollars'!R110/'1.1 Input'!K$13</f>
        <v>0</v>
      </c>
      <c r="S110" s="17">
        <f>'2.0 Capex Real Dollars'!S110/'1.1 Input'!L$13</f>
        <v>0</v>
      </c>
      <c r="T110" s="17">
        <f>'2.0 Capex Real Dollars'!T110/'1.1 Input'!M$13</f>
        <v>0</v>
      </c>
      <c r="U110" s="46">
        <f t="shared" si="18"/>
        <v>0</v>
      </c>
      <c r="V110" s="54">
        <f t="shared" si="19"/>
        <v>0</v>
      </c>
    </row>
    <row r="111" spans="1:22" ht="15.75" thickBot="1">
      <c r="L111" s="33" t="str">
        <f>'2.0 Capex Real Dollars'!L111</f>
        <v/>
      </c>
      <c r="M111" s="33" t="str">
        <f>IF(L111="","",'1.0 Data'!$B$9)</f>
        <v/>
      </c>
      <c r="N111" s="33" t="e">
        <f>'2.0 Capex Real Dollars'!N111</f>
        <v>#N/A</v>
      </c>
      <c r="O111" s="33" t="e">
        <f>'2.0 Capex Real Dollars'!O111</f>
        <v>#N/A</v>
      </c>
      <c r="P111" s="17">
        <f>'2.0 Capex Real Dollars'!P111/'1.1 Input'!I$13</f>
        <v>0</v>
      </c>
      <c r="Q111" s="17">
        <f>'2.0 Capex Real Dollars'!Q111/'1.1 Input'!J$13</f>
        <v>0</v>
      </c>
      <c r="R111" s="17">
        <f>'2.0 Capex Real Dollars'!R111/'1.1 Input'!K$13</f>
        <v>0</v>
      </c>
      <c r="S111" s="17">
        <f>'2.0 Capex Real Dollars'!S111/'1.1 Input'!L$13</f>
        <v>0</v>
      </c>
      <c r="T111" s="17">
        <f>'2.0 Capex Real Dollars'!T111/'1.1 Input'!M$13</f>
        <v>0</v>
      </c>
      <c r="U111" s="46">
        <f t="shared" si="18"/>
        <v>0</v>
      </c>
      <c r="V111" s="54">
        <f t="shared" si="19"/>
        <v>0</v>
      </c>
    </row>
    <row r="112" spans="1:22" ht="15.75" thickTop="1">
      <c r="L112" s="33" t="str">
        <f>'2.0 Capex Real Dollars'!L112</f>
        <v>Total</v>
      </c>
      <c r="M112" s="33" t="str">
        <f>IF(L112="","",'1.0 Data'!$B$9)</f>
        <v>nominal</v>
      </c>
      <c r="N112" s="33">
        <f>'2.0 Capex Real Dollars'!N112</f>
        <v>0</v>
      </c>
      <c r="O112" s="33">
        <f>'2.0 Capex Real Dollars'!O112</f>
        <v>0</v>
      </c>
      <c r="P112" s="27">
        <f t="shared" ref="P112:U112" si="20">SUM(P102:P111)</f>
        <v>2659.9230225189826</v>
      </c>
      <c r="Q112" s="27">
        <f t="shared" si="20"/>
        <v>6375.1818293365395</v>
      </c>
      <c r="R112" s="27">
        <f t="shared" si="20"/>
        <v>3970.2670496509381</v>
      </c>
      <c r="S112" s="27">
        <f t="shared" si="20"/>
        <v>2042.6905233692423</v>
      </c>
      <c r="T112" s="27">
        <f t="shared" si="20"/>
        <v>947.45093116215162</v>
      </c>
      <c r="U112" s="27">
        <f t="shared" si="20"/>
        <v>15995.513356037854</v>
      </c>
      <c r="V112" s="54">
        <f t="shared" si="19"/>
        <v>0</v>
      </c>
    </row>
    <row r="120" spans="1:21" ht="19.5">
      <c r="A120" s="2"/>
      <c r="B120" s="2"/>
      <c r="C120" s="2"/>
      <c r="D120" s="2"/>
      <c r="E120" s="2"/>
      <c r="F120" s="2"/>
      <c r="G120" s="2"/>
      <c r="H120" s="2"/>
      <c r="I120" s="2"/>
      <c r="J120" s="2"/>
      <c r="K120" s="2"/>
      <c r="L120" s="2"/>
      <c r="M120" s="2"/>
      <c r="N120" s="2"/>
      <c r="O120" s="2"/>
      <c r="P120" s="2"/>
      <c r="Q120" s="2"/>
      <c r="R120" s="2"/>
      <c r="S120" s="2"/>
      <c r="T120" s="2"/>
      <c r="U120" s="2"/>
    </row>
    <row r="121" spans="1:21">
      <c r="A121" s="3"/>
      <c r="B121" s="3"/>
      <c r="C121" s="3"/>
      <c r="D121" s="3"/>
      <c r="E121" s="3"/>
      <c r="F121" s="3"/>
      <c r="G121" s="3"/>
      <c r="H121" s="3"/>
      <c r="I121" s="3"/>
      <c r="J121" s="3"/>
      <c r="K121" s="3"/>
      <c r="L121" s="3" t="str">
        <f>'2.0 Capex Real Dollars'!L115</f>
        <v>Asset Class</v>
      </c>
      <c r="M121" s="3" t="str">
        <f>IF(L121="","",'1.0 Data'!$B$9)</f>
        <v>nominal</v>
      </c>
      <c r="N121" s="3"/>
      <c r="O121" s="3"/>
      <c r="P121" s="3" t="str">
        <f t="shared" ref="P121:U121" si="21">P100</f>
        <v>2023/24</v>
      </c>
      <c r="Q121" s="3" t="str">
        <f t="shared" si="21"/>
        <v>2024/25</v>
      </c>
      <c r="R121" s="3" t="str">
        <f t="shared" si="21"/>
        <v>2025/26</v>
      </c>
      <c r="S121" s="3" t="str">
        <f t="shared" si="21"/>
        <v>2026/27</v>
      </c>
      <c r="T121" s="3" t="str">
        <f t="shared" si="21"/>
        <v>2027/28</v>
      </c>
      <c r="U121" s="3" t="str">
        <f t="shared" si="21"/>
        <v>Total</v>
      </c>
    </row>
    <row r="123" spans="1:21">
      <c r="L123" s="33" t="str">
        <f>'2.0 Capex Real Dollars'!L117</f>
        <v>Switchyard</v>
      </c>
      <c r="M123" s="33" t="str">
        <f>IF(L123="","",'1.0 Data'!$B$9)</f>
        <v>nominal</v>
      </c>
      <c r="N123" s="33">
        <f>'2.0 Capex Real Dollars'!N117</f>
        <v>0</v>
      </c>
      <c r="O123" s="33">
        <f>'2.0 Capex Real Dollars'!O117</f>
        <v>0</v>
      </c>
      <c r="P123" s="17">
        <f>'2.0 Capex Real Dollars'!P117/'1.1 Input'!I$13</f>
        <v>241.14891348600511</v>
      </c>
      <c r="Q123" s="17">
        <f>'2.0 Capex Real Dollars'!Q117/'1.1 Input'!J$13</f>
        <v>252.00061459287531</v>
      </c>
      <c r="R123" s="17">
        <f>'2.0 Capex Real Dollars'!R117/'1.1 Input'!K$13</f>
        <v>262.08063917659035</v>
      </c>
      <c r="S123" s="17">
        <f>'2.0 Capex Real Dollars'!S117/'1.1 Input'!L$13</f>
        <v>271.25346154777094</v>
      </c>
      <c r="T123" s="17">
        <f>'2.0 Capex Real Dollars'!T117/'1.1 Input'!M$13</f>
        <v>279.39106539420408</v>
      </c>
      <c r="U123" s="46">
        <f t="shared" ref="U123:U131" si="22">SUM(P123:T123)</f>
        <v>1305.8746941974457</v>
      </c>
    </row>
    <row r="124" spans="1:21">
      <c r="L124" s="33" t="str">
        <f>'2.0 Capex Real Dollars'!L118</f>
        <v>Transmission Cable</v>
      </c>
      <c r="M124" s="33" t="str">
        <f>IF(L124="","",'1.0 Data'!$B$9)</f>
        <v>nominal</v>
      </c>
      <c r="N124" s="33">
        <f>'2.0 Capex Real Dollars'!N118</f>
        <v>0</v>
      </c>
      <c r="O124" s="33">
        <f>'2.0 Capex Real Dollars'!O118</f>
        <v>0</v>
      </c>
      <c r="P124" s="17">
        <f>'2.0 Capex Real Dollars'!P118/'1.1 Input'!I$13</f>
        <v>252.60467175572521</v>
      </c>
      <c r="Q124" s="17">
        <f>'2.0 Capex Real Dollars'!Q118/'1.1 Input'!J$13</f>
        <v>263.97188198473282</v>
      </c>
      <c r="R124" s="17">
        <f>'2.0 Capex Real Dollars'!R118/'1.1 Input'!K$13</f>
        <v>1545.7493736162849</v>
      </c>
      <c r="S124" s="17">
        <f>'2.0 Capex Real Dollars'!S118/'1.1 Input'!L$13</f>
        <v>284.13933376836638</v>
      </c>
      <c r="T124" s="17">
        <f>'2.0 Capex Real Dollars'!T118/'1.1 Input'!M$13</f>
        <v>292.66351378141735</v>
      </c>
      <c r="U124" s="46">
        <f t="shared" si="22"/>
        <v>2639.1287749065264</v>
      </c>
    </row>
    <row r="125" spans="1:21">
      <c r="L125" s="33" t="str">
        <f>'2.0 Capex Real Dollars'!L119</f>
        <v>Easements</v>
      </c>
      <c r="M125" s="33" t="str">
        <f>IF(L125="","",'1.0 Data'!$B$9)</f>
        <v>nominal</v>
      </c>
      <c r="N125" s="33">
        <f>'2.0 Capex Real Dollars'!N119</f>
        <v>0</v>
      </c>
      <c r="O125" s="33">
        <f>'2.0 Capex Real Dollars'!O119</f>
        <v>0</v>
      </c>
      <c r="P125" s="17">
        <f>'2.0 Capex Real Dollars'!P119/'1.1 Input'!I$13</f>
        <v>0</v>
      </c>
      <c r="Q125" s="17">
        <f>'2.0 Capex Real Dollars'!Q119/'1.1 Input'!J$13</f>
        <v>0</v>
      </c>
      <c r="R125" s="17">
        <f>'2.0 Capex Real Dollars'!R119/'1.1 Input'!K$13</f>
        <v>0</v>
      </c>
      <c r="S125" s="17">
        <f>'2.0 Capex Real Dollars'!S119/'1.1 Input'!L$13</f>
        <v>0</v>
      </c>
      <c r="T125" s="17">
        <f>'2.0 Capex Real Dollars'!T119/'1.1 Input'!M$13</f>
        <v>0</v>
      </c>
      <c r="U125" s="46">
        <f t="shared" si="22"/>
        <v>0</v>
      </c>
    </row>
    <row r="126" spans="1:21">
      <c r="L126" s="33" t="str">
        <f>'2.0 Capex Real Dollars'!L120</f>
        <v>Control Systems</v>
      </c>
      <c r="M126" s="33" t="str">
        <f>IF(L126="","",'1.0 Data'!$B$9)</f>
        <v>nominal</v>
      </c>
      <c r="N126" s="33">
        <f>'2.0 Capex Real Dollars'!N120</f>
        <v>0</v>
      </c>
      <c r="O126" s="33">
        <f>'2.0 Capex Real Dollars'!O120</f>
        <v>0</v>
      </c>
      <c r="P126" s="17">
        <f>'2.0 Capex Real Dollars'!P120/'1.1 Input'!I$13</f>
        <v>0</v>
      </c>
      <c r="Q126" s="17">
        <f>'2.0 Capex Real Dollars'!Q120/'1.1 Input'!J$13</f>
        <v>0</v>
      </c>
      <c r="R126" s="17">
        <f>'2.0 Capex Real Dollars'!R120/'1.1 Input'!K$13</f>
        <v>0</v>
      </c>
      <c r="S126" s="17">
        <f>'2.0 Capex Real Dollars'!S120/'1.1 Input'!L$13</f>
        <v>0</v>
      </c>
      <c r="T126" s="17">
        <f>'2.0 Capex Real Dollars'!T120/'1.1 Input'!M$13</f>
        <v>0</v>
      </c>
      <c r="U126" s="46">
        <f t="shared" si="22"/>
        <v>0</v>
      </c>
    </row>
    <row r="127" spans="1:21">
      <c r="L127" s="33" t="str">
        <f>'2.0 Capex Real Dollars'!L121</f>
        <v>Ancillary asset- 30 Years</v>
      </c>
      <c r="M127" s="33" t="str">
        <f>IF(L127="","",'1.0 Data'!$B$9)</f>
        <v>nominal</v>
      </c>
      <c r="N127" s="33">
        <f>'2.0 Capex Real Dollars'!N121</f>
        <v>0</v>
      </c>
      <c r="O127" s="33">
        <f>'2.0 Capex Real Dollars'!O121</f>
        <v>0</v>
      </c>
      <c r="P127" s="17">
        <f>'2.0 Capex Real Dollars'!P121/'1.1 Input'!I$13</f>
        <v>0</v>
      </c>
      <c r="Q127" s="17">
        <f>'2.0 Capex Real Dollars'!Q121/'1.1 Input'!J$13</f>
        <v>0</v>
      </c>
      <c r="R127" s="17">
        <f>'2.0 Capex Real Dollars'!R121/'1.1 Input'!K$13</f>
        <v>0</v>
      </c>
      <c r="S127" s="17">
        <f>'2.0 Capex Real Dollars'!S121/'1.1 Input'!L$13</f>
        <v>0</v>
      </c>
      <c r="T127" s="17">
        <f>'2.0 Capex Real Dollars'!T121/'1.1 Input'!M$13</f>
        <v>0</v>
      </c>
      <c r="U127" s="46">
        <f t="shared" si="22"/>
        <v>0</v>
      </c>
    </row>
    <row r="128" spans="1:21">
      <c r="L128" s="33" t="str">
        <f>'2.0 Capex Real Dollars'!L122</f>
        <v>Ancillary asset - 7 Years</v>
      </c>
      <c r="M128" s="33" t="str">
        <f>IF(L128="","",'1.0 Data'!$B$9)</f>
        <v>nominal</v>
      </c>
      <c r="N128" s="33">
        <f>'2.0 Capex Real Dollars'!N122</f>
        <v>0</v>
      </c>
      <c r="O128" s="33">
        <f>'2.0 Capex Real Dollars'!O122</f>
        <v>0</v>
      </c>
      <c r="P128" s="17">
        <f>'2.0 Capex Real Dollars'!P122/'1.1 Input'!I$13</f>
        <v>0</v>
      </c>
      <c r="Q128" s="17">
        <f>'2.0 Capex Real Dollars'!Q122/'1.1 Input'!J$13</f>
        <v>0</v>
      </c>
      <c r="R128" s="17">
        <f>'2.0 Capex Real Dollars'!R122/'1.1 Input'!K$13</f>
        <v>0</v>
      </c>
      <c r="S128" s="17">
        <f>'2.0 Capex Real Dollars'!S122/'1.1 Input'!L$13</f>
        <v>0</v>
      </c>
      <c r="T128" s="17">
        <f>'2.0 Capex Real Dollars'!T122/'1.1 Input'!M$13</f>
        <v>0</v>
      </c>
      <c r="U128" s="46">
        <f t="shared" si="22"/>
        <v>0</v>
      </c>
    </row>
    <row r="129" spans="12:21">
      <c r="L129" s="33" t="str">
        <f>'2.0 Capex Real Dollars'!L123</f>
        <v>Other operating assets</v>
      </c>
      <c r="M129" s="33" t="str">
        <f>IF(L129="","",'1.0 Data'!$B$9)</f>
        <v>nominal</v>
      </c>
      <c r="N129" s="33">
        <f>'2.0 Capex Real Dollars'!N123</f>
        <v>0</v>
      </c>
      <c r="O129" s="33">
        <f>'2.0 Capex Real Dollars'!O123</f>
        <v>0</v>
      </c>
      <c r="P129" s="17">
        <f>'2.0 Capex Real Dollars'!P123/'1.1 Input'!I$13</f>
        <v>1657.0916604324684</v>
      </c>
      <c r="Q129" s="17">
        <f>'2.0 Capex Real Dollars'!Q123/'1.1 Input'!J$13</f>
        <v>5859.2093327589309</v>
      </c>
      <c r="R129" s="17">
        <f>'2.0 Capex Real Dollars'!R123/'1.1 Input'!K$13</f>
        <v>985.47980397806373</v>
      </c>
      <c r="S129" s="17">
        <f>'2.0 Capex Real Dollars'!S123/'1.1 Input'!L$13</f>
        <v>269.14699202230526</v>
      </c>
      <c r="T129" s="17">
        <f>'2.0 Capex Real Dollars'!T123/'1.1 Input'!M$13</f>
        <v>183.47050500144775</v>
      </c>
      <c r="U129" s="46">
        <f t="shared" si="22"/>
        <v>8954.3982941932154</v>
      </c>
    </row>
    <row r="130" spans="12:21">
      <c r="L130" s="33" t="str">
        <f>'2.0 Capex Real Dollars'!L124</f>
        <v>Non ancillary asset</v>
      </c>
      <c r="M130" s="33" t="str">
        <f>IF(L130="","",'1.0 Data'!$B$9)</f>
        <v>nominal</v>
      </c>
      <c r="N130" s="33">
        <f>'2.0 Capex Real Dollars'!N124</f>
        <v>0</v>
      </c>
      <c r="O130" s="33">
        <f>'2.0 Capex Real Dollars'!O124</f>
        <v>0</v>
      </c>
      <c r="P130" s="17">
        <f>'2.0 Capex Real Dollars'!P124/'1.1 Input'!I$13</f>
        <v>509.07777684478373</v>
      </c>
      <c r="Q130" s="17">
        <f>'2.0 Capex Real Dollars'!Q124/'1.1 Input'!J$13</f>
        <v>0</v>
      </c>
      <c r="R130" s="17">
        <f>'2.0 Capex Real Dollars'!R124/'1.1 Input'!K$13</f>
        <v>1176.9572328799998</v>
      </c>
      <c r="S130" s="17">
        <f>'2.0 Capex Real Dollars'!S124/'1.1 Input'!L$13</f>
        <v>1218.1507360307996</v>
      </c>
      <c r="T130" s="17">
        <f>'2.0 Capex Real Dollars'!T124/'1.1 Input'!M$13</f>
        <v>191.92584698508242</v>
      </c>
      <c r="U130" s="46">
        <f t="shared" si="22"/>
        <v>3096.1115927406659</v>
      </c>
    </row>
    <row r="131" spans="12:21" ht="15.75" thickBot="1">
      <c r="L131" s="33" t="str">
        <f>'2.0 Capex Real Dollars'!L125</f>
        <v>In-house software</v>
      </c>
      <c r="M131" s="33" t="str">
        <f>IF(L131="","",'1.0 Data'!$B$9)</f>
        <v>nominal</v>
      </c>
      <c r="N131" s="33">
        <f>'2.0 Capex Real Dollars'!N125</f>
        <v>0</v>
      </c>
      <c r="O131" s="33">
        <f>'2.0 Capex Real Dollars'!O125</f>
        <v>0</v>
      </c>
      <c r="P131" s="17">
        <f>'2.0 Capex Real Dollars'!P125/'1.1 Input'!I$13</f>
        <v>0</v>
      </c>
      <c r="Q131" s="17">
        <f>'2.0 Capex Real Dollars'!Q125/'1.1 Input'!J$13</f>
        <v>0</v>
      </c>
      <c r="R131" s="17">
        <f>'2.0 Capex Real Dollars'!R125/'1.1 Input'!K$13</f>
        <v>0</v>
      </c>
      <c r="S131" s="17">
        <f>'2.0 Capex Real Dollars'!S125/'1.1 Input'!L$13</f>
        <v>0</v>
      </c>
      <c r="T131" s="17">
        <f>'2.0 Capex Real Dollars'!T125/'1.1 Input'!M$13</f>
        <v>0</v>
      </c>
      <c r="U131" s="46">
        <f t="shared" si="22"/>
        <v>0</v>
      </c>
    </row>
    <row r="132" spans="12:21" ht="15.75" thickTop="1">
      <c r="L132" s="33" t="str">
        <f>'2.0 Capex Real Dollars'!L126</f>
        <v>Total</v>
      </c>
      <c r="M132" s="33" t="str">
        <f>IF(L132="","",'1.0 Data'!$B$9)</f>
        <v>nominal</v>
      </c>
      <c r="N132" s="33">
        <f>'2.0 Capex Real Dollars'!N126</f>
        <v>0</v>
      </c>
      <c r="O132" s="33">
        <f>'2.0 Capex Real Dollars'!O126</f>
        <v>0</v>
      </c>
      <c r="P132" s="27">
        <f t="shared" ref="P132:U132" si="23">SUM(P123:P131)</f>
        <v>2659.9230225189826</v>
      </c>
      <c r="Q132" s="27">
        <f t="shared" si="23"/>
        <v>6375.1818293365395</v>
      </c>
      <c r="R132" s="27">
        <f t="shared" si="23"/>
        <v>3970.2670496509381</v>
      </c>
      <c r="S132" s="27">
        <f t="shared" si="23"/>
        <v>2042.6905233692423</v>
      </c>
      <c r="T132" s="27">
        <f t="shared" si="23"/>
        <v>947.45093116215162</v>
      </c>
      <c r="U132" s="27">
        <f t="shared" si="23"/>
        <v>15995.513356037854</v>
      </c>
    </row>
    <row r="133" spans="12:21" ht="15.75" thickBot="1"/>
    <row r="134" spans="12:21" ht="16.5" thickTop="1" thickBot="1">
      <c r="L134" s="37" t="str">
        <f>'2.0 Capex Real Dollars'!L128</f>
        <v>Check</v>
      </c>
      <c r="P134" s="47">
        <f>'2.0 Capex Real Dollars'!P126/'1.1 Input'!I$13-'2.1 Capex Nominal Dollars'!P132</f>
        <v>0</v>
      </c>
      <c r="Q134" s="47">
        <f>'2.0 Capex Real Dollars'!Q126/'1.1 Input'!J$13-'2.1 Capex Nominal Dollars'!Q132</f>
        <v>0</v>
      </c>
      <c r="R134" s="47">
        <f>'2.0 Capex Real Dollars'!R126/'1.1 Input'!K$13-'2.1 Capex Nominal Dollars'!R132</f>
        <v>0</v>
      </c>
      <c r="S134" s="47">
        <f>'2.0 Capex Real Dollars'!S126/'1.1 Input'!L$13-'2.1 Capex Nominal Dollars'!S132</f>
        <v>0</v>
      </c>
      <c r="T134" s="47">
        <f>'2.0 Capex Real Dollars'!T126/'1.1 Input'!M$13-'2.1 Capex Nominal Dollars'!T132</f>
        <v>0</v>
      </c>
    </row>
    <row r="135" spans="12:21" ht="15.75" thickTop="1"/>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Z128"/>
  <sheetViews>
    <sheetView tabSelected="1" topLeftCell="A34" zoomScaleNormal="100" workbookViewId="0">
      <selection activeCell="E144" sqref="E144"/>
    </sheetView>
  </sheetViews>
  <sheetFormatPr defaultRowHeight="15"/>
  <cols>
    <col min="1" max="2" width="3.25" customWidth="1"/>
    <col min="3" max="3" width="3.375" customWidth="1"/>
    <col min="4" max="4" width="4.375" customWidth="1"/>
    <col min="5" max="5" width="37.375" bestFit="1" customWidth="1"/>
    <col min="6" max="6" width="13.25" customWidth="1"/>
    <col min="7" max="10" width="11.375" customWidth="1"/>
    <col min="11" max="11" width="10.75" customWidth="1"/>
    <col min="12" max="12" width="8.625" bestFit="1" customWidth="1"/>
    <col min="13" max="13" width="11.875" customWidth="1"/>
    <col min="15" max="15" width="34.25" bestFit="1" customWidth="1"/>
    <col min="16" max="16" width="13.25" customWidth="1"/>
    <col min="17" max="17" width="10.25" customWidth="1"/>
    <col min="18" max="20" width="9" customWidth="1"/>
  </cols>
  <sheetData>
    <row r="1" spans="1:26" ht="22.5">
      <c r="A1" s="1"/>
      <c r="B1" s="1"/>
      <c r="C1" s="1"/>
      <c r="D1" s="1"/>
      <c r="E1" s="1"/>
      <c r="F1" s="1"/>
      <c r="G1" s="1"/>
      <c r="H1" s="1"/>
      <c r="I1" s="1"/>
      <c r="J1" s="1"/>
      <c r="K1" s="1"/>
      <c r="L1" s="1"/>
      <c r="M1" s="1"/>
      <c r="N1" s="1"/>
      <c r="O1" s="1"/>
      <c r="P1" s="1"/>
      <c r="Q1" s="1"/>
      <c r="R1" s="1"/>
      <c r="S1" s="1"/>
      <c r="T1" s="1"/>
      <c r="U1" s="1"/>
      <c r="V1" s="1"/>
      <c r="W1" s="1"/>
      <c r="X1" s="1"/>
      <c r="Y1" s="1"/>
      <c r="Z1" s="1"/>
    </row>
    <row r="2" spans="1:26" ht="22.5">
      <c r="A2" s="1"/>
      <c r="B2" s="1"/>
      <c r="C2" s="1"/>
      <c r="D2" s="1"/>
      <c r="E2" s="1"/>
      <c r="F2" s="1"/>
      <c r="G2" s="1"/>
      <c r="H2" s="1"/>
      <c r="I2" s="1"/>
      <c r="J2" s="1"/>
      <c r="K2" s="1"/>
      <c r="L2" s="1"/>
      <c r="M2" s="1"/>
      <c r="N2" s="1"/>
      <c r="O2" s="1"/>
      <c r="P2" s="1"/>
      <c r="Q2" s="1"/>
      <c r="R2" s="1"/>
      <c r="S2" s="1"/>
      <c r="T2" s="1"/>
      <c r="U2" s="1"/>
      <c r="V2" s="1"/>
      <c r="W2" s="1"/>
      <c r="X2" s="1"/>
      <c r="Y2" s="1"/>
      <c r="Z2" s="1"/>
    </row>
    <row r="3" spans="1:26" ht="22.5">
      <c r="A3" s="1"/>
      <c r="B3" s="1"/>
      <c r="C3" s="1"/>
      <c r="D3" s="1"/>
      <c r="E3" s="1"/>
      <c r="F3" s="1"/>
      <c r="G3" s="1"/>
      <c r="H3" s="1"/>
      <c r="I3" s="1"/>
      <c r="J3" s="1"/>
      <c r="K3" s="1"/>
      <c r="L3" s="1"/>
      <c r="M3" s="1"/>
      <c r="N3" s="1"/>
      <c r="O3" s="1"/>
      <c r="P3" s="1"/>
      <c r="Q3" s="1"/>
      <c r="R3" s="1"/>
      <c r="S3" s="1"/>
      <c r="T3" s="1"/>
      <c r="U3" s="1"/>
      <c r="V3" s="1"/>
      <c r="W3" s="1"/>
      <c r="X3" s="1"/>
      <c r="Y3" s="1"/>
      <c r="Z3" s="1"/>
    </row>
    <row r="4" spans="1:26" ht="22.5">
      <c r="A4" s="1"/>
      <c r="B4" s="1"/>
      <c r="C4" s="1"/>
      <c r="D4" s="1"/>
      <c r="E4" s="1"/>
      <c r="F4" s="1"/>
      <c r="G4" s="1"/>
      <c r="H4" s="1"/>
      <c r="I4" s="1"/>
      <c r="J4" s="1"/>
      <c r="K4" s="1"/>
      <c r="L4" s="1"/>
      <c r="M4" s="1"/>
      <c r="N4" s="1"/>
      <c r="O4" s="1"/>
      <c r="P4" s="1"/>
      <c r="Q4" s="1"/>
      <c r="R4" s="1"/>
      <c r="S4" s="1"/>
      <c r="T4" s="1"/>
      <c r="U4" s="1"/>
      <c r="V4" s="1"/>
      <c r="W4" s="1"/>
      <c r="X4" s="1"/>
      <c r="Y4" s="1"/>
      <c r="Z4" s="1"/>
    </row>
    <row r="5" spans="1:26" ht="22.5">
      <c r="A5" s="1" t="str">
        <f ca="1">RIGHT(CELL("filename"),LEN(CELL("filename"))-FIND("]",CELL("filename")))</f>
        <v>1.0 Data</v>
      </c>
      <c r="B5" s="1"/>
      <c r="C5" s="1"/>
      <c r="D5" s="1"/>
      <c r="E5" s="1"/>
      <c r="F5" s="20">
        <v>14</v>
      </c>
      <c r="G5" s="20">
        <v>15</v>
      </c>
      <c r="H5" s="20">
        <v>16</v>
      </c>
      <c r="I5" s="20">
        <v>17</v>
      </c>
      <c r="J5" s="20">
        <v>18</v>
      </c>
      <c r="K5" s="1"/>
      <c r="L5" s="1"/>
      <c r="M5" s="1"/>
      <c r="N5" s="1"/>
      <c r="O5" s="1"/>
      <c r="P5" s="20">
        <v>2019</v>
      </c>
      <c r="Q5" s="20">
        <v>2020</v>
      </c>
      <c r="R5" s="20">
        <v>2021</v>
      </c>
      <c r="S5" s="20">
        <v>2022</v>
      </c>
      <c r="T5" s="20">
        <v>2023</v>
      </c>
      <c r="U5" s="1"/>
      <c r="V5" s="1"/>
      <c r="W5" s="1"/>
      <c r="X5" s="1"/>
      <c r="Y5" s="1"/>
      <c r="Z5" s="1"/>
    </row>
    <row r="6" spans="1:26" ht="19.5">
      <c r="A6" s="2" t="s">
        <v>131</v>
      </c>
      <c r="B6" s="2"/>
      <c r="C6" s="2"/>
      <c r="D6" s="2"/>
      <c r="E6" s="2"/>
      <c r="F6" s="2"/>
      <c r="G6" s="2"/>
      <c r="H6" s="2"/>
      <c r="I6" s="2"/>
      <c r="J6" s="2"/>
      <c r="K6" s="2"/>
      <c r="L6" s="2"/>
      <c r="M6" s="2"/>
      <c r="N6" s="2"/>
      <c r="O6" s="2"/>
      <c r="P6" s="2"/>
      <c r="Q6" s="2"/>
      <c r="R6" s="2"/>
      <c r="S6" s="2"/>
      <c r="T6" s="2"/>
      <c r="U6" s="2"/>
      <c r="V6" s="2"/>
      <c r="W6" s="2"/>
      <c r="X6" s="2"/>
      <c r="Y6" s="2"/>
      <c r="Z6" s="2"/>
    </row>
    <row r="7" spans="1:26" ht="16.5">
      <c r="A7" s="4"/>
      <c r="B7" s="4"/>
      <c r="C7" s="4"/>
      <c r="D7" s="4"/>
      <c r="E7" s="4" t="s">
        <v>146</v>
      </c>
      <c r="F7" s="4"/>
      <c r="G7" s="4"/>
      <c r="H7" s="4"/>
      <c r="I7" s="4"/>
      <c r="J7" s="4"/>
      <c r="K7" s="4"/>
      <c r="L7" s="4"/>
      <c r="M7" s="4"/>
      <c r="N7" s="4"/>
      <c r="O7" s="4" t="s">
        <v>147</v>
      </c>
      <c r="P7" s="4"/>
      <c r="Q7" s="4"/>
      <c r="R7" s="4"/>
      <c r="S7" s="4"/>
      <c r="T7" s="4"/>
      <c r="U7" s="4"/>
      <c r="V7" s="4"/>
      <c r="W7" s="4"/>
      <c r="X7" s="4"/>
      <c r="Y7" s="4"/>
      <c r="Z7" s="4"/>
    </row>
    <row r="8" spans="1:26">
      <c r="A8" s="3"/>
      <c r="B8" s="3"/>
      <c r="C8" s="3"/>
      <c r="D8" s="3"/>
      <c r="E8" s="3" t="s">
        <v>148</v>
      </c>
      <c r="F8" s="3" t="str">
        <f>'2.1 Capex Nominal Dollars'!E8</f>
        <v>2018/19</v>
      </c>
      <c r="G8" s="3" t="str">
        <f>'2.1 Capex Nominal Dollars'!F8</f>
        <v>2019/20</v>
      </c>
      <c r="H8" s="3" t="str">
        <f>'2.1 Capex Nominal Dollars'!G8</f>
        <v>2020/21</v>
      </c>
      <c r="I8" s="3" t="str">
        <f>'2.1 Capex Nominal Dollars'!H8</f>
        <v>2021/22</v>
      </c>
      <c r="J8" s="3" t="str">
        <f>'2.1 Capex Nominal Dollars'!I8</f>
        <v>2022/23</v>
      </c>
      <c r="K8" s="3" t="s">
        <v>15</v>
      </c>
      <c r="L8" s="3"/>
      <c r="M8" s="3"/>
      <c r="N8" s="3"/>
      <c r="O8" s="3" t="s">
        <v>148</v>
      </c>
      <c r="P8" s="3" t="str">
        <f>'2.1 Capex Nominal Dollars'!P8</f>
        <v>2023/24</v>
      </c>
      <c r="Q8" s="3" t="str">
        <f>'2.1 Capex Nominal Dollars'!Q8</f>
        <v>2024/25</v>
      </c>
      <c r="R8" s="3" t="str">
        <f>'2.1 Capex Nominal Dollars'!R8</f>
        <v>2025/26</v>
      </c>
      <c r="S8" s="3" t="str">
        <f>'2.1 Capex Nominal Dollars'!S8</f>
        <v>2026/27</v>
      </c>
      <c r="T8" s="3" t="str">
        <f>'2.1 Capex Nominal Dollars'!T8</f>
        <v>2027/28</v>
      </c>
      <c r="U8" s="3" t="s">
        <v>15</v>
      </c>
      <c r="V8" s="3"/>
      <c r="W8" s="3"/>
      <c r="X8" s="3"/>
      <c r="Y8" s="3"/>
      <c r="Z8" s="3"/>
    </row>
    <row r="9" spans="1:26" ht="15.75" thickBot="1"/>
    <row r="10" spans="1:26" ht="15.75" thickBot="1">
      <c r="E10" s="41"/>
      <c r="F10" s="41" t="str">
        <f t="shared" ref="F10:K10" si="0">F$8</f>
        <v>2018/19</v>
      </c>
      <c r="G10" s="41" t="str">
        <f t="shared" si="0"/>
        <v>2019/20</v>
      </c>
      <c r="H10" s="41" t="str">
        <f t="shared" si="0"/>
        <v>2020/21</v>
      </c>
      <c r="I10" s="41" t="str">
        <f t="shared" si="0"/>
        <v>2021/22</v>
      </c>
      <c r="J10" s="41" t="str">
        <f t="shared" si="0"/>
        <v>2022/23</v>
      </c>
      <c r="K10" s="41" t="str">
        <f t="shared" si="0"/>
        <v>Total</v>
      </c>
      <c r="O10" s="41"/>
      <c r="P10" s="41" t="str">
        <f>P8</f>
        <v>2023/24</v>
      </c>
      <c r="Q10" s="41" t="str">
        <f>Q8</f>
        <v>2024/25</v>
      </c>
      <c r="R10" s="41" t="str">
        <f>R8</f>
        <v>2025/26</v>
      </c>
      <c r="S10" s="41" t="str">
        <f>S8</f>
        <v>2026/27</v>
      </c>
      <c r="T10" s="41" t="str">
        <f>T8</f>
        <v>2027/28</v>
      </c>
      <c r="U10" s="41" t="s">
        <v>15</v>
      </c>
    </row>
    <row r="11" spans="1:26">
      <c r="E11" s="40" t="str">
        <f>'2.0 Capex Real Dollars'!A6</f>
        <v>Actual Capital Expenditure</v>
      </c>
      <c r="F11" s="43">
        <f>'2.1 Capex Nominal Dollars'!E5</f>
        <v>10260.576086000001</v>
      </c>
      <c r="G11" s="43">
        <f>'2.1 Capex Nominal Dollars'!F5</f>
        <v>6760.2548600000009</v>
      </c>
      <c r="H11" s="43">
        <f>'2.1 Capex Nominal Dollars'!G5</f>
        <v>5695.9108399999977</v>
      </c>
      <c r="I11" s="43">
        <f>'2.1 Capex Nominal Dollars'!H5</f>
        <v>2471.6739600000001</v>
      </c>
      <c r="J11" s="43">
        <f>'2.1 Capex Nominal Dollars'!I5</f>
        <v>3700.3788265387793</v>
      </c>
      <c r="K11" s="50">
        <f>SUM(F11:J11)</f>
        <v>28888.794572538776</v>
      </c>
      <c r="L11" s="42"/>
      <c r="O11" s="40" t="str">
        <f>'2.0 Capex Real Dollars'!L70</f>
        <v>Stay in business</v>
      </c>
      <c r="P11" s="43">
        <f>'2.0 Capex Real Dollars'!P70</f>
        <v>1126.5732986004073</v>
      </c>
      <c r="Q11" s="43">
        <f>'2.0 Capex Real Dollars'!Q70</f>
        <v>1070.2654871501272</v>
      </c>
      <c r="R11" s="43">
        <f>'2.0 Capex Real Dollars'!R70</f>
        <v>906.77199482707385</v>
      </c>
      <c r="S11" s="43">
        <f>'2.0 Capex Real Dollars'!S70</f>
        <v>239.27622646310431</v>
      </c>
      <c r="T11" s="43">
        <f>'2.0 Capex Real Dollars'!T70</f>
        <v>158.35765139949109</v>
      </c>
      <c r="U11" s="50">
        <f>SUM(P11:T11)</f>
        <v>3501.2446584402037</v>
      </c>
    </row>
    <row r="12" spans="1:26" ht="15.75" thickBot="1"/>
    <row r="13" spans="1:26" ht="15.75" thickBot="1">
      <c r="E13" s="41" t="s">
        <v>149</v>
      </c>
      <c r="F13" s="41" t="str">
        <f t="shared" ref="F13:K13" si="1">F$8</f>
        <v>2018/19</v>
      </c>
      <c r="G13" s="41" t="str">
        <f t="shared" si="1"/>
        <v>2019/20</v>
      </c>
      <c r="H13" s="41" t="str">
        <f t="shared" si="1"/>
        <v>2020/21</v>
      </c>
      <c r="I13" s="41" t="str">
        <f t="shared" si="1"/>
        <v>2021/22</v>
      </c>
      <c r="J13" s="41" t="str">
        <f t="shared" si="1"/>
        <v>2022/23</v>
      </c>
      <c r="K13" s="41" t="str">
        <f t="shared" si="1"/>
        <v>Total</v>
      </c>
      <c r="O13" s="41"/>
      <c r="P13" s="41" t="str">
        <f t="shared" ref="P13:U13" si="2">P$8</f>
        <v>2023/24</v>
      </c>
      <c r="Q13" s="41" t="str">
        <f t="shared" si="2"/>
        <v>2024/25</v>
      </c>
      <c r="R13" s="41" t="str">
        <f t="shared" si="2"/>
        <v>2025/26</v>
      </c>
      <c r="S13" s="41" t="str">
        <f t="shared" si="2"/>
        <v>2026/27</v>
      </c>
      <c r="T13" s="41" t="str">
        <f t="shared" si="2"/>
        <v>2027/28</v>
      </c>
      <c r="U13" s="41" t="str">
        <f t="shared" si="2"/>
        <v>Total</v>
      </c>
    </row>
    <row r="14" spans="1:26">
      <c r="E14" s="40" t="s">
        <v>107</v>
      </c>
      <c r="F14" s="43">
        <f>F11</f>
        <v>10260.576086000001</v>
      </c>
      <c r="G14" s="43">
        <f>G11</f>
        <v>6760.2548600000009</v>
      </c>
      <c r="H14" s="43">
        <f>H11</f>
        <v>5695.9108399999977</v>
      </c>
      <c r="I14" s="43">
        <f>I11</f>
        <v>2471.6739600000001</v>
      </c>
      <c r="J14" s="43">
        <f>J11</f>
        <v>3700.3788265387793</v>
      </c>
      <c r="K14" s="50">
        <f>SUM(F14:J14)</f>
        <v>28888.794572538776</v>
      </c>
      <c r="O14" s="40" t="str">
        <f>'2.0 Capex Real Dollars'!L71</f>
        <v>Enhanced Cooling</v>
      </c>
      <c r="P14" s="43">
        <f>INDEX('2.0 Capex Real Dollars'!P$70:P$74,MATCH($O14,'2.0 Capex Real Dollars'!$L$70:$L$74,0))</f>
        <v>1649.7307205318068</v>
      </c>
      <c r="Q14" s="43">
        <f>INDEX('2.0 Capex Real Dollars'!Q$70:Q$74,MATCH($O14,'2.0 Capex Real Dollars'!$L$70:$L$74,0))</f>
        <v>1649.7307205318068</v>
      </c>
      <c r="R14" s="43">
        <f>INDEX('2.0 Capex Real Dollars'!R$70:R$74,MATCH($O14,'2.0 Capex Real Dollars'!$L$70:$L$74,0))</f>
        <v>0</v>
      </c>
      <c r="S14" s="43">
        <f>INDEX('2.0 Capex Real Dollars'!S$70:S$74,MATCH($O14,'2.0 Capex Real Dollars'!$L$70:$L$74,0))</f>
        <v>0</v>
      </c>
      <c r="T14" s="43">
        <f>INDEX('2.0 Capex Real Dollars'!T$70:T$74,MATCH($O14,'2.0 Capex Real Dollars'!$L$70:$L$74,0))</f>
        <v>0</v>
      </c>
      <c r="U14" s="50">
        <f>SUM(P14:T14)</f>
        <v>3299.4614410636136</v>
      </c>
    </row>
    <row r="15" spans="1:26" ht="15.75" thickBot="1">
      <c r="E15" s="40" t="s">
        <v>150</v>
      </c>
      <c r="F15" s="43">
        <f>'3.1 Forecast vs Actual'!L20</f>
        <v>4586.325671569618</v>
      </c>
      <c r="G15" s="43">
        <f>'3.1 Forecast vs Actual'!M20</f>
        <v>12807.706880208885</v>
      </c>
      <c r="H15" s="43">
        <f>'3.1 Forecast vs Actual'!N20</f>
        <v>10553.275392047413</v>
      </c>
      <c r="I15" s="43">
        <f>'3.1 Forecast vs Actual'!O20</f>
        <v>2376.5141319851618</v>
      </c>
      <c r="J15" s="43">
        <f>'3.1 Forecast vs Actual'!P20</f>
        <v>930.86271461444301</v>
      </c>
      <c r="K15" s="50">
        <f>SUM(F15:J15)</f>
        <v>31254.684790425519</v>
      </c>
    </row>
    <row r="16" spans="1:26" ht="16.5" thickTop="1" thickBot="1">
      <c r="E16" s="51" t="s">
        <v>151</v>
      </c>
      <c r="F16" s="51">
        <f>F14-F15</f>
        <v>5674.250414430383</v>
      </c>
      <c r="G16" s="51">
        <f>G14-G15</f>
        <v>-6047.4520202088843</v>
      </c>
      <c r="H16" s="51">
        <f>H14-H15</f>
        <v>-4857.3645520474156</v>
      </c>
      <c r="I16" s="51">
        <f>I14-I15</f>
        <v>95.15982801483824</v>
      </c>
      <c r="J16" s="51">
        <f>J14-J15</f>
        <v>2769.5161119243362</v>
      </c>
      <c r="K16" s="52">
        <f>SUM(F16:J16)</f>
        <v>-2365.8902178867424</v>
      </c>
      <c r="O16" s="41"/>
      <c r="P16" s="41" t="str">
        <f t="shared" ref="P16:U16" si="3">P$8</f>
        <v>2023/24</v>
      </c>
      <c r="Q16" s="41" t="str">
        <f t="shared" si="3"/>
        <v>2024/25</v>
      </c>
      <c r="R16" s="41" t="str">
        <f t="shared" si="3"/>
        <v>2025/26</v>
      </c>
      <c r="S16" s="41" t="str">
        <f t="shared" si="3"/>
        <v>2026/27</v>
      </c>
      <c r="T16" s="41" t="str">
        <f t="shared" si="3"/>
        <v>2027/28</v>
      </c>
      <c r="U16" s="41" t="str">
        <f t="shared" si="3"/>
        <v>Total</v>
      </c>
    </row>
    <row r="17" spans="1:21" ht="15.75" thickBot="1">
      <c r="O17" s="40" t="str">
        <f>'2.0 Capex Real Dollars'!L72</f>
        <v>SOCI</v>
      </c>
      <c r="P17" s="43">
        <f>INDEX('2.0 Capex Real Dollars'!P$70:P$74,MATCH($O17,'2.0 Capex Real Dollars'!$L$70:$L$74,0))</f>
        <v>466.63430279898222</v>
      </c>
      <c r="Q17" s="43">
        <f>INDEX('2.0 Capex Real Dollars'!Q$70:Q$74,MATCH($O17,'2.0 Capex Real Dollars'!$L$70:$L$74,0))</f>
        <v>0</v>
      </c>
      <c r="R17" s="43">
        <f>INDEX('2.0 Capex Real Dollars'!R$70:R$74,MATCH($O17,'2.0 Capex Real Dollars'!$L$70:$L$74,0))</f>
        <v>1082.9566</v>
      </c>
      <c r="S17" s="43">
        <f>INDEX('2.0 Capex Real Dollars'!S$70:S$74,MATCH($O17,'2.0 Capex Real Dollars'!$L$70:$L$74,0))</f>
        <v>1082.9566</v>
      </c>
      <c r="T17" s="43">
        <f>INDEX('2.0 Capex Real Dollars'!T$70:T$74,MATCH($O17,'2.0 Capex Real Dollars'!$L$70:$L$74,0))</f>
        <v>0</v>
      </c>
      <c r="U17" s="50">
        <f>SUM(P17:T17)</f>
        <v>2632.5475027989824</v>
      </c>
    </row>
    <row r="18" spans="1:21" ht="15.75" thickBot="1">
      <c r="E18" s="41" t="str">
        <f>'3.1 Forecast vs Actual'!A107</f>
        <v>Replacement of Control System</v>
      </c>
      <c r="F18" s="41" t="str">
        <f t="shared" ref="F18:K18" si="4">F$8</f>
        <v>2018/19</v>
      </c>
      <c r="G18" s="41" t="str">
        <f t="shared" si="4"/>
        <v>2019/20</v>
      </c>
      <c r="H18" s="41" t="str">
        <f t="shared" si="4"/>
        <v>2020/21</v>
      </c>
      <c r="I18" s="41" t="str">
        <f t="shared" si="4"/>
        <v>2021/22</v>
      </c>
      <c r="J18" s="41" t="str">
        <f t="shared" si="4"/>
        <v>2022/23</v>
      </c>
      <c r="K18" s="41" t="str">
        <f t="shared" si="4"/>
        <v>Total</v>
      </c>
    </row>
    <row r="19" spans="1:21" ht="15.75" thickBot="1">
      <c r="E19" s="40" t="s">
        <v>107</v>
      </c>
      <c r="F19" s="43" cm="1">
        <f t="array" ref="F19">INDEX('3.1 Forecast vs Actual'!C$24:C$42,MATCH($E18,'3.1 Forecast vs Actual'!$A$24:$A$42,0),0)</f>
        <v>9577.0325867850825</v>
      </c>
      <c r="G19" s="43" cm="1">
        <f t="array" ref="G19">INDEX('3.1 Forecast vs Actual'!D$24:D$42,MATCH($E18,'3.1 Forecast vs Actual'!$A$24:$A$42,0),0)</f>
        <v>7214.7588196932529</v>
      </c>
      <c r="H19" s="43" cm="1">
        <f t="array" ref="H19">INDEX('3.1 Forecast vs Actual'!E$24:E$42,MATCH($E18,'3.1 Forecast vs Actual'!$A$24:$A$42,0),0)</f>
        <v>5388.4815889965685</v>
      </c>
      <c r="I19" s="43" cm="1">
        <f t="array" ref="I19">INDEX('3.1 Forecast vs Actual'!F$24:F$42,MATCH($E18,'3.1 Forecast vs Actual'!$A$24:$A$42,0),0)</f>
        <v>595.6026430025446</v>
      </c>
      <c r="J19" s="43" cm="1">
        <f t="array" ref="J19">INDEX('3.1 Forecast vs Actual'!G$24:G$42,MATCH($E18,'3.1 Forecast vs Actual'!$A$24:$A$42,0),0)</f>
        <v>236.45038167938932</v>
      </c>
      <c r="K19" s="50">
        <f>SUM(F19:J19)</f>
        <v>23012.326020156837</v>
      </c>
      <c r="O19" s="41"/>
      <c r="P19" s="41" t="str">
        <f t="shared" ref="P19:U19" si="5">P$8</f>
        <v>2023/24</v>
      </c>
      <c r="Q19" s="41" t="str">
        <f t="shared" si="5"/>
        <v>2024/25</v>
      </c>
      <c r="R19" s="41" t="str">
        <f t="shared" si="5"/>
        <v>2025/26</v>
      </c>
      <c r="S19" s="41" t="str">
        <f t="shared" si="5"/>
        <v>2026/27</v>
      </c>
      <c r="T19" s="41" t="str">
        <f t="shared" si="5"/>
        <v>2027/28</v>
      </c>
      <c r="U19" s="41" t="str">
        <f t="shared" si="5"/>
        <v>Total</v>
      </c>
    </row>
    <row r="20" spans="1:21">
      <c r="E20" s="40" t="s">
        <v>150</v>
      </c>
      <c r="F20" s="43" cm="1">
        <f t="array" ref="F20">_xlfn.IFNA(INDEX('3.1 Forecast vs Actual'!C$9:C$19,MATCH($E18,'3.1 Forecast vs Actual'!$A$9:$A$19,0),0),0)</f>
        <v>4538.0628760434583</v>
      </c>
      <c r="G20" s="43" cm="1">
        <f t="array" ref="G20">_xlfn.IFNA(INDEX('3.1 Forecast vs Actual'!D$9:D$19,MATCH($E18,'3.1 Forecast vs Actual'!$A$9:$A$19,0),0),0)</f>
        <v>13106.631965479022</v>
      </c>
      <c r="H20" s="43" cm="1">
        <f t="array" ref="H20">_xlfn.IFNA(INDEX('3.1 Forecast vs Actual'!E$9:E$19,MATCH($E18,'3.1 Forecast vs Actual'!$A$9:$A$19,0),0),0)</f>
        <v>10194.047084261461</v>
      </c>
      <c r="I20" s="43" cm="1">
        <f t="array" ref="I20">_xlfn.IFNA(INDEX('3.1 Forecast vs Actual'!F$9:F$19,MATCH($E18,'3.1 Forecast vs Actual'!$A$9:$A$19,0),0),0)</f>
        <v>1456.29244060878</v>
      </c>
      <c r="J20" s="43" cm="1">
        <f t="array" ref="J20">_xlfn.IFNA(INDEX('3.1 Forecast vs Actual'!G$9:G$19,MATCH($E18,'3.1 Forecast vs Actual'!$A$9:$A$19,0),0),0)</f>
        <v>0</v>
      </c>
      <c r="K20" s="50">
        <f>SUM(F20:J20)</f>
        <v>29295.034366392723</v>
      </c>
      <c r="O20" s="40" t="str">
        <f>'2.0 Capex Real Dollars'!L73</f>
        <v>Cable Protection/Modification</v>
      </c>
      <c r="P20" s="43">
        <f>INDEX('2.0 Capex Real Dollars'!P$70:P$74,MATCH($O20,'2.0 Capex Real Dollars'!$L$70:$L$74,0))</f>
        <v>252.60467175572521</v>
      </c>
      <c r="Q20" s="43">
        <f>INDEX('2.0 Capex Real Dollars'!Q$70:Q$74,MATCH($O20,'2.0 Capex Real Dollars'!$L$70:$L$74,0))</f>
        <v>252.60467175572521</v>
      </c>
      <c r="R20" s="43">
        <f>INDEX('2.0 Capex Real Dollars'!R$70:R$74,MATCH($O20,'2.0 Capex Real Dollars'!$L$70:$L$74,0))</f>
        <v>1422.2942340966922</v>
      </c>
      <c r="S20" s="43">
        <f>INDEX('2.0 Capex Real Dollars'!S$70:S$74,MATCH($O20,'2.0 Capex Real Dollars'!$L$70:$L$74,0))</f>
        <v>252.60467175572521</v>
      </c>
      <c r="T20" s="43">
        <f>INDEX('2.0 Capex Real Dollars'!T$70:T$74,MATCH($O20,'2.0 Capex Real Dollars'!$L$70:$L$74,0))</f>
        <v>252.60467175572521</v>
      </c>
      <c r="U20" s="50">
        <f>SUM(P20:T20)</f>
        <v>2432.7129211195929</v>
      </c>
    </row>
    <row r="21" spans="1:21" ht="15.75" thickBot="1">
      <c r="A21">
        <v>1</v>
      </c>
      <c r="E21" s="40" t="s">
        <v>151</v>
      </c>
      <c r="F21" s="43">
        <f>F19-F20</f>
        <v>5038.9697107416241</v>
      </c>
      <c r="G21" s="43">
        <f>G19-G20</f>
        <v>-5891.8731457857693</v>
      </c>
      <c r="H21" s="43">
        <f>H19-H20</f>
        <v>-4805.5654952648929</v>
      </c>
      <c r="I21" s="43">
        <f>I19-I20</f>
        <v>-860.6897976062354</v>
      </c>
      <c r="J21" s="43">
        <f>J19-J20</f>
        <v>236.45038167938932</v>
      </c>
      <c r="K21" s="39">
        <f>SUM(F21:J21)</f>
        <v>-6282.7083462358842</v>
      </c>
    </row>
    <row r="22" spans="1:21" ht="15.75" thickBot="1">
      <c r="O22" s="41"/>
      <c r="P22" s="41" t="str">
        <f t="shared" ref="P22:U22" si="6">P$8</f>
        <v>2023/24</v>
      </c>
      <c r="Q22" s="41" t="str">
        <f t="shared" si="6"/>
        <v>2024/25</v>
      </c>
      <c r="R22" s="41" t="str">
        <f t="shared" si="6"/>
        <v>2025/26</v>
      </c>
      <c r="S22" s="41" t="str">
        <f t="shared" si="6"/>
        <v>2026/27</v>
      </c>
      <c r="T22" s="41" t="str">
        <f t="shared" si="6"/>
        <v>2027/28</v>
      </c>
      <c r="U22" s="41" t="str">
        <f t="shared" si="6"/>
        <v>Total</v>
      </c>
    </row>
    <row r="23" spans="1:21" ht="15.75" thickBot="1">
      <c r="E23" s="41" t="s">
        <v>152</v>
      </c>
      <c r="F23" s="41" t="str">
        <f t="shared" ref="F23:K23" si="7">F$8</f>
        <v>2018/19</v>
      </c>
      <c r="G23" s="41" t="str">
        <f t="shared" si="7"/>
        <v>2019/20</v>
      </c>
      <c r="H23" s="41" t="str">
        <f t="shared" si="7"/>
        <v>2020/21</v>
      </c>
      <c r="I23" s="41" t="str">
        <f t="shared" si="7"/>
        <v>2021/22</v>
      </c>
      <c r="J23" s="41" t="str">
        <f t="shared" si="7"/>
        <v>2022/23</v>
      </c>
      <c r="K23" s="41" t="str">
        <f t="shared" si="7"/>
        <v>Total</v>
      </c>
      <c r="O23" s="40" t="s">
        <v>75</v>
      </c>
      <c r="P23" s="55">
        <f>'1.0 Data'!U13/'1.1 Input'!$J$13/1000</f>
        <v>0.12346779499999999</v>
      </c>
      <c r="Q23" s="55">
        <f>'1.0 Data'!V13/'1.1 Input'!$J$13/1000</f>
        <v>0.12346779499999999</v>
      </c>
      <c r="R23" s="55">
        <f>'1.0 Data'!W13/'1.1 Input'!$J$13/1000</f>
        <v>0.12346779499999999</v>
      </c>
      <c r="S23" s="55">
        <f>'1.0 Data'!X13/'1.1 Input'!$J$13/1000</f>
        <v>0.12346779499999999</v>
      </c>
      <c r="T23" s="55">
        <f>'1.0 Data'!Y13/'1.1 Input'!$J$13/1000</f>
        <v>0.12346779499999999</v>
      </c>
      <c r="U23" s="50">
        <f>SUM(P23:T23)</f>
        <v>0.61733897500000001</v>
      </c>
    </row>
    <row r="24" spans="1:21" ht="15.75" thickBot="1">
      <c r="E24" s="40" t="s">
        <v>107</v>
      </c>
      <c r="F24" s="43">
        <f>'2.1 Capex Nominal Dollars'!E5</f>
        <v>10260.576086000001</v>
      </c>
      <c r="G24" s="43">
        <f>'2.1 Capex Nominal Dollars'!F5</f>
        <v>6760.2548600000009</v>
      </c>
      <c r="H24" s="43">
        <f>'2.1 Capex Nominal Dollars'!G5</f>
        <v>5695.9108399999977</v>
      </c>
      <c r="I24" s="43">
        <f>'2.1 Capex Nominal Dollars'!H5</f>
        <v>2471.6739600000001</v>
      </c>
      <c r="J24" s="43">
        <f>'2.1 Capex Nominal Dollars'!I5</f>
        <v>3700.3788265387793</v>
      </c>
      <c r="K24" s="50">
        <f>SUM(F24:J24)</f>
        <v>28888.794572538776</v>
      </c>
    </row>
    <row r="25" spans="1:21" ht="15.75" thickBot="1">
      <c r="E25" s="40" t="s">
        <v>150</v>
      </c>
      <c r="F25" s="43">
        <f>'1.2 AER Forecast'!E53</f>
        <v>4586.325671569618</v>
      </c>
      <c r="G25" s="43">
        <f>'1.2 AER Forecast'!F53</f>
        <v>12807.706880208885</v>
      </c>
      <c r="H25" s="43">
        <f>'1.2 AER Forecast'!G53</f>
        <v>10553.275392047413</v>
      </c>
      <c r="I25" s="43">
        <f>'1.2 AER Forecast'!H53</f>
        <v>2376.5141319851618</v>
      </c>
      <c r="J25" s="43">
        <f>'1.2 AER Forecast'!I53</f>
        <v>930.86271461444301</v>
      </c>
      <c r="K25" s="50">
        <f>SUM(F25:J25)</f>
        <v>31254.684790425519</v>
      </c>
      <c r="O25" s="41" t="s">
        <v>149</v>
      </c>
      <c r="P25" s="41" t="str">
        <f t="shared" ref="P25:U25" si="8">P$8</f>
        <v>2023/24</v>
      </c>
      <c r="Q25" s="41" t="str">
        <f t="shared" si="8"/>
        <v>2024/25</v>
      </c>
      <c r="R25" s="41" t="str">
        <f t="shared" si="8"/>
        <v>2025/26</v>
      </c>
      <c r="S25" s="41" t="str">
        <f t="shared" si="8"/>
        <v>2026/27</v>
      </c>
      <c r="T25" s="41" t="str">
        <f t="shared" si="8"/>
        <v>2027/28</v>
      </c>
      <c r="U25" s="41" t="str">
        <f t="shared" si="8"/>
        <v>Total</v>
      </c>
    </row>
    <row r="26" spans="1:21" ht="15.75" thickTop="1">
      <c r="A26">
        <v>2</v>
      </c>
      <c r="E26" s="51" t="s">
        <v>151</v>
      </c>
      <c r="F26" s="52">
        <f>F24-F25</f>
        <v>5674.250414430383</v>
      </c>
      <c r="G26" s="52">
        <f>G24-G25</f>
        <v>-6047.4520202088843</v>
      </c>
      <c r="H26" s="52">
        <f>H24-H25</f>
        <v>-4857.3645520474156</v>
      </c>
      <c r="I26" s="52">
        <f>I24-I25</f>
        <v>95.15982801483824</v>
      </c>
      <c r="J26" s="52">
        <f>J24-J25</f>
        <v>2769.5161119243362</v>
      </c>
      <c r="K26" s="52">
        <f>SUM(F26:J26)</f>
        <v>-2365.8902178867424</v>
      </c>
      <c r="O26" s="40" t="str">
        <f>'1.1 Input'!B22</f>
        <v>Augmentation Expenditure</v>
      </c>
      <c r="P26" s="43">
        <f>SUMIF('2.0 Capex Real Dollars'!$O$10:$O$28,'3.0 Outputs'!$O26,'2.0 Capex Real Dollars'!P$10:P$28)</f>
        <v>0</v>
      </c>
      <c r="Q26" s="43">
        <f>SUMIF('2.0 Capex Real Dollars'!$O$10:$O$28,'3.0 Outputs'!$O26,'2.0 Capex Real Dollars'!Q$10:Q$28)</f>
        <v>0</v>
      </c>
      <c r="R26" s="43">
        <f>SUMIF('2.0 Capex Real Dollars'!$O$10:$O$28,'3.0 Outputs'!$O26,'2.0 Capex Real Dollars'!R$10:R$28)</f>
        <v>0</v>
      </c>
      <c r="S26" s="43">
        <f>SUMIF('2.0 Capex Real Dollars'!$O$10:$O$28,'3.0 Outputs'!$O26,'2.0 Capex Real Dollars'!S$10:S$28)</f>
        <v>0</v>
      </c>
      <c r="T26" s="43">
        <f>SUMIF('2.0 Capex Real Dollars'!$O$10:$O$28,'3.0 Outputs'!$O26,'2.0 Capex Real Dollars'!T$10:T$28)</f>
        <v>0</v>
      </c>
      <c r="U26" s="50">
        <f>SUM(P26:T26)</f>
        <v>0</v>
      </c>
    </row>
    <row r="27" spans="1:21" ht="15.75" thickBot="1">
      <c r="O27" s="40" t="str">
        <f>'1.1 Input'!B20</f>
        <v>Replacement expenditure</v>
      </c>
      <c r="P27" s="43">
        <f>SUMIF('2.0 Capex Real Dollars'!$O$10:$O$28,'3.0 Outputs'!$O27,'2.0 Capex Real Dollars'!P$10:P$28)</f>
        <v>4267.2102690049878</v>
      </c>
      <c r="Q27" s="43">
        <f>SUMIF('2.0 Capex Real Dollars'!$O$10:$O$28,'3.0 Outputs'!$O27,'2.0 Capex Real Dollars'!Q$10:Q$28)</f>
        <v>4450.9217477328248</v>
      </c>
      <c r="R27" s="43">
        <f>SUMIF('2.0 Capex Real Dollars'!$O$10:$O$28,'3.0 Outputs'!$O27,'2.0 Capex Real Dollars'!R$10:R$28)</f>
        <v>3653.171742409771</v>
      </c>
      <c r="S27" s="43">
        <f>SUMIF('2.0 Capex Real Dollars'!$O$10:$O$28,'3.0 Outputs'!$O27,'2.0 Capex Real Dollars'!S$10:S$28)</f>
        <v>1815.9864117048346</v>
      </c>
      <c r="T27" s="43">
        <f>SUMIF('2.0 Capex Real Dollars'!$O$10:$O$28,'3.0 Outputs'!$O27,'2.0 Capex Real Dollars'!T$10:T$28)</f>
        <v>652.11123664122147</v>
      </c>
      <c r="U27" s="50">
        <f>SUM(P27:T27)</f>
        <v>14839.40140749364</v>
      </c>
    </row>
    <row r="28" spans="1:21" ht="15.75" thickBot="1">
      <c r="E28" s="41" t="s">
        <v>153</v>
      </c>
      <c r="F28" s="41" t="str">
        <f t="shared" ref="F28:K28" si="9">F$8</f>
        <v>2018/19</v>
      </c>
      <c r="G28" s="41" t="str">
        <f t="shared" si="9"/>
        <v>2019/20</v>
      </c>
      <c r="H28" s="41" t="str">
        <f t="shared" si="9"/>
        <v>2020/21</v>
      </c>
      <c r="I28" s="41" t="str">
        <f t="shared" si="9"/>
        <v>2021/22</v>
      </c>
      <c r="J28" s="41" t="str">
        <f t="shared" si="9"/>
        <v>2022/23</v>
      </c>
      <c r="K28" s="41" t="str">
        <f t="shared" si="9"/>
        <v>Total</v>
      </c>
      <c r="O28" s="40" t="str">
        <f>'1.1 Input'!B23</f>
        <v>Non-network</v>
      </c>
      <c r="P28" s="43">
        <f>SUMIF('2.0 Capex Real Dollars'!$O$10:$O$28,'3.0 Outputs'!$O28,'2.0 Capex Real Dollars'!P$10:P$28)</f>
        <v>42.44347404580153</v>
      </c>
      <c r="Q28" s="43">
        <f>SUMIF('2.0 Capex Real Dollars'!$O$10:$O$28,'3.0 Outputs'!$O28,'2.0 Capex Real Dollars'!Q$10:Q$28)</f>
        <v>0</v>
      </c>
      <c r="R28" s="43">
        <f>SUMIF('2.0 Capex Real Dollars'!$O$10:$O$28,'3.0 Outputs'!$O28,'2.0 Capex Real Dollars'!R$10:R$28)</f>
        <v>0</v>
      </c>
      <c r="S28" s="43">
        <f>SUMIF('2.0 Capex Real Dollars'!$O$10:$O$28,'3.0 Outputs'!$O28,'2.0 Capex Real Dollars'!S$10:S$28)</f>
        <v>0</v>
      </c>
      <c r="T28" s="43">
        <f>SUMIF('2.0 Capex Real Dollars'!$O$10:$O$28,'3.0 Outputs'!$O28,'2.0 Capex Real Dollars'!T$10:T$28)</f>
        <v>165.65565332245595</v>
      </c>
      <c r="U28" s="50">
        <f>SUM(P28:T28)</f>
        <v>208.09912736825748</v>
      </c>
    </row>
    <row r="29" spans="1:21" ht="15.75" thickTop="1">
      <c r="E29" s="40" t="s">
        <v>154</v>
      </c>
      <c r="F29" s="45">
        <f t="shared" ref="F29:K31" si="10">F14/1000</f>
        <v>10.260576086</v>
      </c>
      <c r="G29" s="45">
        <f t="shared" si="10"/>
        <v>6.7602548600000008</v>
      </c>
      <c r="H29" s="45">
        <f t="shared" si="10"/>
        <v>5.695910839999998</v>
      </c>
      <c r="I29" s="45">
        <f t="shared" si="10"/>
        <v>2.4716739599999999</v>
      </c>
      <c r="J29" s="45">
        <f t="shared" si="10"/>
        <v>3.7003788265387794</v>
      </c>
      <c r="K29" s="59">
        <f t="shared" si="10"/>
        <v>28.888794572538778</v>
      </c>
      <c r="O29" s="51" t="s">
        <v>15</v>
      </c>
      <c r="P29" s="52">
        <f>SUM(P26:P28)</f>
        <v>4309.6537430507897</v>
      </c>
      <c r="Q29" s="52">
        <f>SUM(Q26:Q28)</f>
        <v>4450.9217477328248</v>
      </c>
      <c r="R29" s="52">
        <f>SUM(R26:R28)</f>
        <v>3653.171742409771</v>
      </c>
      <c r="S29" s="52">
        <f>SUM(S26:S28)</f>
        <v>1815.9864117048346</v>
      </c>
      <c r="T29" s="52">
        <f>SUM(T26:T28)</f>
        <v>817.76688996367739</v>
      </c>
      <c r="U29" s="52">
        <f>SUM(P29:T29)</f>
        <v>15047.500534861898</v>
      </c>
    </row>
    <row r="30" spans="1:21" ht="15.75" thickBot="1">
      <c r="E30" s="40" t="s">
        <v>155</v>
      </c>
      <c r="F30" s="45">
        <f t="shared" si="10"/>
        <v>4.5863256715696181</v>
      </c>
      <c r="G30" s="45">
        <f t="shared" si="10"/>
        <v>12.807706880208885</v>
      </c>
      <c r="H30" s="45">
        <f t="shared" si="10"/>
        <v>10.553275392047412</v>
      </c>
      <c r="I30" s="45">
        <f t="shared" si="10"/>
        <v>2.3765141319851617</v>
      </c>
      <c r="J30" s="45">
        <f t="shared" si="10"/>
        <v>0.93086271461444303</v>
      </c>
      <c r="K30" s="59">
        <f t="shared" si="10"/>
        <v>31.254684790425518</v>
      </c>
      <c r="O30" s="15"/>
      <c r="P30" s="16"/>
      <c r="Q30" s="16"/>
      <c r="R30" s="16"/>
      <c r="S30" s="16"/>
      <c r="T30" s="16"/>
      <c r="U30" s="18"/>
    </row>
    <row r="31" spans="1:21" ht="16.5" thickTop="1" thickBot="1">
      <c r="E31" s="57" t="s">
        <v>151</v>
      </c>
      <c r="F31" s="58">
        <f t="shared" si="10"/>
        <v>5.6742504144303831</v>
      </c>
      <c r="G31" s="58">
        <f t="shared" si="10"/>
        <v>-6.0474520202088842</v>
      </c>
      <c r="H31" s="58">
        <f t="shared" si="10"/>
        <v>-4.8573645520474154</v>
      </c>
      <c r="I31" s="58">
        <f t="shared" si="10"/>
        <v>9.5159828014838244E-2</v>
      </c>
      <c r="J31" s="58">
        <f t="shared" si="10"/>
        <v>2.7695161119243363</v>
      </c>
      <c r="K31" s="58">
        <f t="shared" si="10"/>
        <v>-2.3658902178867423</v>
      </c>
      <c r="O31" s="41" t="s">
        <v>156</v>
      </c>
      <c r="P31" s="41" t="str">
        <f t="shared" ref="P31:U31" si="11">P$8</f>
        <v>2023/24</v>
      </c>
      <c r="Q31" s="41" t="str">
        <f t="shared" si="11"/>
        <v>2024/25</v>
      </c>
      <c r="R31" s="41" t="str">
        <f t="shared" si="11"/>
        <v>2025/26</v>
      </c>
      <c r="S31" s="41" t="str">
        <f t="shared" si="11"/>
        <v>2026/27</v>
      </c>
      <c r="T31" s="41" t="str">
        <f t="shared" si="11"/>
        <v>2027/28</v>
      </c>
      <c r="U31" s="41" t="str">
        <f t="shared" si="11"/>
        <v>Total</v>
      </c>
    </row>
    <row r="32" spans="1:21">
      <c r="O32" s="40" t="s">
        <v>127</v>
      </c>
      <c r="P32" s="45">
        <f>P29/1000</f>
        <v>4.3096537430507897</v>
      </c>
      <c r="Q32" s="45">
        <f>Q29/1000</f>
        <v>4.4509217477328251</v>
      </c>
      <c r="R32" s="45">
        <f>R29/1000</f>
        <v>3.6531717424097709</v>
      </c>
      <c r="S32" s="45">
        <f>S29/1000</f>
        <v>1.8159864117048345</v>
      </c>
      <c r="T32" s="45">
        <f>T29/1000</f>
        <v>0.81776688996367741</v>
      </c>
      <c r="U32" s="50">
        <f>SUM(P32:T32)</f>
        <v>15.047500534861898</v>
      </c>
    </row>
    <row r="34" spans="1:26">
      <c r="A34" s="3" t="s">
        <v>157</v>
      </c>
      <c r="B34" s="3"/>
      <c r="C34" s="3"/>
      <c r="D34" s="3"/>
      <c r="E34" s="3"/>
      <c r="F34" s="3"/>
      <c r="G34" s="3"/>
      <c r="H34" s="3"/>
      <c r="I34" s="3"/>
      <c r="J34" s="3"/>
      <c r="K34" s="3"/>
      <c r="L34" s="3"/>
      <c r="M34" s="3"/>
      <c r="N34" s="3"/>
      <c r="O34" s="3"/>
      <c r="P34" s="3"/>
      <c r="Q34" s="3"/>
      <c r="R34" s="3"/>
      <c r="S34" s="3"/>
      <c r="T34" s="3"/>
      <c r="U34" s="3"/>
      <c r="V34" s="3"/>
      <c r="W34" s="3"/>
      <c r="X34" s="3"/>
      <c r="Y34" s="3"/>
      <c r="Z34" s="3"/>
    </row>
    <row r="35" spans="1:26" ht="15.75" thickBot="1"/>
    <row r="36" spans="1:26" ht="15.75" thickBot="1">
      <c r="E36" s="41" t="s">
        <v>36</v>
      </c>
      <c r="F36" s="41" t="str">
        <f t="shared" ref="F36:K36" si="12">F$8</f>
        <v>2018/19</v>
      </c>
      <c r="G36" s="41" t="str">
        <f t="shared" si="12"/>
        <v>2019/20</v>
      </c>
      <c r="H36" s="41" t="str">
        <f t="shared" si="12"/>
        <v>2020/21</v>
      </c>
      <c r="I36" s="41" t="str">
        <f t="shared" si="12"/>
        <v>2021/22</v>
      </c>
      <c r="J36" s="41" t="str">
        <f t="shared" si="12"/>
        <v>2022/23</v>
      </c>
      <c r="K36" s="41" t="str">
        <f t="shared" si="12"/>
        <v>Total</v>
      </c>
      <c r="O36" s="41" t="s">
        <v>6</v>
      </c>
      <c r="P36" s="41" t="str">
        <f t="shared" ref="P36:U36" si="13">P$8</f>
        <v>2023/24</v>
      </c>
      <c r="Q36" s="41" t="str">
        <f t="shared" si="13"/>
        <v>2024/25</v>
      </c>
      <c r="R36" s="41" t="str">
        <f t="shared" si="13"/>
        <v>2025/26</v>
      </c>
      <c r="S36" s="41" t="str">
        <f t="shared" si="13"/>
        <v>2026/27</v>
      </c>
      <c r="T36" s="41" t="str">
        <f t="shared" si="13"/>
        <v>2027/28</v>
      </c>
      <c r="U36" s="41" t="str">
        <f t="shared" si="13"/>
        <v>Total</v>
      </c>
    </row>
    <row r="37" spans="1:26">
      <c r="E37" s="40" t="str">
        <f>'1.1 Input'!A20</f>
        <v>Switchyard</v>
      </c>
      <c r="F37" s="43">
        <f>SUMIF('2.1 Capex Nominal Dollars'!$C$10:$C$42,$E37,'2.1 Capex Nominal Dollars'!E$10:E$42)</f>
        <v>310.32356599999991</v>
      </c>
      <c r="G37" s="43">
        <f>SUMIF('2.1 Capex Nominal Dollars'!$C$10:$C$42,$E37,'2.1 Capex Nominal Dollars'!F$10:F$42)</f>
        <v>57.748040000000003</v>
      </c>
      <c r="H37" s="43">
        <f>SUMIF('2.1 Capex Nominal Dollars'!$C$10:$C$42,$E37,'2.1 Capex Nominal Dollars'!G$10:G$42)</f>
        <v>480.45252000000005</v>
      </c>
      <c r="I37" s="43">
        <f>SUMIF('2.1 Capex Nominal Dollars'!$C$10:$C$42,$E37,'2.1 Capex Nominal Dollars'!H$10:H$42)</f>
        <v>975.16758000000004</v>
      </c>
      <c r="J37" s="43">
        <f>SUMIF('2.1 Capex Nominal Dollars'!$C$10:$C$42,$E37,'2.1 Capex Nominal Dollars'!I$10:I$42)</f>
        <v>1701.5945743002546</v>
      </c>
      <c r="K37" s="50">
        <f t="shared" ref="K37:K44" si="14">SUM(F37:J37)</f>
        <v>3525.2862803002545</v>
      </c>
      <c r="O37" s="40" t="str">
        <f>'1.1 Input'!C20</f>
        <v>Switchyard</v>
      </c>
      <c r="P37" s="43">
        <f>SUMIF('2.0 Capex Real Dollars'!$N$10:$N$42,$O37,'2.0 Capex Real Dollars'!P$10:P$42)</f>
        <v>241.14891348600511</v>
      </c>
      <c r="Q37" s="43">
        <f>SUMIF('2.0 Capex Real Dollars'!$N$10:$N$42,$O37,'2.0 Capex Real Dollars'!Q$10:Q$42)</f>
        <v>241.14891348600511</v>
      </c>
      <c r="R37" s="43">
        <f>SUMIF('2.0 Capex Real Dollars'!$N$10:$N$42,$O37,'2.0 Capex Real Dollars'!R$10:R$42)</f>
        <v>241.14891348600511</v>
      </c>
      <c r="S37" s="43">
        <f>SUMIF('2.0 Capex Real Dollars'!$N$10:$N$42,$O37,'2.0 Capex Real Dollars'!S$10:S$42)</f>
        <v>241.14891348600511</v>
      </c>
      <c r="T37" s="43">
        <f>SUMIF('2.0 Capex Real Dollars'!$N$10:$N$42,$O37,'2.0 Capex Real Dollars'!T$10:T$42)</f>
        <v>241.14891348600511</v>
      </c>
      <c r="U37" s="50">
        <f>SUM(P37:T37)</f>
        <v>1205.7445674300257</v>
      </c>
    </row>
    <row r="38" spans="1:26">
      <c r="E38" s="40" t="str">
        <f>'1.1 Input'!A21</f>
        <v>Transmission line</v>
      </c>
      <c r="F38" s="43">
        <f>SUMIF('2.1 Capex Nominal Dollars'!$C$10:$C$42,$E38,'2.1 Capex Nominal Dollars'!E$10:E$42)</f>
        <v>0</v>
      </c>
      <c r="G38" s="43">
        <f>SUMIF('2.1 Capex Nominal Dollars'!$C$10:$C$42,$E38,'2.1 Capex Nominal Dollars'!F$10:F$42)</f>
        <v>0</v>
      </c>
      <c r="H38" s="43">
        <f>SUMIF('2.1 Capex Nominal Dollars'!$C$10:$C$42,$E38,'2.1 Capex Nominal Dollars'!G$10:G$42)</f>
        <v>0</v>
      </c>
      <c r="I38" s="43">
        <f>SUMIF('2.1 Capex Nominal Dollars'!$C$10:$C$42,$E38,'2.1 Capex Nominal Dollars'!H$10:H$42)</f>
        <v>0</v>
      </c>
      <c r="J38" s="43">
        <f>SUMIF('2.1 Capex Nominal Dollars'!$C$10:$C$42,$E38,'2.1 Capex Nominal Dollars'!I$10:I$42)</f>
        <v>37.832061068702288</v>
      </c>
      <c r="K38" s="50">
        <f t="shared" si="14"/>
        <v>37.832061068702288</v>
      </c>
      <c r="O38" s="40" t="str">
        <f>'1.1 Input'!C21</f>
        <v>Transmission Cable</v>
      </c>
      <c r="P38" s="43">
        <f>SUMIF('2.0 Capex Real Dollars'!$N$10:$N$42,$O38,'2.0 Capex Real Dollars'!P$10:P$42)</f>
        <v>252.60467175572521</v>
      </c>
      <c r="Q38" s="43">
        <f>SUMIF('2.0 Capex Real Dollars'!$N$10:$N$42,$O38,'2.0 Capex Real Dollars'!Q$10:Q$42)</f>
        <v>252.60467175572521</v>
      </c>
      <c r="R38" s="43">
        <f>SUMIF('2.0 Capex Real Dollars'!$N$10:$N$42,$O38,'2.0 Capex Real Dollars'!R$10:R$42)</f>
        <v>1422.2942340966922</v>
      </c>
      <c r="S38" s="43">
        <f>SUMIF('2.0 Capex Real Dollars'!$N$10:$N$42,$O38,'2.0 Capex Real Dollars'!S$10:S$42)</f>
        <v>252.60467175572521</v>
      </c>
      <c r="T38" s="43">
        <f>SUMIF('2.0 Capex Real Dollars'!$N$10:$N$42,$O38,'2.0 Capex Real Dollars'!T$10:T$42)</f>
        <v>252.60467175572521</v>
      </c>
      <c r="U38" s="50">
        <f t="shared" ref="U38:U44" si="15">SUM(P38:T38)</f>
        <v>2432.7129211195929</v>
      </c>
    </row>
    <row r="39" spans="1:26">
      <c r="E39" s="40" t="str">
        <f>'1.1 Input'!A22</f>
        <v>Easements</v>
      </c>
      <c r="F39" s="43">
        <f>SUMIF('2.1 Capex Nominal Dollars'!$C$10:$C$42,$E39,'2.1 Capex Nominal Dollars'!E$10:E$42)</f>
        <v>0</v>
      </c>
      <c r="G39" s="43">
        <f>SUMIF('2.1 Capex Nominal Dollars'!$C$10:$C$42,$E39,'2.1 Capex Nominal Dollars'!F$10:F$42)</f>
        <v>0</v>
      </c>
      <c r="H39" s="43">
        <f>SUMIF('2.1 Capex Nominal Dollars'!$C$10:$C$42,$E39,'2.1 Capex Nominal Dollars'!G$10:G$42)</f>
        <v>0</v>
      </c>
      <c r="I39" s="43">
        <f>SUMIF('2.1 Capex Nominal Dollars'!$C$10:$C$42,$E39,'2.1 Capex Nominal Dollars'!H$10:H$42)</f>
        <v>0</v>
      </c>
      <c r="J39" s="43">
        <f>SUMIF('2.1 Capex Nominal Dollars'!$C$10:$C$42,$E39,'2.1 Capex Nominal Dollars'!I$10:I$42)</f>
        <v>0</v>
      </c>
      <c r="K39" s="50">
        <f t="shared" si="14"/>
        <v>0</v>
      </c>
      <c r="O39" s="40" t="str">
        <f>'1.1 Input'!C22</f>
        <v>Easements</v>
      </c>
      <c r="P39" s="43">
        <f>SUMIF('2.0 Capex Real Dollars'!$N$10:$N$42,$O39,'2.0 Capex Real Dollars'!P$10:P$42)</f>
        <v>0</v>
      </c>
      <c r="Q39" s="43">
        <f>SUMIF('2.0 Capex Real Dollars'!$N$10:$N$42,$O39,'2.0 Capex Real Dollars'!Q$10:Q$42)</f>
        <v>0</v>
      </c>
      <c r="R39" s="43">
        <f>SUMIF('2.0 Capex Real Dollars'!$N$10:$N$42,$O39,'2.0 Capex Real Dollars'!R$10:R$42)</f>
        <v>0</v>
      </c>
      <c r="S39" s="43">
        <f>SUMIF('2.0 Capex Real Dollars'!$N$10:$N$42,$O39,'2.0 Capex Real Dollars'!S$10:S$42)</f>
        <v>0</v>
      </c>
      <c r="T39" s="43">
        <f>SUMIF('2.0 Capex Real Dollars'!$N$10:$N$42,$O39,'2.0 Capex Real Dollars'!T$10:T$42)</f>
        <v>0</v>
      </c>
      <c r="U39" s="50">
        <f t="shared" si="15"/>
        <v>0</v>
      </c>
    </row>
    <row r="40" spans="1:26">
      <c r="E40" s="40" t="str">
        <f>'1.1 Input'!A23</f>
        <v>Ancillary 15 - control systems</v>
      </c>
      <c r="F40" s="43">
        <f>SUMIF('2.1 Capex Nominal Dollars'!$C$10:$C$42,$E40,'2.1 Capex Nominal Dollars'!E$10:E$42)</f>
        <v>8703.5824800000009</v>
      </c>
      <c r="G40" s="43">
        <f>SUMIF('2.1 Capex Nominal Dollars'!$C$10:$C$42,$E40,'2.1 Capex Nominal Dollars'!F$10:F$42)</f>
        <v>6644.0999300000003</v>
      </c>
      <c r="H40" s="43">
        <f>SUMIF('2.1 Capex Nominal Dollars'!$C$10:$C$42,$E40,'2.1 Capex Nominal Dollars'!G$10:G$42)</f>
        <v>5055.7104299999992</v>
      </c>
      <c r="I40" s="43">
        <f>SUMIF('2.1 Capex Nominal Dollars'!$C$10:$C$42,$E40,'2.1 Capex Nominal Dollars'!H$10:H$42)</f>
        <v>566.75990000000002</v>
      </c>
      <c r="J40" s="43">
        <f>SUMIF('2.1 Capex Nominal Dollars'!$C$10:$C$42,$E40,'2.1 Capex Nominal Dollars'!I$10:I$42)</f>
        <v>236.45038167938932</v>
      </c>
      <c r="K40" s="50">
        <f t="shared" si="14"/>
        <v>21206.603121679389</v>
      </c>
      <c r="O40" s="40" t="str">
        <f>'1.1 Input'!C23</f>
        <v>Control Systems</v>
      </c>
      <c r="P40" s="43">
        <f>SUMIF('2.0 Capex Real Dollars'!$N$10:$N$42,$O40,'2.0 Capex Real Dollars'!P$10:P$42)</f>
        <v>0</v>
      </c>
      <c r="Q40" s="43">
        <f>SUMIF('2.0 Capex Real Dollars'!$N$10:$N$42,$O40,'2.0 Capex Real Dollars'!Q$10:Q$42)</f>
        <v>0</v>
      </c>
      <c r="R40" s="43">
        <f>SUMIF('2.0 Capex Real Dollars'!$N$10:$N$42,$O40,'2.0 Capex Real Dollars'!R$10:R$42)</f>
        <v>0</v>
      </c>
      <c r="S40" s="43">
        <f>SUMIF('2.0 Capex Real Dollars'!$N$10:$N$42,$O40,'2.0 Capex Real Dollars'!S$10:S$42)</f>
        <v>0</v>
      </c>
      <c r="T40" s="43">
        <f>SUMIF('2.0 Capex Real Dollars'!$N$10:$N$42,$O40,'2.0 Capex Real Dollars'!T$10:T$42)</f>
        <v>0</v>
      </c>
      <c r="U40" s="50">
        <f t="shared" si="15"/>
        <v>0</v>
      </c>
    </row>
    <row r="41" spans="1:26">
      <c r="E41" s="40" t="str">
        <f>'1.1 Input'!A24</f>
        <v>Ancillary 30</v>
      </c>
      <c r="F41" s="43">
        <f>SUMIF('2.1 Capex Nominal Dollars'!$C$10:$C$42,$E41,'2.1 Capex Nominal Dollars'!E$10:E$42)</f>
        <v>9.4621899999999854</v>
      </c>
      <c r="G41" s="43">
        <f>SUMIF('2.1 Capex Nominal Dollars'!$C$10:$C$42,$E41,'2.1 Capex Nominal Dollars'!F$10:F$42)</f>
        <v>12.699729999999999</v>
      </c>
      <c r="H41" s="43">
        <f>SUMIF('2.1 Capex Nominal Dollars'!$C$10:$C$42,$E41,'2.1 Capex Nominal Dollars'!G$10:G$42)</f>
        <v>0</v>
      </c>
      <c r="I41" s="43">
        <f>SUMIF('2.1 Capex Nominal Dollars'!$C$10:$C$42,$E41,'2.1 Capex Nominal Dollars'!H$10:H$42)</f>
        <v>0</v>
      </c>
      <c r="J41" s="43">
        <f>SUMIF('2.1 Capex Nominal Dollars'!$C$10:$C$42,$E41,'2.1 Capex Nominal Dollars'!I$10:I$42)</f>
        <v>0</v>
      </c>
      <c r="K41" s="50">
        <f t="shared" si="14"/>
        <v>22.161919999999984</v>
      </c>
      <c r="O41" s="40" t="str">
        <f>'1.1 Input'!C24</f>
        <v>Ancillary asset- 30 Years</v>
      </c>
      <c r="P41" s="43">
        <f>SUMIF('2.0 Capex Real Dollars'!$N$10:$N$42,$O41,'2.0 Capex Real Dollars'!P$10:P$42)</f>
        <v>0</v>
      </c>
      <c r="Q41" s="43">
        <f>SUMIF('2.0 Capex Real Dollars'!$N$10:$N$42,$O41,'2.0 Capex Real Dollars'!Q$10:Q$42)</f>
        <v>0</v>
      </c>
      <c r="R41" s="43">
        <f>SUMIF('2.0 Capex Real Dollars'!$N$10:$N$42,$O41,'2.0 Capex Real Dollars'!R$10:R$42)</f>
        <v>0</v>
      </c>
      <c r="S41" s="43">
        <f>SUMIF('2.0 Capex Real Dollars'!$N$10:$N$42,$O41,'2.0 Capex Real Dollars'!S$10:S$42)</f>
        <v>0</v>
      </c>
      <c r="T41" s="43">
        <f>SUMIF('2.0 Capex Real Dollars'!$N$10:$N$42,$O41,'2.0 Capex Real Dollars'!T$10:T$42)</f>
        <v>0</v>
      </c>
      <c r="U41" s="50">
        <f t="shared" si="15"/>
        <v>0</v>
      </c>
    </row>
    <row r="42" spans="1:26" ht="28.5">
      <c r="E42" s="40" t="str">
        <f>'1.1 Input'!A25</f>
        <v>Ancillary 7 - pressure vessel testing and inspection</v>
      </c>
      <c r="F42" s="43">
        <f>SUMIF('2.1 Capex Nominal Dollars'!$C$10:$C$42,$E42,'2.1 Capex Nominal Dollars'!E$10:E$42)</f>
        <v>0</v>
      </c>
      <c r="G42" s="43">
        <f>SUMIF('2.1 Capex Nominal Dollars'!$C$10:$C$42,$E42,'2.1 Capex Nominal Dollars'!F$10:F$42)</f>
        <v>0</v>
      </c>
      <c r="H42" s="43">
        <f>SUMIF('2.1 Capex Nominal Dollars'!$C$10:$C$42,$E42,'2.1 Capex Nominal Dollars'!G$10:G$42)</f>
        <v>0</v>
      </c>
      <c r="I42" s="43">
        <f>SUMIF('2.1 Capex Nominal Dollars'!$C$10:$C$42,$E42,'2.1 Capex Nominal Dollars'!H$10:H$42)</f>
        <v>0</v>
      </c>
      <c r="J42" s="43">
        <f>SUMIF('2.1 Capex Nominal Dollars'!$C$10:$C$42,$E42,'2.1 Capex Nominal Dollars'!I$10:I$42)</f>
        <v>0</v>
      </c>
      <c r="K42" s="50">
        <f t="shared" si="14"/>
        <v>0</v>
      </c>
      <c r="O42" s="40" t="str">
        <f>'1.1 Input'!C25</f>
        <v>Ancillary asset - 7 Years</v>
      </c>
      <c r="P42" s="43">
        <f>SUMIF('2.0 Capex Real Dollars'!$N$10:$N$42,$O42,'2.0 Capex Real Dollars'!P$10:P$42)</f>
        <v>0</v>
      </c>
      <c r="Q42" s="43">
        <f>SUMIF('2.0 Capex Real Dollars'!$N$10:$N$42,$O42,'2.0 Capex Real Dollars'!Q$10:Q$42)</f>
        <v>0</v>
      </c>
      <c r="R42" s="43">
        <f>SUMIF('2.0 Capex Real Dollars'!$N$10:$N$42,$O42,'2.0 Capex Real Dollars'!R$10:R$42)</f>
        <v>0</v>
      </c>
      <c r="S42" s="43">
        <f>SUMIF('2.0 Capex Real Dollars'!$N$10:$N$42,$O42,'2.0 Capex Real Dollars'!S$10:S$42)</f>
        <v>0</v>
      </c>
      <c r="T42" s="43">
        <f>SUMIF('2.0 Capex Real Dollars'!$N$10:$N$42,$O42,'2.0 Capex Real Dollars'!T$10:T$42)</f>
        <v>0</v>
      </c>
      <c r="U42" s="50">
        <f t="shared" si="15"/>
        <v>0</v>
      </c>
    </row>
    <row r="43" spans="1:26">
      <c r="E43" s="40" t="str">
        <f>'1.1 Input'!A26</f>
        <v>Other operating assets</v>
      </c>
      <c r="F43" s="43">
        <f>SUMIF('2.1 Capex Nominal Dollars'!$C$10:$C$42,$E43,'2.1 Capex Nominal Dollars'!E$10:E$42)</f>
        <v>1237.2078500000002</v>
      </c>
      <c r="G43" s="43">
        <f>SUMIF('2.1 Capex Nominal Dollars'!$C$10:$C$42,$E43,'2.1 Capex Nominal Dollars'!F$10:F$42)</f>
        <v>45.707159999999995</v>
      </c>
      <c r="H43" s="43">
        <f>SUMIF('2.1 Capex Nominal Dollars'!$C$10:$C$42,$E43,'2.1 Capex Nominal Dollars'!G$10:G$42)</f>
        <v>159.74789000000001</v>
      </c>
      <c r="I43" s="43">
        <f>SUMIF('2.1 Capex Nominal Dollars'!$C$10:$C$42,$E43,'2.1 Capex Nominal Dollars'!H$10:H$42)</f>
        <v>929.74647999999991</v>
      </c>
      <c r="J43" s="43">
        <f>SUMIF('2.1 Capex Nominal Dollars'!$C$10:$C$42,$E43,'2.1 Capex Nominal Dollars'!I$10:I$42)</f>
        <v>1724.5018094904331</v>
      </c>
      <c r="K43" s="50">
        <f t="shared" si="14"/>
        <v>4096.9111894904327</v>
      </c>
      <c r="O43" s="40" t="str">
        <f>'1.1 Input'!C26</f>
        <v>Other operating assets</v>
      </c>
      <c r="P43" s="43">
        <f>SUMIF('2.0 Capex Real Dollars'!$N$10:$N$42,$O43,'2.0 Capex Real Dollars'!P$10:P$42)</f>
        <v>3306.822380964275</v>
      </c>
      <c r="Q43" s="43">
        <f>SUMIF('2.0 Capex Real Dollars'!$N$10:$N$42,$O43,'2.0 Capex Real Dollars'!Q$10:Q$42)</f>
        <v>3957.1681624910943</v>
      </c>
      <c r="R43" s="43">
        <f>SUMIF('2.0 Capex Real Dollars'!$N$10:$N$42,$O43,'2.0 Capex Real Dollars'!R$10:R$42)</f>
        <v>906.77199482707385</v>
      </c>
      <c r="S43" s="43">
        <f>SUMIF('2.0 Capex Real Dollars'!$N$10:$N$42,$O43,'2.0 Capex Real Dollars'!S$10:S$42)</f>
        <v>239.27622646310431</v>
      </c>
      <c r="T43" s="43">
        <f>SUMIF('2.0 Capex Real Dollars'!$N$10:$N$42,$O43,'2.0 Capex Real Dollars'!T$10:T$42)</f>
        <v>158.35765139949109</v>
      </c>
      <c r="U43" s="50">
        <f t="shared" si="15"/>
        <v>8568.3964161450385</v>
      </c>
    </row>
    <row r="44" spans="1:26" ht="15.75" thickBot="1">
      <c r="E44" s="40" t="str">
        <f>'1.1 Input'!A27</f>
        <v>Office machines</v>
      </c>
      <c r="F44" s="43">
        <f>SUMIF('2.1 Capex Nominal Dollars'!$C$10:$C$42,$E44,'2.1 Capex Nominal Dollars'!E$10:E$42)</f>
        <v>0</v>
      </c>
      <c r="G44" s="43">
        <f>SUMIF('2.1 Capex Nominal Dollars'!$C$10:$C$42,$E44,'2.1 Capex Nominal Dollars'!F$10:F$42)</f>
        <v>0</v>
      </c>
      <c r="H44" s="43">
        <f>SUMIF('2.1 Capex Nominal Dollars'!$C$10:$C$42,$E44,'2.1 Capex Nominal Dollars'!G$10:G$42)</f>
        <v>0</v>
      </c>
      <c r="I44" s="43">
        <f>SUMIF('2.1 Capex Nominal Dollars'!$C$10:$C$42,$E44,'2.1 Capex Nominal Dollars'!H$10:H$42)</f>
        <v>0</v>
      </c>
      <c r="J44" s="43">
        <f>SUMIF('2.1 Capex Nominal Dollars'!$C$10:$C$42,$E44,'2.1 Capex Nominal Dollars'!I$10:I$42)</f>
        <v>0</v>
      </c>
      <c r="K44" s="50">
        <f t="shared" si="14"/>
        <v>0</v>
      </c>
      <c r="O44" s="40" t="str">
        <f>'1.1 Input'!C27</f>
        <v>Non ancillary asset</v>
      </c>
      <c r="P44" s="43">
        <f>SUMIF('2.0 Capex Real Dollars'!$N$10:$N$42,$O44,'2.0 Capex Real Dollars'!P$10:P$42)</f>
        <v>509.07777684478373</v>
      </c>
      <c r="Q44" s="43">
        <f>SUMIF('2.0 Capex Real Dollars'!$N$10:$N$42,$O44,'2.0 Capex Real Dollars'!Q$10:Q$42)</f>
        <v>0</v>
      </c>
      <c r="R44" s="43">
        <f>SUMIF('2.0 Capex Real Dollars'!$N$10:$N$42,$O44,'2.0 Capex Real Dollars'!R$10:R$42)</f>
        <v>1082.9566</v>
      </c>
      <c r="S44" s="43">
        <f>SUMIF('2.0 Capex Real Dollars'!$N$10:$N$42,$O44,'2.0 Capex Real Dollars'!S$10:S$42)</f>
        <v>1082.9566</v>
      </c>
      <c r="T44" s="43">
        <f>SUMIF('2.0 Capex Real Dollars'!$N$10:$N$42,$O44,'2.0 Capex Real Dollars'!T$10:T$42)</f>
        <v>165.65565332245595</v>
      </c>
      <c r="U44" s="50">
        <f t="shared" si="15"/>
        <v>2840.6466301672399</v>
      </c>
    </row>
    <row r="45" spans="1:26" ht="15.75" thickTop="1">
      <c r="E45" s="51" t="s">
        <v>15</v>
      </c>
      <c r="F45" s="52">
        <f t="shared" ref="F45:K45" si="16">SUM(F37:F44)</f>
        <v>10260.576086000001</v>
      </c>
      <c r="G45" s="52">
        <f t="shared" si="16"/>
        <v>6760.2548600000009</v>
      </c>
      <c r="H45" s="52">
        <f t="shared" si="16"/>
        <v>5695.9108399999986</v>
      </c>
      <c r="I45" s="52">
        <f t="shared" si="16"/>
        <v>2471.6739600000001</v>
      </c>
      <c r="J45" s="52">
        <f t="shared" si="16"/>
        <v>3700.3788265387793</v>
      </c>
      <c r="K45" s="52">
        <f t="shared" si="16"/>
        <v>28888.794572538776</v>
      </c>
      <c r="O45" s="51" t="s">
        <v>15</v>
      </c>
      <c r="P45" s="52">
        <f t="shared" ref="P45:U45" si="17">SUM(P37:P44)</f>
        <v>4309.6537430507888</v>
      </c>
      <c r="Q45" s="52">
        <f t="shared" si="17"/>
        <v>4450.9217477328248</v>
      </c>
      <c r="R45" s="52">
        <f t="shared" si="17"/>
        <v>3653.171742409771</v>
      </c>
      <c r="S45" s="52">
        <f t="shared" si="17"/>
        <v>1815.9864117048346</v>
      </c>
      <c r="T45" s="52">
        <f t="shared" si="17"/>
        <v>817.76688996367739</v>
      </c>
      <c r="U45" s="52">
        <f t="shared" si="17"/>
        <v>15047.500534861898</v>
      </c>
    </row>
    <row r="46" spans="1:26" ht="15.75" thickBot="1"/>
    <row r="47" spans="1:26" ht="16.5" thickTop="1" thickBot="1">
      <c r="E47" s="13" t="s">
        <v>143</v>
      </c>
      <c r="F47" s="38">
        <f>'2.1 Capex Nominal Dollars'!E5-'3.0 Outputs'!F45</f>
        <v>0</v>
      </c>
      <c r="G47" s="38">
        <f>'2.1 Capex Nominal Dollars'!F5-'3.0 Outputs'!G45</f>
        <v>0</v>
      </c>
      <c r="H47" s="38">
        <f>'2.1 Capex Nominal Dollars'!G5-'3.0 Outputs'!H45</f>
        <v>0</v>
      </c>
      <c r="I47" s="38">
        <f>'2.1 Capex Nominal Dollars'!H5-'3.0 Outputs'!I45</f>
        <v>0</v>
      </c>
      <c r="J47" s="38">
        <f>'2.1 Capex Nominal Dollars'!I5-'3.0 Outputs'!J45</f>
        <v>0</v>
      </c>
      <c r="K47" s="38">
        <f>'2.1 Capex Nominal Dollars'!J5-'3.0 Outputs'!K45</f>
        <v>0</v>
      </c>
      <c r="O47" s="13" t="s">
        <v>143</v>
      </c>
      <c r="P47" s="38">
        <f t="shared" ref="P47:U47" si="18">P29-P45</f>
        <v>0</v>
      </c>
      <c r="Q47" s="38">
        <f t="shared" si="18"/>
        <v>0</v>
      </c>
      <c r="R47" s="38">
        <f t="shared" si="18"/>
        <v>0</v>
      </c>
      <c r="S47" s="38">
        <f t="shared" si="18"/>
        <v>0</v>
      </c>
      <c r="T47" s="38">
        <f t="shared" si="18"/>
        <v>0</v>
      </c>
      <c r="U47" s="38">
        <f t="shared" si="18"/>
        <v>0</v>
      </c>
    </row>
    <row r="48" spans="1:26" ht="15.75" thickTop="1">
      <c r="O48" s="15"/>
      <c r="P48" s="16"/>
      <c r="Q48" s="16"/>
      <c r="R48" s="16"/>
      <c r="S48" s="16"/>
      <c r="T48" s="16"/>
      <c r="U48" s="16"/>
    </row>
    <row r="49" spans="1:26">
      <c r="A49" s="3" t="s">
        <v>158</v>
      </c>
      <c r="B49" s="3"/>
      <c r="C49" s="3"/>
      <c r="D49" s="3"/>
      <c r="E49" s="3"/>
      <c r="F49" s="3"/>
      <c r="G49" s="3"/>
      <c r="H49" s="3"/>
      <c r="I49" s="3"/>
      <c r="J49" s="3"/>
      <c r="K49" s="3"/>
      <c r="L49" s="3"/>
      <c r="M49" s="3"/>
      <c r="N49" s="3"/>
      <c r="O49" s="3"/>
      <c r="P49" s="3"/>
      <c r="Q49" s="3"/>
      <c r="R49" s="3"/>
      <c r="S49" s="3"/>
      <c r="T49" s="3"/>
      <c r="U49" s="3"/>
      <c r="V49" s="3"/>
      <c r="W49" s="3"/>
      <c r="X49" s="3"/>
      <c r="Y49" s="3"/>
      <c r="Z49" s="3"/>
    </row>
    <row r="50" spans="1:26" ht="15.75" thickBot="1">
      <c r="P50" s="10">
        <v>1</v>
      </c>
      <c r="Q50" s="10">
        <v>2</v>
      </c>
      <c r="R50" s="10">
        <v>3</v>
      </c>
      <c r="S50" s="10">
        <v>4</v>
      </c>
      <c r="T50" s="10">
        <v>5</v>
      </c>
    </row>
    <row r="51" spans="1:26" ht="15.75" thickBot="1">
      <c r="E51" s="41" t="str">
        <f>E36</f>
        <v>Switchyard</v>
      </c>
      <c r="F51" s="41" t="str">
        <f t="shared" ref="F51:K51" si="19">F$8</f>
        <v>2018/19</v>
      </c>
      <c r="G51" s="41" t="str">
        <f t="shared" si="19"/>
        <v>2019/20</v>
      </c>
      <c r="H51" s="41" t="str">
        <f t="shared" si="19"/>
        <v>2020/21</v>
      </c>
      <c r="I51" s="41" t="str">
        <f t="shared" si="19"/>
        <v>2021/22</v>
      </c>
      <c r="J51" s="41" t="str">
        <f t="shared" si="19"/>
        <v>2022/23</v>
      </c>
      <c r="K51" s="41" t="str">
        <f t="shared" si="19"/>
        <v>Total</v>
      </c>
      <c r="O51" s="41" t="str">
        <f>O36</f>
        <v>Asset Class</v>
      </c>
      <c r="P51" s="41" t="str">
        <f t="shared" ref="P51:U51" si="20">P$8</f>
        <v>2023/24</v>
      </c>
      <c r="Q51" s="41" t="str">
        <f t="shared" si="20"/>
        <v>2024/25</v>
      </c>
      <c r="R51" s="41" t="str">
        <f t="shared" si="20"/>
        <v>2025/26</v>
      </c>
      <c r="S51" s="41" t="str">
        <f t="shared" si="20"/>
        <v>2026/27</v>
      </c>
      <c r="T51" s="41" t="str">
        <f t="shared" si="20"/>
        <v>2027/28</v>
      </c>
      <c r="U51" s="41" t="str">
        <f t="shared" si="20"/>
        <v>Total</v>
      </c>
    </row>
    <row r="52" spans="1:26">
      <c r="E52" s="40" t="str">
        <f>'1.1 Input'!A20</f>
        <v>Switchyard</v>
      </c>
      <c r="F52" s="43">
        <v>310.32356599999991</v>
      </c>
      <c r="G52" s="43">
        <v>57.748040000000003</v>
      </c>
      <c r="H52" s="43">
        <v>480.45251999999999</v>
      </c>
      <c r="I52" s="43">
        <v>975.16758000000004</v>
      </c>
      <c r="J52" s="43">
        <f>J37</f>
        <v>1701.5945743002546</v>
      </c>
      <c r="K52" s="46">
        <f t="shared" ref="K52:K59" si="21">SUM(F52:J52)</f>
        <v>3525.2862803002545</v>
      </c>
      <c r="O52" s="40" t="str">
        <f>'1.1 Input'!C20</f>
        <v>Switchyard</v>
      </c>
      <c r="P52" s="43">
        <f>'2.0 Capex Real Dollars'!P117</f>
        <v>241.14891348600511</v>
      </c>
      <c r="Q52" s="43">
        <f>'2.0 Capex Real Dollars'!Q117</f>
        <v>241.14891348600511</v>
      </c>
      <c r="R52" s="43">
        <f>'2.0 Capex Real Dollars'!R117</f>
        <v>241.14891348600511</v>
      </c>
      <c r="S52" s="43">
        <f>'2.0 Capex Real Dollars'!S117</f>
        <v>241.14891348600511</v>
      </c>
      <c r="T52" s="43">
        <f>'2.0 Capex Real Dollars'!T117</f>
        <v>241.14891348600511</v>
      </c>
      <c r="U52" s="49">
        <f t="shared" ref="U52:U57" si="22">SUM(P52:T52)</f>
        <v>1205.7445674300257</v>
      </c>
    </row>
    <row r="53" spans="1:26">
      <c r="E53" s="40" t="str">
        <f>'1.1 Input'!A21</f>
        <v>Transmission line</v>
      </c>
      <c r="F53" s="43">
        <v>0</v>
      </c>
      <c r="G53" s="43">
        <v>0</v>
      </c>
      <c r="H53" s="43">
        <v>0</v>
      </c>
      <c r="I53" s="43">
        <v>0</v>
      </c>
      <c r="J53" s="43">
        <f t="shared" ref="J53:J59" si="23">J38</f>
        <v>37.832061068702288</v>
      </c>
      <c r="K53" s="46">
        <f t="shared" si="21"/>
        <v>37.832061068702288</v>
      </c>
      <c r="O53" s="40" t="str">
        <f>'1.1 Input'!C21</f>
        <v>Transmission Cable</v>
      </c>
      <c r="P53" s="43">
        <f>'2.0 Capex Real Dollars'!P118</f>
        <v>252.60467175572521</v>
      </c>
      <c r="Q53" s="43">
        <f>'2.0 Capex Real Dollars'!Q118</f>
        <v>252.60467175572521</v>
      </c>
      <c r="R53" s="43">
        <f>'2.0 Capex Real Dollars'!R118</f>
        <v>1422.2942340966922</v>
      </c>
      <c r="S53" s="43">
        <f>'2.0 Capex Real Dollars'!S118</f>
        <v>252.60467175572521</v>
      </c>
      <c r="T53" s="43">
        <f>'2.0 Capex Real Dollars'!T118</f>
        <v>252.60467175572521</v>
      </c>
      <c r="U53" s="49">
        <f t="shared" si="22"/>
        <v>2432.7129211195929</v>
      </c>
    </row>
    <row r="54" spans="1:26">
      <c r="E54" s="40" t="str">
        <f>'1.1 Input'!A22</f>
        <v>Easements</v>
      </c>
      <c r="F54" s="43">
        <v>0</v>
      </c>
      <c r="G54" s="43">
        <v>0</v>
      </c>
      <c r="H54" s="43">
        <v>0</v>
      </c>
      <c r="I54" s="43">
        <v>0</v>
      </c>
      <c r="J54" s="43">
        <f t="shared" si="23"/>
        <v>0</v>
      </c>
      <c r="K54" s="46">
        <f t="shared" si="21"/>
        <v>0</v>
      </c>
      <c r="O54" s="40" t="str">
        <f>'1.1 Input'!C22</f>
        <v>Easements</v>
      </c>
      <c r="P54" s="43">
        <f>'2.0 Capex Real Dollars'!P119</f>
        <v>0</v>
      </c>
      <c r="Q54" s="43">
        <f>'2.0 Capex Real Dollars'!Q119</f>
        <v>0</v>
      </c>
      <c r="R54" s="43">
        <f>'2.0 Capex Real Dollars'!R119</f>
        <v>0</v>
      </c>
      <c r="S54" s="43">
        <f>'2.0 Capex Real Dollars'!S119</f>
        <v>0</v>
      </c>
      <c r="T54" s="43">
        <f>'2.0 Capex Real Dollars'!T119</f>
        <v>0</v>
      </c>
      <c r="U54" s="49">
        <f t="shared" si="22"/>
        <v>0</v>
      </c>
    </row>
    <row r="55" spans="1:26">
      <c r="E55" s="40" t="str">
        <f>'1.1 Input'!A23</f>
        <v>Ancillary 15 - control systems</v>
      </c>
      <c r="F55" s="43">
        <v>8703.5824800000009</v>
      </c>
      <c r="G55" s="43">
        <v>6644.0999300000003</v>
      </c>
      <c r="H55" s="43">
        <v>5055.7104299999983</v>
      </c>
      <c r="I55" s="43">
        <v>566.75990000000002</v>
      </c>
      <c r="J55" s="43">
        <f t="shared" si="23"/>
        <v>236.45038167938932</v>
      </c>
      <c r="K55" s="46">
        <f t="shared" si="21"/>
        <v>21206.603121679389</v>
      </c>
      <c r="O55" s="40" t="str">
        <f>'1.1 Input'!C23</f>
        <v>Control Systems</v>
      </c>
      <c r="P55" s="43">
        <f>'2.0 Capex Real Dollars'!P120</f>
        <v>0</v>
      </c>
      <c r="Q55" s="43">
        <f>'2.0 Capex Real Dollars'!Q120</f>
        <v>0</v>
      </c>
      <c r="R55" s="43">
        <f>'2.0 Capex Real Dollars'!R120</f>
        <v>0</v>
      </c>
      <c r="S55" s="43">
        <f>'2.0 Capex Real Dollars'!S120</f>
        <v>0</v>
      </c>
      <c r="T55" s="43">
        <f>'2.0 Capex Real Dollars'!T120</f>
        <v>0</v>
      </c>
      <c r="U55" s="49">
        <f t="shared" si="22"/>
        <v>0</v>
      </c>
    </row>
    <row r="56" spans="1:26">
      <c r="E56" s="40" t="str">
        <f>'1.1 Input'!A24</f>
        <v>Ancillary 30</v>
      </c>
      <c r="F56" s="43">
        <v>9.4621899999999854</v>
      </c>
      <c r="G56" s="43">
        <v>12.699729999999999</v>
      </c>
      <c r="H56" s="43">
        <v>0</v>
      </c>
      <c r="I56" s="43">
        <v>0</v>
      </c>
      <c r="J56" s="43">
        <f t="shared" si="23"/>
        <v>0</v>
      </c>
      <c r="K56" s="46">
        <f t="shared" si="21"/>
        <v>22.161919999999984</v>
      </c>
      <c r="O56" s="40" t="str">
        <f>'1.1 Input'!C24</f>
        <v>Ancillary asset- 30 Years</v>
      </c>
      <c r="P56" s="43">
        <f>'2.0 Capex Real Dollars'!P121</f>
        <v>0</v>
      </c>
      <c r="Q56" s="43">
        <f>'2.0 Capex Real Dollars'!Q121</f>
        <v>0</v>
      </c>
      <c r="R56" s="43">
        <f>'2.0 Capex Real Dollars'!R121</f>
        <v>0</v>
      </c>
      <c r="S56" s="43">
        <f>'2.0 Capex Real Dollars'!S121</f>
        <v>0</v>
      </c>
      <c r="T56" s="43">
        <f>'2.0 Capex Real Dollars'!T121</f>
        <v>0</v>
      </c>
      <c r="U56" s="49">
        <f t="shared" si="22"/>
        <v>0</v>
      </c>
    </row>
    <row r="57" spans="1:26" ht="28.5">
      <c r="E57" s="40" t="str">
        <f>'1.1 Input'!A25</f>
        <v>Ancillary 7 - pressure vessel testing and inspection</v>
      </c>
      <c r="F57" s="43">
        <v>0</v>
      </c>
      <c r="G57" s="43">
        <v>0</v>
      </c>
      <c r="H57" s="43">
        <v>0</v>
      </c>
      <c r="I57" s="43">
        <v>0</v>
      </c>
      <c r="J57" s="43">
        <f t="shared" si="23"/>
        <v>0</v>
      </c>
      <c r="K57" s="46">
        <f t="shared" si="21"/>
        <v>0</v>
      </c>
      <c r="O57" s="40" t="str">
        <f>'1.1 Input'!C25</f>
        <v>Ancillary asset - 7 Years</v>
      </c>
      <c r="P57" s="43">
        <f>'2.0 Capex Real Dollars'!P122</f>
        <v>0</v>
      </c>
      <c r="Q57" s="43">
        <f>'2.0 Capex Real Dollars'!Q122</f>
        <v>0</v>
      </c>
      <c r="R57" s="43">
        <f>'2.0 Capex Real Dollars'!R122</f>
        <v>0</v>
      </c>
      <c r="S57" s="43">
        <f>'2.0 Capex Real Dollars'!S122</f>
        <v>0</v>
      </c>
      <c r="T57" s="43">
        <f>'2.0 Capex Real Dollars'!T122</f>
        <v>0</v>
      </c>
      <c r="U57" s="49">
        <f t="shared" si="22"/>
        <v>0</v>
      </c>
    </row>
    <row r="58" spans="1:26">
      <c r="E58" s="40" t="str">
        <f>'1.1 Input'!A26</f>
        <v>Other operating assets</v>
      </c>
      <c r="F58" s="43">
        <v>1237.2078500000002</v>
      </c>
      <c r="G58" s="43">
        <v>45.707159999999995</v>
      </c>
      <c r="H58" s="43">
        <v>159.74789000000001</v>
      </c>
      <c r="I58" s="43">
        <v>929.74647999999991</v>
      </c>
      <c r="J58" s="43">
        <f t="shared" si="23"/>
        <v>1724.5018094904331</v>
      </c>
      <c r="K58" s="46">
        <f t="shared" si="21"/>
        <v>4096.9111894904327</v>
      </c>
      <c r="O58" s="40" t="str">
        <f>'1.1 Input'!C26</f>
        <v>Other operating assets</v>
      </c>
      <c r="P58" s="43">
        <f>'2.0 Capex Real Dollars'!P123</f>
        <v>1657.0916604324684</v>
      </c>
      <c r="Q58" s="43">
        <f>'2.0 Capex Real Dollars'!Q123</f>
        <v>5606.8988830229009</v>
      </c>
      <c r="R58" s="43">
        <f>'2.0 Capex Real Dollars'!R123</f>
        <v>906.77199482707385</v>
      </c>
      <c r="S58" s="43">
        <f>'2.0 Capex Real Dollars'!S123</f>
        <v>239.27622646310431</v>
      </c>
      <c r="T58" s="43">
        <f>'2.0 Capex Real Dollars'!T123</f>
        <v>158.35765139949109</v>
      </c>
      <c r="U58" s="49">
        <f>SUM(P58:T58)</f>
        <v>8568.3964161450385</v>
      </c>
    </row>
    <row r="59" spans="1:26" ht="15.75" thickBot="1">
      <c r="E59" s="40" t="str">
        <f>'1.1 Input'!A27</f>
        <v>Office machines</v>
      </c>
      <c r="F59" s="43">
        <v>0</v>
      </c>
      <c r="G59" s="43">
        <v>0</v>
      </c>
      <c r="H59" s="43">
        <v>0</v>
      </c>
      <c r="I59" s="43">
        <v>0</v>
      </c>
      <c r="J59" s="43">
        <f t="shared" si="23"/>
        <v>0</v>
      </c>
      <c r="K59" s="46">
        <f t="shared" si="21"/>
        <v>0</v>
      </c>
      <c r="O59" s="40" t="str">
        <f>'1.1 Input'!C27</f>
        <v>Non ancillary asset</v>
      </c>
      <c r="P59" s="43">
        <f>'2.0 Capex Real Dollars'!P124</f>
        <v>509.07777684478373</v>
      </c>
      <c r="Q59" s="43">
        <f>'2.0 Capex Real Dollars'!Q124</f>
        <v>0</v>
      </c>
      <c r="R59" s="43">
        <f>'2.0 Capex Real Dollars'!R124</f>
        <v>1082.9566</v>
      </c>
      <c r="S59" s="43">
        <f>'2.0 Capex Real Dollars'!S124</f>
        <v>1082.9566</v>
      </c>
      <c r="T59" s="43">
        <f>'2.0 Capex Real Dollars'!T124</f>
        <v>165.65565332245595</v>
      </c>
      <c r="U59" s="49">
        <f>SUM(P59:T59)</f>
        <v>2840.6466301672399</v>
      </c>
    </row>
    <row r="60" spans="1:26" ht="15.75" thickTop="1">
      <c r="E60" s="51" t="s">
        <v>15</v>
      </c>
      <c r="F60" s="52">
        <f t="shared" ref="F60:K60" si="24">SUM(F52:F59)</f>
        <v>10260.576086000001</v>
      </c>
      <c r="G60" s="52">
        <f t="shared" si="24"/>
        <v>6760.2548600000009</v>
      </c>
      <c r="H60" s="52">
        <f t="shared" si="24"/>
        <v>5695.9108399999977</v>
      </c>
      <c r="I60" s="52">
        <f t="shared" si="24"/>
        <v>2471.6739600000001</v>
      </c>
      <c r="J60" s="52">
        <f t="shared" si="24"/>
        <v>3700.3788265387793</v>
      </c>
      <c r="K60" s="52">
        <f t="shared" si="24"/>
        <v>28888.794572538776</v>
      </c>
      <c r="O60" s="51" t="s">
        <v>15</v>
      </c>
      <c r="P60" s="52">
        <f t="shared" ref="P60:U60" si="25">SUM(P52:P59)</f>
        <v>2659.9230225189826</v>
      </c>
      <c r="Q60" s="52">
        <f t="shared" si="25"/>
        <v>6100.6524682646314</v>
      </c>
      <c r="R60" s="52">
        <f t="shared" si="25"/>
        <v>3653.171742409771</v>
      </c>
      <c r="S60" s="52">
        <f t="shared" si="25"/>
        <v>1815.9864117048346</v>
      </c>
      <c r="T60" s="52">
        <f t="shared" si="25"/>
        <v>817.76688996367739</v>
      </c>
      <c r="U60" s="52">
        <f t="shared" si="25"/>
        <v>15047.500534861898</v>
      </c>
    </row>
    <row r="65" spans="1:26">
      <c r="A65" s="3" t="s">
        <v>159</v>
      </c>
      <c r="B65" s="3"/>
      <c r="C65" s="3"/>
      <c r="D65" s="3"/>
      <c r="E65" s="3"/>
      <c r="F65" s="3"/>
      <c r="G65" s="3"/>
      <c r="H65" s="3"/>
      <c r="I65" s="3"/>
      <c r="J65" s="3"/>
      <c r="K65" s="3"/>
      <c r="L65" s="3"/>
      <c r="M65" s="3"/>
      <c r="N65" s="3"/>
      <c r="O65" s="3"/>
      <c r="P65" s="3"/>
      <c r="Q65" s="3"/>
      <c r="R65" s="3"/>
      <c r="S65" s="3"/>
      <c r="T65" s="3"/>
      <c r="U65" s="3"/>
      <c r="V65" s="3"/>
      <c r="W65" s="3"/>
      <c r="X65" s="3"/>
      <c r="Y65" s="3"/>
      <c r="Z65" s="3"/>
    </row>
    <row r="66" spans="1:26" ht="15.75" thickBot="1"/>
    <row r="67" spans="1:26" ht="15.75" thickBot="1">
      <c r="E67" s="41"/>
      <c r="F67" s="41" t="str">
        <f t="shared" ref="F67:K67" si="26">F$8</f>
        <v>2018/19</v>
      </c>
      <c r="G67" s="41" t="str">
        <f t="shared" si="26"/>
        <v>2019/20</v>
      </c>
      <c r="H67" s="41" t="str">
        <f t="shared" si="26"/>
        <v>2020/21</v>
      </c>
      <c r="I67" s="41" t="str">
        <f t="shared" si="26"/>
        <v>2021/22</v>
      </c>
      <c r="J67" s="41" t="str">
        <f t="shared" si="26"/>
        <v>2022/23</v>
      </c>
      <c r="K67" s="41" t="str">
        <f t="shared" si="26"/>
        <v>Total</v>
      </c>
    </row>
    <row r="68" spans="1:26" ht="15.75" thickBot="1">
      <c r="E68" s="74" t="s">
        <v>107</v>
      </c>
      <c r="F68" s="75"/>
      <c r="G68" s="75"/>
      <c r="H68" s="75"/>
      <c r="I68" s="75"/>
      <c r="J68" s="75"/>
      <c r="K68" s="76"/>
    </row>
    <row r="69" spans="1:26">
      <c r="E69" s="40" t="str">
        <f>'1.1 Input'!B22</f>
        <v>Augmentation Expenditure</v>
      </c>
      <c r="F69" s="43">
        <f>'2.1 Capex Nominal Dollars'!E95</f>
        <v>0</v>
      </c>
      <c r="G69" s="43">
        <f>'2.1 Capex Nominal Dollars'!F95</f>
        <v>0</v>
      </c>
      <c r="H69" s="43">
        <f>'2.1 Capex Nominal Dollars'!G95</f>
        <v>0</v>
      </c>
      <c r="I69" s="43">
        <f>'2.1 Capex Nominal Dollars'!H95</f>
        <v>0</v>
      </c>
      <c r="J69" s="43">
        <f>'2.1 Capex Nominal Dollars'!I95</f>
        <v>0</v>
      </c>
      <c r="K69" s="50">
        <f>SUM(F69:J69)</f>
        <v>0</v>
      </c>
    </row>
    <row r="70" spans="1:26">
      <c r="E70" s="40" t="str">
        <f>'1.1 Input'!B20</f>
        <v>Replacement expenditure</v>
      </c>
      <c r="F70" s="43">
        <f>'2.1 Capex Nominal Dollars'!E93</f>
        <v>10220.187986000001</v>
      </c>
      <c r="G70" s="43">
        <f>'2.1 Capex Nominal Dollars'!F93</f>
        <v>6760.2548600000009</v>
      </c>
      <c r="H70" s="43">
        <f>'2.1 Capex Nominal Dollars'!G93</f>
        <v>5695.9108399999977</v>
      </c>
      <c r="I70" s="43">
        <f>'2.1 Capex Nominal Dollars'!H93</f>
        <v>2471.6739600000001</v>
      </c>
      <c r="J70" s="43">
        <f>'2.1 Capex Nominal Dollars'!I93</f>
        <v>3542.7452387525191</v>
      </c>
      <c r="K70" s="50">
        <f>SUM(F70:J70)</f>
        <v>28690.772884752518</v>
      </c>
      <c r="P70" s="12"/>
      <c r="Q70" s="12"/>
      <c r="R70" s="12"/>
      <c r="S70" s="12"/>
      <c r="T70" s="12"/>
      <c r="U70" s="12"/>
    </row>
    <row r="71" spans="1:26" ht="15.75" thickBot="1">
      <c r="E71" s="40" t="str">
        <f>'1.1 Input'!B23</f>
        <v>Non-network</v>
      </c>
      <c r="F71" s="43">
        <f>'2.1 Capex Nominal Dollars'!E96</f>
        <v>40.388100000000001</v>
      </c>
      <c r="G71" s="43">
        <f>'2.1 Capex Nominal Dollars'!F96</f>
        <v>0</v>
      </c>
      <c r="H71" s="43">
        <f>'2.1 Capex Nominal Dollars'!G96</f>
        <v>0</v>
      </c>
      <c r="I71" s="43">
        <f>'2.1 Capex Nominal Dollars'!H96</f>
        <v>0</v>
      </c>
      <c r="J71" s="43">
        <f>'2.1 Capex Nominal Dollars'!I96</f>
        <v>157.63358778625954</v>
      </c>
      <c r="K71" s="50">
        <f>SUM(F71:J71)</f>
        <v>198.02168778625955</v>
      </c>
      <c r="P71" s="12"/>
      <c r="Q71" s="12"/>
      <c r="R71" s="12"/>
      <c r="S71" s="12"/>
      <c r="T71" s="12"/>
      <c r="U71" s="12"/>
    </row>
    <row r="72" spans="1:26" ht="16.5" thickTop="1" thickBot="1">
      <c r="E72" s="51" t="s">
        <v>15</v>
      </c>
      <c r="F72" s="52">
        <f>SUM(F69:F71)</f>
        <v>10260.576086000001</v>
      </c>
      <c r="G72" s="52">
        <f t="shared" ref="G72:J72" si="27">SUM(G69:G71)</f>
        <v>6760.2548600000009</v>
      </c>
      <c r="H72" s="52">
        <f t="shared" si="27"/>
        <v>5695.9108399999977</v>
      </c>
      <c r="I72" s="52">
        <f t="shared" si="27"/>
        <v>2471.6739600000001</v>
      </c>
      <c r="J72" s="52">
        <f t="shared" si="27"/>
        <v>3700.3788265387784</v>
      </c>
      <c r="K72" s="52">
        <f>SUM(F72:J72)</f>
        <v>28888.794572538776</v>
      </c>
      <c r="M72" s="13" t="b">
        <f>K72=K45</f>
        <v>1</v>
      </c>
    </row>
    <row r="73" spans="1:26" ht="16.5" thickTop="1" thickBot="1">
      <c r="E73" s="74" t="s">
        <v>160</v>
      </c>
      <c r="F73" s="75"/>
      <c r="G73" s="75"/>
      <c r="H73" s="75"/>
      <c r="I73" s="75"/>
      <c r="J73" s="75"/>
      <c r="K73" s="76"/>
    </row>
    <row r="74" spans="1:26">
      <c r="E74" s="40" t="str">
        <f>E69</f>
        <v>Augmentation Expenditure</v>
      </c>
      <c r="F74" s="43">
        <f>SUMIF('1.2 AER Forecast'!$D$42:$D$52,$E74,'1.2 AER Forecast'!E$42:E$52)</f>
        <v>0</v>
      </c>
      <c r="G74" s="43">
        <f>SUMIF('1.2 AER Forecast'!$D$42:$D$52,$E74,'1.2 AER Forecast'!F$42:F$52)</f>
        <v>0</v>
      </c>
      <c r="H74" s="43">
        <f>SUMIF('1.2 AER Forecast'!$D$42:$D$52,$E74,'1.2 AER Forecast'!G$42:G$52)</f>
        <v>0</v>
      </c>
      <c r="I74" s="43">
        <f>SUMIF('1.2 AER Forecast'!$D$42:$D$52,$E74,'1.2 AER Forecast'!H$42:H$52)</f>
        <v>0</v>
      </c>
      <c r="J74" s="43">
        <f>SUMIF('1.2 AER Forecast'!$D$42:$D$52,$E74,'1.2 AER Forecast'!I$42:I$52)</f>
        <v>0</v>
      </c>
      <c r="K74" s="50">
        <f>SUM(F74:J74)</f>
        <v>0</v>
      </c>
    </row>
    <row r="75" spans="1:26">
      <c r="E75" s="40" t="str">
        <f>E70</f>
        <v>Replacement expenditure</v>
      </c>
      <c r="F75" s="43">
        <f>SUMIF('1.2 AER Forecast'!$D$42:$D$52,$E75,'1.2 AER Forecast'!E$42:E$52)</f>
        <v>4575.571738985348</v>
      </c>
      <c r="G75" s="43">
        <f>SUMIF('1.2 AER Forecast'!$D$42:$D$52,$E75,'1.2 AER Forecast'!F$42:F$52)</f>
        <v>12769.566711669559</v>
      </c>
      <c r="H75" s="43">
        <f>SUMIF('1.2 AER Forecast'!$D$42:$D$52,$E75,'1.2 AER Forecast'!G$42:G$52)</f>
        <v>10486.459661710334</v>
      </c>
      <c r="I75" s="43">
        <f>SUMIF('1.2 AER Forecast'!$D$42:$D$52,$E75,'1.2 AER Forecast'!H$42:H$52)</f>
        <v>2286.4332331087571</v>
      </c>
      <c r="J75" s="43">
        <f>SUMIF('1.2 AER Forecast'!$D$42:$D$52,$E75,'1.2 AER Forecast'!I$42:I$52)</f>
        <v>865.78041124365643</v>
      </c>
      <c r="K75" s="50">
        <f>SUM(F75:J75)</f>
        <v>30983.811756717656</v>
      </c>
    </row>
    <row r="76" spans="1:26" ht="15.75" thickBot="1">
      <c r="E76" s="40" t="str">
        <f>E71</f>
        <v>Non-network</v>
      </c>
      <c r="F76" s="43">
        <f>SUMIF('1.2 AER Forecast'!$D$42:$D$52,$E76,'1.2 AER Forecast'!E$42:E$52)</f>
        <v>10.753932584269664</v>
      </c>
      <c r="G76" s="43">
        <f>SUMIF('1.2 AER Forecast'!$D$42:$D$52,$E76,'1.2 AER Forecast'!F$42:F$52)</f>
        <v>38.140168539325856</v>
      </c>
      <c r="H76" s="43">
        <f>SUMIF('1.2 AER Forecast'!$D$42:$D$52,$E76,'1.2 AER Forecast'!G$42:G$52)</f>
        <v>66.815730337078676</v>
      </c>
      <c r="I76" s="43">
        <f>SUMIF('1.2 AER Forecast'!$D$42:$D$52,$E76,'1.2 AER Forecast'!H$42:H$52)</f>
        <v>90.080898876404518</v>
      </c>
      <c r="J76" s="43">
        <f>SUMIF('1.2 AER Forecast'!$D$42:$D$52,$E76,'1.2 AER Forecast'!I$42:I$52)</f>
        <v>65.082303370786548</v>
      </c>
      <c r="K76" s="50">
        <f>SUM(F76:J76)</f>
        <v>270.87303370786526</v>
      </c>
    </row>
    <row r="77" spans="1:26" ht="16.5" thickTop="1" thickBot="1">
      <c r="E77" s="51" t="s">
        <v>15</v>
      </c>
      <c r="F77" s="52">
        <f>SUM(F74:F76)</f>
        <v>4586.325671569618</v>
      </c>
      <c r="G77" s="52">
        <f>SUM(G74:G76)</f>
        <v>12807.706880208885</v>
      </c>
      <c r="H77" s="52">
        <f>SUM(H74:H76)</f>
        <v>10553.275392047413</v>
      </c>
      <c r="I77" s="52">
        <f>SUM(I74:I76)</f>
        <v>2376.5141319851618</v>
      </c>
      <c r="J77" s="52">
        <f>SUM(J74:J76)</f>
        <v>930.86271461444301</v>
      </c>
      <c r="K77" s="52">
        <f>SUM(F77:J77)</f>
        <v>31254.684790425519</v>
      </c>
    </row>
    <row r="78" spans="1:26" ht="15.75" thickBot="1">
      <c r="E78" s="74" t="s">
        <v>151</v>
      </c>
      <c r="F78" s="75"/>
      <c r="G78" s="75"/>
      <c r="H78" s="75"/>
      <c r="I78" s="75"/>
      <c r="J78" s="75"/>
      <c r="K78" s="76"/>
    </row>
    <row r="79" spans="1:26">
      <c r="E79" s="40" t="str">
        <f>E74</f>
        <v>Augmentation Expenditure</v>
      </c>
      <c r="F79" s="43">
        <f t="shared" ref="F79:J81" si="28">F69-F74</f>
        <v>0</v>
      </c>
      <c r="G79" s="43">
        <f t="shared" si="28"/>
        <v>0</v>
      </c>
      <c r="H79" s="43">
        <f t="shared" si="28"/>
        <v>0</v>
      </c>
      <c r="I79" s="43">
        <f t="shared" si="28"/>
        <v>0</v>
      </c>
      <c r="J79" s="43">
        <f t="shared" si="28"/>
        <v>0</v>
      </c>
      <c r="K79" s="50">
        <f>SUM(F79:J79)</f>
        <v>0</v>
      </c>
    </row>
    <row r="80" spans="1:26">
      <c r="E80" s="40" t="str">
        <f>E75</f>
        <v>Replacement expenditure</v>
      </c>
      <c r="F80" s="43">
        <f t="shared" si="28"/>
        <v>5644.6162470146528</v>
      </c>
      <c r="G80" s="43">
        <f t="shared" si="28"/>
        <v>-6009.3118516695577</v>
      </c>
      <c r="H80" s="43">
        <f t="shared" si="28"/>
        <v>-4790.5488217103366</v>
      </c>
      <c r="I80" s="43">
        <f t="shared" si="28"/>
        <v>185.24072689124296</v>
      </c>
      <c r="J80" s="43">
        <f t="shared" si="28"/>
        <v>2676.9648275088625</v>
      </c>
      <c r="K80" s="50">
        <f>SUM(F80:J80)</f>
        <v>-2293.038871965136</v>
      </c>
    </row>
    <row r="81" spans="1:26" ht="15.75" thickBot="1">
      <c r="E81" s="40" t="str">
        <f>E76</f>
        <v>Non-network</v>
      </c>
      <c r="F81" s="43">
        <f t="shared" si="28"/>
        <v>29.634167415730339</v>
      </c>
      <c r="G81" s="43">
        <f t="shared" si="28"/>
        <v>-38.140168539325856</v>
      </c>
      <c r="H81" s="43">
        <f t="shared" si="28"/>
        <v>-66.815730337078676</v>
      </c>
      <c r="I81" s="43">
        <f t="shared" si="28"/>
        <v>-90.080898876404518</v>
      </c>
      <c r="J81" s="43">
        <f t="shared" si="28"/>
        <v>92.551284415472992</v>
      </c>
      <c r="K81" s="50">
        <f>SUM(F81:J81)</f>
        <v>-72.851345921605713</v>
      </c>
    </row>
    <row r="82" spans="1:26" ht="15.75" thickTop="1">
      <c r="E82" s="51" t="s">
        <v>15</v>
      </c>
      <c r="F82" s="52">
        <f>SUM(F79:F81)</f>
        <v>5674.250414430383</v>
      </c>
      <c r="G82" s="52">
        <f>SUM(G79:G81)</f>
        <v>-6047.4520202088834</v>
      </c>
      <c r="H82" s="52">
        <f>SUM(H79:H81)</f>
        <v>-4857.3645520474156</v>
      </c>
      <c r="I82" s="52">
        <f>SUM(I79:I81)</f>
        <v>95.159828014838439</v>
      </c>
      <c r="J82" s="52">
        <f>SUM(J79:J81)</f>
        <v>2769.5161119243357</v>
      </c>
      <c r="K82" s="52">
        <f>SUM(F82:J82)</f>
        <v>-2365.890217886742</v>
      </c>
    </row>
    <row r="84" spans="1:26">
      <c r="A84" s="3" t="s">
        <v>161</v>
      </c>
      <c r="B84" s="3"/>
      <c r="C84" s="3"/>
      <c r="D84" s="3"/>
      <c r="E84" s="3"/>
      <c r="F84" s="3"/>
      <c r="G84" s="3"/>
      <c r="H84" s="3"/>
      <c r="I84" s="3"/>
      <c r="J84" s="3"/>
      <c r="K84" s="3"/>
      <c r="L84" s="3"/>
      <c r="M84" s="3"/>
      <c r="N84" s="3"/>
      <c r="O84" s="3"/>
      <c r="P84" s="3"/>
      <c r="Q84" s="3"/>
      <c r="R84" s="3"/>
      <c r="S84" s="3"/>
      <c r="T84" s="3"/>
      <c r="U84" s="3"/>
      <c r="V84" s="3"/>
      <c r="W84" s="3"/>
      <c r="X84" s="3"/>
      <c r="Y84" s="3"/>
      <c r="Z84" s="3"/>
    </row>
    <row r="85" spans="1:26" ht="15.75" thickBot="1"/>
    <row r="86" spans="1:26" ht="15.75" thickBot="1">
      <c r="E86" s="41" t="s">
        <v>162</v>
      </c>
      <c r="F86" s="41" t="str">
        <f>F67</f>
        <v>2018/19</v>
      </c>
      <c r="G86" s="41" t="str">
        <f>G67</f>
        <v>2019/20</v>
      </c>
      <c r="H86" s="41" t="str">
        <f>H67</f>
        <v>2020/21</v>
      </c>
      <c r="I86" s="41" t="str">
        <f>I67</f>
        <v>2021/22</v>
      </c>
      <c r="J86" s="41" t="str">
        <f>J67</f>
        <v>2022/23</v>
      </c>
      <c r="K86" s="41" t="str">
        <f>K$8</f>
        <v>Total</v>
      </c>
    </row>
    <row r="87" spans="1:26">
      <c r="E87" s="40" t="s">
        <v>163</v>
      </c>
      <c r="F87" s="45">
        <f>'3.1 Forecast vs Actual'!C43/1000</f>
        <v>11.290278659461816</v>
      </c>
      <c r="G87" s="45">
        <f>'3.1 Forecast vs Actual'!D43/1000</f>
        <v>7.3408902467484678</v>
      </c>
      <c r="H87" s="45">
        <f>'3.1 Forecast vs Actual'!E43/1000</f>
        <v>6.0525158925900504</v>
      </c>
      <c r="I87" s="45">
        <f>'3.1 Forecast vs Actual'!F43/1000</f>
        <v>2.5815063752671747</v>
      </c>
      <c r="J87" s="45">
        <f>'3.1 Forecast vs Actual'!G43/1000</f>
        <v>1.2989390717360054</v>
      </c>
      <c r="K87" s="59">
        <f>SUM(F87:J87)</f>
        <v>28.564130245803515</v>
      </c>
    </row>
    <row r="88" spans="1:26" ht="15.75" thickBot="1">
      <c r="E88" s="40" t="s">
        <v>160</v>
      </c>
      <c r="F88" s="45">
        <f>'3.1 Forecast vs Actual'!C20/1000</f>
        <v>5.0465874840806029</v>
      </c>
      <c r="G88" s="45">
        <f>'3.1 Forecast vs Actual'!D20/1000</f>
        <v>13.907755323907809</v>
      </c>
      <c r="H88" s="45">
        <f>'3.1 Forecast vs Actual'!E20/1000</f>
        <v>11.21398645861642</v>
      </c>
      <c r="I88" s="45">
        <f>'3.1 Forecast vs Actual'!F20/1000</f>
        <v>2.4974563269971291</v>
      </c>
      <c r="J88" s="45">
        <f>'3.1 Forecast vs Actual'!G20/1000</f>
        <v>0.93086271461444303</v>
      </c>
      <c r="K88" s="59">
        <f>SUM(F88:J88)</f>
        <v>33.596648308216402</v>
      </c>
    </row>
    <row r="89" spans="1:26" ht="15.75" thickTop="1">
      <c r="E89" s="51" t="s">
        <v>151</v>
      </c>
      <c r="F89" s="58">
        <f>F87-F88</f>
        <v>6.2436911753812128</v>
      </c>
      <c r="G89" s="58">
        <f>G87-G88</f>
        <v>-6.5668650771593411</v>
      </c>
      <c r="H89" s="58">
        <f>H87-H88</f>
        <v>-5.1614705660263693</v>
      </c>
      <c r="I89" s="58">
        <f>I87-I88</f>
        <v>8.4050048270045696E-2</v>
      </c>
      <c r="J89" s="58">
        <f>J87-J88</f>
        <v>0.36807635712156239</v>
      </c>
      <c r="K89" s="58">
        <f>SUM(F89:J89)</f>
        <v>-5.0325180624128887</v>
      </c>
    </row>
    <row r="92" spans="1:26" ht="16.5">
      <c r="A92" s="4" t="s">
        <v>164</v>
      </c>
      <c r="B92" s="4"/>
      <c r="C92" s="4"/>
      <c r="D92" s="4"/>
      <c r="E92" s="4"/>
      <c r="F92" s="4"/>
      <c r="G92" s="4"/>
      <c r="H92" s="4"/>
      <c r="I92" s="4"/>
      <c r="J92" s="4"/>
      <c r="K92" s="4"/>
      <c r="L92" s="4"/>
      <c r="M92" s="3"/>
      <c r="N92" s="3"/>
      <c r="O92" s="3"/>
      <c r="P92" s="3"/>
      <c r="Q92" s="3"/>
      <c r="R92" s="3"/>
      <c r="S92" s="3"/>
      <c r="T92" s="3"/>
      <c r="U92" s="3"/>
      <c r="V92" s="3"/>
      <c r="W92" s="3"/>
      <c r="X92" s="3"/>
      <c r="Y92" s="3"/>
      <c r="Z92" s="3"/>
    </row>
    <row r="93" spans="1:26" ht="15.75" thickBot="1"/>
    <row r="94" spans="1:26" ht="15.75" thickBot="1">
      <c r="E94" s="41"/>
      <c r="F94" s="41" t="s">
        <v>8</v>
      </c>
      <c r="G94" s="41" t="s">
        <v>9</v>
      </c>
      <c r="H94" s="41" t="str">
        <f>F86</f>
        <v>2018/19</v>
      </c>
      <c r="I94" s="41" t="str">
        <f>G86</f>
        <v>2019/20</v>
      </c>
      <c r="J94" s="41" t="str">
        <f>H86</f>
        <v>2020/21</v>
      </c>
      <c r="K94" s="41" t="str">
        <f>K$8</f>
        <v>Total</v>
      </c>
    </row>
    <row r="95" spans="1:26">
      <c r="E95" s="40" t="s">
        <v>107</v>
      </c>
      <c r="F95" s="45">
        <f>'1.0 Data'!F5*'1.1 Input'!B14/1000</f>
        <v>0.85297204593164788</v>
      </c>
      <c r="G95" s="45">
        <f>'1.0 Data'!G5*'1.1 Input'!C14/1000</f>
        <v>15.489258915300368</v>
      </c>
      <c r="H95" s="45">
        <f>F87*'1.1 Input'!F$14</f>
        <v>10.934056019899481</v>
      </c>
      <c r="I95" s="45">
        <f>G87*'1.1 Input'!G$14</f>
        <v>6.9568471034794657</v>
      </c>
      <c r="J95" s="45">
        <f>H87*'1.1 Input'!H$14</f>
        <v>5.6726293989075538</v>
      </c>
      <c r="K95" s="59">
        <f>SUM(F95:J95)</f>
        <v>39.90576348351852</v>
      </c>
    </row>
    <row r="96" spans="1:26" ht="15.75" thickBot="1">
      <c r="E96" s="40" t="s">
        <v>160</v>
      </c>
      <c r="F96" s="45">
        <f>'1.2 AER Forecast'!E81/1000</f>
        <v>0.43249843966548623</v>
      </c>
      <c r="G96" s="45">
        <f>'1.2 AER Forecast'!F81/1000</f>
        <v>0.52225388653968907</v>
      </c>
      <c r="H96" s="45">
        <f>F88*'1.1 Input'!E$14</f>
        <v>4.9524681793153347</v>
      </c>
      <c r="I96" s="45">
        <f>G88*'1.1 Input'!F$14</f>
        <v>13.468947969253401</v>
      </c>
      <c r="J96" s="45">
        <f>H88*'1.1 Input'!G$14</f>
        <v>10.627319928620192</v>
      </c>
      <c r="K96" s="59">
        <f>SUM(F96:J96)</f>
        <v>30.003488403394105</v>
      </c>
    </row>
    <row r="97" spans="1:26" ht="15.75" thickTop="1">
      <c r="E97" s="57" t="s">
        <v>151</v>
      </c>
      <c r="F97" s="58">
        <f>F95-F96</f>
        <v>0.42047360626616165</v>
      </c>
      <c r="G97" s="58">
        <f>G95-G96</f>
        <v>14.96700502876068</v>
      </c>
      <c r="H97" s="58">
        <f>H95-H96</f>
        <v>5.9815878405841465</v>
      </c>
      <c r="I97" s="58">
        <f>I95-I96</f>
        <v>-6.5121008657739354</v>
      </c>
      <c r="J97" s="58">
        <f>J95-J96</f>
        <v>-4.9546905297126385</v>
      </c>
      <c r="K97" s="58">
        <f>SUM(F97:J97)</f>
        <v>9.902275080124415</v>
      </c>
    </row>
    <row r="99" spans="1:26" ht="16.5">
      <c r="A99" s="4" t="s">
        <v>165</v>
      </c>
      <c r="B99" s="4"/>
      <c r="C99" s="4"/>
      <c r="D99" s="4"/>
      <c r="E99" s="4" t="s">
        <v>166</v>
      </c>
      <c r="F99" s="4"/>
      <c r="G99" s="4"/>
      <c r="H99" s="4"/>
      <c r="I99" s="4"/>
      <c r="J99" s="4"/>
      <c r="K99" s="4"/>
      <c r="L99" s="4"/>
      <c r="M99" s="3"/>
      <c r="N99" s="3"/>
      <c r="O99" s="3"/>
      <c r="P99" s="3"/>
      <c r="Q99" s="3"/>
      <c r="R99" s="3"/>
      <c r="S99" s="3"/>
      <c r="T99" s="3"/>
      <c r="U99" s="3"/>
      <c r="V99" s="3"/>
      <c r="W99" s="3"/>
      <c r="X99" s="3"/>
      <c r="Y99" s="3"/>
      <c r="Z99" s="3"/>
    </row>
    <row r="100" spans="1:26" ht="15.75" thickBot="1"/>
    <row r="101" spans="1:26" ht="15.75" thickBot="1">
      <c r="E101" s="41" t="str">
        <f>A99</f>
        <v xml:space="preserve">Control and protection system </v>
      </c>
      <c r="F101" s="41" t="str">
        <f>F94</f>
        <v>2016/17</v>
      </c>
      <c r="G101" s="41" t="str">
        <f>G94</f>
        <v>2017/18</v>
      </c>
      <c r="H101" s="41" t="str">
        <f>H94</f>
        <v>2018/19</v>
      </c>
      <c r="I101" s="41" t="str">
        <f>I94</f>
        <v>2019/20</v>
      </c>
      <c r="J101" s="41" t="str">
        <f>J94</f>
        <v>2020/21</v>
      </c>
      <c r="K101" s="60" t="str">
        <f>I86</f>
        <v>2021/22</v>
      </c>
      <c r="L101" s="60" t="str">
        <f>J86</f>
        <v>2022/23</v>
      </c>
      <c r="M101" s="41" t="str">
        <f>K$8</f>
        <v>Total</v>
      </c>
    </row>
    <row r="102" spans="1:26">
      <c r="E102" s="40" t="s">
        <v>107</v>
      </c>
      <c r="F102" s="45">
        <f>'1.0 Data'!F11/1000*'1.1 Input'!C13</f>
        <v>0</v>
      </c>
      <c r="G102" s="45">
        <f>'1.0 Data'!G11/1000*'1.1 Input'!D13</f>
        <v>6.3656089544796393</v>
      </c>
      <c r="H102" s="45">
        <f>'1.0 Data'!H11/1000*'1.1 Input'!E13</f>
        <v>9.5770325867850836</v>
      </c>
      <c r="I102" s="45">
        <f>'1.0 Data'!I11/1000*'1.1 Input'!F13</f>
        <v>7.2147588196932526</v>
      </c>
      <c r="J102" s="45">
        <f>'1.0 Data'!J11/1000*'1.1 Input'!G13</f>
        <v>5.3884815889965685</v>
      </c>
      <c r="K102" s="45">
        <f>'1.0 Data'!K11/1000*'1.1 Input'!H13</f>
        <v>0.59560264300254451</v>
      </c>
      <c r="L102" s="45">
        <f>'1.0 Data'!L11/1000*'1.1 Input'!I13</f>
        <v>0.23645038167938931</v>
      </c>
      <c r="M102" s="59">
        <f>SUM(F102:L102)</f>
        <v>29.377934974636478</v>
      </c>
    </row>
    <row r="103" spans="1:26" ht="15.75" thickBot="1">
      <c r="E103" s="40" t="s">
        <v>160</v>
      </c>
      <c r="F103" s="45">
        <v>0</v>
      </c>
      <c r="G103" s="45">
        <v>0</v>
      </c>
      <c r="H103" s="45">
        <f>'1.2 AER Forecast'!E26/1000</f>
        <v>4.5380628760434583</v>
      </c>
      <c r="I103" s="45">
        <f>'1.2 AER Forecast'!F26/1000</f>
        <v>13.106631965479023</v>
      </c>
      <c r="J103" s="45">
        <f>'1.2 AER Forecast'!G26/1000</f>
        <v>10.194047084261461</v>
      </c>
      <c r="K103" s="45">
        <f>'1.2 AER Forecast'!H26/1000</f>
        <v>1.45629244060878</v>
      </c>
      <c r="L103" s="45">
        <f>'1.2 AER Forecast'!I26/1000</f>
        <v>0</v>
      </c>
      <c r="M103" s="59">
        <f>SUM(F103:L103)</f>
        <v>29.295034366392724</v>
      </c>
    </row>
    <row r="104" spans="1:26" ht="15.75" thickTop="1">
      <c r="E104" s="57" t="s">
        <v>151</v>
      </c>
      <c r="F104" s="58">
        <f>F102-F103</f>
        <v>0</v>
      </c>
      <c r="G104" s="58">
        <f t="shared" ref="G104:L104" si="29">G102-G103</f>
        <v>6.3656089544796393</v>
      </c>
      <c r="H104" s="58">
        <f t="shared" si="29"/>
        <v>5.0389697107416254</v>
      </c>
      <c r="I104" s="58">
        <f t="shared" si="29"/>
        <v>-5.8918731457857705</v>
      </c>
      <c r="J104" s="58">
        <f t="shared" si="29"/>
        <v>-4.8055654952648927</v>
      </c>
      <c r="K104" s="58">
        <f t="shared" si="29"/>
        <v>-0.86068979760623554</v>
      </c>
      <c r="L104" s="58">
        <f t="shared" si="29"/>
        <v>0.23645038167938931</v>
      </c>
      <c r="M104" s="58">
        <f>SUM(F104:L104)</f>
        <v>8.2900608243756058E-2</v>
      </c>
    </row>
    <row r="105" spans="1:26" ht="15.75" thickBot="1"/>
    <row r="106" spans="1:26" ht="15.75" thickBot="1">
      <c r="E106" s="41" t="str">
        <f t="shared" ref="E106:J108" si="30">E101</f>
        <v xml:space="preserve">Control and protection system </v>
      </c>
      <c r="F106" s="41" t="str">
        <f t="shared" si="30"/>
        <v>2016/17</v>
      </c>
      <c r="G106" s="41" t="str">
        <f t="shared" si="30"/>
        <v>2017/18</v>
      </c>
      <c r="H106" s="41" t="str">
        <f t="shared" si="30"/>
        <v>2018/19</v>
      </c>
      <c r="I106" s="41" t="str">
        <f t="shared" si="30"/>
        <v>2019/20</v>
      </c>
      <c r="J106" s="41" t="str">
        <f t="shared" si="30"/>
        <v>2020/21</v>
      </c>
      <c r="K106" s="41" t="str">
        <f>M101</f>
        <v>Total</v>
      </c>
    </row>
    <row r="107" spans="1:26">
      <c r="E107" s="40" t="str">
        <f t="shared" si="30"/>
        <v>Actual</v>
      </c>
      <c r="F107" s="45">
        <f t="shared" si="30"/>
        <v>0</v>
      </c>
      <c r="G107" s="45">
        <f t="shared" si="30"/>
        <v>6.3656089544796393</v>
      </c>
      <c r="H107" s="45">
        <f t="shared" si="30"/>
        <v>9.5770325867850836</v>
      </c>
      <c r="I107" s="45">
        <f t="shared" si="30"/>
        <v>7.2147588196932526</v>
      </c>
      <c r="J107" s="45">
        <f t="shared" si="30"/>
        <v>5.3884815889965685</v>
      </c>
      <c r="K107" s="59">
        <f>SUM(F107:J107)</f>
        <v>28.545881949954545</v>
      </c>
    </row>
    <row r="108" spans="1:26" ht="15.75" thickBot="1">
      <c r="E108" s="40" t="str">
        <f t="shared" si="30"/>
        <v>AER Forecast</v>
      </c>
      <c r="F108" s="45">
        <f t="shared" si="30"/>
        <v>0</v>
      </c>
      <c r="G108" s="45">
        <f t="shared" si="30"/>
        <v>0</v>
      </c>
      <c r="H108" s="45">
        <f t="shared" si="30"/>
        <v>4.5380628760434583</v>
      </c>
      <c r="I108" s="45">
        <f t="shared" si="30"/>
        <v>13.106631965479023</v>
      </c>
      <c r="J108" s="45">
        <f t="shared" si="30"/>
        <v>10.194047084261461</v>
      </c>
      <c r="K108" s="59">
        <f>SUM(F108:J108)</f>
        <v>27.838741925783943</v>
      </c>
    </row>
    <row r="109" spans="1:26" ht="15.75" thickTop="1">
      <c r="E109" s="57" t="str">
        <f>E104</f>
        <v>Difference</v>
      </c>
      <c r="F109" s="58">
        <f>F107-F108</f>
        <v>0</v>
      </c>
      <c r="G109" s="58">
        <f>G107-G108</f>
        <v>6.3656089544796393</v>
      </c>
      <c r="H109" s="58">
        <f>H107-H108</f>
        <v>5.0389697107416254</v>
      </c>
      <c r="I109" s="58">
        <f>I107-I108</f>
        <v>-5.8918731457857705</v>
      </c>
      <c r="J109" s="58">
        <f>J107-J108</f>
        <v>-4.8055654952648927</v>
      </c>
      <c r="K109" s="58">
        <f>SUM(D109:J109)</f>
        <v>0.70714002417060229</v>
      </c>
    </row>
    <row r="111" spans="1:26" ht="16.5">
      <c r="A111" s="4" t="s">
        <v>167</v>
      </c>
      <c r="B111" s="4"/>
      <c r="C111" s="4"/>
      <c r="D111" s="4"/>
      <c r="E111" s="4"/>
      <c r="F111" s="4"/>
      <c r="G111" s="4"/>
      <c r="H111" s="4"/>
      <c r="I111" s="4"/>
      <c r="J111" s="4"/>
      <c r="K111" s="4"/>
      <c r="L111" s="4"/>
      <c r="M111" s="3"/>
      <c r="N111" s="3"/>
      <c r="O111" s="3"/>
      <c r="P111" s="3"/>
      <c r="Q111" s="3"/>
      <c r="R111" s="3"/>
      <c r="S111" s="3"/>
      <c r="T111" s="3"/>
      <c r="U111" s="3"/>
      <c r="V111" s="3"/>
      <c r="W111" s="3"/>
      <c r="X111" s="3"/>
      <c r="Y111" s="3"/>
      <c r="Z111" s="3"/>
    </row>
    <row r="112" spans="1:26" ht="15.75" thickBot="1"/>
    <row r="113" spans="1:26" ht="15.75" thickBot="1">
      <c r="E113" s="41" t="str">
        <f>A111</f>
        <v>Fire Protection System ($m nominal)</v>
      </c>
      <c r="F113" s="41" t="str">
        <f>F101</f>
        <v>2016/17</v>
      </c>
      <c r="G113" s="41" t="str">
        <f>G101</f>
        <v>2017/18</v>
      </c>
      <c r="H113" s="41" t="str">
        <f>H101</f>
        <v>2018/19</v>
      </c>
      <c r="I113" s="41" t="str">
        <f>I101</f>
        <v>2019/20</v>
      </c>
      <c r="J113" s="41" t="str">
        <f>J101</f>
        <v>2020/21</v>
      </c>
      <c r="K113" s="41" t="str">
        <f>I$8</f>
        <v>2021/22</v>
      </c>
    </row>
    <row r="114" spans="1:26">
      <c r="E114" s="40" t="s">
        <v>107</v>
      </c>
      <c r="F114" s="45">
        <f>'1.0 Data'!F9*'1.1 Input'!C13/1000</f>
        <v>0</v>
      </c>
      <c r="G114" s="45">
        <f>'1.0 Data'!G9*'1.1 Input'!D13/1000</f>
        <v>8.5560233638099561</v>
      </c>
      <c r="H114" s="45">
        <f>'1.0 Data'!H9*'1.1 Input'!E13/1000</f>
        <v>1.3169268829928957</v>
      </c>
      <c r="I114" s="45">
        <f>'1.0 Data'!I9*'1.1 Input'!F13/1000</f>
        <v>1.0301888650306746E-2</v>
      </c>
      <c r="J114" s="45">
        <f>'1.0 Data'!J9*'1.1 Input'!G13/1000</f>
        <v>0</v>
      </c>
      <c r="K114" s="59">
        <f>SUM(F114:J114)</f>
        <v>9.8832521354531586</v>
      </c>
    </row>
    <row r="117" spans="1:26" ht="16.5">
      <c r="A117" s="4" t="s">
        <v>168</v>
      </c>
      <c r="B117" s="4"/>
      <c r="C117" s="4"/>
      <c r="D117" s="4"/>
      <c r="E117" s="4"/>
      <c r="F117" s="4"/>
      <c r="G117" s="4"/>
      <c r="H117" s="4"/>
      <c r="I117" s="4"/>
      <c r="J117" s="4"/>
      <c r="K117" s="4"/>
      <c r="L117" s="4"/>
      <c r="M117" s="4"/>
      <c r="N117" s="4"/>
      <c r="O117" s="4" t="s">
        <v>169</v>
      </c>
      <c r="P117" s="4"/>
      <c r="Q117" s="4"/>
      <c r="R117" s="4"/>
      <c r="S117" s="4"/>
      <c r="T117" s="4"/>
      <c r="U117" s="4"/>
      <c r="V117" s="4"/>
      <c r="W117" s="4"/>
      <c r="X117" s="4"/>
      <c r="Y117" s="4"/>
      <c r="Z117" s="4"/>
    </row>
    <row r="118" spans="1:26" ht="15.75" thickBot="1"/>
    <row r="119" spans="1:26" ht="15.75" thickBot="1">
      <c r="O119" s="41" t="s">
        <v>3</v>
      </c>
      <c r="P119" s="41" t="str">
        <f t="shared" ref="P119:U119" si="31">P$8</f>
        <v>2023/24</v>
      </c>
      <c r="Q119" s="41" t="str">
        <f t="shared" si="31"/>
        <v>2024/25</v>
      </c>
      <c r="R119" s="41" t="str">
        <f t="shared" si="31"/>
        <v>2025/26</v>
      </c>
      <c r="S119" s="41" t="str">
        <f t="shared" si="31"/>
        <v>2026/27</v>
      </c>
      <c r="T119" s="41" t="str">
        <f t="shared" si="31"/>
        <v>2027/28</v>
      </c>
      <c r="U119" s="41" t="str">
        <f t="shared" si="31"/>
        <v>Total</v>
      </c>
    </row>
    <row r="120" spans="1:26">
      <c r="O120" s="40" t="str">
        <f t="array" ref="O120">INDEX('1.0 Data'!$R$9:$R$36,MATCH(0,COUNTIF($O$117:O119,'1.0 Data'!$R$9:$R$36),0))</f>
        <v>Cable Protection/Modification</v>
      </c>
      <c r="P120" s="45">
        <f>SUMIF('1.0 Data'!$R$9:$R$36,$O120,'1.0 Data'!U$9:U$36)*'1.1 Input'!$H$13/1000</f>
        <v>0.25260467175572521</v>
      </c>
      <c r="Q120" s="45">
        <f>SUMIF('1.0 Data'!$R$9:$R$36,$O120,'1.0 Data'!V$9:V$36)*'1.1 Input'!$H$13/1000</f>
        <v>0.25260467175572521</v>
      </c>
      <c r="R120" s="45">
        <f>SUMIF('1.0 Data'!$R$9:$R$36,$O120,'1.0 Data'!W$9:W$36)*'1.1 Input'!$H$13/1000</f>
        <v>1.4222942340966922</v>
      </c>
      <c r="S120" s="45">
        <f>SUMIF('1.0 Data'!$R$9:$R$36,$O120,'1.0 Data'!X$9:X$36)*'1.1 Input'!$H$13/1000</f>
        <v>0.25260467175572521</v>
      </c>
      <c r="T120" s="45">
        <f>SUMIF('1.0 Data'!$R$9:$R$36,$O120,'1.0 Data'!Y$9:Y$36)*'1.1 Input'!$H$13/1000</f>
        <v>0.25260467175572521</v>
      </c>
      <c r="U120" s="59">
        <f>SUM(P120:T120)</f>
        <v>2.432712921119593</v>
      </c>
    </row>
    <row r="121" spans="1:26">
      <c r="O121" s="40" t="str">
        <f t="array" ref="O121">INDEX('1.0 Data'!$R$9:$R$36,MATCH(0,COUNTIF($O$117:O120,'1.0 Data'!$R$9:$R$36),0))</f>
        <v>Essential Spares</v>
      </c>
      <c r="P121" s="45">
        <f>SUMIF('1.0 Data'!$R$9:$R$36,$O121,'1.0 Data'!U$9:U$36)*'1.1 Input'!$H$13/1000</f>
        <v>0.24114891348600512</v>
      </c>
      <c r="Q121" s="45">
        <f>SUMIF('1.0 Data'!$R$9:$R$36,$O121,'1.0 Data'!V$9:V$36)*'1.1 Input'!$H$13/1000</f>
        <v>0.24114891348600512</v>
      </c>
      <c r="R121" s="45">
        <f>SUMIF('1.0 Data'!$R$9:$R$36,$O121,'1.0 Data'!W$9:W$36)*'1.1 Input'!$H$13/1000</f>
        <v>0.24114891348600512</v>
      </c>
      <c r="S121" s="45">
        <f>SUMIF('1.0 Data'!$R$9:$R$36,$O121,'1.0 Data'!X$9:X$36)*'1.1 Input'!$H$13/1000</f>
        <v>0.24114891348600512</v>
      </c>
      <c r="T121" s="45">
        <f>SUMIF('1.0 Data'!$R$9:$R$36,$O121,'1.0 Data'!Y$9:Y$36)*'1.1 Input'!$H$13/1000</f>
        <v>0.24114891348600512</v>
      </c>
      <c r="U121" s="59">
        <f t="shared" ref="U121:U127" si="32">SUM(P121:T121)</f>
        <v>1.2057445674300256</v>
      </c>
    </row>
    <row r="122" spans="1:26">
      <c r="O122" s="40" t="str">
        <f t="array" ref="O122">INDEX('1.0 Data'!$R$9:$R$36,MATCH(0,COUNTIF($O$117:O121,'1.0 Data'!$R$9:$R$36),0))</f>
        <v>IGBTs</v>
      </c>
      <c r="P122" s="45">
        <f>SUMIF('1.0 Data'!$R$9:$R$36,$O122,'1.0 Data'!U$9:U$36)*'1.1 Input'!$H$13/1000</f>
        <v>0</v>
      </c>
      <c r="Q122" s="45">
        <f>SUMIF('1.0 Data'!$R$9:$R$36,$O122,'1.0 Data'!V$9:V$36)*'1.1 Input'!$H$13/1000</f>
        <v>0</v>
      </c>
      <c r="R122" s="45">
        <f>SUMIF('1.0 Data'!$R$9:$R$36,$O122,'1.0 Data'!W$9:W$36)*'1.1 Input'!$H$13/1000</f>
        <v>0</v>
      </c>
      <c r="S122" s="45">
        <f>SUMIF('1.0 Data'!$R$9:$R$36,$O122,'1.0 Data'!X$9:X$36)*'1.1 Input'!$H$13/1000</f>
        <v>0</v>
      </c>
      <c r="T122" s="45">
        <f>SUMIF('1.0 Data'!$R$9:$R$36,$O122,'1.0 Data'!Y$9:Y$36)*'1.1 Input'!$H$13/1000</f>
        <v>0</v>
      </c>
      <c r="U122" s="59">
        <f t="shared" si="32"/>
        <v>0</v>
      </c>
    </row>
    <row r="123" spans="1:26">
      <c r="O123" s="40" t="str">
        <f t="array" ref="O123">INDEX('1.0 Data'!$R$9:$R$36,MATCH(0,COUNTIF($O$117:O122,'1.0 Data'!$R$9:$R$36),0))</f>
        <v>Stay in business</v>
      </c>
      <c r="P123" s="45">
        <f>SUMIF('1.0 Data'!$R$9:$R$36,$O123,'1.0 Data'!U$9:U$36)*'1.1 Input'!$H$13/1000</f>
        <v>1.1265732986004073</v>
      </c>
      <c r="Q123" s="45">
        <f>SUMIF('1.0 Data'!$R$9:$R$36,$O123,'1.0 Data'!V$9:V$36)*'1.1 Input'!$H$13/1000</f>
        <v>1.0702654871501271</v>
      </c>
      <c r="R123" s="45">
        <f>SUMIF('1.0 Data'!$R$9:$R$36,$O123,'1.0 Data'!W$9:W$36)*'1.1 Input'!$H$13/1000</f>
        <v>0.90677199482707382</v>
      </c>
      <c r="S123" s="45">
        <f>SUMIF('1.0 Data'!$R$9:$R$36,$O123,'1.0 Data'!X$9:X$36)*'1.1 Input'!$H$13/1000</f>
        <v>0.23927622646310431</v>
      </c>
      <c r="T123" s="45">
        <f>SUMIF('1.0 Data'!$R$9:$R$36,$O123,'1.0 Data'!Y$9:Y$36)*'1.1 Input'!$H$13/1000</f>
        <v>0.1583576513994911</v>
      </c>
      <c r="U123" s="59">
        <f t="shared" si="32"/>
        <v>3.5012446584402044</v>
      </c>
    </row>
    <row r="124" spans="1:26">
      <c r="O124" s="40" t="str">
        <f t="array" ref="O124">INDEX('1.0 Data'!$R$9:$R$36,MATCH(0,COUNTIF($O$117:O123,'1.0 Data'!$R$9:$R$36),0))</f>
        <v>Reliability</v>
      </c>
      <c r="P124" s="45">
        <f>SUMIF('1.0 Data'!$R$9:$R$36,$O124,'1.0 Data'!U$9:U$36)*'1.1 Input'!$H$13/1000</f>
        <v>0.53051836183206103</v>
      </c>
      <c r="Q124" s="45">
        <f>SUMIF('1.0 Data'!$R$9:$R$36,$O124,'1.0 Data'!V$9:V$36)*'1.1 Input'!$H$13/1000</f>
        <v>1.2371719548091604</v>
      </c>
      <c r="R124" s="45">
        <f>SUMIF('1.0 Data'!$R$9:$R$36,$O124,'1.0 Data'!W$9:W$36)*'1.1 Input'!$H$13/1000</f>
        <v>0</v>
      </c>
      <c r="S124" s="45">
        <f>SUMIF('1.0 Data'!$R$9:$R$36,$O124,'1.0 Data'!X$9:X$36)*'1.1 Input'!$H$13/1000</f>
        <v>0</v>
      </c>
      <c r="T124" s="45">
        <f>SUMIF('1.0 Data'!$R$9:$R$36,$O124,'1.0 Data'!Y$9:Y$36)*'1.1 Input'!$H$13/1000</f>
        <v>0</v>
      </c>
      <c r="U124" s="59">
        <f t="shared" si="32"/>
        <v>1.7676903166412214</v>
      </c>
    </row>
    <row r="125" spans="1:26">
      <c r="O125" s="40" t="str">
        <f t="array" ref="O125">INDEX('1.0 Data'!$R$9:$R$36,MATCH(0,COUNTIF($O$117:O124,'1.0 Data'!$R$9:$R$36),0))</f>
        <v>SOCI</v>
      </c>
      <c r="P125" s="45">
        <f>SUMIF('1.0 Data'!$R$9:$R$36,$O125,'1.0 Data'!U$9:U$36)*'1.1 Input'!$H$13/1000</f>
        <v>0.46663430279898221</v>
      </c>
      <c r="Q125" s="45">
        <f>SUMIF('1.0 Data'!$R$9:$R$36,$O125,'1.0 Data'!V$9:V$36)*'1.1 Input'!$H$13/1000</f>
        <v>0</v>
      </c>
      <c r="R125" s="45">
        <f>SUMIF('1.0 Data'!$R$9:$R$36,$O125,'1.0 Data'!W$9:W$36)*'1.1 Input'!$H$13/1000</f>
        <v>1.0829565999999999</v>
      </c>
      <c r="S125" s="45">
        <f>SUMIF('1.0 Data'!$R$9:$R$36,$O125,'1.0 Data'!X$9:X$36)*'1.1 Input'!$H$13/1000</f>
        <v>1.0829565999999999</v>
      </c>
      <c r="T125" s="45">
        <f>SUMIF('1.0 Data'!$R$9:$R$36,$O125,'1.0 Data'!Y$9:Y$36)*'1.1 Input'!$H$13/1000</f>
        <v>0</v>
      </c>
      <c r="U125" s="59">
        <f t="shared" si="32"/>
        <v>2.6325475027989818</v>
      </c>
    </row>
    <row r="126" spans="1:26">
      <c r="O126" s="40" t="str">
        <f t="array" ref="O126">INDEX('1.0 Data'!$R$9:$R$36,MATCH(0,COUNTIF($O$117:O125,'1.0 Data'!$R$9:$R$36),0))</f>
        <v>Enhanced Cooling</v>
      </c>
      <c r="P126" s="45">
        <f>SUMIF('1.0 Data'!$R$9:$R$36,$O126,'1.0 Data'!U$9:U$36)*'1.1 Input'!$H$13/1000</f>
        <v>1.6497307205318068</v>
      </c>
      <c r="Q126" s="45">
        <f>SUMIF('1.0 Data'!$R$9:$R$36,$O126,'1.0 Data'!V$9:V$36)*'1.1 Input'!$H$13/1000</f>
        <v>1.6497307205318068</v>
      </c>
      <c r="R126" s="45">
        <f>SUMIF('1.0 Data'!$R$9:$R$36,$O126,'1.0 Data'!W$9:W$36)*'1.1 Input'!$H$13/1000</f>
        <v>0</v>
      </c>
      <c r="S126" s="45">
        <f>SUMIF('1.0 Data'!$R$9:$R$36,$O126,'1.0 Data'!X$9:X$36)*'1.1 Input'!$H$13/1000</f>
        <v>0</v>
      </c>
      <c r="T126" s="45">
        <f>SUMIF('1.0 Data'!$R$9:$R$36,$O126,'1.0 Data'!Y$9:Y$36)*'1.1 Input'!$H$13/1000</f>
        <v>0</v>
      </c>
      <c r="U126" s="59">
        <f t="shared" si="32"/>
        <v>3.2994614410636136</v>
      </c>
    </row>
    <row r="127" spans="1:26" ht="15.75" thickBot="1">
      <c r="O127" s="40" t="str">
        <f t="array" ref="O127">INDEX('1.0 Data'!$R$9:$R$36,MATCH(0,COUNTIF($O$117:O126,'1.0 Data'!$R$9:$R$36),0))</f>
        <v>Regulatory Reset</v>
      </c>
      <c r="P127" s="45">
        <f>SUMIF('1.0 Data'!$R$9:$R$36,$O127,'1.0 Data'!U$9:U$36)*'1.1 Input'!$H$13/1000</f>
        <v>4.2443474045801531E-2</v>
      </c>
      <c r="Q127" s="45">
        <f>SUMIF('1.0 Data'!$R$9:$R$36,$O127,'1.0 Data'!V$9:V$36)*'1.1 Input'!$H$13/1000</f>
        <v>0</v>
      </c>
      <c r="R127" s="45">
        <f>SUMIF('1.0 Data'!$R$9:$R$36,$O127,'1.0 Data'!W$9:W$36)*'1.1 Input'!$H$13/1000</f>
        <v>0</v>
      </c>
      <c r="S127" s="45">
        <f>SUMIF('1.0 Data'!$R$9:$R$36,$O127,'1.0 Data'!X$9:X$36)*'1.1 Input'!$H$13/1000</f>
        <v>0</v>
      </c>
      <c r="T127" s="45">
        <f>SUMIF('1.0 Data'!$R$9:$R$36,$O127,'1.0 Data'!Y$9:Y$36)*'1.1 Input'!$H$13/1000</f>
        <v>0.16565565332245594</v>
      </c>
      <c r="U127" s="59">
        <f t="shared" si="32"/>
        <v>0.20809912736825747</v>
      </c>
    </row>
    <row r="128" spans="1:26" ht="15.75" thickTop="1">
      <c r="O128" s="51" t="s">
        <v>15</v>
      </c>
      <c r="P128" s="58">
        <f t="shared" ref="P128:U128" si="33">SUM(P120:P127)</f>
        <v>4.3096537430507889</v>
      </c>
      <c r="Q128" s="58">
        <f t="shared" ref="Q128:T128" si="34">SUM(Q120:Q127)</f>
        <v>4.4509217477328242</v>
      </c>
      <c r="R128" s="58">
        <f t="shared" si="34"/>
        <v>3.6531717424097714</v>
      </c>
      <c r="S128" s="58">
        <f t="shared" si="34"/>
        <v>1.8159864117048345</v>
      </c>
      <c r="T128" s="58">
        <f t="shared" si="34"/>
        <v>0.8177668899636773</v>
      </c>
      <c r="U128" s="58">
        <f t="shared" si="33"/>
        <v>15.047500534861896</v>
      </c>
      <c r="W128" s="67" t="b">
        <f>U45=U128*1000</f>
        <v>1</v>
      </c>
    </row>
  </sheetData>
  <mergeCells count="3">
    <mergeCell ref="E68:K68"/>
    <mergeCell ref="E73:K73"/>
    <mergeCell ref="E78:K7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R82"/>
  <sheetViews>
    <sheetView workbookViewId="0">
      <selection activeCell="M21" sqref="M21"/>
    </sheetView>
  </sheetViews>
  <sheetFormatPr defaultRowHeight="15"/>
  <cols>
    <col min="1" max="1" width="27.375" customWidth="1"/>
    <col min="2" max="2" width="13.875" customWidth="1"/>
    <col min="3" max="16" width="10.375" customWidth="1"/>
    <col min="18" max="18" width="10.375" bestFit="1" customWidth="1"/>
  </cols>
  <sheetData>
    <row r="1" spans="1:11" ht="22.5">
      <c r="A1" s="1"/>
      <c r="B1" s="1"/>
      <c r="C1" s="1"/>
      <c r="D1" s="1"/>
      <c r="E1" s="1"/>
      <c r="F1" s="1"/>
      <c r="G1" s="1"/>
      <c r="H1" s="1"/>
      <c r="I1" s="1"/>
    </row>
    <row r="2" spans="1:11" ht="22.5">
      <c r="A2" s="1"/>
      <c r="B2" s="1"/>
      <c r="C2" s="1"/>
      <c r="D2" s="1"/>
      <c r="E2" s="1"/>
      <c r="F2" s="1"/>
      <c r="G2" s="1"/>
      <c r="H2" s="1"/>
      <c r="I2" s="1"/>
    </row>
    <row r="3" spans="1:11" ht="22.5">
      <c r="A3" s="1"/>
      <c r="B3" s="1"/>
      <c r="C3" s="1"/>
      <c r="D3" s="1"/>
      <c r="E3" s="1"/>
      <c r="F3" s="1"/>
      <c r="G3" s="1"/>
      <c r="H3" s="1"/>
      <c r="I3" s="1"/>
    </row>
    <row r="4" spans="1:11" ht="22.5">
      <c r="A4" s="1"/>
      <c r="B4" s="1"/>
      <c r="C4" s="1"/>
      <c r="D4" s="1"/>
      <c r="E4" s="1"/>
      <c r="F4" s="1"/>
      <c r="G4" s="1"/>
      <c r="H4" s="1"/>
      <c r="I4" s="1"/>
    </row>
    <row r="5" spans="1:11" ht="22.5">
      <c r="A5" s="1" t="str">
        <f ca="1">RIGHT(CELL("filename"),LEN(CELL("filename"))-FIND("]",CELL("filename")))</f>
        <v>1.0 Data</v>
      </c>
      <c r="B5" s="1"/>
      <c r="C5" s="1"/>
      <c r="D5" s="1"/>
      <c r="E5" s="1"/>
      <c r="F5" s="1"/>
      <c r="G5" s="1"/>
      <c r="H5" s="1"/>
      <c r="I5" s="1"/>
    </row>
    <row r="6" spans="1:11" ht="19.5">
      <c r="A6" s="2" t="s">
        <v>131</v>
      </c>
      <c r="B6" s="2"/>
      <c r="C6" s="2"/>
      <c r="D6" s="2"/>
      <c r="E6" s="2"/>
      <c r="F6" s="2"/>
      <c r="G6" s="2"/>
      <c r="H6" s="2"/>
      <c r="I6" s="2"/>
    </row>
    <row r="7" spans="1:11" ht="16.5">
      <c r="A7" s="4"/>
      <c r="B7" s="4"/>
      <c r="C7" s="4"/>
      <c r="D7" s="4"/>
      <c r="E7" s="4"/>
      <c r="F7" s="4"/>
      <c r="G7" s="4"/>
      <c r="H7" s="4"/>
      <c r="I7" s="4"/>
    </row>
    <row r="8" spans="1:11">
      <c r="A8" s="3"/>
      <c r="B8" s="3"/>
      <c r="C8" s="3"/>
      <c r="D8" s="3"/>
      <c r="E8" s="3"/>
      <c r="F8" s="3"/>
      <c r="G8" s="3"/>
      <c r="H8" s="3"/>
      <c r="I8" s="3"/>
    </row>
    <row r="10" spans="1:11" ht="19.5">
      <c r="A10" s="2" t="s">
        <v>170</v>
      </c>
      <c r="B10" s="2"/>
      <c r="C10" s="2"/>
      <c r="D10" s="2"/>
      <c r="E10" s="2"/>
      <c r="F10" s="2"/>
      <c r="G10" s="2"/>
      <c r="H10" s="2"/>
      <c r="I10" s="2"/>
      <c r="J10" s="2"/>
      <c r="K10" s="2"/>
    </row>
    <row r="12" spans="1:11" ht="16.5">
      <c r="B12" s="4" t="s">
        <v>171</v>
      </c>
      <c r="C12" s="4"/>
      <c r="D12" s="4"/>
      <c r="E12" s="4"/>
      <c r="F12" s="4"/>
      <c r="G12" s="4"/>
      <c r="H12" s="4"/>
      <c r="I12" s="4"/>
      <c r="J12" s="4"/>
      <c r="K12" s="4"/>
    </row>
    <row r="13" spans="1:11">
      <c r="B13" s="3" t="s">
        <v>172</v>
      </c>
      <c r="C13" s="3"/>
      <c r="D13" s="3"/>
      <c r="E13" s="3" t="s">
        <v>173</v>
      </c>
      <c r="F13" s="3"/>
      <c r="G13" s="3"/>
      <c r="H13" s="3"/>
      <c r="I13" s="3"/>
      <c r="J13" s="3"/>
      <c r="K13" s="3"/>
    </row>
    <row r="14" spans="1:11">
      <c r="B14" s="23" t="s">
        <v>174</v>
      </c>
      <c r="C14" s="23" t="s">
        <v>175</v>
      </c>
      <c r="D14" s="23" t="s">
        <v>176</v>
      </c>
      <c r="E14" s="23" t="s">
        <v>177</v>
      </c>
      <c r="F14" s="23" t="s">
        <v>178</v>
      </c>
      <c r="G14" s="23" t="s">
        <v>179</v>
      </c>
      <c r="H14" s="23" t="s">
        <v>180</v>
      </c>
      <c r="I14" s="23" t="s">
        <v>181</v>
      </c>
      <c r="J14" s="23" t="s">
        <v>182</v>
      </c>
      <c r="K14" s="23" t="s">
        <v>183</v>
      </c>
    </row>
    <row r="15" spans="1:11">
      <c r="A15" t="s">
        <v>25</v>
      </c>
      <c r="B15" s="34">
        <f>ROUND(SUMIF('2.1 Capex Nominal Dollars'!$D$10:$D$41,$A15,'2.1 Capex Nominal Dollars'!E$10:E$41),2)*1000</f>
        <v>10220190</v>
      </c>
      <c r="C15" s="34">
        <f>ROUND(SUMIF('2.1 Capex Nominal Dollars'!$D$10:$D$41,$A15,'2.1 Capex Nominal Dollars'!F$10:F$41),2)*1000</f>
        <v>6760250</v>
      </c>
      <c r="D15" s="34">
        <f>ROUND(SUMIF('2.1 Capex Nominal Dollars'!$D$10:$D$41,$A15,'2.1 Capex Nominal Dollars'!G$10:G$41),2)*1000</f>
        <v>5695910</v>
      </c>
      <c r="E15" s="34">
        <f>ROUND(SUMIF('2.0 Capex Real Dollars'!$D$10:$D$41,$A15,'2.0 Capex Real Dollars'!H$10:H$41),2)*1000</f>
        <v>2597460</v>
      </c>
      <c r="F15" s="34">
        <f>ROUND(SUMIF('2.0 Capex Real Dollars'!$D$10:$D$41,$A15,'2.0 Capex Real Dollars'!I$10:I$41),2)*1000</f>
        <v>3542750</v>
      </c>
      <c r="G15" s="34">
        <f>SUMIF('2.0 Capex Real Dollars'!$O$10:$O$26,$A15,'2.0 Capex Real Dollars'!P$10:P$26)*1000</f>
        <v>4267210.2690049876</v>
      </c>
      <c r="H15" s="34">
        <f>SUMIF('2.0 Capex Real Dollars'!$O$10:$O$26,$A15,'2.0 Capex Real Dollars'!Q$10:Q$26)*1000</f>
        <v>4450921.7477328246</v>
      </c>
      <c r="I15" s="34">
        <f>SUMIF('2.0 Capex Real Dollars'!$O$10:$O$26,$A15,'2.0 Capex Real Dollars'!R$10:R$26)*1000</f>
        <v>3653171.7424097708</v>
      </c>
      <c r="J15" s="34">
        <f>SUMIF('2.0 Capex Real Dollars'!$O$10:$O$26,$A15,'2.0 Capex Real Dollars'!S$10:S$26)*1000</f>
        <v>1815986.4117048346</v>
      </c>
      <c r="K15" s="34">
        <f>SUMIF('2.0 Capex Real Dollars'!$O$10:$O$26,$A15,'2.0 Capex Real Dollars'!T$10:T$26)*1000</f>
        <v>652111.23664122145</v>
      </c>
    </row>
    <row r="16" spans="1:11">
      <c r="A16" t="s">
        <v>95</v>
      </c>
      <c r="B16" s="34">
        <f>ROUND(SUMIF('2.1 Capex Nominal Dollars'!$D$10:$D$41,$A16,'2.1 Capex Nominal Dollars'!E$10:E$41),2)*1000</f>
        <v>0</v>
      </c>
      <c r="C16" s="34">
        <f>ROUND(SUMIF('2.1 Capex Nominal Dollars'!$D$10:$D$41,$A16,'2.1 Capex Nominal Dollars'!F$10:F$41),2)*1000</f>
        <v>0</v>
      </c>
      <c r="D16" s="34">
        <f>ROUND(SUMIF('2.1 Capex Nominal Dollars'!$D$10:$D$41,$A16,'2.1 Capex Nominal Dollars'!G$10:G$41),2)*1000</f>
        <v>0</v>
      </c>
      <c r="E16" s="34">
        <f>ROUND(SUMIF('2.0 Capex Real Dollars'!$D$10:$D$41,$A16,'2.0 Capex Real Dollars'!H$10:H$41),2)*1000</f>
        <v>0</v>
      </c>
      <c r="F16" s="34">
        <f>ROUND(SUMIF('2.0 Capex Real Dollars'!$D$10:$D$41,$A16,'2.0 Capex Real Dollars'!I$10:I$41),2)*1000</f>
        <v>0</v>
      </c>
      <c r="G16" s="34">
        <f>SUMIF('2.0 Capex Real Dollars'!$O$10:$O$26,$A16,'2.0 Capex Real Dollars'!P$10:P$26)*1000</f>
        <v>0</v>
      </c>
      <c r="H16" s="34">
        <f>SUMIF('2.0 Capex Real Dollars'!$O$10:$O$26,$A16,'2.0 Capex Real Dollars'!Q$10:Q$26)*1000</f>
        <v>0</v>
      </c>
      <c r="I16" s="34">
        <f>SUMIF('2.0 Capex Real Dollars'!$O$10:$O$26,$A16,'2.0 Capex Real Dollars'!R$10:R$26)*1000</f>
        <v>0</v>
      </c>
      <c r="J16" s="34">
        <f>SUMIF('2.0 Capex Real Dollars'!$O$10:$O$26,$A16,'2.0 Capex Real Dollars'!S$10:S$26)*1000</f>
        <v>0</v>
      </c>
      <c r="K16" s="34">
        <f>SUMIF('2.0 Capex Real Dollars'!$O$10:$O$26,$A16,'2.0 Capex Real Dollars'!T$10:T$26)*1000</f>
        <v>0</v>
      </c>
    </row>
    <row r="17" spans="1:18">
      <c r="A17" t="s">
        <v>96</v>
      </c>
      <c r="B17" s="34">
        <f>ROUND(SUMIF('2.1 Capex Nominal Dollars'!$D$10:$D$41,$A17,'2.1 Capex Nominal Dollars'!E$10:E$41),2)*1000</f>
        <v>0</v>
      </c>
      <c r="C17" s="34">
        <f>ROUND(SUMIF('2.1 Capex Nominal Dollars'!$D$10:$D$41,$A17,'2.1 Capex Nominal Dollars'!F$10:F$41),2)*1000</f>
        <v>0</v>
      </c>
      <c r="D17" s="34">
        <f>ROUND(SUMIF('2.1 Capex Nominal Dollars'!$D$10:$D$41,$A17,'2.1 Capex Nominal Dollars'!G$10:G$41),2)*1000</f>
        <v>0</v>
      </c>
      <c r="E17" s="34">
        <f>ROUND(SUMIF('2.0 Capex Real Dollars'!$D$10:$D$41,$A17,'2.0 Capex Real Dollars'!H$10:H$41),2)*1000</f>
        <v>0</v>
      </c>
      <c r="F17" s="34">
        <f>ROUND(SUMIF('2.0 Capex Real Dollars'!$D$10:$D$41,$A17,'2.0 Capex Real Dollars'!I$10:I$41),2)*1000</f>
        <v>0</v>
      </c>
      <c r="G17" s="34">
        <f>SUMIF('2.0 Capex Real Dollars'!$O$10:$O$26,$A17,'2.0 Capex Real Dollars'!P$10:P$26)*1000</f>
        <v>0</v>
      </c>
      <c r="H17" s="34">
        <f>SUMIF('2.0 Capex Real Dollars'!$O$10:$O$26,$A17,'2.0 Capex Real Dollars'!Q$10:Q$26)*1000</f>
        <v>0</v>
      </c>
      <c r="I17" s="34">
        <f>SUMIF('2.0 Capex Real Dollars'!$O$10:$O$26,$A17,'2.0 Capex Real Dollars'!R$10:R$26)*1000</f>
        <v>0</v>
      </c>
      <c r="J17" s="34">
        <f>SUMIF('2.0 Capex Real Dollars'!$O$10:$O$26,$A17,'2.0 Capex Real Dollars'!S$10:S$26)*1000</f>
        <v>0</v>
      </c>
      <c r="K17" s="34">
        <f>SUMIF('2.0 Capex Real Dollars'!$O$10:$O$26,$A17,'2.0 Capex Real Dollars'!T$10:T$26)*1000</f>
        <v>0</v>
      </c>
    </row>
    <row r="18" spans="1:18">
      <c r="A18" t="s">
        <v>40</v>
      </c>
      <c r="B18" s="34">
        <f>ROUND(SUMIF('2.1 Capex Nominal Dollars'!$D$10:$D$41,$A18,'2.1 Capex Nominal Dollars'!E$10:E$41),2)*1000</f>
        <v>40390</v>
      </c>
      <c r="C18" s="34">
        <f>ROUND(SUMIF('2.1 Capex Nominal Dollars'!$D$10:$D$41,$A18,'2.1 Capex Nominal Dollars'!F$10:F$41),2)*1000</f>
        <v>0</v>
      </c>
      <c r="D18" s="34">
        <f>ROUND(SUMIF('2.1 Capex Nominal Dollars'!$D$10:$D$41,$A18,'2.1 Capex Nominal Dollars'!G$10:G$41),2)*1000</f>
        <v>0</v>
      </c>
      <c r="E18" s="34">
        <f>ROUND(SUMIF('2.0 Capex Real Dollars'!$D$10:$D$41,$A18,'2.0 Capex Real Dollars'!H$10:H$41),2)*1000</f>
        <v>0</v>
      </c>
      <c r="F18" s="34">
        <f>ROUND(SUMIF('2.0 Capex Real Dollars'!$D$10:$D$41,$A18,'2.0 Capex Real Dollars'!I$10:I$41),2)*1000</f>
        <v>157630</v>
      </c>
      <c r="G18" s="34">
        <f>SUMIF('2.0 Capex Real Dollars'!$O$10:$O$26,$A18,'2.0 Capex Real Dollars'!P$10:P$26)*1000</f>
        <v>42443.474045801529</v>
      </c>
      <c r="H18" s="34">
        <f>SUMIF('2.0 Capex Real Dollars'!$O$10:$O$26,$A18,'2.0 Capex Real Dollars'!Q$10:Q$26)*1000</f>
        <v>0</v>
      </c>
      <c r="I18" s="34">
        <f>SUMIF('2.0 Capex Real Dollars'!$O$10:$O$26,$A18,'2.0 Capex Real Dollars'!R$10:R$26)*1000</f>
        <v>0</v>
      </c>
      <c r="J18" s="34">
        <f>SUMIF('2.0 Capex Real Dollars'!$O$10:$O$26,$A18,'2.0 Capex Real Dollars'!S$10:S$26)*1000</f>
        <v>0</v>
      </c>
      <c r="K18" s="34">
        <f>SUMIF('2.0 Capex Real Dollars'!$O$10:$O$26,$A18,'2.0 Capex Real Dollars'!T$10:T$26)*1000</f>
        <v>165655.65332245594</v>
      </c>
    </row>
    <row r="19" spans="1:18">
      <c r="A19" t="s">
        <v>184</v>
      </c>
      <c r="B19" s="34">
        <f>ROUND(SUMIF('2.1 Capex Nominal Dollars'!$D$10:$D$41,$A19,'2.1 Capex Nominal Dollars'!E$10:E$41),2)*1000</f>
        <v>0</v>
      </c>
      <c r="C19" s="34">
        <f>ROUND(SUMIF('2.1 Capex Nominal Dollars'!$D$10:$D$41,$A19,'2.1 Capex Nominal Dollars'!F$10:F$41),2)*1000</f>
        <v>0</v>
      </c>
      <c r="D19" s="34">
        <f>ROUND(SUMIF('2.1 Capex Nominal Dollars'!$D$10:$D$41,$A19,'2.1 Capex Nominal Dollars'!G$10:G$41),2)*1000</f>
        <v>0</v>
      </c>
      <c r="E19" s="34">
        <f>ROUND(SUMIF('2.0 Capex Real Dollars'!$D$10:$D$41,$A19,'2.0 Capex Real Dollars'!H$10:H$41),2)*1000</f>
        <v>0</v>
      </c>
      <c r="F19" s="34">
        <f>ROUND(SUMIF('2.0 Capex Real Dollars'!$D$10:$D$41,$A19,'2.0 Capex Real Dollars'!I$10:I$41),2)*1000</f>
        <v>0</v>
      </c>
      <c r="G19" s="34">
        <f>SUMIF('2.0 Capex Real Dollars'!$O$10:$O$26,$A19,'2.0 Capex Real Dollars'!P$10:P$26)*1000</f>
        <v>0</v>
      </c>
      <c r="H19" s="34">
        <f>SUMIF('2.0 Capex Real Dollars'!$O$10:$O$26,$A19,'2.0 Capex Real Dollars'!Q$10:Q$26)*1000</f>
        <v>0</v>
      </c>
      <c r="I19" s="34">
        <f>SUMIF('2.0 Capex Real Dollars'!$O$10:$O$26,$A19,'2.0 Capex Real Dollars'!R$10:R$26)*1000</f>
        <v>0</v>
      </c>
      <c r="J19" s="34">
        <f>SUMIF('2.0 Capex Real Dollars'!$O$10:$O$26,$A19,'2.0 Capex Real Dollars'!S$10:S$26)*1000</f>
        <v>0</v>
      </c>
      <c r="K19" s="34">
        <f>SUMIF('2.0 Capex Real Dollars'!$O$10:$O$26,$A19,'2.0 Capex Real Dollars'!T$10:T$26)*1000</f>
        <v>0</v>
      </c>
    </row>
    <row r="20" spans="1:18" ht="15.75" thickBot="1">
      <c r="A20" t="s">
        <v>185</v>
      </c>
      <c r="B20" s="34">
        <f>ROUND(SUMIF('2.1 Capex Nominal Dollars'!$D$10:$D$41,$A20,'2.1 Capex Nominal Dollars'!E$10:E$41),2)*1000</f>
        <v>0</v>
      </c>
      <c r="C20" s="34">
        <f>ROUND(SUMIF('2.1 Capex Nominal Dollars'!$D$10:$D$41,$A20,'2.1 Capex Nominal Dollars'!F$10:F$41),2)*1000</f>
        <v>0</v>
      </c>
      <c r="D20" s="34">
        <f>ROUND(SUMIF('2.1 Capex Nominal Dollars'!$D$10:$D$41,$A20,'2.1 Capex Nominal Dollars'!G$10:G$41),2)*1000</f>
        <v>0</v>
      </c>
      <c r="E20" s="34">
        <f>ROUND(SUMIF('2.0 Capex Real Dollars'!$D$10:$D$41,$A20,'2.0 Capex Real Dollars'!H$10:H$41),2)*1000</f>
        <v>0</v>
      </c>
      <c r="F20" s="34">
        <f>ROUND(SUMIF('2.0 Capex Real Dollars'!$D$10:$D$41,$A20,'2.0 Capex Real Dollars'!I$10:I$41),2)*1000</f>
        <v>0</v>
      </c>
      <c r="G20" s="34">
        <f>SUMIF('2.0 Capex Real Dollars'!$O$10:$O$26,$A20,'2.0 Capex Real Dollars'!P$10:P$26)*1000</f>
        <v>0</v>
      </c>
      <c r="H20" s="34">
        <f>SUMIF('2.0 Capex Real Dollars'!$O$10:$O$26,$A20,'2.0 Capex Real Dollars'!Q$10:Q$26)*1000</f>
        <v>0</v>
      </c>
      <c r="I20" s="34">
        <f>SUMIF('2.0 Capex Real Dollars'!$O$10:$O$26,$A20,'2.0 Capex Real Dollars'!R$10:R$26)*1000</f>
        <v>0</v>
      </c>
      <c r="J20" s="34">
        <f>SUMIF('2.0 Capex Real Dollars'!$O$10:$O$26,$A20,'2.0 Capex Real Dollars'!S$10:S$26)*1000</f>
        <v>0</v>
      </c>
      <c r="K20" s="34">
        <f>SUMIF('2.0 Capex Real Dollars'!$O$10:$O$26,$A20,'2.0 Capex Real Dollars'!T$10:T$26)*1000</f>
        <v>0</v>
      </c>
    </row>
    <row r="21" spans="1:18" ht="15.75" thickTop="1">
      <c r="A21" s="22" t="s">
        <v>186</v>
      </c>
      <c r="B21" s="22">
        <f>SUM(B15:B20)</f>
        <v>10260580</v>
      </c>
      <c r="C21" s="22">
        <f t="shared" ref="C21:K21" si="0">SUM(C15:C20)</f>
        <v>6760250</v>
      </c>
      <c r="D21" s="22">
        <f t="shared" si="0"/>
        <v>5695910</v>
      </c>
      <c r="E21" s="22">
        <f t="shared" si="0"/>
        <v>2597460</v>
      </c>
      <c r="F21" s="22">
        <f t="shared" si="0"/>
        <v>3700380</v>
      </c>
      <c r="G21" s="22">
        <f t="shared" si="0"/>
        <v>4309653.7430507895</v>
      </c>
      <c r="H21" s="22">
        <f t="shared" si="0"/>
        <v>4450921.7477328246</v>
      </c>
      <c r="I21" s="22">
        <f t="shared" si="0"/>
        <v>3653171.7424097708</v>
      </c>
      <c r="J21" s="22">
        <f t="shared" si="0"/>
        <v>1815986.4117048346</v>
      </c>
      <c r="K21" s="22">
        <f t="shared" si="0"/>
        <v>817766.88996367739</v>
      </c>
    </row>
    <row r="22" spans="1:18" ht="15.75" thickBot="1"/>
    <row r="23" spans="1:18" ht="16.5" thickTop="1" thickBot="1">
      <c r="A23" s="13" t="s">
        <v>143</v>
      </c>
      <c r="B23" s="47">
        <f>B21/1000-'2.1 Capex Nominal Dollars'!E5</f>
        <v>3.9139999989856733E-3</v>
      </c>
      <c r="C23" s="47">
        <f>C21/1000-'2.1 Capex Nominal Dollars'!F5</f>
        <v>-4.8600000009173527E-3</v>
      </c>
      <c r="D23" s="47">
        <f>D21/1000-'2.1 Capex Nominal Dollars'!G5</f>
        <v>-8.3999999787920387E-4</v>
      </c>
      <c r="E23" s="47">
        <f>E21/1000-'2.0 Capex Real Dollars'!H5</f>
        <v>1.1056488556278055E-3</v>
      </c>
      <c r="F23" s="47">
        <f>F21/1000-'2.0 Capex Real Dollars'!I5</f>
        <v>1.1734612207874306E-3</v>
      </c>
    </row>
    <row r="24" spans="1:18" ht="15.75" thickTop="1"/>
    <row r="25" spans="1:18" ht="19.5">
      <c r="A25" s="2" t="s">
        <v>187</v>
      </c>
      <c r="B25" s="2"/>
      <c r="C25" s="2"/>
      <c r="D25" s="2"/>
      <c r="E25" s="2"/>
      <c r="F25" s="2"/>
      <c r="G25" s="2"/>
      <c r="H25" s="2"/>
      <c r="I25" s="2"/>
      <c r="J25" s="2"/>
      <c r="K25" s="2"/>
    </row>
    <row r="27" spans="1:18" ht="16.5">
      <c r="A27" s="4" t="s">
        <v>188</v>
      </c>
      <c r="B27" s="4"/>
      <c r="C27" s="4"/>
      <c r="D27" s="4"/>
      <c r="E27" s="4"/>
      <c r="F27" s="4"/>
      <c r="G27" s="4"/>
      <c r="H27" s="4"/>
      <c r="I27" s="4"/>
      <c r="J27" s="4"/>
      <c r="K27" s="4"/>
    </row>
    <row r="28" spans="1:18">
      <c r="A28" s="3" t="s">
        <v>189</v>
      </c>
      <c r="B28" s="3" t="s">
        <v>190</v>
      </c>
      <c r="C28" s="3" t="s">
        <v>191</v>
      </c>
      <c r="D28" s="3" t="s">
        <v>192</v>
      </c>
      <c r="E28" s="3" t="s">
        <v>193</v>
      </c>
      <c r="F28" s="3" t="s">
        <v>194</v>
      </c>
      <c r="G28" s="3" t="s">
        <v>195</v>
      </c>
      <c r="H28" s="3" t="s">
        <v>196</v>
      </c>
      <c r="I28" s="3" t="s">
        <v>197</v>
      </c>
      <c r="J28" s="3"/>
      <c r="K28" s="3" t="s">
        <v>198</v>
      </c>
      <c r="L28" s="3"/>
      <c r="M28" s="3"/>
      <c r="N28" s="3"/>
      <c r="O28" s="3"/>
      <c r="P28" s="3" t="s">
        <v>15</v>
      </c>
    </row>
    <row r="29" spans="1:18">
      <c r="A29" s="3"/>
      <c r="B29" s="3"/>
      <c r="C29" s="3"/>
      <c r="D29" s="3"/>
      <c r="E29" s="3"/>
      <c r="F29" s="3"/>
      <c r="G29" s="3"/>
      <c r="H29" s="3"/>
      <c r="I29" s="3"/>
      <c r="J29" s="3"/>
      <c r="K29" s="3" t="s">
        <v>179</v>
      </c>
      <c r="L29" s="3" t="s">
        <v>180</v>
      </c>
      <c r="M29" s="3" t="s">
        <v>181</v>
      </c>
      <c r="N29" s="3" t="s">
        <v>182</v>
      </c>
      <c r="O29" s="3" t="s">
        <v>183</v>
      </c>
      <c r="P29" s="3"/>
    </row>
    <row r="30" spans="1:18" ht="54" customHeight="1" thickBot="1">
      <c r="A30" s="30" t="s">
        <v>199</v>
      </c>
      <c r="B30" s="29"/>
      <c r="C30" s="29" t="s">
        <v>200</v>
      </c>
      <c r="D30" s="29" t="s">
        <v>201</v>
      </c>
      <c r="E30" s="29" t="s">
        <v>202</v>
      </c>
      <c r="F30" s="29" t="s">
        <v>203</v>
      </c>
      <c r="G30" s="29" t="s">
        <v>204</v>
      </c>
      <c r="H30" s="29" t="s">
        <v>205</v>
      </c>
      <c r="I30" s="29" t="s">
        <v>206</v>
      </c>
      <c r="J30" s="29"/>
      <c r="K30" s="30" t="s">
        <v>207</v>
      </c>
      <c r="L30" s="29"/>
      <c r="M30" s="29"/>
      <c r="N30" s="29"/>
      <c r="O30" s="29"/>
      <c r="P30" s="29"/>
    </row>
    <row r="31" spans="1:18" ht="15.75" thickBot="1">
      <c r="A31" s="5" t="s">
        <v>208</v>
      </c>
      <c r="B31" s="5" t="str" cm="1">
        <f t="array" ref="B31">INDEX('2.0 Capex Real Dollars'!$L$70:$L$74,$R31)</f>
        <v>Stay in business</v>
      </c>
      <c r="C31" s="24"/>
      <c r="D31" s="24"/>
      <c r="E31" s="24"/>
      <c r="F31" s="24"/>
      <c r="G31" s="24"/>
      <c r="H31" s="24"/>
      <c r="I31" s="24"/>
      <c r="J31" t="s">
        <v>209</v>
      </c>
      <c r="K31" s="24" cm="1">
        <f t="array" ref="K31">_xlfn.IFNA(INDEX('2.0 Capex Real Dollars'!P$70:P$74,MATCH($B31,'2.0 Capex Real Dollars'!$L$70:$L$74,0),0),0)</f>
        <v>1126.5732986004073</v>
      </c>
      <c r="L31" s="24" cm="1">
        <f t="array" ref="L31">_xlfn.IFNA(INDEX('2.0 Capex Real Dollars'!Q$70:Q$74,MATCH($B31,'2.0 Capex Real Dollars'!$L$70:$L$74,0),0),0)</f>
        <v>1070.2654871501272</v>
      </c>
      <c r="M31" s="24" cm="1">
        <f t="array" ref="M31">_xlfn.IFNA(INDEX('2.0 Capex Real Dollars'!R$70:R$74,MATCH($B31,'2.0 Capex Real Dollars'!$L$70:$L$74,0),0),0)</f>
        <v>906.77199482707385</v>
      </c>
      <c r="N31" s="24" cm="1">
        <f t="array" ref="N31">_xlfn.IFNA(INDEX('2.0 Capex Real Dollars'!S$70:S$74,MATCH($B31,'2.0 Capex Real Dollars'!$L$70:$L$74,0),0),0)</f>
        <v>239.27622646310431</v>
      </c>
      <c r="O31" s="24" cm="1">
        <f t="array" ref="O31">_xlfn.IFNA(INDEX('2.0 Capex Real Dollars'!T$70:T$74,MATCH($B31,'2.0 Capex Real Dollars'!$L$70:$L$74,0),0),0)</f>
        <v>158.35765139949109</v>
      </c>
      <c r="P31" s="46">
        <f>SUM(K31:O31)</f>
        <v>3501.2446584402037</v>
      </c>
      <c r="R31">
        <v>1</v>
      </c>
    </row>
    <row r="32" spans="1:18" ht="15.75" thickBot="1">
      <c r="A32" s="24"/>
      <c r="B32" s="24"/>
      <c r="C32" s="24"/>
      <c r="D32" s="24"/>
      <c r="E32" s="24"/>
      <c r="F32" s="24"/>
      <c r="G32" s="24"/>
      <c r="H32" s="24"/>
      <c r="I32" s="24"/>
      <c r="J32" t="s">
        <v>210</v>
      </c>
      <c r="K32" s="24"/>
      <c r="L32" s="24"/>
      <c r="M32" s="24"/>
      <c r="N32" s="24"/>
      <c r="O32" s="24"/>
      <c r="P32" s="46">
        <f t="shared" ref="P32:P49" si="1">SUM(K32:O32)</f>
        <v>0</v>
      </c>
    </row>
    <row r="33" spans="1:18" ht="15.75" thickBot="1">
      <c r="A33" s="24"/>
      <c r="B33" s="24"/>
      <c r="C33" s="24"/>
      <c r="D33" s="24"/>
      <c r="E33" s="24"/>
      <c r="F33" s="24"/>
      <c r="G33" s="24"/>
      <c r="H33" s="24"/>
      <c r="I33" s="24"/>
      <c r="J33" t="s">
        <v>211</v>
      </c>
      <c r="K33" s="24"/>
      <c r="L33" s="24"/>
      <c r="M33" s="24"/>
      <c r="N33" s="24"/>
      <c r="O33" s="24"/>
      <c r="P33" s="46">
        <f t="shared" si="1"/>
        <v>0</v>
      </c>
    </row>
    <row r="34" spans="1:18" ht="16.5" thickTop="1" thickBot="1">
      <c r="A34" s="24"/>
      <c r="B34" s="24"/>
      <c r="C34" s="24"/>
      <c r="D34" s="24"/>
      <c r="E34" s="24"/>
      <c r="F34" s="24"/>
      <c r="G34" s="24"/>
      <c r="H34" s="24"/>
      <c r="I34" s="24"/>
      <c r="J34" s="27" t="s">
        <v>15</v>
      </c>
      <c r="K34" s="27">
        <f>SUM(K31:K33)</f>
        <v>1126.5732986004073</v>
      </c>
      <c r="L34" s="27">
        <f>SUM(L31:L33)</f>
        <v>1070.2654871501272</v>
      </c>
      <c r="M34" s="27">
        <f>SUM(M31:M33)</f>
        <v>906.77199482707385</v>
      </c>
      <c r="N34" s="27">
        <f>SUM(N31:N33)</f>
        <v>239.27622646310431</v>
      </c>
      <c r="O34" s="27">
        <f>SUM(O31:O33)</f>
        <v>158.35765139949109</v>
      </c>
      <c r="P34" s="27">
        <f t="shared" si="1"/>
        <v>3501.2446584402037</v>
      </c>
    </row>
    <row r="35" spans="1:18" ht="15.75" thickBot="1">
      <c r="A35" s="5" t="s">
        <v>212</v>
      </c>
      <c r="B35" s="5" t="str" cm="1">
        <f t="array" ref="B35">INDEX('2.0 Capex Real Dollars'!$L$70:$L$74,$R35)</f>
        <v>Enhanced Cooling</v>
      </c>
      <c r="C35" s="24"/>
      <c r="D35" s="24"/>
      <c r="E35" s="24"/>
      <c r="F35" s="24"/>
      <c r="G35" s="24"/>
      <c r="H35" s="24"/>
      <c r="I35" s="24"/>
      <c r="J35" t="s">
        <v>209</v>
      </c>
      <c r="K35" s="24" cm="1">
        <f t="array" ref="K35">_xlfn.IFNA(INDEX('2.0 Capex Real Dollars'!P$70:P$74,MATCH($B35,'2.0 Capex Real Dollars'!$L$70:$L$74,0),0),0)</f>
        <v>1649.7307205318068</v>
      </c>
      <c r="L35" s="24" cm="1">
        <f t="array" ref="L35">_xlfn.IFNA(INDEX('2.0 Capex Real Dollars'!Q$70:Q$74,MATCH($B35,'2.0 Capex Real Dollars'!$L$70:$L$74,0),0),0)</f>
        <v>1649.7307205318068</v>
      </c>
      <c r="M35" s="24" cm="1">
        <f t="array" ref="M35">_xlfn.IFNA(INDEX('2.0 Capex Real Dollars'!R$70:R$74,MATCH($B35,'2.0 Capex Real Dollars'!$L$70:$L$74,0),0),0)</f>
        <v>0</v>
      </c>
      <c r="N35" s="24" cm="1">
        <f t="array" ref="N35">_xlfn.IFNA(INDEX('2.0 Capex Real Dollars'!S$70:S$74,MATCH($B35,'2.0 Capex Real Dollars'!$L$70:$L$74,0),0),0)</f>
        <v>0</v>
      </c>
      <c r="O35" s="24" cm="1">
        <f t="array" ref="O35">_xlfn.IFNA(INDEX('2.0 Capex Real Dollars'!T$70:T$74,MATCH($B35,'2.0 Capex Real Dollars'!$L$70:$L$74,0),0),0)</f>
        <v>0</v>
      </c>
      <c r="P35" s="46">
        <f t="shared" si="1"/>
        <v>3299.4614410636136</v>
      </c>
      <c r="R35">
        <v>2</v>
      </c>
    </row>
    <row r="36" spans="1:18" ht="15.75" thickBot="1">
      <c r="A36" s="24"/>
      <c r="B36" s="24"/>
      <c r="C36" s="24"/>
      <c r="D36" s="24"/>
      <c r="E36" s="24"/>
      <c r="F36" s="24"/>
      <c r="G36" s="24"/>
      <c r="H36" s="24"/>
      <c r="I36" s="24"/>
      <c r="J36" t="s">
        <v>210</v>
      </c>
      <c r="K36" s="24"/>
      <c r="L36" s="24"/>
      <c r="M36" s="24"/>
      <c r="N36" s="24"/>
      <c r="O36" s="24"/>
      <c r="P36" s="46">
        <f t="shared" si="1"/>
        <v>0</v>
      </c>
    </row>
    <row r="37" spans="1:18" ht="15.75" thickBot="1">
      <c r="A37" s="24"/>
      <c r="B37" s="24"/>
      <c r="C37" s="24"/>
      <c r="D37" s="24"/>
      <c r="E37" s="24"/>
      <c r="F37" s="24"/>
      <c r="G37" s="24"/>
      <c r="H37" s="24"/>
      <c r="I37" s="24"/>
      <c r="J37" t="s">
        <v>211</v>
      </c>
      <c r="K37" s="24"/>
      <c r="L37" s="24"/>
      <c r="M37" s="24"/>
      <c r="N37" s="24"/>
      <c r="O37" s="24"/>
      <c r="P37" s="46">
        <f t="shared" si="1"/>
        <v>0</v>
      </c>
    </row>
    <row r="38" spans="1:18" ht="16.5" thickTop="1" thickBot="1">
      <c r="A38" s="24"/>
      <c r="B38" s="24"/>
      <c r="C38" s="24"/>
      <c r="D38" s="24"/>
      <c r="E38" s="24"/>
      <c r="F38" s="24"/>
      <c r="G38" s="24"/>
      <c r="H38" s="24"/>
      <c r="I38" s="24"/>
      <c r="J38" s="27" t="s">
        <v>15</v>
      </c>
      <c r="K38" s="27">
        <f>SUM(K35:K37)</f>
        <v>1649.7307205318068</v>
      </c>
      <c r="L38" s="27">
        <f>SUM(L35:L37)</f>
        <v>1649.7307205318068</v>
      </c>
      <c r="M38" s="27">
        <f>SUM(M35:M37)</f>
        <v>0</v>
      </c>
      <c r="N38" s="27">
        <f>SUM(N35:N37)</f>
        <v>0</v>
      </c>
      <c r="O38" s="27">
        <f>SUM(O35:O37)</f>
        <v>0</v>
      </c>
      <c r="P38" s="27">
        <f>SUM(K38:O38)</f>
        <v>3299.4614410636136</v>
      </c>
    </row>
    <row r="39" spans="1:18" ht="15.75" thickBot="1">
      <c r="A39" s="5" t="s">
        <v>213</v>
      </c>
      <c r="B39" s="5" t="str" cm="1">
        <f t="array" ref="B39">INDEX('2.0 Capex Real Dollars'!$L$70:$L$74,$R39)</f>
        <v>SOCI</v>
      </c>
      <c r="C39" s="24"/>
      <c r="D39" s="24"/>
      <c r="E39" s="24"/>
      <c r="F39" s="24"/>
      <c r="G39" s="24"/>
      <c r="H39" s="24"/>
      <c r="I39" s="24"/>
      <c r="J39" t="s">
        <v>209</v>
      </c>
      <c r="K39" s="24" cm="1">
        <f t="array" ref="K39">_xlfn.IFNA(INDEX('2.0 Capex Real Dollars'!P$70:P$74,MATCH($B39,'2.0 Capex Real Dollars'!$L$70:$L$74,0),0),0)</f>
        <v>466.63430279898222</v>
      </c>
      <c r="L39" s="24" cm="1">
        <f t="array" ref="L39">_xlfn.IFNA(INDEX('2.0 Capex Real Dollars'!Q$70:Q$74,MATCH($B39,'2.0 Capex Real Dollars'!$L$70:$L$74,0),0),0)</f>
        <v>0</v>
      </c>
      <c r="M39" s="24" cm="1">
        <f t="array" ref="M39">_xlfn.IFNA(INDEX('2.0 Capex Real Dollars'!R$70:R$74,MATCH($B39,'2.0 Capex Real Dollars'!$L$70:$L$74,0),0),0)</f>
        <v>1082.9566</v>
      </c>
      <c r="N39" s="24" cm="1">
        <f t="array" ref="N39">_xlfn.IFNA(INDEX('2.0 Capex Real Dollars'!S$70:S$74,MATCH($B39,'2.0 Capex Real Dollars'!$L$70:$L$74,0),0),0)</f>
        <v>1082.9566</v>
      </c>
      <c r="O39" s="24" cm="1">
        <f t="array" ref="O39">_xlfn.IFNA(INDEX('2.0 Capex Real Dollars'!T$70:T$74,MATCH($B39,'2.0 Capex Real Dollars'!$L$70:$L$74,0),0),0)</f>
        <v>0</v>
      </c>
      <c r="P39" s="46">
        <f t="shared" si="1"/>
        <v>2632.5475027989824</v>
      </c>
      <c r="R39">
        <v>3</v>
      </c>
    </row>
    <row r="40" spans="1:18" ht="15.75" thickBot="1">
      <c r="A40" s="24"/>
      <c r="B40" s="24"/>
      <c r="C40" s="24"/>
      <c r="D40" s="24"/>
      <c r="E40" s="24"/>
      <c r="F40" s="24"/>
      <c r="G40" s="24"/>
      <c r="H40" s="24"/>
      <c r="I40" s="24"/>
      <c r="J40" t="s">
        <v>210</v>
      </c>
      <c r="K40" s="24"/>
      <c r="L40" s="24"/>
      <c r="M40" s="24"/>
      <c r="N40" s="24"/>
      <c r="O40" s="24"/>
      <c r="P40" s="46">
        <f t="shared" si="1"/>
        <v>0</v>
      </c>
    </row>
    <row r="41" spans="1:18" ht="15.75" thickBot="1">
      <c r="A41" s="24"/>
      <c r="B41" s="24"/>
      <c r="C41" s="24"/>
      <c r="D41" s="24"/>
      <c r="E41" s="24"/>
      <c r="F41" s="24"/>
      <c r="G41" s="24"/>
      <c r="H41" s="24"/>
      <c r="I41" s="24"/>
      <c r="J41" t="s">
        <v>211</v>
      </c>
      <c r="K41" s="24"/>
      <c r="L41" s="24"/>
      <c r="M41" s="24"/>
      <c r="N41" s="24"/>
      <c r="O41" s="24"/>
      <c r="P41" s="46">
        <f t="shared" si="1"/>
        <v>0</v>
      </c>
    </row>
    <row r="42" spans="1:18" ht="16.5" thickTop="1" thickBot="1">
      <c r="A42" s="24"/>
      <c r="B42" s="24"/>
      <c r="C42" s="24"/>
      <c r="D42" s="24"/>
      <c r="E42" s="24"/>
      <c r="F42" s="24"/>
      <c r="G42" s="24"/>
      <c r="H42" s="24"/>
      <c r="I42" s="24"/>
      <c r="J42" s="27" t="s">
        <v>15</v>
      </c>
      <c r="K42" s="27">
        <f>SUM(K39:K41)</f>
        <v>466.63430279898222</v>
      </c>
      <c r="L42" s="27">
        <f>SUM(L39:L41)</f>
        <v>0</v>
      </c>
      <c r="M42" s="27">
        <f>SUM(M39:M41)</f>
        <v>1082.9566</v>
      </c>
      <c r="N42" s="27">
        <f>SUM(N39:N41)</f>
        <v>1082.9566</v>
      </c>
      <c r="O42" s="27">
        <f>SUM(O39:O41)</f>
        <v>0</v>
      </c>
      <c r="P42" s="27">
        <f>SUM(K42:O42)</f>
        <v>2632.5475027989824</v>
      </c>
    </row>
    <row r="43" spans="1:18" ht="15.75" thickBot="1">
      <c r="A43" s="5" t="s">
        <v>214</v>
      </c>
      <c r="B43" s="44" t="str" cm="1">
        <f t="array" ref="B43">INDEX('2.0 Capex Real Dollars'!$L$70:$L$74,$R43)</f>
        <v>Cable Protection/Modification</v>
      </c>
      <c r="C43" s="24"/>
      <c r="D43" s="24"/>
      <c r="E43" s="24"/>
      <c r="F43" s="24"/>
      <c r="G43" s="24"/>
      <c r="H43" s="24"/>
      <c r="I43" s="24"/>
      <c r="J43" t="s">
        <v>209</v>
      </c>
      <c r="K43" s="24" cm="1">
        <f t="array" ref="K43">_xlfn.IFNA(INDEX('2.0 Capex Real Dollars'!P$70:P$74,MATCH($B43,'2.0 Capex Real Dollars'!$L$70:$L$74,0),0),0)</f>
        <v>252.60467175572521</v>
      </c>
      <c r="L43" s="24" cm="1">
        <f t="array" ref="L43">_xlfn.IFNA(INDEX('2.0 Capex Real Dollars'!Q$70:Q$74,MATCH($B43,'2.0 Capex Real Dollars'!$L$70:$L$74,0),0),0)</f>
        <v>252.60467175572521</v>
      </c>
      <c r="M43" s="24" cm="1">
        <f t="array" ref="M43">_xlfn.IFNA(INDEX('2.0 Capex Real Dollars'!R$70:R$74,MATCH($B43,'2.0 Capex Real Dollars'!$L$70:$L$74,0),0),0)</f>
        <v>1422.2942340966922</v>
      </c>
      <c r="N43" s="24" cm="1">
        <f t="array" ref="N43">_xlfn.IFNA(INDEX('2.0 Capex Real Dollars'!S$70:S$74,MATCH($B43,'2.0 Capex Real Dollars'!$L$70:$L$74,0),0),0)</f>
        <v>252.60467175572521</v>
      </c>
      <c r="O43" s="24" cm="1">
        <f t="array" ref="O43">_xlfn.IFNA(INDEX('2.0 Capex Real Dollars'!T$70:T$74,MATCH($B43,'2.0 Capex Real Dollars'!$L$70:$L$74,0),0),0)</f>
        <v>252.60467175572521</v>
      </c>
      <c r="P43" s="46">
        <f t="shared" si="1"/>
        <v>2432.7129211195929</v>
      </c>
      <c r="R43">
        <v>4</v>
      </c>
    </row>
    <row r="44" spans="1:18" ht="15.75" thickBot="1">
      <c r="A44" s="24"/>
      <c r="B44" s="24"/>
      <c r="C44" s="24"/>
      <c r="D44" s="24"/>
      <c r="E44" s="24"/>
      <c r="F44" s="24"/>
      <c r="G44" s="24"/>
      <c r="H44" s="24"/>
      <c r="I44" s="24"/>
      <c r="J44" t="s">
        <v>210</v>
      </c>
      <c r="K44" s="24"/>
      <c r="L44" s="24"/>
      <c r="M44" s="24"/>
      <c r="N44" s="24"/>
      <c r="O44" s="24"/>
      <c r="P44" s="46">
        <f t="shared" si="1"/>
        <v>0</v>
      </c>
    </row>
    <row r="45" spans="1:18" ht="15.75" thickBot="1">
      <c r="A45" s="24"/>
      <c r="B45" s="24"/>
      <c r="C45" s="24"/>
      <c r="D45" s="24"/>
      <c r="E45" s="24"/>
      <c r="F45" s="24"/>
      <c r="G45" s="24"/>
      <c r="H45" s="24"/>
      <c r="I45" s="24"/>
      <c r="J45" t="s">
        <v>211</v>
      </c>
      <c r="K45" s="24"/>
      <c r="L45" s="24"/>
      <c r="M45" s="24"/>
      <c r="N45" s="24"/>
      <c r="O45" s="24"/>
      <c r="P45" s="46">
        <f t="shared" si="1"/>
        <v>0</v>
      </c>
    </row>
    <row r="46" spans="1:18" ht="16.5" thickTop="1" thickBot="1">
      <c r="A46" s="24"/>
      <c r="B46" s="24"/>
      <c r="C46" s="24"/>
      <c r="D46" s="24"/>
      <c r="E46" s="24"/>
      <c r="F46" s="24"/>
      <c r="G46" s="24"/>
      <c r="H46" s="24"/>
      <c r="I46" s="24"/>
      <c r="J46" s="27" t="s">
        <v>15</v>
      </c>
      <c r="K46" s="27">
        <f>SUM(K43:K45)</f>
        <v>252.60467175572521</v>
      </c>
      <c r="L46" s="27">
        <f>SUM(L43:L45)</f>
        <v>252.60467175572521</v>
      </c>
      <c r="M46" s="27">
        <f>SUM(M43:M45)</f>
        <v>1422.2942340966922</v>
      </c>
      <c r="N46" s="27">
        <f>SUM(N43:N45)</f>
        <v>252.60467175572521</v>
      </c>
      <c r="O46" s="27">
        <f>SUM(O43:O45)</f>
        <v>252.60467175572521</v>
      </c>
      <c r="P46" s="27">
        <f>SUM(K46:O46)</f>
        <v>2432.7129211195929</v>
      </c>
    </row>
    <row r="47" spans="1:18" ht="15.75" thickBot="1">
      <c r="A47" s="5" t="s">
        <v>215</v>
      </c>
      <c r="B47" s="44" t="str" cm="1">
        <f t="array" ref="B47">INDEX('2.0 Capex Real Dollars'!$L$70:$L$74,$R47)</f>
        <v/>
      </c>
      <c r="C47" s="24"/>
      <c r="D47" s="24"/>
      <c r="E47" s="24"/>
      <c r="F47" s="24"/>
      <c r="G47" s="24"/>
      <c r="H47" s="24"/>
      <c r="I47" s="24"/>
      <c r="J47" t="s">
        <v>209</v>
      </c>
      <c r="K47" s="24" t="str" cm="1">
        <f t="array" ref="K47">_xlfn.IFNA(INDEX('2.0 Capex Real Dollars'!P$70:P$74,MATCH($B47,'2.0 Capex Real Dollars'!$L$70:$L$74,0),0),0)</f>
        <v/>
      </c>
      <c r="L47" s="24" t="str" cm="1">
        <f t="array" ref="L47">_xlfn.IFNA(INDEX('2.0 Capex Real Dollars'!Q$70:Q$74,MATCH($B47,'2.0 Capex Real Dollars'!$L$70:$L$74,0),0),0)</f>
        <v/>
      </c>
      <c r="M47" s="24" t="str" cm="1">
        <f t="array" ref="M47">_xlfn.IFNA(INDEX('2.0 Capex Real Dollars'!R$70:R$74,MATCH($B47,'2.0 Capex Real Dollars'!$L$70:$L$74,0),0),0)</f>
        <v/>
      </c>
      <c r="N47" s="24" t="str" cm="1">
        <f t="array" ref="N47">_xlfn.IFNA(INDEX('2.0 Capex Real Dollars'!S$70:S$74,MATCH($B47,'2.0 Capex Real Dollars'!$L$70:$L$74,0),0),0)</f>
        <v/>
      </c>
      <c r="O47" s="24" t="str" cm="1">
        <f t="array" ref="O47">_xlfn.IFNA(INDEX('2.0 Capex Real Dollars'!T$70:T$74,MATCH($B47,'2.0 Capex Real Dollars'!$L$70:$L$74,0),0),0)</f>
        <v/>
      </c>
      <c r="P47" s="28">
        <f t="shared" si="1"/>
        <v>0</v>
      </c>
      <c r="R47">
        <v>5</v>
      </c>
    </row>
    <row r="48" spans="1:18" ht="15.75" thickBot="1">
      <c r="A48" s="24"/>
      <c r="B48" s="44"/>
      <c r="C48" s="24"/>
      <c r="D48" s="24"/>
      <c r="E48" s="24"/>
      <c r="F48" s="24"/>
      <c r="G48" s="24"/>
      <c r="H48" s="24"/>
      <c r="I48" s="24"/>
      <c r="J48" t="s">
        <v>210</v>
      </c>
      <c r="K48" s="24"/>
      <c r="L48" s="24"/>
      <c r="M48" s="24"/>
      <c r="N48" s="24"/>
      <c r="O48" s="24"/>
      <c r="P48" s="28">
        <f t="shared" si="1"/>
        <v>0</v>
      </c>
    </row>
    <row r="49" spans="1:16" ht="15.75" thickBot="1">
      <c r="A49" s="24"/>
      <c r="B49" s="24"/>
      <c r="C49" s="24"/>
      <c r="D49" s="24"/>
      <c r="E49" s="24"/>
      <c r="F49" s="24"/>
      <c r="G49" s="24"/>
      <c r="H49" s="24"/>
      <c r="I49" s="24"/>
      <c r="J49" t="s">
        <v>211</v>
      </c>
      <c r="K49" s="24"/>
      <c r="L49" s="24"/>
      <c r="M49" s="24"/>
      <c r="N49" s="24"/>
      <c r="O49" s="24"/>
      <c r="P49" s="28">
        <f t="shared" si="1"/>
        <v>0</v>
      </c>
    </row>
    <row r="50" spans="1:16" ht="15.75" thickBot="1">
      <c r="A50" s="24"/>
      <c r="B50" s="24"/>
      <c r="C50" s="24"/>
      <c r="D50" s="24"/>
      <c r="E50" s="24"/>
      <c r="F50" s="24"/>
      <c r="G50" s="24"/>
      <c r="H50" s="24"/>
      <c r="I50" s="24"/>
      <c r="J50" s="28" t="s">
        <v>15</v>
      </c>
      <c r="K50" s="28">
        <f>SUM(K47:K49)</f>
        <v>0</v>
      </c>
      <c r="L50" s="28">
        <f>SUM(L47:L49)</f>
        <v>0</v>
      </c>
      <c r="M50" s="28">
        <f>SUM(M47:M49)</f>
        <v>0</v>
      </c>
      <c r="N50" s="28">
        <f>SUM(N47:N49)</f>
        <v>0</v>
      </c>
      <c r="O50" s="28">
        <f>SUM(O47:O49)</f>
        <v>0</v>
      </c>
      <c r="P50" s="28">
        <f>SUM(K50:O50)</f>
        <v>0</v>
      </c>
    </row>
    <row r="53" spans="1:16" ht="19.5">
      <c r="A53" s="2" t="s">
        <v>216</v>
      </c>
      <c r="B53" s="2"/>
      <c r="C53" s="2"/>
      <c r="D53" s="2"/>
      <c r="E53" s="2"/>
      <c r="F53" s="2"/>
      <c r="G53" s="2"/>
      <c r="H53" s="2"/>
      <c r="I53" s="2"/>
      <c r="J53" s="2"/>
      <c r="K53" s="2"/>
      <c r="L53" s="2"/>
      <c r="M53" s="2"/>
      <c r="N53" s="2"/>
      <c r="O53" s="2"/>
      <c r="P53" s="2"/>
    </row>
    <row r="54" spans="1:16" ht="16.5">
      <c r="C54" s="4" t="s">
        <v>171</v>
      </c>
      <c r="D54" s="4"/>
      <c r="E54" s="4"/>
      <c r="F54" s="4"/>
      <c r="G54" s="4"/>
      <c r="H54" s="4"/>
      <c r="I54" s="4"/>
      <c r="J54" s="4"/>
      <c r="K54" s="4"/>
      <c r="L54" s="4"/>
    </row>
    <row r="55" spans="1:16">
      <c r="C55" s="77" t="s">
        <v>172</v>
      </c>
      <c r="D55" s="77"/>
      <c r="E55" s="77"/>
      <c r="F55" s="77" t="s">
        <v>173</v>
      </c>
      <c r="G55" s="77"/>
      <c r="H55" s="77"/>
      <c r="I55" s="77"/>
      <c r="J55" s="77"/>
      <c r="K55" s="77"/>
      <c r="L55" s="77"/>
    </row>
    <row r="56" spans="1:16">
      <c r="C56" s="3" t="s">
        <v>174</v>
      </c>
      <c r="D56" s="3" t="s">
        <v>175</v>
      </c>
      <c r="E56" s="3" t="s">
        <v>176</v>
      </c>
      <c r="F56" s="3" t="s">
        <v>177</v>
      </c>
      <c r="G56" s="3" t="s">
        <v>178</v>
      </c>
      <c r="H56" s="3" t="s">
        <v>179</v>
      </c>
      <c r="I56" s="3" t="s">
        <v>180</v>
      </c>
      <c r="J56" s="3" t="s">
        <v>181</v>
      </c>
      <c r="K56" s="3" t="s">
        <v>182</v>
      </c>
      <c r="L56" s="3" t="s">
        <v>183</v>
      </c>
    </row>
    <row r="57" spans="1:16">
      <c r="A57" t="s">
        <v>217</v>
      </c>
    </row>
    <row r="58" spans="1:16">
      <c r="A58" t="s">
        <v>218</v>
      </c>
      <c r="B58" t="s">
        <v>219</v>
      </c>
    </row>
    <row r="59" spans="1:16">
      <c r="A59" t="s">
        <v>220</v>
      </c>
      <c r="B59" t="s">
        <v>221</v>
      </c>
    </row>
    <row r="60" spans="1:16">
      <c r="A60" t="s">
        <v>222</v>
      </c>
      <c r="B60" t="s">
        <v>223</v>
      </c>
    </row>
    <row r="61" spans="1:16">
      <c r="A61" t="s">
        <v>224</v>
      </c>
      <c r="B61" t="s">
        <v>225</v>
      </c>
    </row>
    <row r="62" spans="1:16" ht="15.75" thickBot="1">
      <c r="A62" s="23" t="s">
        <v>226</v>
      </c>
      <c r="B62" s="23"/>
      <c r="C62" s="23"/>
      <c r="D62" s="23"/>
      <c r="E62" s="23"/>
      <c r="F62" s="23"/>
      <c r="G62" s="23"/>
      <c r="H62" s="23"/>
      <c r="I62" s="23"/>
      <c r="J62" s="23"/>
      <c r="K62" s="23"/>
      <c r="L62" s="23"/>
      <c r="M62" s="23"/>
      <c r="N62" s="23"/>
      <c r="O62" s="23"/>
      <c r="P62" s="23"/>
    </row>
    <row r="63" spans="1:16" ht="15.75" thickBot="1">
      <c r="A63" t="s">
        <v>218</v>
      </c>
      <c r="B63" t="s">
        <v>219</v>
      </c>
      <c r="C63" s="24"/>
      <c r="D63" s="24"/>
      <c r="E63" s="24"/>
      <c r="F63" s="24"/>
      <c r="G63" s="24"/>
      <c r="H63" s="24"/>
      <c r="I63" s="24"/>
      <c r="J63" s="24"/>
      <c r="K63" s="24"/>
      <c r="L63" s="24"/>
    </row>
    <row r="64" spans="1:16" ht="15.75" thickBot="1">
      <c r="A64" t="s">
        <v>220</v>
      </c>
      <c r="B64" t="s">
        <v>221</v>
      </c>
      <c r="C64" s="24"/>
      <c r="D64" s="24"/>
      <c r="E64" s="24"/>
      <c r="F64" s="24"/>
      <c r="G64" s="24"/>
      <c r="H64" s="24"/>
      <c r="I64" s="24"/>
      <c r="J64" s="24"/>
      <c r="K64" s="24"/>
      <c r="L64" s="24"/>
    </row>
    <row r="65" spans="1:18" ht="15.75" thickBot="1">
      <c r="A65" t="s">
        <v>222</v>
      </c>
      <c r="B65" t="s">
        <v>223</v>
      </c>
      <c r="C65" s="24"/>
      <c r="D65" s="24"/>
      <c r="E65" s="24"/>
      <c r="F65" s="24"/>
      <c r="G65" s="24"/>
      <c r="H65" s="24"/>
      <c r="I65" s="24"/>
      <c r="J65" s="24"/>
      <c r="K65" s="24"/>
      <c r="L65" s="24"/>
    </row>
    <row r="66" spans="1:18" ht="15.75" thickBot="1">
      <c r="A66" t="s">
        <v>224</v>
      </c>
      <c r="B66" t="s">
        <v>225</v>
      </c>
      <c r="C66" s="24">
        <f>SUMIF('2.1 Capex Nominal Dollars'!$D$10:$D$28,$R$66,'2.1 Capex Nominal Dollars'!E$10:E$28)*1000</f>
        <v>40388.1</v>
      </c>
      <c r="D66" s="24">
        <f>SUMIF('2.1 Capex Nominal Dollars'!$D$10:$D$28,$R$66,'2.1 Capex Nominal Dollars'!F$10:F$28)*1000</f>
        <v>0</v>
      </c>
      <c r="E66" s="24">
        <f>SUMIF('2.1 Capex Nominal Dollars'!$D$10:$D$28,$R$66,'2.1 Capex Nominal Dollars'!G$10:G$28)*1000</f>
        <v>0</v>
      </c>
      <c r="F66" s="24">
        <f>SUMIF('2.1 Capex Nominal Dollars'!$D$10:$D$28,$R$66,'2.1 Capex Nominal Dollars'!H$10:H$28)*1000</f>
        <v>0</v>
      </c>
      <c r="G66" s="24">
        <f>SUMIF('2.1 Capex Nominal Dollars'!$D$10:$D$28,$R$66,'2.1 Capex Nominal Dollars'!I$10:I$28)*1000</f>
        <v>157633.58778625954</v>
      </c>
      <c r="H66" s="24">
        <f>SUMIF('2.0 Capex Real Dollars'!$O$10:$O$26,R66,'2.0 Capex Real Dollars'!P$10:P$26)*1000</f>
        <v>42443.474045801529</v>
      </c>
      <c r="I66" s="24">
        <f>SUMIF('2.0 Capex Real Dollars'!$O$10:$O$26,S66,'2.0 Capex Real Dollars'!Q$10:Q$26)*1000</f>
        <v>0</v>
      </c>
      <c r="J66" s="24">
        <f>SUMIF('2.0 Capex Real Dollars'!$O$10:$O$26,T66,'2.0 Capex Real Dollars'!R$10:R$26)*1000</f>
        <v>0</v>
      </c>
      <c r="K66" s="24">
        <f>SUMIF('2.0 Capex Real Dollars'!$O$10:$O$26,U66,'2.0 Capex Real Dollars'!S$10:S$26)*1000</f>
        <v>0</v>
      </c>
      <c r="L66" s="24">
        <f>SUMIF('2.0 Capex Real Dollars'!$O$10:$O$26,V66,'2.0 Capex Real Dollars'!T$10:T$26)*1000</f>
        <v>0</v>
      </c>
      <c r="R66" s="5" t="str">
        <f>'1.1 Input'!B23</f>
        <v>Non-network</v>
      </c>
    </row>
    <row r="69" spans="1:18" ht="19.5">
      <c r="A69" s="2" t="s">
        <v>227</v>
      </c>
      <c r="B69" s="2"/>
      <c r="C69" s="2"/>
      <c r="D69" s="2"/>
      <c r="E69" s="2"/>
      <c r="F69" s="2"/>
      <c r="G69" s="2"/>
      <c r="H69" s="2"/>
      <c r="I69" s="2"/>
      <c r="J69" s="2"/>
      <c r="K69" s="2"/>
      <c r="L69" s="2"/>
      <c r="M69" s="2"/>
      <c r="N69" s="2"/>
      <c r="O69" s="2"/>
      <c r="P69" s="2"/>
    </row>
    <row r="70" spans="1:18" ht="16.5">
      <c r="A70" s="4" t="s">
        <v>228</v>
      </c>
      <c r="B70" s="4"/>
      <c r="C70" s="4"/>
      <c r="D70" s="4"/>
      <c r="E70" s="4"/>
      <c r="F70" s="4"/>
    </row>
    <row r="71" spans="1:18">
      <c r="A71" s="3"/>
      <c r="B71" s="3" t="s">
        <v>172</v>
      </c>
      <c r="C71" s="3"/>
      <c r="D71" s="3"/>
      <c r="E71" s="3" t="s">
        <v>173</v>
      </c>
      <c r="F71" s="3"/>
    </row>
    <row r="72" spans="1:18" ht="15.75" thickBot="1">
      <c r="A72" s="23" t="s">
        <v>229</v>
      </c>
      <c r="B72" s="23" t="s">
        <v>174</v>
      </c>
      <c r="C72" s="23" t="s">
        <v>175</v>
      </c>
      <c r="D72" s="23" t="s">
        <v>176</v>
      </c>
      <c r="E72" s="23" t="s">
        <v>177</v>
      </c>
      <c r="F72" s="23" t="s">
        <v>178</v>
      </c>
    </row>
    <row r="73" spans="1:18" ht="15.75" thickBot="1">
      <c r="A73" s="24"/>
      <c r="B73" s="24"/>
      <c r="C73" s="24"/>
      <c r="D73" s="24"/>
      <c r="E73" s="24"/>
      <c r="F73" s="24"/>
    </row>
    <row r="74" spans="1:18" ht="15.75" thickBot="1">
      <c r="A74" s="24"/>
      <c r="B74" s="24"/>
      <c r="C74" s="24"/>
      <c r="D74" s="24"/>
      <c r="E74" s="24"/>
      <c r="F74" s="24"/>
    </row>
    <row r="75" spans="1:18" ht="15.75" thickBot="1">
      <c r="A75" s="24"/>
      <c r="B75" s="24"/>
      <c r="C75" s="24"/>
      <c r="D75" s="24"/>
      <c r="E75" s="24"/>
      <c r="F75" s="24"/>
    </row>
    <row r="76" spans="1:18" ht="15.75" thickBot="1">
      <c r="A76" s="24"/>
      <c r="B76" s="24"/>
      <c r="C76" s="24"/>
      <c r="D76" s="24"/>
      <c r="E76" s="24"/>
      <c r="F76" s="24"/>
    </row>
    <row r="77" spans="1:18" ht="15.75" thickBot="1">
      <c r="A77" s="24"/>
      <c r="B77" s="24"/>
      <c r="C77" s="24"/>
      <c r="D77" s="24"/>
      <c r="E77" s="24"/>
      <c r="F77" s="24"/>
    </row>
    <row r="78" spans="1:18" ht="15.75" thickBot="1">
      <c r="A78" s="24"/>
      <c r="B78" s="24"/>
      <c r="C78" s="24"/>
      <c r="D78" s="24"/>
      <c r="E78" s="24"/>
      <c r="F78" s="24"/>
    </row>
    <row r="79" spans="1:18" ht="15.75" thickBot="1">
      <c r="A79" s="24"/>
      <c r="B79" s="24"/>
      <c r="C79" s="24"/>
      <c r="D79" s="24"/>
      <c r="E79" s="24"/>
      <c r="F79" s="24"/>
    </row>
    <row r="80" spans="1:18" ht="15.75" thickBot="1">
      <c r="A80" s="24"/>
      <c r="B80" s="24"/>
      <c r="C80" s="24"/>
      <c r="D80" s="24"/>
      <c r="E80" s="24"/>
      <c r="F80" s="24"/>
    </row>
    <row r="81" spans="1:6" ht="15.75" thickBot="1">
      <c r="A81" s="24"/>
      <c r="B81" s="24"/>
      <c r="C81" s="24"/>
      <c r="D81" s="24"/>
      <c r="E81" s="24"/>
      <c r="F81" s="24"/>
    </row>
    <row r="82" spans="1:6" ht="15.75" thickBot="1">
      <c r="A82" s="24"/>
      <c r="B82" s="24"/>
      <c r="C82" s="24"/>
      <c r="D82" s="24"/>
      <c r="E82" s="24"/>
      <c r="F82" s="24"/>
    </row>
  </sheetData>
  <mergeCells count="2">
    <mergeCell ref="C55:E55"/>
    <mergeCell ref="F55:L5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Q112"/>
  <sheetViews>
    <sheetView workbookViewId="0">
      <selection activeCell="A116" sqref="A116"/>
    </sheetView>
  </sheetViews>
  <sheetFormatPr defaultRowHeight="15"/>
  <cols>
    <col min="1" max="1" width="37.875" customWidth="1"/>
    <col min="2" max="2" width="8.375" customWidth="1"/>
    <col min="3" max="3" width="9.875" customWidth="1"/>
    <col min="4" max="4" width="10.25" customWidth="1"/>
    <col min="5" max="5" width="9.875" customWidth="1"/>
    <col min="6" max="6" width="9" customWidth="1"/>
    <col min="7" max="7" width="8.875" customWidth="1"/>
    <col min="8" max="8" width="11.375" customWidth="1"/>
    <col min="9" max="9" width="13.375" customWidth="1"/>
    <col min="10" max="10" width="33.25" customWidth="1"/>
    <col min="11" max="11" width="11" customWidth="1"/>
    <col min="12" max="14" width="10.375" customWidth="1"/>
    <col min="15" max="16" width="9.375" customWidth="1"/>
    <col min="17" max="17" width="8.375" customWidth="1"/>
  </cols>
  <sheetData>
    <row r="1" spans="1:17" ht="22.5">
      <c r="A1" s="1"/>
      <c r="B1" s="1"/>
      <c r="C1" s="1"/>
      <c r="D1" s="1"/>
      <c r="E1" s="1"/>
      <c r="F1" s="1"/>
      <c r="G1" s="1"/>
      <c r="H1" s="1"/>
      <c r="I1" s="1"/>
      <c r="J1" s="1"/>
      <c r="K1" s="1"/>
      <c r="L1" s="1"/>
      <c r="M1" s="1"/>
      <c r="N1" s="1"/>
      <c r="O1" s="1"/>
      <c r="P1" s="1"/>
      <c r="Q1" s="1"/>
    </row>
    <row r="2" spans="1:17" ht="22.5">
      <c r="A2" s="1"/>
      <c r="B2" s="1"/>
      <c r="C2" s="1"/>
      <c r="D2" s="1"/>
      <c r="E2" s="1"/>
      <c r="F2" s="1"/>
      <c r="G2" s="1"/>
      <c r="H2" s="1"/>
      <c r="I2" s="1"/>
      <c r="J2" s="1"/>
      <c r="K2" s="1"/>
      <c r="L2" s="1"/>
      <c r="M2" s="1"/>
      <c r="N2" s="1"/>
      <c r="O2" s="1"/>
      <c r="P2" s="1"/>
      <c r="Q2" s="1"/>
    </row>
    <row r="3" spans="1:17" ht="22.5">
      <c r="A3" s="1"/>
      <c r="B3" s="1"/>
      <c r="C3" s="1"/>
      <c r="D3" s="1"/>
      <c r="E3" s="1"/>
      <c r="F3" s="1"/>
      <c r="G3" s="1"/>
      <c r="H3" s="1"/>
      <c r="I3" s="1"/>
      <c r="J3" s="1"/>
      <c r="K3" s="1"/>
      <c r="L3" s="1"/>
      <c r="M3" s="1"/>
      <c r="N3" s="1"/>
      <c r="O3" s="1"/>
      <c r="P3" s="1"/>
      <c r="Q3" s="1"/>
    </row>
    <row r="4" spans="1:17" ht="22.5">
      <c r="A4" s="1"/>
      <c r="B4" s="1"/>
      <c r="C4" s="1"/>
      <c r="D4" s="1"/>
      <c r="E4" s="1"/>
      <c r="F4" s="1"/>
      <c r="G4" s="1"/>
      <c r="H4" s="1"/>
      <c r="I4" s="1"/>
      <c r="J4" s="1"/>
      <c r="K4" s="1"/>
      <c r="L4" s="1"/>
      <c r="M4" s="1"/>
      <c r="N4" s="1"/>
      <c r="O4" s="1"/>
      <c r="P4" s="1"/>
      <c r="Q4" s="1"/>
    </row>
    <row r="5" spans="1:17" ht="22.5">
      <c r="A5" s="1" t="str">
        <f ca="1">RIGHT(CELL("filename"),LEN(CELL("filename"))-FIND("]",CELL("filename")))</f>
        <v>1.0 Data</v>
      </c>
      <c r="B5" s="1"/>
      <c r="C5" s="1"/>
      <c r="D5" s="1"/>
      <c r="E5" s="1"/>
      <c r="F5" s="1"/>
      <c r="G5" s="1"/>
      <c r="H5" s="1"/>
      <c r="I5" s="1"/>
      <c r="J5" s="1"/>
      <c r="K5" s="1"/>
      <c r="L5" s="1"/>
      <c r="M5" s="1"/>
      <c r="N5" s="1"/>
      <c r="O5" s="1"/>
      <c r="P5" s="1"/>
      <c r="Q5" s="1"/>
    </row>
    <row r="6" spans="1:17" ht="19.5">
      <c r="A6" s="2" t="s">
        <v>131</v>
      </c>
      <c r="B6" s="2"/>
      <c r="C6" s="2"/>
      <c r="D6" s="2"/>
      <c r="E6" s="2"/>
      <c r="F6" s="2"/>
      <c r="G6" s="2"/>
      <c r="H6" s="2"/>
      <c r="J6" s="2" t="s">
        <v>131</v>
      </c>
      <c r="K6" s="2"/>
      <c r="L6" s="2"/>
      <c r="M6" s="2"/>
      <c r="N6" s="2"/>
      <c r="O6" s="2"/>
      <c r="P6" s="2"/>
      <c r="Q6" s="2"/>
    </row>
    <row r="7" spans="1:17" ht="16.5">
      <c r="A7" s="4" t="s">
        <v>230</v>
      </c>
      <c r="B7" s="4"/>
      <c r="C7" s="4"/>
      <c r="D7" s="4"/>
      <c r="E7" s="4"/>
      <c r="F7" s="4"/>
      <c r="G7" s="4"/>
      <c r="H7" s="4"/>
      <c r="J7" s="4" t="s">
        <v>231</v>
      </c>
      <c r="K7" s="4"/>
      <c r="L7" s="4"/>
      <c r="M7" s="4"/>
      <c r="N7" s="4"/>
      <c r="O7" s="4"/>
      <c r="P7" s="4"/>
      <c r="Q7" s="4"/>
    </row>
    <row r="8" spans="1:17">
      <c r="A8" s="3" t="s">
        <v>3</v>
      </c>
      <c r="B8" s="3" t="str">
        <f>'1.0 Data'!B8</f>
        <v>$</v>
      </c>
      <c r="C8" s="3" t="str">
        <f>'1.2 AER Forecast'!E8</f>
        <v>2018/19</v>
      </c>
      <c r="D8" s="3" t="str">
        <f>'1.2 AER Forecast'!F8</f>
        <v>2019/20</v>
      </c>
      <c r="E8" s="3" t="str">
        <f>'1.2 AER Forecast'!G8</f>
        <v>2020/21</v>
      </c>
      <c r="F8" s="3" t="str">
        <f>'1.2 AER Forecast'!H8</f>
        <v>2021/22</v>
      </c>
      <c r="G8" s="3" t="str">
        <f>'1.2 AER Forecast'!I8</f>
        <v>2022/23</v>
      </c>
      <c r="H8" s="3" t="s">
        <v>15</v>
      </c>
      <c r="J8" s="3" t="s">
        <v>3</v>
      </c>
      <c r="K8" s="3" t="str">
        <f>B8</f>
        <v>$</v>
      </c>
      <c r="L8" s="3" t="str">
        <f t="shared" ref="L8:Q8" si="0">C8</f>
        <v>2018/19</v>
      </c>
      <c r="M8" s="3" t="str">
        <f t="shared" si="0"/>
        <v>2019/20</v>
      </c>
      <c r="N8" s="3" t="str">
        <f t="shared" si="0"/>
        <v>2020/21</v>
      </c>
      <c r="O8" s="3" t="str">
        <f t="shared" si="0"/>
        <v>2021/22</v>
      </c>
      <c r="P8" s="3" t="str">
        <f t="shared" si="0"/>
        <v>2022/23</v>
      </c>
      <c r="Q8" s="3" t="str">
        <f t="shared" si="0"/>
        <v>Total</v>
      </c>
    </row>
    <row r="9" spans="1:17">
      <c r="A9" s="40" t="str">
        <f>'1.2 AER Forecast'!A25</f>
        <v>Cable relocation</v>
      </c>
      <c r="B9" s="43" t="str">
        <f>'2.0 Capex Real Dollars'!$M$10</f>
        <v>2022/23</v>
      </c>
      <c r="C9" s="43">
        <f>'1.2 AER Forecast'!E25</f>
        <v>44.592985775317267</v>
      </c>
      <c r="D9" s="43">
        <f>'1.2 AER Forecast'!F25</f>
        <v>89.185971550634534</v>
      </c>
      <c r="E9" s="43">
        <f>'1.2 AER Forecast'!G25</f>
        <v>89.185971550634534</v>
      </c>
      <c r="F9" s="43">
        <f>'1.2 AER Forecast'!H25</f>
        <v>89.185971550634534</v>
      </c>
      <c r="G9" s="43">
        <f>'1.2 AER Forecast'!I25</f>
        <v>89.185971550634534</v>
      </c>
      <c r="H9" s="46">
        <f t="shared" ref="H9:H19" si="1">SUM(C9:G9)</f>
        <v>401.33687197785537</v>
      </c>
      <c r="J9" s="40" t="str">
        <f>A9</f>
        <v>Cable relocation</v>
      </c>
      <c r="K9" s="43" t="str">
        <f>'1.2 AER Forecast'!$B$42</f>
        <v>nominal</v>
      </c>
      <c r="L9" s="43">
        <f>'1.2 AER Forecast'!E42</f>
        <v>40.525990301055067</v>
      </c>
      <c r="M9" s="43">
        <f>'1.2 AER Forecast'!F42</f>
        <v>82.131713913861162</v>
      </c>
      <c r="N9" s="43">
        <f>'1.2 AER Forecast'!G42</f>
        <v>83.931269433446218</v>
      </c>
      <c r="O9" s="43">
        <f>'1.2 AER Forecast'!H42</f>
        <v>84.867038303630437</v>
      </c>
      <c r="P9" s="43">
        <f>'1.2 AER Forecast'!I42</f>
        <v>89.185971550634534</v>
      </c>
      <c r="Q9" s="46">
        <f>SUM(L9:P9)</f>
        <v>380.6419835026274</v>
      </c>
    </row>
    <row r="10" spans="1:17">
      <c r="A10" s="40" t="str">
        <f>'1.2 AER Forecast'!A26</f>
        <v>Replacement of Control System</v>
      </c>
      <c r="B10" s="43" t="str">
        <f>'2.0 Capex Real Dollars'!$M$10</f>
        <v>2022/23</v>
      </c>
      <c r="C10" s="43">
        <f>'1.2 AER Forecast'!E26</f>
        <v>4538.0628760434583</v>
      </c>
      <c r="D10" s="43">
        <f>'1.2 AER Forecast'!F26</f>
        <v>13106.631965479022</v>
      </c>
      <c r="E10" s="43">
        <f>'1.2 AER Forecast'!G26</f>
        <v>10194.047084261461</v>
      </c>
      <c r="F10" s="43">
        <f>'1.2 AER Forecast'!H26</f>
        <v>1456.29244060878</v>
      </c>
      <c r="G10" s="43">
        <f>'1.2 AER Forecast'!I26</f>
        <v>0</v>
      </c>
      <c r="H10" s="46">
        <f t="shared" si="1"/>
        <v>29295.034366392723</v>
      </c>
      <c r="J10" s="40" t="str">
        <f t="shared" ref="J10:J20" si="2">A10</f>
        <v>Replacement of Control System</v>
      </c>
      <c r="K10" s="43" t="str">
        <f>'1.2 AER Forecast'!$B$42</f>
        <v>nominal</v>
      </c>
      <c r="L10" s="43">
        <f>'1.2 AER Forecast'!E43</f>
        <v>4124.179821166209</v>
      </c>
      <c r="M10" s="43">
        <f>'1.2 AER Forecast'!F43</f>
        <v>12069.949211147346</v>
      </c>
      <c r="N10" s="43">
        <f>'1.2 AER Forecast'!G43</f>
        <v>9593.4292980216815</v>
      </c>
      <c r="O10" s="43">
        <f>'1.2 AER Forecast'!H43</f>
        <v>1385.7698042596865</v>
      </c>
      <c r="P10" s="43">
        <f>'1.2 AER Forecast'!I43</f>
        <v>0</v>
      </c>
      <c r="Q10" s="46">
        <f t="shared" ref="Q10:Q19" si="3">SUM(L10:P10)</f>
        <v>27173.328134594922</v>
      </c>
    </row>
    <row r="11" spans="1:17">
      <c r="A11" s="40" t="str">
        <f>'1.2 AER Forecast'!A27</f>
        <v>IGBTs</v>
      </c>
      <c r="B11" s="43" t="str">
        <f>'2.0 Capex Real Dollars'!$M$10</f>
        <v>2022/23</v>
      </c>
      <c r="C11" s="43">
        <f>'1.2 AER Forecast'!E27</f>
        <v>190.80400690331746</v>
      </c>
      <c r="D11" s="43">
        <f>'1.2 AER Forecast'!F27</f>
        <v>286.20601035497702</v>
      </c>
      <c r="E11" s="43">
        <f>'1.2 AER Forecast'!G27</f>
        <v>195.346959448635</v>
      </c>
      <c r="F11" s="43">
        <f>'1.2 AER Forecast'!H27</f>
        <v>199.88991199395204</v>
      </c>
      <c r="G11" s="43">
        <f>'1.2 AER Forecast'!I27</f>
        <v>199.8899119939521</v>
      </c>
      <c r="H11" s="46">
        <f t="shared" si="1"/>
        <v>1072.1368006948337</v>
      </c>
      <c r="J11" s="40" t="str">
        <f t="shared" si="2"/>
        <v>IGBTs</v>
      </c>
      <c r="K11" s="43" t="str">
        <f>'1.2 AER Forecast'!$B$42</f>
        <v>nominal</v>
      </c>
      <c r="L11" s="43">
        <f>'1.2 AER Forecast'!E44</f>
        <v>173.40218867888251</v>
      </c>
      <c r="M11" s="43">
        <f>'1.2 AER Forecast'!F44</f>
        <v>263.56824682407483</v>
      </c>
      <c r="N11" s="43">
        <f>'1.2 AER Forecast'!G44</f>
        <v>183.83741300815853</v>
      </c>
      <c r="O11" s="43">
        <f>'1.2 AER Forecast'!H44</f>
        <v>190.21001310804638</v>
      </c>
      <c r="P11" s="43">
        <f>'1.2 AER Forecast'!I44</f>
        <v>199.8899119939521</v>
      </c>
      <c r="Q11" s="46">
        <f t="shared" si="3"/>
        <v>1010.9077736131144</v>
      </c>
    </row>
    <row r="12" spans="1:17">
      <c r="A12" s="40" t="str">
        <f>'1.2 AER Forecast'!A28</f>
        <v>Other minor capital works</v>
      </c>
      <c r="B12" s="43" t="str">
        <f>'2.0 Capex Real Dollars'!$M$10</f>
        <v>2022/23</v>
      </c>
      <c r="C12" s="43">
        <f>'1.2 AER Forecast'!E28</f>
        <v>101.04691818394467</v>
      </c>
      <c r="D12" s="43">
        <f>'1.2 AER Forecast'!F28</f>
        <v>170.31184662090604</v>
      </c>
      <c r="E12" s="43">
        <f>'1.2 AER Forecast'!G28</f>
        <v>119.69950468955747</v>
      </c>
      <c r="F12" s="43">
        <f>'1.2 AER Forecast'!H28</f>
        <v>34.596753981858413</v>
      </c>
      <c r="G12" s="43">
        <f>'1.2 AER Forecast'!I28</f>
        <v>379.3944965398556</v>
      </c>
      <c r="H12" s="46">
        <f t="shared" si="1"/>
        <v>805.04952001612219</v>
      </c>
      <c r="J12" s="40" t="str">
        <f t="shared" si="2"/>
        <v>Other minor capital works</v>
      </c>
      <c r="K12" s="43" t="str">
        <f>'1.2 AER Forecast'!$B$42</f>
        <v>nominal</v>
      </c>
      <c r="L12" s="43">
        <f>'1.2 AER Forecast'!E45</f>
        <v>91.83117826886334</v>
      </c>
      <c r="M12" s="43">
        <f>'1.2 AER Forecast'!F45</f>
        <v>156.84085310286824</v>
      </c>
      <c r="N12" s="43">
        <f>'1.2 AER Forecast'!G45</f>
        <v>112.64699149961582</v>
      </c>
      <c r="O12" s="43">
        <f>'1.2 AER Forecast'!H45</f>
        <v>32.921366379831369</v>
      </c>
      <c r="P12" s="43">
        <f>'1.2 AER Forecast'!I45</f>
        <v>379.3944965398556</v>
      </c>
      <c r="Q12" s="46">
        <f t="shared" si="3"/>
        <v>773.63488579103432</v>
      </c>
    </row>
    <row r="13" spans="1:17">
      <c r="A13" s="40" t="str">
        <f>'1.2 AER Forecast'!A29</f>
        <v>VSD Refurbishment</v>
      </c>
      <c r="B13" s="43" t="str">
        <f>'2.0 Capex Real Dollars'!$M$10</f>
        <v>2022/23</v>
      </c>
      <c r="C13" s="43">
        <f>'1.2 AER Forecast'!E29</f>
        <v>0</v>
      </c>
      <c r="D13" s="43">
        <f>'1.2 AER Forecast'!F29</f>
        <v>0</v>
      </c>
      <c r="E13" s="43">
        <f>'1.2 AER Forecast'!G29</f>
        <v>339.70713050184082</v>
      </c>
      <c r="F13" s="43">
        <f>'1.2 AER Forecast'!H29</f>
        <v>339.70713050184082</v>
      </c>
      <c r="G13" s="43">
        <f>'1.2 AER Forecast'!I29</f>
        <v>0</v>
      </c>
      <c r="H13" s="46">
        <f t="shared" si="1"/>
        <v>679.41426100368164</v>
      </c>
      <c r="J13" s="40" t="str">
        <f t="shared" si="2"/>
        <v>VSD Refurbishment</v>
      </c>
      <c r="K13" s="43" t="str">
        <f>'1.2 AER Forecast'!$B$42</f>
        <v>nominal</v>
      </c>
      <c r="L13" s="43">
        <f>'1.2 AER Forecast'!E46</f>
        <v>0</v>
      </c>
      <c r="M13" s="43">
        <f>'1.2 AER Forecast'!F46</f>
        <v>0</v>
      </c>
      <c r="N13" s="43">
        <f>'1.2 AER Forecast'!G46</f>
        <v>319.6921018282053</v>
      </c>
      <c r="O13" s="43">
        <f>'1.2 AER Forecast'!H46</f>
        <v>323.25642200296232</v>
      </c>
      <c r="P13" s="43">
        <f>'1.2 AER Forecast'!I46</f>
        <v>0</v>
      </c>
      <c r="Q13" s="46">
        <f t="shared" si="3"/>
        <v>642.94852383116768</v>
      </c>
    </row>
    <row r="14" spans="1:17">
      <c r="A14" s="40" t="str">
        <f>'1.2 AER Forecast'!A30</f>
        <v>Coms Site Huts x 2</v>
      </c>
      <c r="B14" s="43" t="str">
        <f>'2.0 Capex Real Dollars'!$M$10</f>
        <v>2022/23</v>
      </c>
      <c r="C14" s="43">
        <f>'1.2 AER Forecast'!E30</f>
        <v>92.255130435639941</v>
      </c>
      <c r="D14" s="43">
        <f>'1.2 AER Forecast'!F30</f>
        <v>92.255130435639941</v>
      </c>
      <c r="E14" s="43">
        <f>'1.2 AER Forecast'!G30</f>
        <v>0</v>
      </c>
      <c r="F14" s="43">
        <f>'1.2 AER Forecast'!H30</f>
        <v>0</v>
      </c>
      <c r="G14" s="43">
        <f>'1.2 AER Forecast'!I30</f>
        <v>0</v>
      </c>
      <c r="H14" s="46">
        <f t="shared" si="1"/>
        <v>184.51026087127988</v>
      </c>
      <c r="J14" s="40" t="str">
        <f t="shared" si="2"/>
        <v>Coms Site Huts x 2</v>
      </c>
      <c r="K14" s="43" t="str">
        <f>'1.2 AER Forecast'!$B$42</f>
        <v>nominal</v>
      </c>
      <c r="L14" s="43">
        <f>'1.2 AER Forecast'!E47</f>
        <v>83.841224270000453</v>
      </c>
      <c r="M14" s="43">
        <f>'1.2 AER Forecast'!F47</f>
        <v>84.958114468979147</v>
      </c>
      <c r="N14" s="43">
        <f>'1.2 AER Forecast'!G47</f>
        <v>0</v>
      </c>
      <c r="O14" s="43">
        <f>'1.2 AER Forecast'!H47</f>
        <v>0</v>
      </c>
      <c r="P14" s="43">
        <f>'1.2 AER Forecast'!I47</f>
        <v>0</v>
      </c>
      <c r="Q14" s="46">
        <f t="shared" si="3"/>
        <v>168.7993387389796</v>
      </c>
    </row>
    <row r="15" spans="1:17" ht="28.5">
      <c r="A15" s="40" t="str">
        <f>'1.2 AER Forecast'!A31</f>
        <v>Maintenance surveillance cameras</v>
      </c>
      <c r="B15" s="43" t="str">
        <f>'2.0 Capex Real Dollars'!$M$10</f>
        <v>2022/23</v>
      </c>
      <c r="C15" s="43">
        <f>'1.2 AER Forecast'!E31</f>
        <v>0</v>
      </c>
      <c r="D15" s="43">
        <f>'1.2 AER Forecast'!F31</f>
        <v>0</v>
      </c>
      <c r="E15" s="43">
        <f>'1.2 AER Forecast'!G31</f>
        <v>0</v>
      </c>
      <c r="F15" s="43">
        <f>'1.2 AER Forecast'!H31</f>
        <v>0</v>
      </c>
      <c r="G15" s="43">
        <f>'1.2 AER Forecast'!I31</f>
        <v>0</v>
      </c>
      <c r="H15" s="46">
        <f t="shared" si="1"/>
        <v>0</v>
      </c>
      <c r="J15" s="40" t="str">
        <f t="shared" si="2"/>
        <v>Maintenance surveillance cameras</v>
      </c>
      <c r="K15" s="43" t="str">
        <f>'1.2 AER Forecast'!$B$42</f>
        <v>nominal</v>
      </c>
      <c r="L15" s="43">
        <f>'1.2 AER Forecast'!E48</f>
        <v>0</v>
      </c>
      <c r="M15" s="43">
        <f>'1.2 AER Forecast'!F48</f>
        <v>0</v>
      </c>
      <c r="N15" s="43">
        <f>'1.2 AER Forecast'!G48</f>
        <v>0</v>
      </c>
      <c r="O15" s="43">
        <f>'1.2 AER Forecast'!H48</f>
        <v>0</v>
      </c>
      <c r="P15" s="43">
        <f>'1.2 AER Forecast'!I48</f>
        <v>0</v>
      </c>
      <c r="Q15" s="46">
        <f t="shared" si="3"/>
        <v>0</v>
      </c>
    </row>
    <row r="16" spans="1:17">
      <c r="A16" s="40" t="str">
        <f>'1.2 AER Forecast'!A32</f>
        <v>battery chargers</v>
      </c>
      <c r="B16" s="43" t="str">
        <f>'2.0 Capex Real Dollars'!$M$10</f>
        <v>2022/23</v>
      </c>
      <c r="C16" s="43">
        <f>'1.2 AER Forecast'!E32</f>
        <v>0</v>
      </c>
      <c r="D16" s="43">
        <f>'1.2 AER Forecast'!F32</f>
        <v>0</v>
      </c>
      <c r="E16" s="43">
        <f>'1.2 AER Forecast'!G32</f>
        <v>83.252543529121866</v>
      </c>
      <c r="F16" s="43">
        <f>'1.2 AER Forecast'!H32</f>
        <v>83.252543529121866</v>
      </c>
      <c r="G16" s="43">
        <f>'1.2 AER Forecast'!I32</f>
        <v>0</v>
      </c>
      <c r="H16" s="46">
        <f t="shared" si="1"/>
        <v>166.50508705824373</v>
      </c>
      <c r="J16" s="40" t="str">
        <f t="shared" si="2"/>
        <v>battery chargers</v>
      </c>
      <c r="K16" s="43" t="str">
        <f>'1.2 AER Forecast'!$B$42</f>
        <v>nominal</v>
      </c>
      <c r="L16" s="43">
        <f>'1.2 AER Forecast'!E49</f>
        <v>0</v>
      </c>
      <c r="M16" s="43">
        <f>'1.2 AER Forecast'!F49</f>
        <v>0</v>
      </c>
      <c r="N16" s="43">
        <f>'1.2 AER Forecast'!G49</f>
        <v>78.347429987858021</v>
      </c>
      <c r="O16" s="43">
        <f>'1.2 AER Forecast'!H49</f>
        <v>79.220943358220083</v>
      </c>
      <c r="P16" s="43">
        <f>'1.2 AER Forecast'!I49</f>
        <v>0</v>
      </c>
      <c r="Q16" s="46">
        <f t="shared" si="3"/>
        <v>157.56837334607809</v>
      </c>
    </row>
    <row r="17" spans="1:17">
      <c r="A17" s="40" t="str">
        <f>'1.2 AER Forecast'!A33</f>
        <v>cable fault location relays (WAP)</v>
      </c>
      <c r="B17" s="43" t="str">
        <f>'2.0 Capex Real Dollars'!$M$10</f>
        <v>2022/23</v>
      </c>
      <c r="C17" s="43">
        <f>'1.2 AER Forecast'!E33</f>
        <v>0</v>
      </c>
      <c r="D17" s="43">
        <f>'1.2 AER Forecast'!F33</f>
        <v>0</v>
      </c>
      <c r="E17" s="43">
        <f>'1.2 AER Forecast'!G33</f>
        <v>0</v>
      </c>
      <c r="F17" s="43">
        <f>'1.2 AER Forecast'!H33</f>
        <v>82.219466323366049</v>
      </c>
      <c r="G17" s="43">
        <f>'1.2 AER Forecast'!I33</f>
        <v>82.219466323366049</v>
      </c>
      <c r="H17" s="46">
        <f t="shared" si="1"/>
        <v>164.4389326467321</v>
      </c>
      <c r="J17" s="40" t="str">
        <f t="shared" si="2"/>
        <v>cable fault location relays (WAP)</v>
      </c>
      <c r="K17" s="43" t="str">
        <f>'1.2 AER Forecast'!$B$42</f>
        <v>nominal</v>
      </c>
      <c r="L17" s="43">
        <f>'1.2 AER Forecast'!E50</f>
        <v>0</v>
      </c>
      <c r="M17" s="43">
        <f>'1.2 AER Forecast'!F50</f>
        <v>0</v>
      </c>
      <c r="N17" s="43">
        <f>'1.2 AER Forecast'!G50</f>
        <v>0</v>
      </c>
      <c r="O17" s="43">
        <f>'1.2 AER Forecast'!H50</f>
        <v>78.237894104316851</v>
      </c>
      <c r="P17" s="43">
        <f>'1.2 AER Forecast'!I50</f>
        <v>82.219466323366049</v>
      </c>
      <c r="Q17" s="46">
        <f t="shared" si="3"/>
        <v>160.45736042768289</v>
      </c>
    </row>
    <row r="18" spans="1:17">
      <c r="A18" s="40" t="str">
        <f>'1.2 AER Forecast'!A34</f>
        <v>Capacitors</v>
      </c>
      <c r="B18" s="43" t="str">
        <f>'2.0 Capex Real Dollars'!$M$10</f>
        <v>2022/23</v>
      </c>
      <c r="C18" s="43">
        <f>'1.2 AER Forecast'!E34</f>
        <v>67.992420671509294</v>
      </c>
      <c r="D18" s="43">
        <f>'1.2 AER Forecast'!F34</f>
        <v>121.74838823067464</v>
      </c>
      <c r="E18" s="43">
        <f>'1.2 AER Forecast'!G34</f>
        <v>121.74838823067464</v>
      </c>
      <c r="F18" s="43">
        <f>'1.2 AER Forecast'!H34</f>
        <v>117.64693996824967</v>
      </c>
      <c r="G18" s="43">
        <f>'1.2 AER Forecast'!I34</f>
        <v>115.09056483584814</v>
      </c>
      <c r="H18" s="46">
        <f t="shared" si="1"/>
        <v>544.22670193695637</v>
      </c>
      <c r="J18" s="40" t="str">
        <f t="shared" si="2"/>
        <v>Capacitors</v>
      </c>
      <c r="K18" s="43" t="str">
        <f>'1.2 AER Forecast'!$B$42</f>
        <v>nominal</v>
      </c>
      <c r="L18" s="43">
        <f>'1.2 AER Forecast'!E51</f>
        <v>61.791336300338536</v>
      </c>
      <c r="M18" s="43">
        <f>'1.2 AER Forecast'!F51</f>
        <v>112.11857221242917</v>
      </c>
      <c r="N18" s="43">
        <f>'1.2 AER Forecast'!G51</f>
        <v>114.57515793136935</v>
      </c>
      <c r="O18" s="43">
        <f>'1.2 AER Forecast'!H51</f>
        <v>111.94975159206324</v>
      </c>
      <c r="P18" s="43">
        <f>'1.2 AER Forecast'!I51</f>
        <v>115.09056483584814</v>
      </c>
      <c r="Q18" s="46">
        <f t="shared" si="3"/>
        <v>515.52538287204845</v>
      </c>
    </row>
    <row r="19" spans="1:17" ht="15.75" thickBot="1">
      <c r="A19" s="40" t="str">
        <f>'1.2 AER Forecast'!A35</f>
        <v>Revenue Determination</v>
      </c>
      <c r="B19" s="43" t="str">
        <f>'2.0 Capex Real Dollars'!$M$10</f>
        <v>2022/23</v>
      </c>
      <c r="C19" s="43">
        <f>'1.2 AER Forecast'!E35</f>
        <v>11.833146067415734</v>
      </c>
      <c r="D19" s="43">
        <f>'1.2 AER Forecast'!F35</f>
        <v>41.416011235955075</v>
      </c>
      <c r="E19" s="43">
        <f>'1.2 AER Forecast'!G35</f>
        <v>70.998876404494411</v>
      </c>
      <c r="F19" s="43">
        <f>'1.2 AER Forecast'!H35</f>
        <v>94.665168539325876</v>
      </c>
      <c r="G19" s="43">
        <f>'1.2 AER Forecast'!I35</f>
        <v>65.082303370786548</v>
      </c>
      <c r="H19" s="46">
        <f t="shared" si="1"/>
        <v>283.99550561797764</v>
      </c>
      <c r="J19" s="40" t="str">
        <f t="shared" si="2"/>
        <v>Revenue Determination</v>
      </c>
      <c r="K19" s="43" t="str">
        <f>'1.2 AER Forecast'!$B$42</f>
        <v>nominal</v>
      </c>
      <c r="L19" s="43">
        <f>'1.2 AER Forecast'!E52</f>
        <v>10.753932584269664</v>
      </c>
      <c r="M19" s="43">
        <f>'1.2 AER Forecast'!F52</f>
        <v>38.140168539325856</v>
      </c>
      <c r="N19" s="43">
        <f>'1.2 AER Forecast'!G52</f>
        <v>66.815730337078676</v>
      </c>
      <c r="O19" s="43">
        <f>'1.2 AER Forecast'!H52</f>
        <v>90.080898876404518</v>
      </c>
      <c r="P19" s="43">
        <f>'1.2 AER Forecast'!I52</f>
        <v>65.082303370786548</v>
      </c>
      <c r="Q19" s="46">
        <f t="shared" si="3"/>
        <v>270.87303370786526</v>
      </c>
    </row>
    <row r="20" spans="1:17" ht="15.75" thickTop="1">
      <c r="A20" s="27" t="s">
        <v>15</v>
      </c>
      <c r="B20" s="27" t="str">
        <f>B19</f>
        <v>2022/23</v>
      </c>
      <c r="C20" s="27">
        <f t="shared" ref="C20:H20" si="4">SUM(C9:C19)</f>
        <v>5046.5874840806027</v>
      </c>
      <c r="D20" s="27">
        <f t="shared" si="4"/>
        <v>13907.75532390781</v>
      </c>
      <c r="E20" s="27">
        <f t="shared" si="4"/>
        <v>11213.98645861642</v>
      </c>
      <c r="F20" s="27">
        <f t="shared" si="4"/>
        <v>2497.4563269971291</v>
      </c>
      <c r="G20" s="27">
        <f t="shared" si="4"/>
        <v>930.86271461444301</v>
      </c>
      <c r="H20" s="27">
        <f t="shared" si="4"/>
        <v>33596.648308216405</v>
      </c>
      <c r="J20" s="27" t="str">
        <f t="shared" si="2"/>
        <v>Total</v>
      </c>
      <c r="K20" s="27"/>
      <c r="L20" s="27">
        <f t="shared" ref="L20:Q20" si="5">SUM(L9:L19)</f>
        <v>4586.325671569618</v>
      </c>
      <c r="M20" s="27">
        <f t="shared" si="5"/>
        <v>12807.706880208885</v>
      </c>
      <c r="N20" s="27">
        <f t="shared" si="5"/>
        <v>10553.275392047413</v>
      </c>
      <c r="O20" s="27">
        <f t="shared" si="5"/>
        <v>2376.5141319851618</v>
      </c>
      <c r="P20" s="27">
        <f t="shared" si="5"/>
        <v>930.86271461444301</v>
      </c>
      <c r="Q20" s="27">
        <f t="shared" si="5"/>
        <v>31254.684790425523</v>
      </c>
    </row>
    <row r="21" spans="1:17">
      <c r="A21" s="19"/>
      <c r="B21" s="19"/>
    </row>
    <row r="22" spans="1:17" ht="19.5">
      <c r="A22" s="4" t="s">
        <v>232</v>
      </c>
      <c r="B22" s="4"/>
      <c r="C22" s="4"/>
      <c r="D22" s="4"/>
      <c r="E22" s="4"/>
      <c r="F22" s="4"/>
      <c r="G22" s="4"/>
      <c r="H22" s="4"/>
      <c r="J22" s="2" t="s">
        <v>233</v>
      </c>
      <c r="K22" s="2"/>
      <c r="L22" s="2"/>
      <c r="M22" s="2"/>
      <c r="N22" s="2"/>
      <c r="O22" s="2"/>
      <c r="P22" s="2"/>
      <c r="Q22" s="2"/>
    </row>
    <row r="23" spans="1:17" ht="16.5">
      <c r="A23" s="3" t="s">
        <v>3</v>
      </c>
      <c r="B23" s="3" t="str">
        <f t="shared" ref="B23:H23" si="6">B8</f>
        <v>$</v>
      </c>
      <c r="C23" s="3" t="str">
        <f t="shared" si="6"/>
        <v>2018/19</v>
      </c>
      <c r="D23" s="3" t="str">
        <f t="shared" si="6"/>
        <v>2019/20</v>
      </c>
      <c r="E23" s="3" t="str">
        <f t="shared" si="6"/>
        <v>2020/21</v>
      </c>
      <c r="F23" s="3" t="str">
        <f t="shared" si="6"/>
        <v>2021/22</v>
      </c>
      <c r="G23" s="3" t="str">
        <f t="shared" si="6"/>
        <v>2022/23</v>
      </c>
      <c r="H23" s="3" t="str">
        <f t="shared" si="6"/>
        <v>Total</v>
      </c>
      <c r="J23" s="4" t="str">
        <f>J7</f>
        <v>Forecast  ($'000 real nominal)</v>
      </c>
      <c r="K23" s="4"/>
      <c r="L23" s="4"/>
      <c r="M23" s="4"/>
      <c r="N23" s="4"/>
      <c r="O23" s="4"/>
      <c r="P23" s="4"/>
      <c r="Q23" s="4"/>
    </row>
    <row r="24" spans="1:17">
      <c r="A24" s="40" t="str">
        <f>'2.0 Capex Real Dollars'!A10</f>
        <v xml:space="preserve">Fire suppression </v>
      </c>
      <c r="B24" s="43" t="str">
        <f>'2.0 Capex Real Dollars'!B10</f>
        <v>2022/23</v>
      </c>
      <c r="C24" s="43">
        <f>'2.0 Capex Real Dollars'!E10</f>
        <v>1316.9268829928958</v>
      </c>
      <c r="D24" s="43">
        <f>'2.0 Capex Real Dollars'!F10</f>
        <v>10.301888650306747</v>
      </c>
      <c r="E24" s="43">
        <f>'2.0 Capex Real Dollars'!G10</f>
        <v>0</v>
      </c>
      <c r="F24" s="43">
        <f>'2.0 Capex Real Dollars'!H10</f>
        <v>0</v>
      </c>
      <c r="G24" s="43">
        <f>'2.0 Capex Real Dollars'!I10</f>
        <v>0</v>
      </c>
      <c r="H24" s="36">
        <f>SUM(C24:G24)</f>
        <v>1327.2287716432024</v>
      </c>
      <c r="J24" s="3" t="str">
        <f>J8</f>
        <v>Project</v>
      </c>
      <c r="K24" s="3" t="str">
        <f t="shared" ref="K24:Q24" si="7">K8</f>
        <v>$</v>
      </c>
      <c r="L24" s="3" t="str">
        <f t="shared" si="7"/>
        <v>2018/19</v>
      </c>
      <c r="M24" s="3" t="str">
        <f t="shared" si="7"/>
        <v>2019/20</v>
      </c>
      <c r="N24" s="3" t="str">
        <f t="shared" si="7"/>
        <v>2020/21</v>
      </c>
      <c r="O24" s="3" t="str">
        <f t="shared" si="7"/>
        <v>2021/22</v>
      </c>
      <c r="P24" s="3" t="str">
        <f t="shared" si="7"/>
        <v>2022/23</v>
      </c>
      <c r="Q24" s="3" t="str">
        <f t="shared" si="7"/>
        <v>Total</v>
      </c>
    </row>
    <row r="25" spans="1:17">
      <c r="A25" s="40" t="str">
        <f>'2.0 Capex Real Dollars'!A11</f>
        <v>NSW Runback Scheme</v>
      </c>
      <c r="B25" s="43" t="str">
        <f>'2.0 Capex Real Dollars'!B11</f>
        <v>2022/23</v>
      </c>
      <c r="C25" s="43">
        <f>'2.0 Capex Real Dollars'!E11</f>
        <v>10.411770346358779</v>
      </c>
      <c r="D25" s="43">
        <f>'2.0 Capex Real Dollars'!F11</f>
        <v>13.790504355828222</v>
      </c>
      <c r="E25" s="43">
        <f>'2.0 Capex Real Dollars'!G11</f>
        <v>0</v>
      </c>
      <c r="F25" s="43">
        <f>'2.0 Capex Real Dollars'!H11</f>
        <v>0</v>
      </c>
      <c r="G25" s="43">
        <f>'2.0 Capex Real Dollars'!I11</f>
        <v>0</v>
      </c>
      <c r="H25" s="36">
        <f t="shared" ref="H25:H42" si="8">SUM(C25:G25)</f>
        <v>24.202274702187001</v>
      </c>
      <c r="J25" s="40" t="s">
        <v>150</v>
      </c>
      <c r="K25" s="43" t="str">
        <f>B9</f>
        <v>2022/23</v>
      </c>
      <c r="L25" s="45">
        <f>C20/1000</f>
        <v>5.0465874840806029</v>
      </c>
      <c r="M25" s="45">
        <f>D20/1000</f>
        <v>13.907755323907809</v>
      </c>
      <c r="N25" s="45">
        <f>E20/1000</f>
        <v>11.21398645861642</v>
      </c>
      <c r="O25" s="45">
        <f>F20/1000</f>
        <v>2.4974563269971291</v>
      </c>
      <c r="P25" s="45">
        <f>G20/1000</f>
        <v>0.93086271461444303</v>
      </c>
      <c r="Q25" s="63">
        <f>SUM(L25:P25)</f>
        <v>33.596648308216402</v>
      </c>
    </row>
    <row r="26" spans="1:17" ht="15.75" thickBot="1">
      <c r="A26" s="40" t="str">
        <f>'2.0 Capex Real Dollars'!A12</f>
        <v>Replacement of Control System</v>
      </c>
      <c r="B26" s="43" t="str">
        <f>'2.0 Capex Real Dollars'!B12</f>
        <v>2022/23</v>
      </c>
      <c r="C26" s="43">
        <f>'2.0 Capex Real Dollars'!E12</f>
        <v>9577.0325867850825</v>
      </c>
      <c r="D26" s="43">
        <f>'2.0 Capex Real Dollars'!F12</f>
        <v>7214.7588196932529</v>
      </c>
      <c r="E26" s="43">
        <f>'2.0 Capex Real Dollars'!G12</f>
        <v>5388.4815889965685</v>
      </c>
      <c r="F26" s="43">
        <f>'2.0 Capex Real Dollars'!H12</f>
        <v>595.6026430025446</v>
      </c>
      <c r="G26" s="43">
        <f>'2.0 Capex Real Dollars'!I12</f>
        <v>236.45038167938932</v>
      </c>
      <c r="H26" s="36">
        <f t="shared" si="8"/>
        <v>23012.326020156837</v>
      </c>
      <c r="J26" s="40" t="s">
        <v>234</v>
      </c>
      <c r="K26" s="43" t="str">
        <f>B10</f>
        <v>2022/23</v>
      </c>
      <c r="L26" s="45">
        <f>C43/1000</f>
        <v>11.290278659461816</v>
      </c>
      <c r="M26" s="45">
        <f>D43/1000</f>
        <v>7.3408902467484678</v>
      </c>
      <c r="N26" s="45">
        <f>E43/1000</f>
        <v>6.0525158925900504</v>
      </c>
      <c r="O26" s="45">
        <f>F43/1000</f>
        <v>2.5815063752671747</v>
      </c>
      <c r="P26" s="45">
        <f>G43/1000</f>
        <v>1.2989390717360054</v>
      </c>
      <c r="Q26" s="63">
        <f>SUM(L26:P26)</f>
        <v>28.564130245803515</v>
      </c>
    </row>
    <row r="27" spans="1:17" ht="15.75" thickTop="1">
      <c r="A27" s="40" t="str">
        <f>'2.0 Capex Real Dollars'!A13</f>
        <v>Security Fence</v>
      </c>
      <c r="B27" s="43" t="str">
        <f>'2.0 Capex Real Dollars'!B13</f>
        <v>2022/23</v>
      </c>
      <c r="C27" s="43">
        <f>'2.0 Capex Real Dollars'!E13</f>
        <v>341.46616187744223</v>
      </c>
      <c r="D27" s="43">
        <f>'2.0 Capex Real Dollars'!F13</f>
        <v>0</v>
      </c>
      <c r="E27" s="43">
        <f>'2.0 Capex Real Dollars'!G13</f>
        <v>0</v>
      </c>
      <c r="F27" s="43">
        <f>'2.0 Capex Real Dollars'!H13</f>
        <v>0</v>
      </c>
      <c r="G27" s="43">
        <f>'2.0 Capex Real Dollars'!I13</f>
        <v>0</v>
      </c>
      <c r="H27" s="36">
        <f t="shared" si="8"/>
        <v>341.46616187744223</v>
      </c>
      <c r="J27" s="27" t="s">
        <v>151</v>
      </c>
      <c r="K27" s="27" t="str">
        <f>B11</f>
        <v>2022/23</v>
      </c>
      <c r="L27" s="64">
        <f t="shared" ref="L27:Q27" si="9">L25-L26</f>
        <v>-6.2436911753812128</v>
      </c>
      <c r="M27" s="64">
        <f t="shared" si="9"/>
        <v>6.5668650771593411</v>
      </c>
      <c r="N27" s="64">
        <f t="shared" si="9"/>
        <v>5.1614705660263693</v>
      </c>
      <c r="O27" s="64">
        <f t="shared" si="9"/>
        <v>-8.4050048270045696E-2</v>
      </c>
      <c r="P27" s="64">
        <f t="shared" si="9"/>
        <v>-0.36807635712156239</v>
      </c>
      <c r="Q27" s="64">
        <f t="shared" si="9"/>
        <v>5.0325180624128869</v>
      </c>
    </row>
    <row r="28" spans="1:17">
      <c r="A28" s="40" t="str">
        <f>'2.0 Capex Real Dollars'!A14</f>
        <v>Revenue Determination</v>
      </c>
      <c r="B28" s="43" t="str">
        <f>'2.0 Capex Real Dollars'!B14</f>
        <v>2022/23</v>
      </c>
      <c r="C28" s="43">
        <f>'2.0 Capex Real Dollars'!E14</f>
        <v>44.441257460035537</v>
      </c>
      <c r="D28" s="43">
        <f>'2.0 Capex Real Dollars'!F14</f>
        <v>0</v>
      </c>
      <c r="E28" s="43">
        <f>'2.0 Capex Real Dollars'!G14</f>
        <v>0</v>
      </c>
      <c r="F28" s="43">
        <f>'2.0 Capex Real Dollars'!H14</f>
        <v>0</v>
      </c>
      <c r="G28" s="43">
        <f>'2.0 Capex Real Dollars'!I14</f>
        <v>157.63358778625954</v>
      </c>
      <c r="H28" s="36">
        <f t="shared" si="8"/>
        <v>202.07484524629507</v>
      </c>
    </row>
    <row r="29" spans="1:17">
      <c r="A29" s="40" t="str">
        <f>'2.0 Capex Real Dollars'!A15</f>
        <v>Earth Switch Upgrade</v>
      </c>
      <c r="B29" s="43" t="str">
        <f>'2.0 Capex Real Dollars'!B15</f>
        <v>2022/23</v>
      </c>
      <c r="C29" s="43">
        <f>'2.0 Capex Real Dollars'!E15</f>
        <v>0</v>
      </c>
      <c r="D29" s="43">
        <f>'2.0 Capex Real Dollars'!F15</f>
        <v>0</v>
      </c>
      <c r="E29" s="43">
        <f>'2.0 Capex Real Dollars'!G15</f>
        <v>0</v>
      </c>
      <c r="F29" s="43">
        <f>'2.0 Capex Real Dollars'!H15</f>
        <v>0</v>
      </c>
      <c r="G29" s="43">
        <f>'2.0 Capex Real Dollars'!I15</f>
        <v>0</v>
      </c>
      <c r="H29" s="36">
        <f t="shared" si="8"/>
        <v>0</v>
      </c>
    </row>
    <row r="30" spans="1:17">
      <c r="A30" s="40" t="str">
        <f>'2.0 Capex Real Dollars'!A16</f>
        <v>IGBTs</v>
      </c>
      <c r="B30" s="43" t="str">
        <f>'2.0 Capex Real Dollars'!B16</f>
        <v>2022/23</v>
      </c>
      <c r="C30" s="43">
        <f>'2.0 Capex Real Dollars'!E16</f>
        <v>0</v>
      </c>
      <c r="D30" s="43">
        <f>'2.0 Capex Real Dollars'!F16</f>
        <v>0</v>
      </c>
      <c r="E30" s="43">
        <f>'2.0 Capex Real Dollars'!G16</f>
        <v>380.6287695540309</v>
      </c>
      <c r="F30" s="43">
        <f>'2.0 Capex Real Dollars'!H16</f>
        <v>964.52690468193384</v>
      </c>
      <c r="G30" s="43">
        <f>'2.0 Capex Real Dollars'!I16</f>
        <v>0</v>
      </c>
      <c r="H30" s="36">
        <f t="shared" si="8"/>
        <v>1345.1556742359649</v>
      </c>
    </row>
    <row r="31" spans="1:17">
      <c r="A31" s="40" t="str">
        <f>'2.0 Capex Real Dollars'!A17</f>
        <v>Other</v>
      </c>
      <c r="B31" s="43" t="str">
        <f>'2.0 Capex Real Dollars'!B17</f>
        <v>2022/23</v>
      </c>
      <c r="C31" s="43">
        <f>'2.0 Capex Real Dollars'!E17</f>
        <v>0</v>
      </c>
      <c r="D31" s="43">
        <f>'2.0 Capex Real Dollars'!F17</f>
        <v>39.33103969325154</v>
      </c>
      <c r="E31" s="43">
        <f>'2.0 Capex Real Dollars'!G17</f>
        <v>-2.1336196312178357</v>
      </c>
      <c r="F31" s="43">
        <f>'2.0 Capex Real Dollars'!H17</f>
        <v>0</v>
      </c>
      <c r="G31" s="43">
        <f>'2.0 Capex Real Dollars'!I17</f>
        <v>0</v>
      </c>
      <c r="H31" s="36">
        <f t="shared" si="8"/>
        <v>37.197420062033707</v>
      </c>
    </row>
    <row r="32" spans="1:17">
      <c r="A32" s="40" t="str">
        <f>'2.0 Capex Real Dollars'!A18</f>
        <v>Fan Coil Motors</v>
      </c>
      <c r="B32" s="43" t="str">
        <f>'2.0 Capex Real Dollars'!B18</f>
        <v>2022/23</v>
      </c>
      <c r="C32" s="43">
        <f>'2.0 Capex Real Dollars'!E18</f>
        <v>0</v>
      </c>
      <c r="D32" s="43">
        <f>'2.0 Capex Real Dollars'!F18</f>
        <v>62.707994355828234</v>
      </c>
      <c r="E32" s="43">
        <f>'2.0 Capex Real Dollars'!G18</f>
        <v>0</v>
      </c>
      <c r="F32" s="43">
        <f>'2.0 Capex Real Dollars'!H18</f>
        <v>0</v>
      </c>
      <c r="G32" s="43">
        <f>'2.0 Capex Real Dollars'!I18</f>
        <v>0</v>
      </c>
      <c r="H32" s="36">
        <f t="shared" si="8"/>
        <v>62.707994355828234</v>
      </c>
    </row>
    <row r="33" spans="1:8">
      <c r="A33" s="40" t="str">
        <f>'2.0 Capex Real Dollars'!A19</f>
        <v>NSW Runback Scheme()</v>
      </c>
      <c r="B33" s="43" t="str">
        <f>'2.0 Capex Real Dollars'!B19</f>
        <v>2022/23</v>
      </c>
      <c r="C33" s="43">
        <f>'2.0 Capex Real Dollars'!E19</f>
        <v>0</v>
      </c>
      <c r="D33" s="43">
        <f>'2.0 Capex Real Dollars'!F19</f>
        <v>0</v>
      </c>
      <c r="E33" s="43">
        <f>'2.0 Capex Real Dollars'!G19</f>
        <v>-16.247264150943394</v>
      </c>
      <c r="F33" s="43">
        <f>'2.0 Capex Real Dollars'!H19</f>
        <v>0</v>
      </c>
      <c r="G33" s="43">
        <f>'2.0 Capex Real Dollars'!I19</f>
        <v>0</v>
      </c>
      <c r="H33" s="36">
        <f t="shared" si="8"/>
        <v>-16.247264150943394</v>
      </c>
    </row>
    <row r="34" spans="1:8">
      <c r="A34" s="40" t="str">
        <f>'2.0 Capex Real Dollars'!A20</f>
        <v>Capacitors</v>
      </c>
      <c r="B34" s="43" t="str">
        <f>'2.0 Capex Real Dollars'!B20</f>
        <v>2022/23</v>
      </c>
      <c r="C34" s="43">
        <f>'2.0 Capex Real Dollars'!E20</f>
        <v>0</v>
      </c>
      <c r="D34" s="43">
        <f>'2.0 Capex Real Dollars'!F20</f>
        <v>0</v>
      </c>
      <c r="E34" s="43">
        <f>'2.0 Capex Real Dollars'!G20</f>
        <v>129.90353943396229</v>
      </c>
      <c r="F34" s="43">
        <f>'2.0 Capex Real Dollars'!H20</f>
        <v>0</v>
      </c>
      <c r="G34" s="43">
        <f>'2.0 Capex Real Dollars'!I20</f>
        <v>0</v>
      </c>
      <c r="H34" s="36">
        <f t="shared" si="8"/>
        <v>129.90353943396229</v>
      </c>
    </row>
    <row r="35" spans="1:8">
      <c r="A35" s="40" t="str">
        <f>'2.0 Capex Real Dollars'!A21</f>
        <v>Coms Site Huts x 2</v>
      </c>
      <c r="B35" s="43" t="str">
        <f>'2.0 Capex Real Dollars'!B21</f>
        <v>2022/23</v>
      </c>
      <c r="C35" s="43">
        <f>'2.0 Capex Real Dollars'!E21</f>
        <v>0</v>
      </c>
      <c r="D35" s="43">
        <f>'2.0 Capex Real Dollars'!F21</f>
        <v>0</v>
      </c>
      <c r="E35" s="43">
        <f>'2.0 Capex Real Dollars'!G21</f>
        <v>126.23883033447684</v>
      </c>
      <c r="F35" s="43">
        <f>'2.0 Capex Real Dollars'!H21</f>
        <v>20.442533180661574</v>
      </c>
      <c r="G35" s="43">
        <f>'2.0 Capex Real Dollars'!I21</f>
        <v>0</v>
      </c>
      <c r="H35" s="36">
        <f t="shared" si="8"/>
        <v>146.68136351513843</v>
      </c>
    </row>
    <row r="36" spans="1:8">
      <c r="A36" s="40" t="str">
        <f>'2.0 Capex Real Dollars'!A22</f>
        <v>Chilled water piping refurbishment</v>
      </c>
      <c r="B36" s="43" t="str">
        <f>'2.0 Capex Real Dollars'!B22</f>
        <v>2022/23</v>
      </c>
      <c r="C36" s="43">
        <f>'2.0 Capex Real Dollars'!E22</f>
        <v>0</v>
      </c>
      <c r="D36" s="43">
        <f>'2.0 Capex Real Dollars'!F22</f>
        <v>0</v>
      </c>
      <c r="E36" s="43">
        <f>'2.0 Capex Real Dollars'!G22</f>
        <v>34.33244560034305</v>
      </c>
      <c r="F36" s="43">
        <f>'2.0 Capex Real Dollars'!H22</f>
        <v>51.888269109414757</v>
      </c>
      <c r="G36" s="43">
        <f>'2.0 Capex Real Dollars'!I22</f>
        <v>0</v>
      </c>
      <c r="H36" s="36">
        <f t="shared" si="8"/>
        <v>86.2207147097578</v>
      </c>
    </row>
    <row r="37" spans="1:8">
      <c r="A37" s="40" t="str">
        <f>'2.0 Capex Real Dollars'!A23</f>
        <v>VSD Refurbishment</v>
      </c>
      <c r="B37" s="43" t="str">
        <f>'2.0 Capex Real Dollars'!B23</f>
        <v>2022/23</v>
      </c>
      <c r="C37" s="43">
        <f>'2.0 Capex Real Dollars'!E23</f>
        <v>0</v>
      </c>
      <c r="D37" s="43">
        <f>'2.0 Capex Real Dollars'!F23</f>
        <v>0</v>
      </c>
      <c r="E37" s="43">
        <f>'2.0 Capex Real Dollars'!G23</f>
        <v>11.311602452830188</v>
      </c>
      <c r="F37" s="43">
        <f>'2.0 Capex Real Dollars'!H23</f>
        <v>589.20937147582697</v>
      </c>
      <c r="G37" s="43">
        <f>'2.0 Capex Real Dollars'!I23</f>
        <v>204.92366412213741</v>
      </c>
      <c r="H37" s="36">
        <f t="shared" si="8"/>
        <v>805.44463805079465</v>
      </c>
    </row>
    <row r="38" spans="1:8">
      <c r="A38" s="40" t="str">
        <f>'2.0 Capex Real Dollars'!A24</f>
        <v>Spares</v>
      </c>
      <c r="B38" s="43" t="str">
        <f>'2.0 Capex Real Dollars'!B24</f>
        <v>2022/23</v>
      </c>
      <c r="C38" s="43">
        <f>'2.0 Capex Real Dollars'!E24</f>
        <v>0</v>
      </c>
      <c r="D38" s="43">
        <f>'2.0 Capex Real Dollars'!F24</f>
        <v>0</v>
      </c>
      <c r="E38" s="43">
        <f>'2.0 Capex Real Dollars'!G24</f>
        <v>0</v>
      </c>
      <c r="F38" s="43">
        <f>'2.0 Capex Real Dollars'!H24</f>
        <v>31.368033078880405</v>
      </c>
      <c r="G38" s="43">
        <f>'2.0 Capex Real Dollars'!I24</f>
        <v>25.221374045801525</v>
      </c>
      <c r="H38" s="36">
        <f t="shared" si="8"/>
        <v>56.589407124681927</v>
      </c>
    </row>
    <row r="39" spans="1:8">
      <c r="A39" s="40" t="str">
        <f>'2.0 Capex Real Dollars'!A25</f>
        <v>Other Minor Capital Works</v>
      </c>
      <c r="B39" s="43" t="str">
        <f>'2.0 Capex Real Dollars'!B25</f>
        <v>2022/23</v>
      </c>
      <c r="C39" s="43">
        <f>'2.0 Capex Real Dollars'!E25</f>
        <v>0</v>
      </c>
      <c r="D39" s="43">
        <f>'2.0 Capex Real Dollars'!F25</f>
        <v>0</v>
      </c>
      <c r="E39" s="43">
        <f>'2.0 Capex Real Dollars'!G25</f>
        <v>0</v>
      </c>
      <c r="F39" s="43">
        <f>'2.0 Capex Real Dollars'!H25</f>
        <v>226.00678867684479</v>
      </c>
      <c r="G39" s="43">
        <f>'2.0 Capex Real Dollars'!I25</f>
        <v>184.95674300254453</v>
      </c>
      <c r="H39" s="36">
        <f t="shared" si="8"/>
        <v>410.96353167938935</v>
      </c>
    </row>
    <row r="40" spans="1:8">
      <c r="A40" s="40" t="str">
        <f>'2.0 Capex Real Dollars'!A26</f>
        <v>Enhanced cooling systems</v>
      </c>
      <c r="B40" s="43" t="str">
        <f>'2.0 Capex Real Dollars'!B26</f>
        <v>2022/23</v>
      </c>
      <c r="C40" s="43">
        <f>'2.0 Capex Real Dollars'!E26</f>
        <v>0</v>
      </c>
      <c r="D40" s="43">
        <f>'2.0 Capex Real Dollars'!F26</f>
        <v>0</v>
      </c>
      <c r="E40" s="43">
        <f>'2.0 Capex Real Dollars'!G26</f>
        <v>0</v>
      </c>
      <c r="F40" s="43">
        <f>'2.0 Capex Real Dollars'!H26</f>
        <v>73.562340966921127</v>
      </c>
      <c r="G40" s="43">
        <f>'2.0 Capex Real Dollars'!I26</f>
        <v>425.64899540012732</v>
      </c>
      <c r="H40" s="36">
        <f t="shared" si="8"/>
        <v>499.21133636704843</v>
      </c>
    </row>
    <row r="41" spans="1:8">
      <c r="A41" s="40" t="str">
        <f>'2.0 Capex Real Dollars'!A27</f>
        <v>Cable relocation</v>
      </c>
      <c r="B41" s="43" t="str">
        <f>'2.0 Capex Real Dollars'!B27</f>
        <v>2022/23</v>
      </c>
      <c r="C41" s="43">
        <f>'2.0 Capex Real Dollars'!E27</f>
        <v>0</v>
      </c>
      <c r="D41" s="43">
        <f>'2.0 Capex Real Dollars'!F27</f>
        <v>0</v>
      </c>
      <c r="E41" s="43">
        <f>'2.0 Capex Real Dollars'!G27</f>
        <v>0</v>
      </c>
      <c r="F41" s="43">
        <f>'2.0 Capex Real Dollars'!H27</f>
        <v>0</v>
      </c>
      <c r="G41" s="43">
        <f>'2.0 Capex Real Dollars'!I27</f>
        <v>37.832061068702288</v>
      </c>
      <c r="H41" s="36">
        <f t="shared" si="8"/>
        <v>37.832061068702288</v>
      </c>
    </row>
    <row r="42" spans="1:8" ht="15.75" thickBot="1">
      <c r="A42" s="40" t="str">
        <f>'2.0 Capex Real Dollars'!A28</f>
        <v xml:space="preserve">Cable Protection </v>
      </c>
      <c r="B42" s="43" t="str">
        <f>'2.0 Capex Real Dollars'!B28</f>
        <v>2022/23</v>
      </c>
      <c r="C42" s="43">
        <f>'2.0 Capex Real Dollars'!E28</f>
        <v>0</v>
      </c>
      <c r="D42" s="43">
        <f>'2.0 Capex Real Dollars'!F28</f>
        <v>0</v>
      </c>
      <c r="E42" s="43">
        <f>'2.0 Capex Real Dollars'!G28</f>
        <v>0</v>
      </c>
      <c r="F42" s="43">
        <f>'2.0 Capex Real Dollars'!H28</f>
        <v>28.899491094147582</v>
      </c>
      <c r="G42" s="43">
        <f>'2.0 Capex Real Dollars'!I28</f>
        <v>26.272264631043257</v>
      </c>
      <c r="H42" s="36">
        <f t="shared" si="8"/>
        <v>55.171755725190835</v>
      </c>
    </row>
    <row r="43" spans="1:8" ht="15.75" thickTop="1">
      <c r="A43" s="22" t="s">
        <v>15</v>
      </c>
      <c r="B43" s="22"/>
      <c r="C43" s="35">
        <f t="shared" ref="C43:H43" si="10">SUM(C24:C42)</f>
        <v>11290.278659461816</v>
      </c>
      <c r="D43" s="35">
        <f t="shared" si="10"/>
        <v>7340.8902467484677</v>
      </c>
      <c r="E43" s="35">
        <f t="shared" si="10"/>
        <v>6052.5158925900505</v>
      </c>
      <c r="F43" s="35">
        <f t="shared" si="10"/>
        <v>2581.5063752671749</v>
      </c>
      <c r="G43" s="35">
        <f t="shared" si="10"/>
        <v>1298.9390717360054</v>
      </c>
      <c r="H43" s="35">
        <f t="shared" si="10"/>
        <v>28564.130245803506</v>
      </c>
    </row>
    <row r="45" spans="1:8" ht="16.5">
      <c r="A45" s="4" t="s">
        <v>235</v>
      </c>
      <c r="B45" s="4"/>
      <c r="C45" s="4"/>
      <c r="D45" s="4"/>
      <c r="E45" s="4"/>
      <c r="F45" s="4"/>
      <c r="G45" s="4"/>
      <c r="H45" s="4"/>
    </row>
    <row r="46" spans="1:8">
      <c r="A46" s="3" t="s">
        <v>3</v>
      </c>
      <c r="B46" s="3" t="str">
        <f t="shared" ref="B46:H46" si="11">B23</f>
        <v>$</v>
      </c>
      <c r="C46" s="3" t="str">
        <f t="shared" si="11"/>
        <v>2018/19</v>
      </c>
      <c r="D46" s="3" t="str">
        <f t="shared" si="11"/>
        <v>2019/20</v>
      </c>
      <c r="E46" s="3" t="str">
        <f t="shared" si="11"/>
        <v>2020/21</v>
      </c>
      <c r="F46" s="3" t="str">
        <f t="shared" si="11"/>
        <v>2021/22</v>
      </c>
      <c r="G46" s="3" t="str">
        <f t="shared" si="11"/>
        <v>2022/23</v>
      </c>
      <c r="H46" s="3" t="str">
        <f t="shared" si="11"/>
        <v>Total</v>
      </c>
    </row>
    <row r="47" spans="1:8">
      <c r="A47" s="40" t="str">
        <f t="shared" ref="A47:B58" si="12">A9</f>
        <v>Cable relocation</v>
      </c>
      <c r="B47" s="43" t="str">
        <f t="shared" si="12"/>
        <v>2022/23</v>
      </c>
      <c r="C47" s="43">
        <f t="shared" ref="C47:G57" si="13">SUMIF($A$24:$A$42,$A47,C$24:C$42)</f>
        <v>0</v>
      </c>
      <c r="D47" s="43">
        <f t="shared" si="13"/>
        <v>0</v>
      </c>
      <c r="E47" s="43">
        <f t="shared" si="13"/>
        <v>0</v>
      </c>
      <c r="F47" s="43">
        <f t="shared" si="13"/>
        <v>0</v>
      </c>
      <c r="G47" s="43">
        <f t="shared" si="13"/>
        <v>37.832061068702288</v>
      </c>
      <c r="H47" s="36">
        <f>SUM(C47:G47)</f>
        <v>37.832061068702288</v>
      </c>
    </row>
    <row r="48" spans="1:8">
      <c r="A48" s="40" t="str">
        <f t="shared" si="12"/>
        <v>Replacement of Control System</v>
      </c>
      <c r="B48" s="43" t="str">
        <f t="shared" si="12"/>
        <v>2022/23</v>
      </c>
      <c r="C48" s="43">
        <f t="shared" si="13"/>
        <v>9577.0325867850825</v>
      </c>
      <c r="D48" s="43">
        <f t="shared" si="13"/>
        <v>7214.7588196932529</v>
      </c>
      <c r="E48" s="43">
        <f t="shared" si="13"/>
        <v>5388.4815889965685</v>
      </c>
      <c r="F48" s="43">
        <f t="shared" si="13"/>
        <v>595.6026430025446</v>
      </c>
      <c r="G48" s="43">
        <f t="shared" si="13"/>
        <v>236.45038167938932</v>
      </c>
      <c r="H48" s="36">
        <f t="shared" ref="H48:H57" si="14">SUM(C48:G48)</f>
        <v>23012.326020156837</v>
      </c>
    </row>
    <row r="49" spans="1:8">
      <c r="A49" s="40" t="str">
        <f t="shared" si="12"/>
        <v>IGBTs</v>
      </c>
      <c r="B49" s="43" t="str">
        <f t="shared" si="12"/>
        <v>2022/23</v>
      </c>
      <c r="C49" s="43">
        <f t="shared" si="13"/>
        <v>0</v>
      </c>
      <c r="D49" s="43">
        <f t="shared" si="13"/>
        <v>0</v>
      </c>
      <c r="E49" s="43">
        <f t="shared" si="13"/>
        <v>380.6287695540309</v>
      </c>
      <c r="F49" s="43">
        <f t="shared" si="13"/>
        <v>964.52690468193384</v>
      </c>
      <c r="G49" s="43">
        <f t="shared" si="13"/>
        <v>0</v>
      </c>
      <c r="H49" s="36">
        <f t="shared" si="14"/>
        <v>1345.1556742359649</v>
      </c>
    </row>
    <row r="50" spans="1:8">
      <c r="A50" s="40" t="str">
        <f t="shared" si="12"/>
        <v>Other minor capital works</v>
      </c>
      <c r="B50" s="43" t="str">
        <f t="shared" si="12"/>
        <v>2022/23</v>
      </c>
      <c r="C50" s="43">
        <f t="shared" si="13"/>
        <v>0</v>
      </c>
      <c r="D50" s="43">
        <f t="shared" si="13"/>
        <v>0</v>
      </c>
      <c r="E50" s="43">
        <f t="shared" si="13"/>
        <v>0</v>
      </c>
      <c r="F50" s="43">
        <f t="shared" si="13"/>
        <v>226.00678867684479</v>
      </c>
      <c r="G50" s="43">
        <f t="shared" si="13"/>
        <v>184.95674300254453</v>
      </c>
      <c r="H50" s="36">
        <f t="shared" si="14"/>
        <v>410.96353167938935</v>
      </c>
    </row>
    <row r="51" spans="1:8">
      <c r="A51" s="40" t="str">
        <f t="shared" si="12"/>
        <v>VSD Refurbishment</v>
      </c>
      <c r="B51" s="43" t="str">
        <f t="shared" si="12"/>
        <v>2022/23</v>
      </c>
      <c r="C51" s="43">
        <f t="shared" si="13"/>
        <v>0</v>
      </c>
      <c r="D51" s="43">
        <f t="shared" si="13"/>
        <v>0</v>
      </c>
      <c r="E51" s="43">
        <f t="shared" si="13"/>
        <v>11.311602452830188</v>
      </c>
      <c r="F51" s="43">
        <f t="shared" si="13"/>
        <v>589.20937147582697</v>
      </c>
      <c r="G51" s="43">
        <f t="shared" si="13"/>
        <v>204.92366412213741</v>
      </c>
      <c r="H51" s="36">
        <f t="shared" si="14"/>
        <v>805.44463805079465</v>
      </c>
    </row>
    <row r="52" spans="1:8">
      <c r="A52" s="40" t="str">
        <f t="shared" si="12"/>
        <v>Coms Site Huts x 2</v>
      </c>
      <c r="B52" s="43" t="str">
        <f t="shared" si="12"/>
        <v>2022/23</v>
      </c>
      <c r="C52" s="43">
        <f t="shared" si="13"/>
        <v>0</v>
      </c>
      <c r="D52" s="43">
        <f t="shared" si="13"/>
        <v>0</v>
      </c>
      <c r="E52" s="43">
        <f t="shared" si="13"/>
        <v>126.23883033447684</v>
      </c>
      <c r="F52" s="43">
        <f t="shared" si="13"/>
        <v>20.442533180661574</v>
      </c>
      <c r="G52" s="43">
        <f t="shared" si="13"/>
        <v>0</v>
      </c>
      <c r="H52" s="36">
        <f t="shared" si="14"/>
        <v>146.68136351513843</v>
      </c>
    </row>
    <row r="53" spans="1:8">
      <c r="A53" s="40" t="str">
        <f t="shared" si="12"/>
        <v>Maintenance surveillance cameras</v>
      </c>
      <c r="B53" s="43" t="str">
        <f t="shared" si="12"/>
        <v>2022/23</v>
      </c>
      <c r="C53" s="43">
        <f t="shared" si="13"/>
        <v>0</v>
      </c>
      <c r="D53" s="43">
        <f t="shared" si="13"/>
        <v>0</v>
      </c>
      <c r="E53" s="43">
        <f t="shared" si="13"/>
        <v>0</v>
      </c>
      <c r="F53" s="43">
        <f t="shared" si="13"/>
        <v>0</v>
      </c>
      <c r="G53" s="43">
        <f t="shared" si="13"/>
        <v>0</v>
      </c>
      <c r="H53" s="36">
        <f t="shared" si="14"/>
        <v>0</v>
      </c>
    </row>
    <row r="54" spans="1:8">
      <c r="A54" s="40" t="str">
        <f t="shared" si="12"/>
        <v>battery chargers</v>
      </c>
      <c r="B54" s="43" t="str">
        <f t="shared" si="12"/>
        <v>2022/23</v>
      </c>
      <c r="C54" s="43">
        <f t="shared" si="13"/>
        <v>0</v>
      </c>
      <c r="D54" s="43">
        <f t="shared" si="13"/>
        <v>0</v>
      </c>
      <c r="E54" s="43">
        <f t="shared" si="13"/>
        <v>0</v>
      </c>
      <c r="F54" s="43">
        <f t="shared" si="13"/>
        <v>0</v>
      </c>
      <c r="G54" s="43">
        <f t="shared" si="13"/>
        <v>0</v>
      </c>
      <c r="H54" s="36">
        <f t="shared" si="14"/>
        <v>0</v>
      </c>
    </row>
    <row r="55" spans="1:8">
      <c r="A55" s="40" t="str">
        <f t="shared" si="12"/>
        <v>cable fault location relays (WAP)</v>
      </c>
      <c r="B55" s="43" t="str">
        <f t="shared" si="12"/>
        <v>2022/23</v>
      </c>
      <c r="C55" s="43">
        <f t="shared" si="13"/>
        <v>0</v>
      </c>
      <c r="D55" s="43">
        <f t="shared" si="13"/>
        <v>0</v>
      </c>
      <c r="E55" s="43">
        <f t="shared" si="13"/>
        <v>0</v>
      </c>
      <c r="F55" s="43">
        <f t="shared" si="13"/>
        <v>0</v>
      </c>
      <c r="G55" s="43">
        <f t="shared" si="13"/>
        <v>0</v>
      </c>
      <c r="H55" s="36">
        <f t="shared" si="14"/>
        <v>0</v>
      </c>
    </row>
    <row r="56" spans="1:8">
      <c r="A56" s="40" t="str">
        <f t="shared" si="12"/>
        <v>Capacitors</v>
      </c>
      <c r="B56" s="43" t="str">
        <f t="shared" si="12"/>
        <v>2022/23</v>
      </c>
      <c r="C56" s="43">
        <f t="shared" si="13"/>
        <v>0</v>
      </c>
      <c r="D56" s="43">
        <f t="shared" si="13"/>
        <v>0</v>
      </c>
      <c r="E56" s="43">
        <f t="shared" si="13"/>
        <v>129.90353943396229</v>
      </c>
      <c r="F56" s="43">
        <f t="shared" si="13"/>
        <v>0</v>
      </c>
      <c r="G56" s="43">
        <f t="shared" si="13"/>
        <v>0</v>
      </c>
      <c r="H56" s="36">
        <f t="shared" si="14"/>
        <v>129.90353943396229</v>
      </c>
    </row>
    <row r="57" spans="1:8" ht="15.75" thickBot="1">
      <c r="A57" s="40" t="str">
        <f t="shared" si="12"/>
        <v>Revenue Determination</v>
      </c>
      <c r="B57" s="43" t="str">
        <f t="shared" si="12"/>
        <v>2022/23</v>
      </c>
      <c r="C57" s="43">
        <f t="shared" si="13"/>
        <v>44.441257460035537</v>
      </c>
      <c r="D57" s="43">
        <f t="shared" si="13"/>
        <v>0</v>
      </c>
      <c r="E57" s="43">
        <f t="shared" si="13"/>
        <v>0</v>
      </c>
      <c r="F57" s="43">
        <f t="shared" si="13"/>
        <v>0</v>
      </c>
      <c r="G57" s="43">
        <f t="shared" si="13"/>
        <v>157.63358778625954</v>
      </c>
      <c r="H57" s="36">
        <f t="shared" si="14"/>
        <v>202.07484524629507</v>
      </c>
    </row>
    <row r="58" spans="1:8" ht="15.75" thickTop="1">
      <c r="A58" s="22" t="str">
        <f t="shared" si="12"/>
        <v>Total</v>
      </c>
      <c r="B58" s="22" t="str">
        <f t="shared" si="12"/>
        <v>2022/23</v>
      </c>
      <c r="C58" s="35">
        <f t="shared" ref="C58:H58" si="15">SUM(C47:C57)</f>
        <v>9621.473844245118</v>
      </c>
      <c r="D58" s="35">
        <f t="shared" si="15"/>
        <v>7214.7588196932529</v>
      </c>
      <c r="E58" s="35">
        <f t="shared" si="15"/>
        <v>6036.5643307718683</v>
      </c>
      <c r="F58" s="35">
        <f t="shared" si="15"/>
        <v>2395.7882410178117</v>
      </c>
      <c r="G58" s="35">
        <f t="shared" si="15"/>
        <v>821.79643765903313</v>
      </c>
      <c r="H58" s="35">
        <f t="shared" si="15"/>
        <v>26090.381673387081</v>
      </c>
    </row>
    <row r="59" spans="1:8">
      <c r="A59" s="19"/>
      <c r="B59" s="19"/>
    </row>
    <row r="60" spans="1:8">
      <c r="A60" s="19">
        <v>0</v>
      </c>
      <c r="B60" s="19"/>
    </row>
    <row r="61" spans="1:8" ht="16.5">
      <c r="A61" s="4" t="s">
        <v>236</v>
      </c>
      <c r="B61" s="4"/>
      <c r="C61" s="4"/>
      <c r="D61" s="4"/>
      <c r="E61" s="4"/>
      <c r="F61" s="4"/>
      <c r="G61" s="4"/>
      <c r="H61" s="4"/>
    </row>
    <row r="62" spans="1:8">
      <c r="A62" s="3" t="str">
        <f>A46</f>
        <v>Project</v>
      </c>
      <c r="B62" s="3" t="str">
        <f t="shared" ref="B62:H62" si="16">B46</f>
        <v>$</v>
      </c>
      <c r="C62" s="3" t="str">
        <f t="shared" si="16"/>
        <v>2018/19</v>
      </c>
      <c r="D62" s="3" t="str">
        <f t="shared" si="16"/>
        <v>2019/20</v>
      </c>
      <c r="E62" s="3" t="str">
        <f t="shared" si="16"/>
        <v>2020/21</v>
      </c>
      <c r="F62" s="3" t="str">
        <f t="shared" si="16"/>
        <v>2021/22</v>
      </c>
      <c r="G62" s="3" t="str">
        <f t="shared" si="16"/>
        <v>2022/23</v>
      </c>
      <c r="H62" s="3" t="str">
        <f t="shared" si="16"/>
        <v>Total</v>
      </c>
    </row>
    <row r="63" spans="1:8">
      <c r="A63" s="40" t="str" cm="1">
        <f t="array" ref="A63">_xlfn.IFNA(INDEX($A$23:$A$43,MATCH(0,COUNTIF($A$46:A62,$A$23:$A$43),0)),"")</f>
        <v xml:space="preserve">Fire suppression </v>
      </c>
      <c r="B63" s="43" t="str">
        <f>IF(A63="","",$B$58)</f>
        <v>2022/23</v>
      </c>
      <c r="C63" s="43" cm="1">
        <f t="array" ref="C63">INDEX(C$24:C$42,MATCH($A63,$A$24:$A$42,0),0)</f>
        <v>1316.9268829928958</v>
      </c>
      <c r="D63" s="43" cm="1">
        <f t="array" ref="D63">INDEX(D$24:D$42,MATCH($A63,$A$24:$A$42,0),0)</f>
        <v>10.301888650306747</v>
      </c>
      <c r="E63" s="43" cm="1">
        <f t="array" ref="E63">INDEX(E$24:E$42,MATCH($A63,$A$24:$A$42,0),0)</f>
        <v>0</v>
      </c>
      <c r="F63" s="43" cm="1">
        <f t="array" ref="F63">INDEX(F$24:F$42,MATCH($A63,$A$24:$A$42,0),0)</f>
        <v>0</v>
      </c>
      <c r="G63" s="43" cm="1">
        <f t="array" ref="G63">INDEX(G$24:G$42,MATCH($A63,$A$24:$A$42,0),0)</f>
        <v>0</v>
      </c>
      <c r="H63" s="36">
        <f>SUM(C63:G63)</f>
        <v>1327.2287716432024</v>
      </c>
    </row>
    <row r="64" spans="1:8">
      <c r="A64" s="40" t="str" cm="1">
        <f t="array" ref="A64">_xlfn.IFNA(INDEX($A$23:$A$43,MATCH(0,COUNTIF($A$46:A63,$A$23:$A$43),0)),"")</f>
        <v>NSW Runback Scheme</v>
      </c>
      <c r="B64" s="43" t="str">
        <f t="shared" ref="B64:B78" si="17">IF(A64="","",$B$58)</f>
        <v>2022/23</v>
      </c>
      <c r="C64" s="43" cm="1">
        <f t="array" ref="C64">INDEX(C$24:C$42,MATCH($A64,$A$24:$A$42,0),0)</f>
        <v>10.411770346358779</v>
      </c>
      <c r="D64" s="43" cm="1">
        <f t="array" ref="D64">INDEX(D$24:D$42,MATCH($A64,$A$24:$A$42,0),0)</f>
        <v>13.790504355828222</v>
      </c>
      <c r="E64" s="43" cm="1">
        <f t="array" ref="E64">INDEX(E$24:E$42,MATCH($A64,$A$24:$A$42,0),0)</f>
        <v>0</v>
      </c>
      <c r="F64" s="43" cm="1">
        <f t="array" ref="F64">INDEX(F$24:F$42,MATCH($A64,$A$24:$A$42,0),0)</f>
        <v>0</v>
      </c>
      <c r="G64" s="43" cm="1">
        <f t="array" ref="G64">INDEX(G$24:G$42,MATCH($A64,$A$24:$A$42,0),0)</f>
        <v>0</v>
      </c>
      <c r="H64" s="36">
        <f t="shared" ref="H64:H73" si="18">SUM(C64:G64)</f>
        <v>24.202274702187001</v>
      </c>
    </row>
    <row r="65" spans="1:8">
      <c r="A65" s="40" t="str" cm="1">
        <f t="array" ref="A65">_xlfn.IFNA(INDEX($A$23:$A$43,MATCH(0,COUNTIF($A$46:A64,$A$23:$A$43),0)),"")</f>
        <v>Security Fence</v>
      </c>
      <c r="B65" s="43" t="str">
        <f t="shared" si="17"/>
        <v>2022/23</v>
      </c>
      <c r="C65" s="43" cm="1">
        <f t="array" ref="C65">INDEX(C$24:C$42,MATCH($A65,$A$24:$A$42,0),0)</f>
        <v>341.46616187744223</v>
      </c>
      <c r="D65" s="43" cm="1">
        <f t="array" ref="D65">INDEX(D$24:D$42,MATCH($A65,$A$24:$A$42,0),0)</f>
        <v>0</v>
      </c>
      <c r="E65" s="43" cm="1">
        <f t="array" ref="E65">INDEX(E$24:E$42,MATCH($A65,$A$24:$A$42,0),0)</f>
        <v>0</v>
      </c>
      <c r="F65" s="43" cm="1">
        <f t="array" ref="F65">INDEX(F$24:F$42,MATCH($A65,$A$24:$A$42,0),0)</f>
        <v>0</v>
      </c>
      <c r="G65" s="43" cm="1">
        <f t="array" ref="G65">INDEX(G$24:G$42,MATCH($A65,$A$24:$A$42,0),0)</f>
        <v>0</v>
      </c>
      <c r="H65" s="36">
        <f t="shared" si="18"/>
        <v>341.46616187744223</v>
      </c>
    </row>
    <row r="66" spans="1:8">
      <c r="A66" s="40" t="str" cm="1">
        <f t="array" ref="A66">_xlfn.IFNA(INDEX($A$23:$A$43,MATCH(0,COUNTIF($A$46:A65,$A$23:$A$43),0)),"")</f>
        <v>Earth Switch Upgrade</v>
      </c>
      <c r="B66" s="43" t="str">
        <f t="shared" si="17"/>
        <v>2022/23</v>
      </c>
      <c r="C66" s="43" cm="1">
        <f t="array" ref="C66">INDEX(C$24:C$42,MATCH($A66,$A$24:$A$42,0),0)</f>
        <v>0</v>
      </c>
      <c r="D66" s="43" cm="1">
        <f t="array" ref="D66">INDEX(D$24:D$42,MATCH($A66,$A$24:$A$42,0),0)</f>
        <v>0</v>
      </c>
      <c r="E66" s="43" cm="1">
        <f t="array" ref="E66">INDEX(E$24:E$42,MATCH($A66,$A$24:$A$42,0),0)</f>
        <v>0</v>
      </c>
      <c r="F66" s="43" cm="1">
        <f t="array" ref="F66">INDEX(F$24:F$42,MATCH($A66,$A$24:$A$42,0),0)</f>
        <v>0</v>
      </c>
      <c r="G66" s="43" cm="1">
        <f t="array" ref="G66">INDEX(G$24:G$42,MATCH($A66,$A$24:$A$42,0),0)</f>
        <v>0</v>
      </c>
      <c r="H66" s="36">
        <f t="shared" si="18"/>
        <v>0</v>
      </c>
    </row>
    <row r="67" spans="1:8">
      <c r="A67" s="40" t="str" cm="1">
        <f t="array" ref="A67">_xlfn.IFNA(INDEX($A$23:$A$43,MATCH(0,COUNTIF($A$46:A66,$A$23:$A$43),0)),"")</f>
        <v>Other</v>
      </c>
      <c r="B67" s="43" t="str">
        <f t="shared" si="17"/>
        <v>2022/23</v>
      </c>
      <c r="C67" s="43" cm="1">
        <f t="array" ref="C67">INDEX(C$24:C$42,MATCH($A67,$A$24:$A$42,0),0)</f>
        <v>0</v>
      </c>
      <c r="D67" s="43" cm="1">
        <f t="array" ref="D67">INDEX(D$24:D$42,MATCH($A67,$A$24:$A$42,0),0)</f>
        <v>39.33103969325154</v>
      </c>
      <c r="E67" s="43" cm="1">
        <f t="array" ref="E67">INDEX(E$24:E$42,MATCH($A67,$A$24:$A$42,0),0)</f>
        <v>-2.1336196312178357</v>
      </c>
      <c r="F67" s="43" cm="1">
        <f t="array" ref="F67">INDEX(F$24:F$42,MATCH($A67,$A$24:$A$42,0),0)</f>
        <v>0</v>
      </c>
      <c r="G67" s="43" cm="1">
        <f t="array" ref="G67">INDEX(G$24:G$42,MATCH($A67,$A$24:$A$42,0),0)</f>
        <v>0</v>
      </c>
      <c r="H67" s="36">
        <f t="shared" si="18"/>
        <v>37.197420062033707</v>
      </c>
    </row>
    <row r="68" spans="1:8">
      <c r="A68" s="40" t="str" cm="1">
        <f t="array" ref="A68">_xlfn.IFNA(INDEX($A$23:$A$43,MATCH(0,COUNTIF($A$46:A67,$A$23:$A$43),0)),"")</f>
        <v>Fan Coil Motors</v>
      </c>
      <c r="B68" s="43" t="str">
        <f t="shared" si="17"/>
        <v>2022/23</v>
      </c>
      <c r="C68" s="43" cm="1">
        <f t="array" ref="C68">INDEX(C$24:C$42,MATCH($A68,$A$24:$A$42,0),0)</f>
        <v>0</v>
      </c>
      <c r="D68" s="43" cm="1">
        <f t="array" ref="D68">INDEX(D$24:D$42,MATCH($A68,$A$24:$A$42,0),0)</f>
        <v>62.707994355828234</v>
      </c>
      <c r="E68" s="43" cm="1">
        <f t="array" ref="E68">INDEX(E$24:E$42,MATCH($A68,$A$24:$A$42,0),0)</f>
        <v>0</v>
      </c>
      <c r="F68" s="43" cm="1">
        <f t="array" ref="F68">INDEX(F$24:F$42,MATCH($A68,$A$24:$A$42,0),0)</f>
        <v>0</v>
      </c>
      <c r="G68" s="43" cm="1">
        <f t="array" ref="G68">INDEX(G$24:G$42,MATCH($A68,$A$24:$A$42,0),0)</f>
        <v>0</v>
      </c>
      <c r="H68" s="36">
        <f t="shared" si="18"/>
        <v>62.707994355828234</v>
      </c>
    </row>
    <row r="69" spans="1:8">
      <c r="A69" s="40" t="str" cm="1">
        <f t="array" ref="A69">_xlfn.IFNA(INDEX($A$23:$A$43,MATCH(0,COUNTIF($A$46:A68,$A$23:$A$43),0)),"")</f>
        <v>NSW Runback Scheme()</v>
      </c>
      <c r="B69" s="43" t="str">
        <f t="shared" si="17"/>
        <v>2022/23</v>
      </c>
      <c r="C69" s="43" cm="1">
        <f t="array" ref="C69">INDEX(C$24:C$42,MATCH($A69,$A$24:$A$42,0),0)</f>
        <v>0</v>
      </c>
      <c r="D69" s="43" cm="1">
        <f t="array" ref="D69">INDEX(D$24:D$42,MATCH($A69,$A$24:$A$42,0),0)</f>
        <v>0</v>
      </c>
      <c r="E69" s="43" cm="1">
        <f t="array" ref="E69">INDEX(E$24:E$42,MATCH($A69,$A$24:$A$42,0),0)</f>
        <v>-16.247264150943394</v>
      </c>
      <c r="F69" s="43" cm="1">
        <f t="array" ref="F69">INDEX(F$24:F$42,MATCH($A69,$A$24:$A$42,0),0)</f>
        <v>0</v>
      </c>
      <c r="G69" s="43" cm="1">
        <f t="array" ref="G69">INDEX(G$24:G$42,MATCH($A69,$A$24:$A$42,0),0)</f>
        <v>0</v>
      </c>
      <c r="H69" s="36">
        <f t="shared" si="18"/>
        <v>-16.247264150943394</v>
      </c>
    </row>
    <row r="70" spans="1:8">
      <c r="A70" s="40" t="str" cm="1">
        <f t="array" ref="A70">_xlfn.IFNA(INDEX($A$23:$A$43,MATCH(0,COUNTIF($A$46:A69,$A$23:$A$43),0)),"")</f>
        <v>Chilled water piping refurbishment</v>
      </c>
      <c r="B70" s="43" t="str">
        <f t="shared" si="17"/>
        <v>2022/23</v>
      </c>
      <c r="C70" s="43" cm="1">
        <f t="array" ref="C70">INDEX(C$24:C$42,MATCH($A70,$A$24:$A$42,0),0)</f>
        <v>0</v>
      </c>
      <c r="D70" s="43" cm="1">
        <f t="array" ref="D70">INDEX(D$24:D$42,MATCH($A70,$A$24:$A$42,0),0)</f>
        <v>0</v>
      </c>
      <c r="E70" s="43" cm="1">
        <f t="array" ref="E70">INDEX(E$24:E$42,MATCH($A70,$A$24:$A$42,0),0)</f>
        <v>34.33244560034305</v>
      </c>
      <c r="F70" s="43" cm="1">
        <f t="array" ref="F70">INDEX(F$24:F$42,MATCH($A70,$A$24:$A$42,0),0)</f>
        <v>51.888269109414757</v>
      </c>
      <c r="G70" s="43" cm="1">
        <f t="array" ref="G70">INDEX(G$24:G$42,MATCH($A70,$A$24:$A$42,0),0)</f>
        <v>0</v>
      </c>
      <c r="H70" s="36">
        <f t="shared" si="18"/>
        <v>86.2207147097578</v>
      </c>
    </row>
    <row r="71" spans="1:8">
      <c r="A71" s="40" t="str" cm="1">
        <f t="array" ref="A71">_xlfn.IFNA(INDEX($A$23:$A$43,MATCH(0,COUNTIF($A$46:A70,$A$23:$A$43),0)),"")</f>
        <v>Spares</v>
      </c>
      <c r="B71" s="43" t="str">
        <f t="shared" si="17"/>
        <v>2022/23</v>
      </c>
      <c r="C71" s="43" cm="1">
        <f t="array" ref="C71">INDEX(C$24:C$42,MATCH($A71,$A$24:$A$42,0),0)</f>
        <v>0</v>
      </c>
      <c r="D71" s="43" cm="1">
        <f t="array" ref="D71">INDEX(D$24:D$42,MATCH($A71,$A$24:$A$42,0),0)</f>
        <v>0</v>
      </c>
      <c r="E71" s="43" cm="1">
        <f t="array" ref="E71">INDEX(E$24:E$42,MATCH($A71,$A$24:$A$42,0),0)</f>
        <v>0</v>
      </c>
      <c r="F71" s="43" cm="1">
        <f t="array" ref="F71">INDEX(F$24:F$42,MATCH($A71,$A$24:$A$42,0),0)</f>
        <v>31.368033078880405</v>
      </c>
      <c r="G71" s="43" cm="1">
        <f t="array" ref="G71">INDEX(G$24:G$42,MATCH($A71,$A$24:$A$42,0),0)</f>
        <v>25.221374045801525</v>
      </c>
      <c r="H71" s="36">
        <f t="shared" si="18"/>
        <v>56.589407124681927</v>
      </c>
    </row>
    <row r="72" spans="1:8">
      <c r="A72" s="40" t="str" cm="1">
        <f t="array" ref="A72">_xlfn.IFNA(INDEX($A$23:$A$43,MATCH(0,COUNTIF($A$46:A71,$A$23:$A$43),0)),"")</f>
        <v>Enhanced cooling systems</v>
      </c>
      <c r="B72" s="43" t="str">
        <f t="shared" si="17"/>
        <v>2022/23</v>
      </c>
      <c r="C72" s="43" cm="1">
        <f t="array" ref="C72">INDEX(C$24:C$42,MATCH($A72,$A$24:$A$42,0),0)</f>
        <v>0</v>
      </c>
      <c r="D72" s="43" cm="1">
        <f t="array" ref="D72">INDEX(D$24:D$42,MATCH($A72,$A$24:$A$42,0),0)</f>
        <v>0</v>
      </c>
      <c r="E72" s="43" cm="1">
        <f t="array" ref="E72">INDEX(E$24:E$42,MATCH($A72,$A$24:$A$42,0),0)</f>
        <v>0</v>
      </c>
      <c r="F72" s="43" cm="1">
        <f t="array" ref="F72">INDEX(F$24:F$42,MATCH($A72,$A$24:$A$42,0),0)</f>
        <v>73.562340966921127</v>
      </c>
      <c r="G72" s="43" cm="1">
        <f t="array" ref="G72">INDEX(G$24:G$42,MATCH($A72,$A$24:$A$42,0),0)</f>
        <v>425.64899540012732</v>
      </c>
      <c r="H72" s="36">
        <f t="shared" si="18"/>
        <v>499.21133636704843</v>
      </c>
    </row>
    <row r="73" spans="1:8">
      <c r="A73" s="40" t="str" cm="1">
        <f t="array" ref="A73">_xlfn.IFNA(INDEX($A$23:$A$43,MATCH(0,COUNTIF($A$46:A72,$A$23:$A$43),0)),"")</f>
        <v xml:space="preserve">Cable Protection </v>
      </c>
      <c r="B73" s="43" t="str">
        <f t="shared" si="17"/>
        <v>2022/23</v>
      </c>
      <c r="C73" s="43" cm="1">
        <f t="array" ref="C73">INDEX(C$24:C$42,MATCH($A73,$A$24:$A$42,0),0)</f>
        <v>0</v>
      </c>
      <c r="D73" s="43" cm="1">
        <f t="array" ref="D73">INDEX(D$24:D$42,MATCH($A73,$A$24:$A$42,0),0)</f>
        <v>0</v>
      </c>
      <c r="E73" s="43" cm="1">
        <f t="array" ref="E73">INDEX(E$24:E$42,MATCH($A73,$A$24:$A$42,0),0)</f>
        <v>0</v>
      </c>
      <c r="F73" s="43" cm="1">
        <f t="array" ref="F73">INDEX(F$24:F$42,MATCH($A73,$A$24:$A$42,0),0)</f>
        <v>28.899491094147582</v>
      </c>
      <c r="G73" s="43" cm="1">
        <f t="array" ref="G73">INDEX(G$24:G$42,MATCH($A73,$A$24:$A$42,0),0)</f>
        <v>26.272264631043257</v>
      </c>
      <c r="H73" s="36">
        <f t="shared" si="18"/>
        <v>55.171755725190835</v>
      </c>
    </row>
    <row r="74" spans="1:8">
      <c r="A74" s="40" t="str" cm="1">
        <f t="array" ref="A74">_xlfn.IFNA(INDEX($A$23:$A$43,MATCH(0,COUNTIF($A$46:A73,$A$23:$A$43),0)),"")</f>
        <v/>
      </c>
      <c r="B74" s="43" t="str">
        <f t="shared" si="17"/>
        <v/>
      </c>
      <c r="C74" s="43"/>
      <c r="D74" s="43"/>
      <c r="E74" s="43"/>
      <c r="F74" s="43"/>
      <c r="G74" s="43"/>
      <c r="H74" s="36"/>
    </row>
    <row r="75" spans="1:8">
      <c r="A75" s="40" t="str" cm="1">
        <f t="array" ref="A75">_xlfn.IFNA(INDEX($A$23:$A$43,MATCH(0,COUNTIF($A$46:A74,$A$23:$A$43),0)),"")</f>
        <v/>
      </c>
      <c r="B75" s="43" t="str">
        <f t="shared" si="17"/>
        <v/>
      </c>
      <c r="C75" s="43"/>
      <c r="D75" s="43"/>
      <c r="E75" s="43"/>
      <c r="F75" s="43"/>
      <c r="G75" s="43"/>
      <c r="H75" s="36"/>
    </row>
    <row r="76" spans="1:8">
      <c r="A76" s="40" t="str" cm="1">
        <f t="array" ref="A76">_xlfn.IFNA(INDEX($A$23:$A$43,MATCH(0,COUNTIF($A$46:A75,$A$23:$A$43),0)),"")</f>
        <v/>
      </c>
      <c r="B76" s="43" t="str">
        <f t="shared" si="17"/>
        <v/>
      </c>
      <c r="C76" s="43"/>
      <c r="D76" s="43"/>
      <c r="E76" s="43"/>
      <c r="F76" s="43"/>
      <c r="G76" s="43"/>
      <c r="H76" s="36"/>
    </row>
    <row r="77" spans="1:8" ht="15.75" thickBot="1">
      <c r="A77" s="40" t="str" cm="1">
        <f t="array" ref="A77">_xlfn.IFNA(INDEX($A$23:$A$43,MATCH(0,COUNTIF($A$46:A76,$A$23:$A$43),0)),"")</f>
        <v/>
      </c>
      <c r="B77" s="43" t="str">
        <f t="shared" si="17"/>
        <v/>
      </c>
      <c r="C77" s="43"/>
      <c r="D77" s="43"/>
      <c r="E77" s="43"/>
      <c r="F77" s="43"/>
      <c r="G77" s="43"/>
      <c r="H77" s="36"/>
    </row>
    <row r="78" spans="1:8" ht="15.75" thickTop="1">
      <c r="A78" s="22" t="s">
        <v>15</v>
      </c>
      <c r="B78" s="22" t="str">
        <f t="shared" si="17"/>
        <v>2022/23</v>
      </c>
      <c r="C78" s="35">
        <f t="shared" ref="C78:H78" si="19">SUM(C63:C77)</f>
        <v>1668.8048152166966</v>
      </c>
      <c r="D78" s="35">
        <f t="shared" si="19"/>
        <v>126.13142705521474</v>
      </c>
      <c r="E78" s="35">
        <f t="shared" si="19"/>
        <v>15.951561818181819</v>
      </c>
      <c r="F78" s="35">
        <f t="shared" si="19"/>
        <v>185.71813424936389</v>
      </c>
      <c r="G78" s="35">
        <f t="shared" si="19"/>
        <v>477.14263407697212</v>
      </c>
      <c r="H78" s="35">
        <f t="shared" si="19"/>
        <v>2473.7485724164289</v>
      </c>
    </row>
    <row r="81" spans="1:10" ht="16.5">
      <c r="A81" s="4" t="s">
        <v>236</v>
      </c>
      <c r="B81" s="4"/>
      <c r="C81" s="4"/>
      <c r="D81" s="4"/>
      <c r="E81" s="4"/>
      <c r="F81" s="4"/>
      <c r="G81" s="4"/>
      <c r="H81" s="4"/>
    </row>
    <row r="82" spans="1:10">
      <c r="A82" s="3" t="str">
        <f>A62</f>
        <v>Project</v>
      </c>
      <c r="B82" s="3" t="str">
        <f>B62</f>
        <v>$</v>
      </c>
      <c r="C82" s="3" t="str">
        <f t="shared" ref="C82:H82" si="20">C62</f>
        <v>2018/19</v>
      </c>
      <c r="D82" s="3" t="str">
        <f t="shared" si="20"/>
        <v>2019/20</v>
      </c>
      <c r="E82" s="3" t="str">
        <f t="shared" si="20"/>
        <v>2020/21</v>
      </c>
      <c r="F82" s="3" t="str">
        <f t="shared" si="20"/>
        <v>2021/22</v>
      </c>
      <c r="G82" s="3" t="str">
        <f t="shared" si="20"/>
        <v>2022/23</v>
      </c>
      <c r="H82" s="3" t="str">
        <f t="shared" si="20"/>
        <v>Total</v>
      </c>
    </row>
    <row r="83" spans="1:10">
      <c r="A83" s="40" t="str" cm="1">
        <f t="array" ref="A83">INDEX($A$24:$A$42,MATCH(H83,$H$24:$H$42,0),0)</f>
        <v>Replacement of Control System</v>
      </c>
      <c r="B83" s="43" t="str">
        <f>IF(A83="","",$B$58)</f>
        <v>2022/23</v>
      </c>
      <c r="C83" s="43" cm="1">
        <f t="array" ref="C83">INDEX(C$24:C$42,MATCH($A83,$A$24:$A$42,0),0)</f>
        <v>9577.0325867850825</v>
      </c>
      <c r="D83" s="43" cm="1">
        <f t="array" ref="D83">INDEX(D$24:D$42,MATCH($A83,$A$24:$A$42,0),0)</f>
        <v>7214.7588196932529</v>
      </c>
      <c r="E83" s="43" cm="1">
        <f t="array" ref="E83">INDEX(E$24:E$42,MATCH($A83,$A$24:$A$42,0),0)</f>
        <v>5388.4815889965685</v>
      </c>
      <c r="F83" s="43" cm="1">
        <f t="array" ref="F83">INDEX(F$24:F$42,MATCH($A83,$A$24:$A$42,0),0)</f>
        <v>595.6026430025446</v>
      </c>
      <c r="G83" s="43" cm="1">
        <f t="array" ref="G83">INDEX(G$24:G$42,MATCH($A83,$A$24:$A$42,0),0)</f>
        <v>236.45038167938932</v>
      </c>
      <c r="H83" s="36">
        <f>LARGE($H$24:$H$42,ROW()-82)</f>
        <v>23012.326020156837</v>
      </c>
      <c r="J83" s="6" t="str">
        <f>IF(H83&gt;2000,A83,"")</f>
        <v>Replacement of Control System</v>
      </c>
    </row>
    <row r="84" spans="1:10">
      <c r="A84" s="40" t="str" cm="1">
        <f t="array" ref="A84">INDEX($A$24:$A$42,MATCH(H84,$H$24:$H$42,0),0)</f>
        <v>IGBTs</v>
      </c>
      <c r="B84" s="43" t="str">
        <f t="shared" ref="B84:B102" si="21">IF(A84="","",$B$58)</f>
        <v>2022/23</v>
      </c>
      <c r="C84" s="43" cm="1">
        <f t="array" ref="C84">INDEX(C$24:C$42,MATCH($A84,$A$24:$A$42,0),0)</f>
        <v>0</v>
      </c>
      <c r="D84" s="43" cm="1">
        <f t="array" ref="D84">INDEX(D$24:D$42,MATCH($A84,$A$24:$A$42,0),0)</f>
        <v>0</v>
      </c>
      <c r="E84" s="43" cm="1">
        <f t="array" ref="E84">INDEX(E$24:E$42,MATCH($A84,$A$24:$A$42,0),0)</f>
        <v>380.6287695540309</v>
      </c>
      <c r="F84" s="43" cm="1">
        <f t="array" ref="F84">INDEX(F$24:F$42,MATCH($A84,$A$24:$A$42,0),0)</f>
        <v>964.52690468193384</v>
      </c>
      <c r="G84" s="43" cm="1">
        <f t="array" ref="G84">INDEX(G$24:G$42,MATCH($A84,$A$24:$A$42,0),0)</f>
        <v>0</v>
      </c>
      <c r="H84" s="36">
        <f t="shared" ref="H84:H101" si="22">LARGE($H$24:$H$42,ROW()-82)</f>
        <v>1345.1556742359649</v>
      </c>
      <c r="J84" s="6" t="str">
        <f t="shared" ref="J84:J102" si="23">IF(H84&gt;2000,A84,"")</f>
        <v/>
      </c>
    </row>
    <row r="85" spans="1:10">
      <c r="A85" s="40" t="str" cm="1">
        <f t="array" ref="A85">INDEX($A$24:$A$42,MATCH(H85,$H$24:$H$42,0),0)</f>
        <v xml:space="preserve">Fire suppression </v>
      </c>
      <c r="B85" s="43" t="str">
        <f t="shared" si="21"/>
        <v>2022/23</v>
      </c>
      <c r="C85" s="43" cm="1">
        <f t="array" ref="C85">INDEX(C$24:C$42,MATCH($A85,$A$24:$A$42,0),0)</f>
        <v>1316.9268829928958</v>
      </c>
      <c r="D85" s="43" cm="1">
        <f t="array" ref="D85">INDEX(D$24:D$42,MATCH($A85,$A$24:$A$42,0),0)</f>
        <v>10.301888650306747</v>
      </c>
      <c r="E85" s="43" cm="1">
        <f t="array" ref="E85">INDEX(E$24:E$42,MATCH($A85,$A$24:$A$42,0),0)</f>
        <v>0</v>
      </c>
      <c r="F85" s="43" cm="1">
        <f t="array" ref="F85">INDEX(F$24:F$42,MATCH($A85,$A$24:$A$42,0),0)</f>
        <v>0</v>
      </c>
      <c r="G85" s="43" cm="1">
        <f t="array" ref="G85">INDEX(G$24:G$42,MATCH($A85,$A$24:$A$42,0),0)</f>
        <v>0</v>
      </c>
      <c r="H85" s="36">
        <f t="shared" si="22"/>
        <v>1327.2287716432024</v>
      </c>
      <c r="J85" s="6" t="str">
        <f t="shared" si="23"/>
        <v/>
      </c>
    </row>
    <row r="86" spans="1:10">
      <c r="A86" s="40" t="str" cm="1">
        <f t="array" ref="A86">INDEX($A$24:$A$42,MATCH(H86,$H$24:$H$42,0),0)</f>
        <v>VSD Refurbishment</v>
      </c>
      <c r="B86" s="43" t="str">
        <f t="shared" si="21"/>
        <v>2022/23</v>
      </c>
      <c r="C86" s="43" cm="1">
        <f t="array" ref="C86">INDEX(C$24:C$42,MATCH($A86,$A$24:$A$42,0),0)</f>
        <v>0</v>
      </c>
      <c r="D86" s="43" cm="1">
        <f t="array" ref="D86">INDEX(D$24:D$42,MATCH($A86,$A$24:$A$42,0),0)</f>
        <v>0</v>
      </c>
      <c r="E86" s="43" cm="1">
        <f t="array" ref="E86">INDEX(E$24:E$42,MATCH($A86,$A$24:$A$42,0),0)</f>
        <v>11.311602452830188</v>
      </c>
      <c r="F86" s="43" cm="1">
        <f t="array" ref="F86">INDEX(F$24:F$42,MATCH($A86,$A$24:$A$42,0),0)</f>
        <v>589.20937147582697</v>
      </c>
      <c r="G86" s="43" cm="1">
        <f t="array" ref="G86">INDEX(G$24:G$42,MATCH($A86,$A$24:$A$42,0),0)</f>
        <v>204.92366412213741</v>
      </c>
      <c r="H86" s="36">
        <f t="shared" si="22"/>
        <v>805.44463805079465</v>
      </c>
      <c r="J86" s="6" t="str">
        <f t="shared" si="23"/>
        <v/>
      </c>
    </row>
    <row r="87" spans="1:10">
      <c r="A87" s="40" t="str" cm="1">
        <f t="array" ref="A87">INDEX($A$24:$A$42,MATCH(H87,$H$24:$H$42,0),0)</f>
        <v>Enhanced cooling systems</v>
      </c>
      <c r="B87" s="43" t="str">
        <f t="shared" si="21"/>
        <v>2022/23</v>
      </c>
      <c r="C87" s="43" cm="1">
        <f t="array" ref="C87">INDEX(C$24:C$42,MATCH($A87,$A$24:$A$42,0),0)</f>
        <v>0</v>
      </c>
      <c r="D87" s="43" cm="1">
        <f t="array" ref="D87">INDEX(D$24:D$42,MATCH($A87,$A$24:$A$42,0),0)</f>
        <v>0</v>
      </c>
      <c r="E87" s="43" cm="1">
        <f t="array" ref="E87">INDEX(E$24:E$42,MATCH($A87,$A$24:$A$42,0),0)</f>
        <v>0</v>
      </c>
      <c r="F87" s="43" cm="1">
        <f t="array" ref="F87">INDEX(F$24:F$42,MATCH($A87,$A$24:$A$42,0),0)</f>
        <v>73.562340966921127</v>
      </c>
      <c r="G87" s="43" cm="1">
        <f t="array" ref="G87">INDEX(G$24:G$42,MATCH($A87,$A$24:$A$42,0),0)</f>
        <v>425.64899540012732</v>
      </c>
      <c r="H87" s="36">
        <f t="shared" si="22"/>
        <v>499.21133636704843</v>
      </c>
      <c r="J87" s="6" t="str">
        <f t="shared" si="23"/>
        <v/>
      </c>
    </row>
    <row r="88" spans="1:10">
      <c r="A88" s="40" t="str" cm="1">
        <f t="array" ref="A88">INDEX($A$24:$A$42,MATCH(H88,$H$24:$H$42,0),0)</f>
        <v>Other Minor Capital Works</v>
      </c>
      <c r="B88" s="43" t="str">
        <f t="shared" si="21"/>
        <v>2022/23</v>
      </c>
      <c r="C88" s="43" cm="1">
        <f t="array" ref="C88">INDEX(C$24:C$42,MATCH($A88,$A$24:$A$42,0),0)</f>
        <v>0</v>
      </c>
      <c r="D88" s="43" cm="1">
        <f t="array" ref="D88">INDEX(D$24:D$42,MATCH($A88,$A$24:$A$42,0),0)</f>
        <v>0</v>
      </c>
      <c r="E88" s="43" cm="1">
        <f t="array" ref="E88">INDEX(E$24:E$42,MATCH($A88,$A$24:$A$42,0),0)</f>
        <v>0</v>
      </c>
      <c r="F88" s="43" cm="1">
        <f t="array" ref="F88">INDEX(F$24:F$42,MATCH($A88,$A$24:$A$42,0),0)</f>
        <v>226.00678867684479</v>
      </c>
      <c r="G88" s="43" cm="1">
        <f t="array" ref="G88">INDEX(G$24:G$42,MATCH($A88,$A$24:$A$42,0),0)</f>
        <v>184.95674300254453</v>
      </c>
      <c r="H88" s="36">
        <f t="shared" si="22"/>
        <v>410.96353167938935</v>
      </c>
      <c r="J88" s="6" t="str">
        <f t="shared" si="23"/>
        <v/>
      </c>
    </row>
    <row r="89" spans="1:10">
      <c r="A89" s="40" t="str" cm="1">
        <f t="array" ref="A89">INDEX($A$24:$A$42,MATCH(H89,$H$24:$H$42,0),0)</f>
        <v>Security Fence</v>
      </c>
      <c r="B89" s="43" t="str">
        <f t="shared" si="21"/>
        <v>2022/23</v>
      </c>
      <c r="C89" s="43" cm="1">
        <f t="array" ref="C89">INDEX(C$24:C$42,MATCH($A89,$A$24:$A$42,0),0)</f>
        <v>341.46616187744223</v>
      </c>
      <c r="D89" s="43" cm="1">
        <f t="array" ref="D89">INDEX(D$24:D$42,MATCH($A89,$A$24:$A$42,0),0)</f>
        <v>0</v>
      </c>
      <c r="E89" s="43" cm="1">
        <f t="array" ref="E89">INDEX(E$24:E$42,MATCH($A89,$A$24:$A$42,0),0)</f>
        <v>0</v>
      </c>
      <c r="F89" s="43" cm="1">
        <f t="array" ref="F89">INDEX(F$24:F$42,MATCH($A89,$A$24:$A$42,0),0)</f>
        <v>0</v>
      </c>
      <c r="G89" s="43" cm="1">
        <f t="array" ref="G89">INDEX(G$24:G$42,MATCH($A89,$A$24:$A$42,0),0)</f>
        <v>0</v>
      </c>
      <c r="H89" s="36">
        <f t="shared" si="22"/>
        <v>341.46616187744223</v>
      </c>
      <c r="J89" s="6" t="str">
        <f t="shared" si="23"/>
        <v/>
      </c>
    </row>
    <row r="90" spans="1:10">
      <c r="A90" s="40" t="str" cm="1">
        <f t="array" ref="A90">INDEX($A$24:$A$42,MATCH(H90,$H$24:$H$42,0),0)</f>
        <v>Revenue Determination</v>
      </c>
      <c r="B90" s="43" t="str">
        <f t="shared" si="21"/>
        <v>2022/23</v>
      </c>
      <c r="C90" s="43" cm="1">
        <f t="array" ref="C90">INDEX(C$24:C$42,MATCH($A90,$A$24:$A$42,0),0)</f>
        <v>44.441257460035537</v>
      </c>
      <c r="D90" s="43" cm="1">
        <f t="array" ref="D90">INDEX(D$24:D$42,MATCH($A90,$A$24:$A$42,0),0)</f>
        <v>0</v>
      </c>
      <c r="E90" s="43" cm="1">
        <f t="array" ref="E90">INDEX(E$24:E$42,MATCH($A90,$A$24:$A$42,0),0)</f>
        <v>0</v>
      </c>
      <c r="F90" s="43" cm="1">
        <f t="array" ref="F90">INDEX(F$24:F$42,MATCH($A90,$A$24:$A$42,0),0)</f>
        <v>0</v>
      </c>
      <c r="G90" s="43" cm="1">
        <f t="array" ref="G90">INDEX(G$24:G$42,MATCH($A90,$A$24:$A$42,0),0)</f>
        <v>157.63358778625954</v>
      </c>
      <c r="H90" s="36">
        <f t="shared" si="22"/>
        <v>202.07484524629507</v>
      </c>
      <c r="J90" s="6" t="str">
        <f t="shared" si="23"/>
        <v/>
      </c>
    </row>
    <row r="91" spans="1:10">
      <c r="A91" s="40" t="str" cm="1">
        <f t="array" ref="A91">INDEX($A$24:$A$42,MATCH(H91,$H$24:$H$42,0),0)</f>
        <v>Coms Site Huts x 2</v>
      </c>
      <c r="B91" s="43" t="str">
        <f t="shared" si="21"/>
        <v>2022/23</v>
      </c>
      <c r="C91" s="43" cm="1">
        <f t="array" ref="C91">INDEX(C$24:C$42,MATCH($A91,$A$24:$A$42,0),0)</f>
        <v>0</v>
      </c>
      <c r="D91" s="43" cm="1">
        <f t="array" ref="D91">INDEX(D$24:D$42,MATCH($A91,$A$24:$A$42,0),0)</f>
        <v>0</v>
      </c>
      <c r="E91" s="43" cm="1">
        <f t="array" ref="E91">INDEX(E$24:E$42,MATCH($A91,$A$24:$A$42,0),0)</f>
        <v>126.23883033447684</v>
      </c>
      <c r="F91" s="43" cm="1">
        <f t="array" ref="F91">INDEX(F$24:F$42,MATCH($A91,$A$24:$A$42,0),0)</f>
        <v>20.442533180661574</v>
      </c>
      <c r="G91" s="43" cm="1">
        <f t="array" ref="G91">INDEX(G$24:G$42,MATCH($A91,$A$24:$A$42,0),0)</f>
        <v>0</v>
      </c>
      <c r="H91" s="36">
        <f t="shared" si="22"/>
        <v>146.68136351513843</v>
      </c>
      <c r="J91" s="6" t="str">
        <f t="shared" si="23"/>
        <v/>
      </c>
    </row>
    <row r="92" spans="1:10">
      <c r="A92" s="40" t="str" cm="1">
        <f t="array" ref="A92">INDEX($A$24:$A$42,MATCH(H92,$H$24:$H$42,0),0)</f>
        <v>Capacitors</v>
      </c>
      <c r="B92" s="43" t="str">
        <f t="shared" si="21"/>
        <v>2022/23</v>
      </c>
      <c r="C92" s="43" cm="1">
        <f t="array" ref="C92">INDEX(C$24:C$42,MATCH($A92,$A$24:$A$42,0),0)</f>
        <v>0</v>
      </c>
      <c r="D92" s="43" cm="1">
        <f t="array" ref="D92">INDEX(D$24:D$42,MATCH($A92,$A$24:$A$42,0),0)</f>
        <v>0</v>
      </c>
      <c r="E92" s="43" cm="1">
        <f t="array" ref="E92">INDEX(E$24:E$42,MATCH($A92,$A$24:$A$42,0),0)</f>
        <v>129.90353943396229</v>
      </c>
      <c r="F92" s="43" cm="1">
        <f t="array" ref="F92">INDEX(F$24:F$42,MATCH($A92,$A$24:$A$42,0),0)</f>
        <v>0</v>
      </c>
      <c r="G92" s="43" cm="1">
        <f t="array" ref="G92">INDEX(G$24:G$42,MATCH($A92,$A$24:$A$42,0),0)</f>
        <v>0</v>
      </c>
      <c r="H92" s="36">
        <f t="shared" si="22"/>
        <v>129.90353943396229</v>
      </c>
      <c r="J92" s="6" t="str">
        <f t="shared" si="23"/>
        <v/>
      </c>
    </row>
    <row r="93" spans="1:10">
      <c r="A93" s="40" t="str" cm="1">
        <f t="array" ref="A93">INDEX($A$24:$A$42,MATCH(H93,$H$24:$H$42,0),0)</f>
        <v>Chilled water piping refurbishment</v>
      </c>
      <c r="B93" s="43" t="str">
        <f t="shared" si="21"/>
        <v>2022/23</v>
      </c>
      <c r="C93" s="43" cm="1">
        <f t="array" ref="C93">INDEX(C$24:C$42,MATCH($A93,$A$24:$A$42,0),0)</f>
        <v>0</v>
      </c>
      <c r="D93" s="43" cm="1">
        <f t="array" ref="D93">INDEX(D$24:D$42,MATCH($A93,$A$24:$A$42,0),0)</f>
        <v>0</v>
      </c>
      <c r="E93" s="43" cm="1">
        <f t="array" ref="E93">INDEX(E$24:E$42,MATCH($A93,$A$24:$A$42,0),0)</f>
        <v>34.33244560034305</v>
      </c>
      <c r="F93" s="43" cm="1">
        <f t="array" ref="F93">INDEX(F$24:F$42,MATCH($A93,$A$24:$A$42,0),0)</f>
        <v>51.888269109414757</v>
      </c>
      <c r="G93" s="43" cm="1">
        <f t="array" ref="G93">INDEX(G$24:G$42,MATCH($A93,$A$24:$A$42,0),0)</f>
        <v>0</v>
      </c>
      <c r="H93" s="36">
        <f t="shared" si="22"/>
        <v>86.2207147097578</v>
      </c>
      <c r="J93" s="6" t="str">
        <f t="shared" si="23"/>
        <v/>
      </c>
    </row>
    <row r="94" spans="1:10">
      <c r="A94" s="40" t="str" cm="1">
        <f t="array" ref="A94">INDEX($A$24:$A$42,MATCH(H94,$H$24:$H$42,0),0)</f>
        <v>Fan Coil Motors</v>
      </c>
      <c r="B94" s="43" t="str">
        <f t="shared" si="21"/>
        <v>2022/23</v>
      </c>
      <c r="C94" s="43" cm="1">
        <f t="array" ref="C94">INDEX(C$24:C$42,MATCH($A94,$A$24:$A$42,0),0)</f>
        <v>0</v>
      </c>
      <c r="D94" s="43" cm="1">
        <f t="array" ref="D94">INDEX(D$24:D$42,MATCH($A94,$A$24:$A$42,0),0)</f>
        <v>62.707994355828234</v>
      </c>
      <c r="E94" s="43" cm="1">
        <f t="array" ref="E94">INDEX(E$24:E$42,MATCH($A94,$A$24:$A$42,0),0)</f>
        <v>0</v>
      </c>
      <c r="F94" s="43" cm="1">
        <f t="array" ref="F94">INDEX(F$24:F$42,MATCH($A94,$A$24:$A$42,0),0)</f>
        <v>0</v>
      </c>
      <c r="G94" s="43" cm="1">
        <f t="array" ref="G94">INDEX(G$24:G$42,MATCH($A94,$A$24:$A$42,0),0)</f>
        <v>0</v>
      </c>
      <c r="H94" s="36">
        <f t="shared" si="22"/>
        <v>62.707994355828234</v>
      </c>
      <c r="J94" s="6" t="str">
        <f t="shared" si="23"/>
        <v/>
      </c>
    </row>
    <row r="95" spans="1:10">
      <c r="A95" s="40" t="str" cm="1">
        <f t="array" ref="A95">INDEX($A$24:$A$42,MATCH(H95,$H$24:$H$42,0),0)</f>
        <v>Spares</v>
      </c>
      <c r="B95" s="43" t="str">
        <f t="shared" si="21"/>
        <v>2022/23</v>
      </c>
      <c r="C95" s="43" cm="1">
        <f t="array" ref="C95">INDEX(C$24:C$42,MATCH($A95,$A$24:$A$42,0),0)</f>
        <v>0</v>
      </c>
      <c r="D95" s="43" cm="1">
        <f t="array" ref="D95">INDEX(D$24:D$42,MATCH($A95,$A$24:$A$42,0),0)</f>
        <v>0</v>
      </c>
      <c r="E95" s="43" cm="1">
        <f t="array" ref="E95">INDEX(E$24:E$42,MATCH($A95,$A$24:$A$42,0),0)</f>
        <v>0</v>
      </c>
      <c r="F95" s="43" cm="1">
        <f t="array" ref="F95">INDEX(F$24:F$42,MATCH($A95,$A$24:$A$42,0),0)</f>
        <v>31.368033078880405</v>
      </c>
      <c r="G95" s="43" cm="1">
        <f t="array" ref="G95">INDEX(G$24:G$42,MATCH($A95,$A$24:$A$42,0),0)</f>
        <v>25.221374045801525</v>
      </c>
      <c r="H95" s="36">
        <f t="shared" si="22"/>
        <v>56.589407124681927</v>
      </c>
      <c r="J95" s="6" t="str">
        <f t="shared" si="23"/>
        <v/>
      </c>
    </row>
    <row r="96" spans="1:10">
      <c r="A96" s="40" t="str" cm="1">
        <f t="array" ref="A96">INDEX($A$24:$A$42,MATCH(H96,$H$24:$H$42,0),0)</f>
        <v xml:space="preserve">Cable Protection </v>
      </c>
      <c r="B96" s="43" t="str">
        <f t="shared" si="21"/>
        <v>2022/23</v>
      </c>
      <c r="C96" s="43" cm="1">
        <f t="array" ref="C96">INDEX(C$24:C$42,MATCH($A96,$A$24:$A$42,0),0)</f>
        <v>0</v>
      </c>
      <c r="D96" s="43" cm="1">
        <f t="array" ref="D96">INDEX(D$24:D$42,MATCH($A96,$A$24:$A$42,0),0)</f>
        <v>0</v>
      </c>
      <c r="E96" s="43" cm="1">
        <f t="array" ref="E96">INDEX(E$24:E$42,MATCH($A96,$A$24:$A$42,0),0)</f>
        <v>0</v>
      </c>
      <c r="F96" s="43" cm="1">
        <f t="array" ref="F96">INDEX(F$24:F$42,MATCH($A96,$A$24:$A$42,0),0)</f>
        <v>28.899491094147582</v>
      </c>
      <c r="G96" s="43" cm="1">
        <f t="array" ref="G96">INDEX(G$24:G$42,MATCH($A96,$A$24:$A$42,0),0)</f>
        <v>26.272264631043257</v>
      </c>
      <c r="H96" s="36">
        <f t="shared" si="22"/>
        <v>55.171755725190835</v>
      </c>
      <c r="J96" s="6" t="str">
        <f t="shared" si="23"/>
        <v/>
      </c>
    </row>
    <row r="97" spans="1:10">
      <c r="A97" s="40" t="str" cm="1">
        <f t="array" ref="A97">INDEX($A$24:$A$42,MATCH(H97,$H$24:$H$42,0),0)</f>
        <v>Cable relocation</v>
      </c>
      <c r="B97" s="43" t="str">
        <f t="shared" si="21"/>
        <v>2022/23</v>
      </c>
      <c r="C97" s="43" cm="1">
        <f t="array" ref="C97">INDEX(C$24:C$42,MATCH($A97,$A$24:$A$42,0),0)</f>
        <v>0</v>
      </c>
      <c r="D97" s="43" cm="1">
        <f t="array" ref="D97">INDEX(D$24:D$42,MATCH($A97,$A$24:$A$42,0),0)</f>
        <v>0</v>
      </c>
      <c r="E97" s="43" cm="1">
        <f t="array" ref="E97">INDEX(E$24:E$42,MATCH($A97,$A$24:$A$42,0),0)</f>
        <v>0</v>
      </c>
      <c r="F97" s="43" cm="1">
        <f t="array" ref="F97">INDEX(F$24:F$42,MATCH($A97,$A$24:$A$42,0),0)</f>
        <v>0</v>
      </c>
      <c r="G97" s="43" cm="1">
        <f t="array" ref="G97">INDEX(G$24:G$42,MATCH($A97,$A$24:$A$42,0),0)</f>
        <v>37.832061068702288</v>
      </c>
      <c r="H97" s="36">
        <f t="shared" si="22"/>
        <v>37.832061068702288</v>
      </c>
      <c r="J97" s="6" t="str">
        <f t="shared" si="23"/>
        <v/>
      </c>
    </row>
    <row r="98" spans="1:10">
      <c r="A98" s="40" t="str" cm="1">
        <f t="array" ref="A98">INDEX($A$24:$A$42,MATCH(H98,$H$24:$H$42,0),0)</f>
        <v>Other</v>
      </c>
      <c r="B98" s="43" t="str">
        <f t="shared" si="21"/>
        <v>2022/23</v>
      </c>
      <c r="C98" s="43" cm="1">
        <f t="array" ref="C98">INDEX(C$24:C$42,MATCH($A98,$A$24:$A$42,0),0)</f>
        <v>0</v>
      </c>
      <c r="D98" s="43" cm="1">
        <f t="array" ref="D98">INDEX(D$24:D$42,MATCH($A98,$A$24:$A$42,0),0)</f>
        <v>39.33103969325154</v>
      </c>
      <c r="E98" s="43" cm="1">
        <f t="array" ref="E98">INDEX(E$24:E$42,MATCH($A98,$A$24:$A$42,0),0)</f>
        <v>-2.1336196312178357</v>
      </c>
      <c r="F98" s="43" cm="1">
        <f t="array" ref="F98">INDEX(F$24:F$42,MATCH($A98,$A$24:$A$42,0),0)</f>
        <v>0</v>
      </c>
      <c r="G98" s="43" cm="1">
        <f t="array" ref="G98">INDEX(G$24:G$42,MATCH($A98,$A$24:$A$42,0),0)</f>
        <v>0</v>
      </c>
      <c r="H98" s="36">
        <f t="shared" si="22"/>
        <v>37.197420062033707</v>
      </c>
      <c r="J98" s="6" t="str">
        <f t="shared" si="23"/>
        <v/>
      </c>
    </row>
    <row r="99" spans="1:10">
      <c r="A99" s="40" t="str" cm="1">
        <f t="array" ref="A99">INDEX($A$24:$A$42,MATCH(H99,$H$24:$H$42,0),0)</f>
        <v>NSW Runback Scheme</v>
      </c>
      <c r="B99" s="43" t="str">
        <f t="shared" si="21"/>
        <v>2022/23</v>
      </c>
      <c r="C99" s="43" cm="1">
        <f t="array" ref="C99">INDEX(C$24:C$42,MATCH($A99,$A$24:$A$42,0),0)</f>
        <v>10.411770346358779</v>
      </c>
      <c r="D99" s="43" cm="1">
        <f t="array" ref="D99">INDEX(D$24:D$42,MATCH($A99,$A$24:$A$42,0),0)</f>
        <v>13.790504355828222</v>
      </c>
      <c r="E99" s="43" cm="1">
        <f t="array" ref="E99">INDEX(E$24:E$42,MATCH($A99,$A$24:$A$42,0),0)</f>
        <v>0</v>
      </c>
      <c r="F99" s="43" cm="1">
        <f t="array" ref="F99">INDEX(F$24:F$42,MATCH($A99,$A$24:$A$42,0),0)</f>
        <v>0</v>
      </c>
      <c r="G99" s="43" cm="1">
        <f t="array" ref="G99">INDEX(G$24:G$42,MATCH($A99,$A$24:$A$42,0),0)</f>
        <v>0</v>
      </c>
      <c r="H99" s="36">
        <f t="shared" si="22"/>
        <v>24.202274702187001</v>
      </c>
      <c r="J99" s="6" t="str">
        <f t="shared" si="23"/>
        <v/>
      </c>
    </row>
    <row r="100" spans="1:10">
      <c r="A100" s="40" t="str" cm="1">
        <f t="array" ref="A100">INDEX($A$24:$A$42,MATCH(H100,$H$24:$H$42,0),0)</f>
        <v>Earth Switch Upgrade</v>
      </c>
      <c r="B100" s="43" t="str">
        <f t="shared" si="21"/>
        <v>2022/23</v>
      </c>
      <c r="C100" s="43" cm="1">
        <f t="array" ref="C100">INDEX(C$24:C$42,MATCH($A100,$A$24:$A$42,0),0)</f>
        <v>0</v>
      </c>
      <c r="D100" s="43" cm="1">
        <f t="array" ref="D100">INDEX(D$24:D$42,MATCH($A100,$A$24:$A$42,0),0)</f>
        <v>0</v>
      </c>
      <c r="E100" s="43" cm="1">
        <f t="array" ref="E100">INDEX(E$24:E$42,MATCH($A100,$A$24:$A$42,0),0)</f>
        <v>0</v>
      </c>
      <c r="F100" s="43" cm="1">
        <f t="array" ref="F100">INDEX(F$24:F$42,MATCH($A100,$A$24:$A$42,0),0)</f>
        <v>0</v>
      </c>
      <c r="G100" s="43" cm="1">
        <f t="array" ref="G100">INDEX(G$24:G$42,MATCH($A100,$A$24:$A$42,0),0)</f>
        <v>0</v>
      </c>
      <c r="H100" s="36">
        <f t="shared" si="22"/>
        <v>0</v>
      </c>
      <c r="J100" s="6" t="str">
        <f t="shared" si="23"/>
        <v/>
      </c>
    </row>
    <row r="101" spans="1:10" ht="15.75" thickBot="1">
      <c r="A101" s="40" t="str" cm="1">
        <f t="array" ref="A101">INDEX($A$24:$A$42,MATCH(H101,$H$24:$H$42,0),0)</f>
        <v>NSW Runback Scheme()</v>
      </c>
      <c r="B101" s="43" t="str">
        <f t="shared" si="21"/>
        <v>2022/23</v>
      </c>
      <c r="C101" s="43" cm="1">
        <f t="array" ref="C101">INDEX(C$24:C$42,MATCH($A101,$A$24:$A$42,0),0)</f>
        <v>0</v>
      </c>
      <c r="D101" s="43" cm="1">
        <f t="array" ref="D101">INDEX(D$24:D$42,MATCH($A101,$A$24:$A$42,0),0)</f>
        <v>0</v>
      </c>
      <c r="E101" s="43" cm="1">
        <f t="array" ref="E101">INDEX(E$24:E$42,MATCH($A101,$A$24:$A$42,0),0)</f>
        <v>-16.247264150943394</v>
      </c>
      <c r="F101" s="43" cm="1">
        <f t="array" ref="F101">INDEX(F$24:F$42,MATCH($A101,$A$24:$A$42,0),0)</f>
        <v>0</v>
      </c>
      <c r="G101" s="43" cm="1">
        <f t="array" ref="G101">INDEX(G$24:G$42,MATCH($A101,$A$24:$A$42,0),0)</f>
        <v>0</v>
      </c>
      <c r="H101" s="36">
        <f t="shared" si="22"/>
        <v>-16.247264150943394</v>
      </c>
      <c r="J101" s="6" t="str">
        <f t="shared" si="23"/>
        <v/>
      </c>
    </row>
    <row r="102" spans="1:10" ht="15.75" thickTop="1">
      <c r="A102" s="22" t="s">
        <v>15</v>
      </c>
      <c r="B102" s="22" t="str">
        <f t="shared" si="21"/>
        <v>2022/23</v>
      </c>
      <c r="C102" s="35">
        <f t="shared" ref="C102:H102" si="24">SUM(C83:C101)</f>
        <v>11290.278659461814</v>
      </c>
      <c r="D102" s="35">
        <f t="shared" si="24"/>
        <v>7340.8902467484677</v>
      </c>
      <c r="E102" s="35">
        <f t="shared" si="24"/>
        <v>6052.5158925900505</v>
      </c>
      <c r="F102" s="35">
        <f t="shared" si="24"/>
        <v>2581.5063752671754</v>
      </c>
      <c r="G102" s="35">
        <f t="shared" si="24"/>
        <v>1298.9390717360052</v>
      </c>
      <c r="H102" s="35">
        <f t="shared" si="24"/>
        <v>28564.130245803506</v>
      </c>
      <c r="J102" s="6" t="str">
        <f t="shared" si="23"/>
        <v>Total</v>
      </c>
    </row>
    <row r="105" spans="1:10" ht="16.5">
      <c r="A105" s="4" t="s">
        <v>137</v>
      </c>
      <c r="B105" s="4"/>
      <c r="C105" s="4"/>
      <c r="D105" s="4"/>
      <c r="E105" s="4"/>
      <c r="F105" s="4"/>
      <c r="G105" s="4"/>
      <c r="H105" s="4"/>
    </row>
    <row r="106" spans="1:10">
      <c r="A106" s="3" t="str">
        <f t="shared" ref="A106:H106" si="25">A82</f>
        <v>Project</v>
      </c>
      <c r="B106" s="3" t="str">
        <f t="shared" si="25"/>
        <v>$</v>
      </c>
      <c r="C106" s="3" t="str">
        <f t="shared" si="25"/>
        <v>2018/19</v>
      </c>
      <c r="D106" s="3" t="str">
        <f t="shared" si="25"/>
        <v>2019/20</v>
      </c>
      <c r="E106" s="3" t="str">
        <f t="shared" si="25"/>
        <v>2020/21</v>
      </c>
      <c r="F106" s="3" t="str">
        <f t="shared" si="25"/>
        <v>2021/22</v>
      </c>
      <c r="G106" s="3" t="str">
        <f t="shared" si="25"/>
        <v>2022/23</v>
      </c>
      <c r="H106" s="3" t="str">
        <f t="shared" si="25"/>
        <v>Total</v>
      </c>
    </row>
    <row r="107" spans="1:10">
      <c r="A107" s="40" t="str" cm="1">
        <f t="array" ref="A107">_xlfn.IFNA(INDEX($J$83:$J$101,MATCH(0,COUNTIF($A$103:A106,$J$83:$J$101),0)),"")</f>
        <v>Replacement of Control System</v>
      </c>
      <c r="B107" s="43" t="str" cm="1">
        <f t="array" ref="B107">INDEX(B$83:B$101,MATCH($A107,$A$83:$A$101,0),0)</f>
        <v>2022/23</v>
      </c>
      <c r="C107" s="43" cm="1">
        <f t="array" ref="C107">INDEX(C$83:C$101,MATCH($A107,$A$83:$A$101,0),0)</f>
        <v>9577.0325867850825</v>
      </c>
      <c r="D107" s="43" cm="1">
        <f t="array" ref="D107">INDEX(D$83:D$101,MATCH($A107,$A$83:$A$101,0),0)</f>
        <v>7214.7588196932529</v>
      </c>
      <c r="E107" s="43" cm="1">
        <f t="array" ref="E107">INDEX(E$83:E$101,MATCH($A107,$A$83:$A$101,0),0)</f>
        <v>5388.4815889965685</v>
      </c>
      <c r="F107" s="43" cm="1">
        <f t="array" ref="F107">INDEX(F$83:F$101,MATCH($A107,$A$83:$A$101,0),0)</f>
        <v>595.6026430025446</v>
      </c>
      <c r="G107" s="43" cm="1">
        <f t="array" ref="G107">INDEX(G$83:G$101,MATCH($A107,$A$83:$A$101,0),0)</f>
        <v>236.45038167938932</v>
      </c>
      <c r="H107" s="36">
        <f>SUM(C107:G107)</f>
        <v>23012.326020156837</v>
      </c>
      <c r="J107" s="5">
        <v>1</v>
      </c>
    </row>
    <row r="108" spans="1:10">
      <c r="A108" s="40" t="str" cm="1">
        <f t="array" ref="A108">_xlfn.IFNA(INDEX($J$83:$J$101,MATCH(0,COUNTIF($A$103:A107,$J$83:$J$101),0)),"")</f>
        <v/>
      </c>
      <c r="B108" s="43"/>
      <c r="C108" s="43"/>
      <c r="D108" s="43"/>
      <c r="E108" s="43"/>
      <c r="F108" s="43"/>
      <c r="G108" s="43"/>
      <c r="H108" s="36">
        <f>SUM(C108:G108)</f>
        <v>0</v>
      </c>
      <c r="J108" s="5"/>
    </row>
    <row r="109" spans="1:10">
      <c r="A109" s="40" t="str" cm="1">
        <f t="array" ref="A109">_xlfn.IFNA(INDEX($J$83:$J$101,MATCH(0,COUNTIF($A$103:A108,$J$83:$J$101),0)),"")</f>
        <v/>
      </c>
      <c r="B109" s="43"/>
      <c r="C109" s="43"/>
      <c r="D109" s="43"/>
      <c r="E109" s="43"/>
      <c r="F109" s="43"/>
      <c r="G109" s="43"/>
      <c r="H109" s="36">
        <f>SUM(C109:G109)</f>
        <v>0</v>
      </c>
      <c r="J109" s="5"/>
    </row>
    <row r="110" spans="1:10">
      <c r="A110" s="40" t="str" cm="1">
        <f t="array" ref="A110">_xlfn.IFNA(INDEX($J$83:$J$101,MATCH(0,COUNTIF($A$103:A109,$J$83:$J$101),0)),"")</f>
        <v/>
      </c>
      <c r="B110" s="43"/>
      <c r="C110" s="43"/>
      <c r="D110" s="43"/>
      <c r="E110" s="43"/>
      <c r="F110" s="43"/>
      <c r="G110" s="43"/>
      <c r="H110" s="36">
        <f>SUM(C110:G110)</f>
        <v>0</v>
      </c>
      <c r="J110" s="5"/>
    </row>
    <row r="111" spans="1:10" ht="15.75" thickBot="1">
      <c r="A111" s="40" t="str" cm="1">
        <f t="array" ref="A111">_xlfn.IFNA(INDEX($J$83:$J$101,MATCH(0,COUNTIF($A$103:A110,$J$83:$J$101),0)),"")</f>
        <v/>
      </c>
      <c r="B111" s="43"/>
      <c r="C111" s="43"/>
      <c r="D111" s="43"/>
      <c r="E111" s="43"/>
      <c r="F111" s="43"/>
      <c r="G111" s="43"/>
      <c r="H111" s="36">
        <f>SUM(C111:G111)</f>
        <v>0</v>
      </c>
      <c r="J111" s="5"/>
    </row>
    <row r="112" spans="1:10" ht="15.75" thickTop="1">
      <c r="A112" s="22" t="s">
        <v>15</v>
      </c>
      <c r="B112" s="22"/>
      <c r="C112" s="35">
        <f t="shared" ref="C112:H112" si="26">SUM(C107:C111)</f>
        <v>9577.0325867850825</v>
      </c>
      <c r="D112" s="35">
        <f t="shared" si="26"/>
        <v>7214.7588196932529</v>
      </c>
      <c r="E112" s="35">
        <f t="shared" si="26"/>
        <v>5388.4815889965685</v>
      </c>
      <c r="F112" s="35">
        <f t="shared" si="26"/>
        <v>595.6026430025446</v>
      </c>
      <c r="G112" s="35">
        <f t="shared" si="26"/>
        <v>236.45038167938932</v>
      </c>
      <c r="H112" s="35">
        <f t="shared" si="26"/>
        <v>23012.326020156837</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4666f4f-5ef0-4a2c-bbe1-6139430fff00">
      <UserInfo>
        <DisplayName>Dodds, Stuart</DisplayName>
        <AccountId>52</AccountId>
        <AccountType/>
      </UserInfo>
      <UserInfo>
        <DisplayName>Meades, Chris</DisplayName>
        <AccountId>78</AccountId>
        <AccountType/>
      </UserInfo>
      <UserInfo>
        <DisplayName>Alessandro, Silvana</DisplayName>
        <AccountId>60</AccountId>
        <AccountType/>
      </UserInfo>
      <UserInfo>
        <DisplayName>Brandt, James</DisplayName>
        <AccountId>511</AccountId>
        <AccountType/>
      </UserInfo>
    </SharedWithUsers>
    <lcf76f155ced4ddcb4097134ff3c332f xmlns="92f33184-8f76-499f-8375-f72d6cfe5636">
      <Terms xmlns="http://schemas.microsoft.com/office/infopath/2007/PartnerControls"/>
    </lcf76f155ced4ddcb4097134ff3c332f>
    <TaxCatchAll xmlns="64666f4f-5ef0-4a2c-bbe1-6139430fff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4BA54412A0814C9BFB6DB711AF1A38" ma:contentTypeVersion="16" ma:contentTypeDescription="Create a new document." ma:contentTypeScope="" ma:versionID="13afad2916b95938056dd4eea159e4c3">
  <xsd:schema xmlns:xsd="http://www.w3.org/2001/XMLSchema" xmlns:xs="http://www.w3.org/2001/XMLSchema" xmlns:p="http://schemas.microsoft.com/office/2006/metadata/properties" xmlns:ns2="92f33184-8f76-499f-8375-f72d6cfe5636" xmlns:ns3="64666f4f-5ef0-4a2c-bbe1-6139430fff00" targetNamespace="http://schemas.microsoft.com/office/2006/metadata/properties" ma:root="true" ma:fieldsID="fa4b7f374d5faf3757537010c361a787" ns2:_="" ns3:_="">
    <xsd:import namespace="92f33184-8f76-499f-8375-f72d6cfe5636"/>
    <xsd:import namespace="64666f4f-5ef0-4a2c-bbe1-6139430fff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f33184-8f76-499f-8375-f72d6cfe56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3e7742f-285e-485e-85d6-cdf9f73a73c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666f4f-5ef0-4a2c-bbe1-6139430fff0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fa2bb77-3fe6-4ee7-97fb-8ce9387bb168}" ma:internalName="TaxCatchAll" ma:showField="CatchAllData" ma:web="64666f4f-5ef0-4a2c-bbe1-6139430fff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92F750-444E-48D8-8B0E-0948CCF790EB}"/>
</file>

<file path=customXml/itemProps2.xml><?xml version="1.0" encoding="utf-8"?>
<ds:datastoreItem xmlns:ds="http://schemas.openxmlformats.org/officeDocument/2006/customXml" ds:itemID="{85A87929-7DD9-4185-92FA-070C7C906E47}"/>
</file>

<file path=customXml/itemProps3.xml><?xml version="1.0" encoding="utf-8"?>
<ds:datastoreItem xmlns:ds="http://schemas.openxmlformats.org/officeDocument/2006/customXml" ds:itemID="{BDBF5601-20B3-48AB-B5D5-7D1D5B0314D6}"/>
</file>

<file path=docProps/app.xml><?xml version="1.0" encoding="utf-8"?>
<Properties xmlns="http://schemas.openxmlformats.org/officeDocument/2006/extended-properties" xmlns:vt="http://schemas.openxmlformats.org/officeDocument/2006/docPropsVTypes">
  <Application>Microsoft Excel Online</Application>
  <Manager/>
  <Company>APA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Mark</dc:creator>
  <cp:keywords/>
  <dc:description/>
  <cp:lastModifiedBy>Allen, Mark</cp:lastModifiedBy>
  <cp:revision/>
  <dcterms:created xsi:type="dcterms:W3CDTF">2017-01-05T03:36:14Z</dcterms:created>
  <dcterms:modified xsi:type="dcterms:W3CDTF">2022-12-14T04:24:39Z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0x010100084BA54412A0814C9BFB6DB711AF1A38</vt:lpwstr>
  </property>
  <property fmtid="{D5CDD505-2E9C-101B-9397-08002B2CF9AE}" pid="3" name="MediaServiceImageTags">
    <vt:lpwstr/>
  </property>
</Properties>
</file>