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irectlink 2020 reset\4 Revised proposal\WEB\"/>
    </mc:Choice>
  </mc:AlternateContent>
  <bookViews>
    <workbookView xWindow="0" yWindow="0" windowWidth="20490" windowHeight="5870"/>
  </bookViews>
  <sheets>
    <sheet name="1. Data" sheetId="6" r:id="rId1"/>
    <sheet name="2 Forecast Capex" sheetId="5" r:id="rId2"/>
    <sheet name="RAB" sheetId="7" r:id="rId3"/>
    <sheet name="PTRM" sheetId="8" r:id="rId4"/>
    <sheet name="TAB" sheetId="17" r:id="rId5"/>
    <sheet name="Tables" sheetId="11" r:id="rId6"/>
    <sheet name="IGBTs" sheetId="12" r:id="rId7"/>
    <sheet name="VCU" sheetId="14" r:id="rId8"/>
    <sheet name="Replacement k" sheetId="16" r:id="rId9"/>
  </sheets>
  <definedNames>
    <definedName name="_xlnm._FilterDatabase" localSheetId="1" hidden="1">'2 Forecast Capex'!$A$6:$Q$100</definedName>
    <definedName name="_Ref345583960" localSheetId="5">Tables!$M$2</definedName>
    <definedName name="_Toc535872142" localSheetId="5">Tables!$M$10</definedName>
    <definedName name="Asset1">'1. Data'!$G$8</definedName>
    <definedName name="Asset2">'1. Data'!$G$9</definedName>
    <definedName name="Asset3">'1. Data'!$G$10</definedName>
    <definedName name="_xlnm.Print_Area" localSheetId="1">'2 Forecast Capex'!$A$1:$H$54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" i="12" l="1"/>
  <c r="B29" i="12" l="1"/>
  <c r="H2" i="5" l="1"/>
  <c r="G2" i="5"/>
  <c r="F2" i="5"/>
  <c r="E2" i="5"/>
  <c r="D2" i="5"/>
  <c r="C2" i="5"/>
  <c r="O11" i="11" l="1"/>
  <c r="P11" i="11"/>
  <c r="Q11" i="11"/>
  <c r="R11" i="11"/>
  <c r="N11" i="11"/>
  <c r="M8" i="11"/>
  <c r="S19" i="11" l="1"/>
  <c r="B14" i="8" l="1"/>
  <c r="B6" i="8"/>
  <c r="X11" i="5" l="1"/>
  <c r="X10" i="5"/>
  <c r="X8" i="5"/>
  <c r="X7" i="5"/>
  <c r="W8" i="5"/>
  <c r="W9" i="5"/>
  <c r="W10" i="5"/>
  <c r="W11" i="5"/>
  <c r="W7" i="5"/>
  <c r="B37" i="12" l="1"/>
  <c r="A7" i="12" l="1"/>
  <c r="C7" i="7" l="1"/>
  <c r="M6" i="11" l="1"/>
  <c r="M7" i="11"/>
  <c r="B12" i="8" l="1"/>
  <c r="B4" i="8" s="1"/>
  <c r="B13" i="8"/>
  <c r="B5" i="8" s="1"/>
  <c r="B52" i="12" l="1"/>
  <c r="B51" i="12"/>
  <c r="B3" i="17" l="1"/>
  <c r="B4" i="17"/>
  <c r="B5" i="17"/>
  <c r="B2" i="17" l="1"/>
  <c r="S12" i="11"/>
  <c r="C39" i="12" l="1"/>
  <c r="O39" i="12" l="1"/>
  <c r="P39" i="12" s="1"/>
  <c r="Q39" i="12" s="1"/>
  <c r="R39" i="12" s="1"/>
  <c r="S39" i="12" s="1"/>
  <c r="T39" i="12" s="1"/>
  <c r="U39" i="12" s="1"/>
  <c r="V39" i="12" s="1"/>
  <c r="W39" i="12" s="1"/>
  <c r="X39" i="12" s="1"/>
  <c r="Y39" i="12" s="1"/>
  <c r="B41" i="12"/>
  <c r="B40" i="12"/>
  <c r="B39" i="12"/>
  <c r="B38" i="12"/>
  <c r="D39" i="12" l="1"/>
  <c r="E39" i="12"/>
  <c r="A45" i="12"/>
  <c r="A46" i="12"/>
  <c r="A47" i="12"/>
  <c r="A48" i="12"/>
  <c r="M39" i="12"/>
  <c r="N39" i="12"/>
  <c r="B88" i="12"/>
  <c r="F39" i="12"/>
  <c r="G39" i="12"/>
  <c r="H39" i="12"/>
  <c r="I39" i="12"/>
  <c r="J39" i="12"/>
  <c r="K39" i="12"/>
  <c r="L39" i="12"/>
  <c r="E47" i="12"/>
  <c r="F47" i="12"/>
  <c r="G47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V47" i="12"/>
  <c r="W47" i="12"/>
  <c r="X47" i="12"/>
  <c r="Y47" i="12"/>
  <c r="D47" i="12"/>
  <c r="A115" i="12" l="1"/>
  <c r="A122" i="12" s="1"/>
  <c r="A92" i="12"/>
  <c r="B20" i="12"/>
  <c r="A101" i="12"/>
  <c r="A108" i="12" s="1"/>
  <c r="A9" i="12" s="1"/>
  <c r="A31" i="14" s="1"/>
  <c r="A94" i="12"/>
  <c r="A83" i="12"/>
  <c r="A77" i="12"/>
  <c r="A76" i="12"/>
  <c r="A75" i="12"/>
  <c r="A59" i="12"/>
  <c r="A65" i="12" s="1"/>
  <c r="A71" i="12" s="1"/>
  <c r="B22" i="12" l="1"/>
  <c r="B13" i="12" l="1"/>
  <c r="B30" i="12"/>
  <c r="B34" i="12"/>
  <c r="B16" i="12" l="1"/>
  <c r="C32" i="12" s="1"/>
  <c r="B32" i="12" s="1"/>
  <c r="D5" i="16" l="1"/>
  <c r="E5" i="16" s="1"/>
  <c r="F5" i="16" s="1"/>
  <c r="G5" i="16" s="1"/>
  <c r="H5" i="16" s="1"/>
  <c r="I5" i="16" s="1"/>
  <c r="J5" i="16" s="1"/>
  <c r="K5" i="16" s="1"/>
  <c r="L5" i="16" s="1"/>
  <c r="M5" i="16" s="1"/>
  <c r="N5" i="16" s="1"/>
  <c r="O5" i="16" s="1"/>
  <c r="P5" i="16" s="1"/>
  <c r="Q5" i="16" s="1"/>
  <c r="R5" i="16" s="1"/>
  <c r="S5" i="16" s="1"/>
  <c r="T5" i="16" s="1"/>
  <c r="U5" i="16" s="1"/>
  <c r="V5" i="16" s="1"/>
  <c r="W5" i="16" s="1"/>
  <c r="X5" i="16" s="1"/>
  <c r="Y5" i="16" s="1"/>
  <c r="D4" i="16"/>
  <c r="E4" i="16" s="1"/>
  <c r="F4" i="16" s="1"/>
  <c r="G4" i="16" s="1"/>
  <c r="H4" i="16" s="1"/>
  <c r="I4" i="16" s="1"/>
  <c r="J4" i="16" s="1"/>
  <c r="K4" i="16" s="1"/>
  <c r="L4" i="16" s="1"/>
  <c r="M4" i="16" s="1"/>
  <c r="N4" i="16" s="1"/>
  <c r="O4" i="16" s="1"/>
  <c r="P4" i="16" s="1"/>
  <c r="Q4" i="16" s="1"/>
  <c r="R4" i="16" s="1"/>
  <c r="S4" i="16" s="1"/>
  <c r="T4" i="16" s="1"/>
  <c r="U4" i="16" s="1"/>
  <c r="V4" i="16" s="1"/>
  <c r="W4" i="16" s="1"/>
  <c r="X4" i="16" s="1"/>
  <c r="Y4" i="16" s="1"/>
  <c r="E2" i="16" l="1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U1" i="16"/>
  <c r="V1" i="16"/>
  <c r="W1" i="16"/>
  <c r="X1" i="16"/>
  <c r="Y1" i="16"/>
  <c r="F2" i="16" l="1"/>
  <c r="G2" i="16"/>
  <c r="M5" i="11"/>
  <c r="M4" i="11"/>
  <c r="H2" i="16" l="1"/>
  <c r="I2" i="16" l="1"/>
  <c r="J2" i="16" l="1"/>
  <c r="K2" i="16" l="1"/>
  <c r="L2" i="16" l="1"/>
  <c r="M2" i="16" l="1"/>
  <c r="B11" i="8"/>
  <c r="N2" i="16" l="1"/>
  <c r="B3" i="8"/>
  <c r="O2" i="16" l="1"/>
  <c r="P2" i="16" l="1"/>
  <c r="R8" i="5"/>
  <c r="Q2" i="16" l="1"/>
  <c r="R9" i="5"/>
  <c r="B10" i="8"/>
  <c r="R2" i="16" l="1"/>
  <c r="R10" i="5"/>
  <c r="S2" i="16" l="1"/>
  <c r="R11" i="5"/>
  <c r="T2" i="16" l="1"/>
  <c r="R12" i="5"/>
  <c r="U2" i="16" l="1"/>
  <c r="R13" i="5"/>
  <c r="V2" i="16" l="1"/>
  <c r="R14" i="5"/>
  <c r="W2" i="16" l="1"/>
  <c r="R15" i="5"/>
  <c r="X2" i="16" l="1"/>
  <c r="R16" i="5"/>
  <c r="A58" i="12"/>
  <c r="A64" i="12" s="1"/>
  <c r="A70" i="12" s="1"/>
  <c r="A57" i="12"/>
  <c r="A63" i="12" s="1"/>
  <c r="A69" i="12" s="1"/>
  <c r="B5" i="14"/>
  <c r="E1" i="14"/>
  <c r="F1" i="14"/>
  <c r="G1" i="14"/>
  <c r="H1" i="14"/>
  <c r="I1" i="14"/>
  <c r="J1" i="14"/>
  <c r="K1" i="14"/>
  <c r="L1" i="14"/>
  <c r="M1" i="14"/>
  <c r="N1" i="14"/>
  <c r="O1" i="14"/>
  <c r="P1" i="14"/>
  <c r="Q1" i="14"/>
  <c r="R1" i="14"/>
  <c r="S1" i="14"/>
  <c r="T1" i="14"/>
  <c r="U1" i="14"/>
  <c r="V1" i="14"/>
  <c r="W1" i="14"/>
  <c r="X1" i="14"/>
  <c r="Y1" i="14"/>
  <c r="D1" i="14"/>
  <c r="Y2" i="16" l="1"/>
  <c r="R17" i="5"/>
  <c r="A112" i="12" l="1"/>
  <c r="A119" i="12" s="1"/>
  <c r="A113" i="12"/>
  <c r="A120" i="12" s="1"/>
  <c r="A114" i="12"/>
  <c r="A121" i="12" s="1"/>
  <c r="A8" i="11" l="1"/>
  <c r="A10" i="11" s="1"/>
  <c r="A93" i="12"/>
  <c r="A99" i="12"/>
  <c r="A106" i="12" s="1"/>
  <c r="A100" i="12"/>
  <c r="A107" i="12" s="1"/>
  <c r="A8" i="12" s="1"/>
  <c r="A98" i="12"/>
  <c r="A105" i="12" s="1"/>
  <c r="A6" i="12" s="1"/>
  <c r="A91" i="12"/>
  <c r="D53" i="12"/>
  <c r="E53" i="12" s="1"/>
  <c r="F53" i="12" s="1"/>
  <c r="D52" i="12"/>
  <c r="E52" i="12" s="1"/>
  <c r="D51" i="12"/>
  <c r="A80" i="12"/>
  <c r="A81" i="12"/>
  <c r="A82" i="12"/>
  <c r="G16" i="11"/>
  <c r="G21" i="11" s="1"/>
  <c r="G26" i="11" s="1"/>
  <c r="G31" i="11" s="1"/>
  <c r="G36" i="11" s="1"/>
  <c r="G41" i="11" s="1"/>
  <c r="G46" i="11" s="1"/>
  <c r="G51" i="11" s="1"/>
  <c r="G56" i="11" s="1"/>
  <c r="G61" i="11" s="1"/>
  <c r="G66" i="11" s="1"/>
  <c r="G71" i="11" s="1"/>
  <c r="G76" i="11" s="1"/>
  <c r="F16" i="11"/>
  <c r="F21" i="11" s="1"/>
  <c r="F26" i="11" s="1"/>
  <c r="F31" i="11" s="1"/>
  <c r="F36" i="11" s="1"/>
  <c r="F41" i="11" s="1"/>
  <c r="F46" i="11" s="1"/>
  <c r="F51" i="11" s="1"/>
  <c r="F56" i="11" s="1"/>
  <c r="F61" i="11" s="1"/>
  <c r="F66" i="11" s="1"/>
  <c r="F71" i="11" s="1"/>
  <c r="F76" i="11" s="1"/>
  <c r="E16" i="11"/>
  <c r="E21" i="11" s="1"/>
  <c r="E26" i="11" s="1"/>
  <c r="E31" i="11" s="1"/>
  <c r="E36" i="11" s="1"/>
  <c r="E41" i="11" s="1"/>
  <c r="E46" i="11" s="1"/>
  <c r="E51" i="11" s="1"/>
  <c r="E56" i="11" s="1"/>
  <c r="E61" i="11" s="1"/>
  <c r="E66" i="11" s="1"/>
  <c r="E71" i="11" s="1"/>
  <c r="E76" i="11" s="1"/>
  <c r="D16" i="11"/>
  <c r="D21" i="11" s="1"/>
  <c r="D26" i="11" s="1"/>
  <c r="D31" i="11" s="1"/>
  <c r="D36" i="11" s="1"/>
  <c r="D41" i="11" s="1"/>
  <c r="D46" i="11" s="1"/>
  <c r="D51" i="11" s="1"/>
  <c r="D56" i="11" s="1"/>
  <c r="D61" i="11" s="1"/>
  <c r="D66" i="11" s="1"/>
  <c r="D71" i="11" s="1"/>
  <c r="D76" i="11" s="1"/>
  <c r="C16" i="11"/>
  <c r="C21" i="11" s="1"/>
  <c r="C26" i="11" s="1"/>
  <c r="C31" i="11" s="1"/>
  <c r="C36" i="11" s="1"/>
  <c r="C41" i="11" s="1"/>
  <c r="C46" i="11" s="1"/>
  <c r="C51" i="11" s="1"/>
  <c r="C56" i="11" s="1"/>
  <c r="C61" i="11" s="1"/>
  <c r="C66" i="11" s="1"/>
  <c r="C71" i="11" s="1"/>
  <c r="C76" i="11" s="1"/>
  <c r="C6" i="5"/>
  <c r="D6" i="5"/>
  <c r="E6" i="5"/>
  <c r="F6" i="5"/>
  <c r="G6" i="5"/>
  <c r="H6" i="5"/>
  <c r="B6" i="5"/>
  <c r="H46" i="11"/>
  <c r="H16" i="11"/>
  <c r="H21" i="11" s="1"/>
  <c r="H26" i="11" s="1"/>
  <c r="H31" i="11" s="1"/>
  <c r="H36" i="11" s="1"/>
  <c r="B2" i="11"/>
  <c r="B5" i="7"/>
  <c r="B17" i="7" s="1"/>
  <c r="B7" i="8"/>
  <c r="B9" i="7"/>
  <c r="B10" i="7"/>
  <c r="B8" i="7"/>
  <c r="B2" i="8"/>
  <c r="B2" i="7"/>
  <c r="B14" i="7" s="1"/>
  <c r="B3" i="7" l="1"/>
  <c r="B15" i="7" s="1"/>
  <c r="B4" i="7"/>
  <c r="B16" i="7" s="1"/>
  <c r="A15" i="11"/>
  <c r="A20" i="11" s="1"/>
  <c r="A25" i="11" s="1"/>
  <c r="A13" i="14"/>
  <c r="A25" i="14"/>
  <c r="A19" i="14"/>
  <c r="D83" i="12"/>
  <c r="E51" i="12"/>
  <c r="F52" i="12"/>
  <c r="D79" i="12"/>
  <c r="D80" i="12"/>
  <c r="D81" i="12"/>
  <c r="D34" i="14" s="1"/>
  <c r="G53" i="12"/>
  <c r="H53" i="12" s="1"/>
  <c r="I53" i="12" s="1"/>
  <c r="J53" i="12" s="1"/>
  <c r="K53" i="12" s="1"/>
  <c r="L53" i="12" s="1"/>
  <c r="M53" i="12" s="1"/>
  <c r="N53" i="12" s="1"/>
  <c r="O53" i="12" s="1"/>
  <c r="P53" i="12" s="1"/>
  <c r="Q53" i="12" s="1"/>
  <c r="R53" i="12" s="1"/>
  <c r="S53" i="12" s="1"/>
  <c r="T53" i="12" s="1"/>
  <c r="U53" i="12" s="1"/>
  <c r="V53" i="12" s="1"/>
  <c r="W53" i="12" s="1"/>
  <c r="X53" i="12" s="1"/>
  <c r="Y53" i="12" s="1"/>
  <c r="E80" i="12" l="1"/>
  <c r="E79" i="12"/>
  <c r="A30" i="11"/>
  <c r="E83" i="12"/>
  <c r="F51" i="12"/>
  <c r="E81" i="12"/>
  <c r="E34" i="14" s="1"/>
  <c r="G52" i="12"/>
  <c r="F79" i="12" l="1"/>
  <c r="F80" i="12"/>
  <c r="A35" i="11"/>
  <c r="A40" i="11" s="1"/>
  <c r="A45" i="11" s="1"/>
  <c r="F34" i="14"/>
  <c r="F83" i="12"/>
  <c r="F81" i="12"/>
  <c r="G51" i="12"/>
  <c r="H52" i="12"/>
  <c r="G79" i="12" l="1"/>
  <c r="G80" i="12"/>
  <c r="A50" i="11"/>
  <c r="A55" i="11" s="1"/>
  <c r="G34" i="14"/>
  <c r="H51" i="12"/>
  <c r="G83" i="12"/>
  <c r="G81" i="12"/>
  <c r="I52" i="12"/>
  <c r="H79" i="12" l="1"/>
  <c r="H80" i="12"/>
  <c r="A60" i="11"/>
  <c r="A65" i="11" s="1"/>
  <c r="A70" i="11" s="1"/>
  <c r="A75" i="11" s="1"/>
  <c r="H81" i="12"/>
  <c r="H34" i="14"/>
  <c r="I51" i="12"/>
  <c r="H83" i="12"/>
  <c r="J52" i="12"/>
  <c r="I81" i="12" l="1"/>
  <c r="I80" i="12"/>
  <c r="I79" i="12"/>
  <c r="I34" i="14"/>
  <c r="J34" i="14" s="1"/>
  <c r="K34" i="14" s="1"/>
  <c r="J51" i="12"/>
  <c r="I83" i="12"/>
  <c r="K52" i="12"/>
  <c r="J81" i="12" l="1"/>
  <c r="J79" i="12"/>
  <c r="J80" i="12"/>
  <c r="L34" i="14"/>
  <c r="M34" i="14" s="1"/>
  <c r="N34" i="14" s="1"/>
  <c r="O34" i="14" s="1"/>
  <c r="K51" i="12"/>
  <c r="J83" i="12"/>
  <c r="L52" i="12"/>
  <c r="K80" i="12" l="1"/>
  <c r="K79" i="12"/>
  <c r="P34" i="14"/>
  <c r="Q34" i="14" s="1"/>
  <c r="R34" i="14" s="1"/>
  <c r="S34" i="14" s="1"/>
  <c r="T34" i="14" s="1"/>
  <c r="U34" i="14" s="1"/>
  <c r="V34" i="14" s="1"/>
  <c r="W34" i="14" s="1"/>
  <c r="X34" i="14" s="1"/>
  <c r="Y34" i="14" s="1"/>
  <c r="L51" i="12"/>
  <c r="K83" i="12"/>
  <c r="K81" i="12"/>
  <c r="M52" i="12"/>
  <c r="L79" i="12" l="1"/>
  <c r="L80" i="12"/>
  <c r="L81" i="12"/>
  <c r="M51" i="12"/>
  <c r="L83" i="12"/>
  <c r="N52" i="12"/>
  <c r="M80" i="12" l="1"/>
  <c r="M79" i="12"/>
  <c r="N51" i="12"/>
  <c r="M83" i="12"/>
  <c r="M81" i="12"/>
  <c r="O52" i="12"/>
  <c r="N79" i="12" l="1"/>
  <c r="N80" i="12"/>
  <c r="N81" i="12"/>
  <c r="O51" i="12"/>
  <c r="N83" i="12"/>
  <c r="P52" i="12"/>
  <c r="O79" i="12" l="1"/>
  <c r="O80" i="12"/>
  <c r="P51" i="12"/>
  <c r="O83" i="12"/>
  <c r="O81" i="12"/>
  <c r="Q52" i="12"/>
  <c r="P79" i="12" l="1"/>
  <c r="P80" i="12"/>
  <c r="P81" i="12"/>
  <c r="Q51" i="12"/>
  <c r="P83" i="12"/>
  <c r="R52" i="12"/>
  <c r="Q80" i="12" l="1"/>
  <c r="Q79" i="12"/>
  <c r="R51" i="12"/>
  <c r="Q83" i="12"/>
  <c r="Q81" i="12"/>
  <c r="S52" i="12"/>
  <c r="R79" i="12" l="1"/>
  <c r="R80" i="12"/>
  <c r="R81" i="12"/>
  <c r="S51" i="12"/>
  <c r="R83" i="12"/>
  <c r="T52" i="12"/>
  <c r="S80" i="12" l="1"/>
  <c r="S79" i="12"/>
  <c r="T51" i="12"/>
  <c r="S83" i="12"/>
  <c r="S81" i="12"/>
  <c r="U52" i="12"/>
  <c r="T79" i="12" l="1"/>
  <c r="T80" i="12"/>
  <c r="T81" i="12"/>
  <c r="U51" i="12"/>
  <c r="T83" i="12"/>
  <c r="V52" i="12"/>
  <c r="U81" i="12" l="1"/>
  <c r="U80" i="12"/>
  <c r="U79" i="12"/>
  <c r="V51" i="12"/>
  <c r="U83" i="12"/>
  <c r="W52" i="12"/>
  <c r="V81" i="12" l="1"/>
  <c r="V79" i="12"/>
  <c r="V80" i="12"/>
  <c r="W51" i="12"/>
  <c r="V83" i="12"/>
  <c r="W81" i="12"/>
  <c r="X52" i="12"/>
  <c r="W79" i="12" l="1"/>
  <c r="W80" i="12"/>
  <c r="X51" i="12"/>
  <c r="W83" i="12"/>
  <c r="Y52" i="12"/>
  <c r="X79" i="12" l="1"/>
  <c r="X80" i="12"/>
  <c r="X81" i="12"/>
  <c r="Y51" i="12"/>
  <c r="X83" i="12"/>
  <c r="Y83" i="12" l="1"/>
  <c r="Y80" i="12"/>
  <c r="Y79" i="12"/>
  <c r="Y81" i="12"/>
  <c r="H5" i="11" l="1"/>
  <c r="C65" i="12" l="1"/>
  <c r="C44" i="12"/>
  <c r="C68" i="12" s="1"/>
  <c r="C64" i="12" l="1"/>
  <c r="C62" i="12"/>
  <c r="C63" i="12"/>
  <c r="C45" i="12"/>
  <c r="C48" i="12" l="1"/>
  <c r="C71" i="12" s="1"/>
  <c r="D77" i="12" s="1"/>
  <c r="C69" i="12"/>
  <c r="D75" i="12" s="1"/>
  <c r="C47" i="12"/>
  <c r="C70" i="12" s="1"/>
  <c r="D76" i="12" s="1"/>
  <c r="D74" i="12"/>
  <c r="D37" i="12" l="1"/>
  <c r="D44" i="12"/>
  <c r="D26" i="14"/>
  <c r="D40" i="12"/>
  <c r="D45" i="12"/>
  <c r="D46" i="12" s="1"/>
  <c r="D38" i="12"/>
  <c r="D94" i="12"/>
  <c r="D41" i="12"/>
  <c r="D48" i="12"/>
  <c r="D32" i="14"/>
  <c r="D59" i="12"/>
  <c r="D65" i="12" s="1"/>
  <c r="D14" i="14"/>
  <c r="D68" i="12"/>
  <c r="D70" i="12"/>
  <c r="D71" i="12"/>
  <c r="D82" i="12"/>
  <c r="D93" i="12"/>
  <c r="D90" i="12"/>
  <c r="D69" i="12"/>
  <c r="D91" i="12"/>
  <c r="D98" i="12" s="1"/>
  <c r="D56" i="12"/>
  <c r="D62" i="12" s="1"/>
  <c r="D10" i="14"/>
  <c r="D57" i="12"/>
  <c r="D63" i="12" s="1"/>
  <c r="D16" i="14"/>
  <c r="D97" i="12" l="1"/>
  <c r="D101" i="12"/>
  <c r="D100" i="12"/>
  <c r="D92" i="12"/>
  <c r="D99" i="12" s="1"/>
  <c r="E75" i="12"/>
  <c r="E77" i="12"/>
  <c r="E16" i="14"/>
  <c r="F16" i="14" s="1"/>
  <c r="E74" i="12"/>
  <c r="E41" i="12" l="1"/>
  <c r="E48" i="12"/>
  <c r="E94" i="12"/>
  <c r="E45" i="12"/>
  <c r="E46" i="12" s="1"/>
  <c r="E38" i="12"/>
  <c r="E91" i="12"/>
  <c r="E44" i="12"/>
  <c r="E37" i="12"/>
  <c r="E90" i="12"/>
  <c r="E68" i="12"/>
  <c r="E59" i="12"/>
  <c r="E65" i="12" s="1"/>
  <c r="E32" i="14"/>
  <c r="E14" i="14"/>
  <c r="E69" i="12"/>
  <c r="E71" i="12"/>
  <c r="D28" i="14"/>
  <c r="D58" i="12"/>
  <c r="E57" i="12"/>
  <c r="E63" i="12" s="1"/>
  <c r="G16" i="14"/>
  <c r="H16" i="14" s="1"/>
  <c r="E56" i="12"/>
  <c r="E62" i="12" s="1"/>
  <c r="E10" i="14"/>
  <c r="E101" i="12" l="1"/>
  <c r="E98" i="12"/>
  <c r="E92" i="12"/>
  <c r="E99" i="12" s="1"/>
  <c r="E97" i="12"/>
  <c r="F75" i="12"/>
  <c r="F14" i="14" s="1"/>
  <c r="D64" i="12"/>
  <c r="E76" i="12" s="1"/>
  <c r="F77" i="12"/>
  <c r="E28" i="14"/>
  <c r="F28" i="14" s="1"/>
  <c r="F74" i="12"/>
  <c r="I16" i="14"/>
  <c r="J16" i="14" s="1"/>
  <c r="F41" i="12" l="1"/>
  <c r="F48" i="12"/>
  <c r="F94" i="12"/>
  <c r="E40" i="12"/>
  <c r="E93" i="12"/>
  <c r="F44" i="12"/>
  <c r="F37" i="12"/>
  <c r="F90" i="12"/>
  <c r="F38" i="12"/>
  <c r="F45" i="12"/>
  <c r="F46" i="12" s="1"/>
  <c r="F91" i="12"/>
  <c r="F68" i="12"/>
  <c r="E26" i="14"/>
  <c r="F59" i="12"/>
  <c r="F65" i="12" s="1"/>
  <c r="F71" i="12"/>
  <c r="F32" i="14"/>
  <c r="F69" i="12"/>
  <c r="E58" i="12"/>
  <c r="E64" i="12" s="1"/>
  <c r="F57" i="12"/>
  <c r="F63" i="12" s="1"/>
  <c r="F56" i="12"/>
  <c r="F62" i="12" s="1"/>
  <c r="F10" i="14"/>
  <c r="G28" i="14"/>
  <c r="H28" i="14" s="1"/>
  <c r="K16" i="14"/>
  <c r="F101" i="12" l="1"/>
  <c r="F97" i="12"/>
  <c r="F92" i="12"/>
  <c r="F99" i="12" s="1"/>
  <c r="F98" i="12"/>
  <c r="E100" i="12"/>
  <c r="E82" i="12"/>
  <c r="E70" i="12"/>
  <c r="G75" i="12"/>
  <c r="G77" i="12"/>
  <c r="I28" i="14"/>
  <c r="L16" i="14"/>
  <c r="G74" i="12"/>
  <c r="G48" i="12" l="1"/>
  <c r="G41" i="12"/>
  <c r="G94" i="12"/>
  <c r="G38" i="12"/>
  <c r="G45" i="12"/>
  <c r="G46" i="12" s="1"/>
  <c r="G91" i="12"/>
  <c r="G37" i="12"/>
  <c r="G44" i="12"/>
  <c r="G90" i="12"/>
  <c r="G68" i="12"/>
  <c r="G59" i="12"/>
  <c r="F76" i="12"/>
  <c r="G32" i="14"/>
  <c r="G14" i="14"/>
  <c r="G71" i="12"/>
  <c r="G69" i="12"/>
  <c r="J28" i="14"/>
  <c r="G57" i="12"/>
  <c r="G63" i="12" s="1"/>
  <c r="M16" i="14"/>
  <c r="G56" i="12"/>
  <c r="G62" i="12" s="1"/>
  <c r="G10" i="14"/>
  <c r="F26" i="14" l="1"/>
  <c r="F40" i="12"/>
  <c r="F93" i="12"/>
  <c r="G101" i="12"/>
  <c r="G92" i="12"/>
  <c r="G99" i="12" s="1"/>
  <c r="G98" i="12"/>
  <c r="F82" i="12"/>
  <c r="G97" i="12"/>
  <c r="H75" i="12"/>
  <c r="F70" i="12"/>
  <c r="F58" i="12"/>
  <c r="F64" i="12" s="1"/>
  <c r="G65" i="12"/>
  <c r="H77" i="12" s="1"/>
  <c r="K28" i="14"/>
  <c r="L28" i="14" s="1"/>
  <c r="N16" i="14"/>
  <c r="H74" i="12"/>
  <c r="H41" i="12" l="1"/>
  <c r="H48" i="12"/>
  <c r="H94" i="12"/>
  <c r="F100" i="12"/>
  <c r="H37" i="12"/>
  <c r="H44" i="12"/>
  <c r="H90" i="12"/>
  <c r="H45" i="12"/>
  <c r="H46" i="12" s="1"/>
  <c r="H38" i="12"/>
  <c r="H91" i="12"/>
  <c r="G76" i="12"/>
  <c r="G58" i="12" s="1"/>
  <c r="G64" i="12" s="1"/>
  <c r="H14" i="14"/>
  <c r="H68" i="12"/>
  <c r="H59" i="12"/>
  <c r="H65" i="12" s="1"/>
  <c r="H32" i="14"/>
  <c r="H71" i="12"/>
  <c r="H69" i="12"/>
  <c r="M28" i="14"/>
  <c r="N28" i="14" s="1"/>
  <c r="O16" i="14"/>
  <c r="H57" i="12"/>
  <c r="H63" i="12" s="1"/>
  <c r="H56" i="12"/>
  <c r="H62" i="12" s="1"/>
  <c r="H10" i="14"/>
  <c r="H97" i="12" l="1"/>
  <c r="H101" i="12"/>
  <c r="I75" i="12"/>
  <c r="I45" i="12" s="1"/>
  <c r="I46" i="12" s="1"/>
  <c r="G40" i="12"/>
  <c r="G93" i="12"/>
  <c r="H92" i="12"/>
  <c r="H99" i="12" s="1"/>
  <c r="H98" i="12"/>
  <c r="G70" i="12"/>
  <c r="H76" i="12" s="1"/>
  <c r="G26" i="14"/>
  <c r="G82" i="12"/>
  <c r="I77" i="12"/>
  <c r="I74" i="12"/>
  <c r="P16" i="14"/>
  <c r="O28" i="14"/>
  <c r="I91" i="12" l="1"/>
  <c r="I92" i="12" s="1"/>
  <c r="I99" i="12" s="1"/>
  <c r="I38" i="12"/>
  <c r="I14" i="14"/>
  <c r="G100" i="12"/>
  <c r="H26" i="14"/>
  <c r="H40" i="12"/>
  <c r="H93" i="12"/>
  <c r="I44" i="12"/>
  <c r="I37" i="12"/>
  <c r="I90" i="12"/>
  <c r="I41" i="12"/>
  <c r="I48" i="12"/>
  <c r="I94" i="12"/>
  <c r="I98" i="12"/>
  <c r="I68" i="12"/>
  <c r="I59" i="12"/>
  <c r="I32" i="14"/>
  <c r="H82" i="12"/>
  <c r="H70" i="12"/>
  <c r="H58" i="12"/>
  <c r="I71" i="12"/>
  <c r="I69" i="12"/>
  <c r="I57" i="12"/>
  <c r="I63" i="12" s="1"/>
  <c r="P28" i="14"/>
  <c r="Q16" i="14"/>
  <c r="I56" i="12"/>
  <c r="I62" i="12" s="1"/>
  <c r="I10" i="14"/>
  <c r="H100" i="12" l="1"/>
  <c r="I97" i="12"/>
  <c r="I101" i="12"/>
  <c r="J75" i="12"/>
  <c r="H64" i="12"/>
  <c r="I76" i="12" s="1"/>
  <c r="I65" i="12"/>
  <c r="J77" i="12" s="1"/>
  <c r="J74" i="12"/>
  <c r="Q28" i="14"/>
  <c r="R16" i="14"/>
  <c r="I40" i="12" l="1"/>
  <c r="I93" i="12"/>
  <c r="J38" i="12"/>
  <c r="J45" i="12"/>
  <c r="J46" i="12" s="1"/>
  <c r="J91" i="12"/>
  <c r="J41" i="12"/>
  <c r="J48" i="12"/>
  <c r="J94" i="12"/>
  <c r="J44" i="12"/>
  <c r="J37" i="12"/>
  <c r="J90" i="12"/>
  <c r="J14" i="14"/>
  <c r="J68" i="12"/>
  <c r="J59" i="12"/>
  <c r="J65" i="12" s="1"/>
  <c r="J32" i="14"/>
  <c r="J71" i="12"/>
  <c r="I26" i="14"/>
  <c r="J69" i="12"/>
  <c r="J57" i="12"/>
  <c r="J63" i="12" s="1"/>
  <c r="R28" i="14"/>
  <c r="S16" i="14"/>
  <c r="J56" i="12"/>
  <c r="J62" i="12" s="1"/>
  <c r="J10" i="14"/>
  <c r="J97" i="12" l="1"/>
  <c r="I100" i="12"/>
  <c r="J101" i="12"/>
  <c r="J92" i="12"/>
  <c r="J99" i="12" s="1"/>
  <c r="J98" i="12"/>
  <c r="K75" i="12"/>
  <c r="K77" i="12"/>
  <c r="I70" i="12"/>
  <c r="I82" i="12"/>
  <c r="I58" i="12"/>
  <c r="S28" i="14"/>
  <c r="T16" i="14"/>
  <c r="K74" i="12"/>
  <c r="K38" i="12" l="1"/>
  <c r="K45" i="12"/>
  <c r="K46" i="12" s="1"/>
  <c r="K91" i="12"/>
  <c r="K90" i="12"/>
  <c r="K37" i="12"/>
  <c r="K44" i="12"/>
  <c r="K48" i="12"/>
  <c r="K41" i="12"/>
  <c r="K94" i="12"/>
  <c r="K68" i="12"/>
  <c r="K59" i="12"/>
  <c r="K32" i="14"/>
  <c r="K14" i="14"/>
  <c r="I64" i="12"/>
  <c r="J76" i="12" s="1"/>
  <c r="K71" i="12"/>
  <c r="K69" i="12"/>
  <c r="K57" i="12"/>
  <c r="K63" i="12" s="1"/>
  <c r="T28" i="14"/>
  <c r="U16" i="14"/>
  <c r="K56" i="12"/>
  <c r="K62" i="12" s="1"/>
  <c r="K10" i="14"/>
  <c r="K97" i="12" l="1"/>
  <c r="K92" i="12"/>
  <c r="K99" i="12" s="1"/>
  <c r="K98" i="12"/>
  <c r="J40" i="12"/>
  <c r="J93" i="12"/>
  <c r="K101" i="12"/>
  <c r="L75" i="12"/>
  <c r="K65" i="12"/>
  <c r="L77" i="12" s="1"/>
  <c r="J26" i="14"/>
  <c r="U28" i="14"/>
  <c r="L74" i="12"/>
  <c r="V16" i="14"/>
  <c r="J100" i="12" l="1"/>
  <c r="L37" i="12"/>
  <c r="L44" i="12"/>
  <c r="L90" i="12"/>
  <c r="L41" i="12"/>
  <c r="L48" i="12"/>
  <c r="L94" i="12"/>
  <c r="L45" i="12"/>
  <c r="L46" i="12" s="1"/>
  <c r="L38" i="12"/>
  <c r="L91" i="12"/>
  <c r="L68" i="12"/>
  <c r="L59" i="12"/>
  <c r="L65" i="12" s="1"/>
  <c r="L32" i="14"/>
  <c r="L14" i="14"/>
  <c r="L71" i="12"/>
  <c r="J82" i="12"/>
  <c r="J70" i="12"/>
  <c r="J58" i="12"/>
  <c r="L69" i="12"/>
  <c r="L57" i="12"/>
  <c r="L63" i="12" s="1"/>
  <c r="L10" i="14"/>
  <c r="L56" i="12"/>
  <c r="L62" i="12" s="1"/>
  <c r="W16" i="14"/>
  <c r="V28" i="14"/>
  <c r="L97" i="12" l="1"/>
  <c r="L101" i="12"/>
  <c r="L92" i="12"/>
  <c r="L99" i="12" s="1"/>
  <c r="L98" i="12"/>
  <c r="M75" i="12"/>
  <c r="M77" i="12"/>
  <c r="J64" i="12"/>
  <c r="K76" i="12" s="1"/>
  <c r="W28" i="14"/>
  <c r="X16" i="14"/>
  <c r="M74" i="12"/>
  <c r="M45" i="12" l="1"/>
  <c r="M46" i="12" s="1"/>
  <c r="M38" i="12"/>
  <c r="M91" i="12"/>
  <c r="K40" i="12"/>
  <c r="K93" i="12"/>
  <c r="M44" i="12"/>
  <c r="M37" i="12"/>
  <c r="M90" i="12"/>
  <c r="M97" i="12" s="1"/>
  <c r="M41" i="12"/>
  <c r="M48" i="12"/>
  <c r="M94" i="12"/>
  <c r="M68" i="12"/>
  <c r="M59" i="12"/>
  <c r="M65" i="12" s="1"/>
  <c r="K26" i="14"/>
  <c r="M32" i="14"/>
  <c r="M14" i="14"/>
  <c r="M71" i="12"/>
  <c r="M69" i="12"/>
  <c r="M57" i="12"/>
  <c r="M63" i="12" s="1"/>
  <c r="Y16" i="14"/>
  <c r="M56" i="12"/>
  <c r="M62" i="12" s="1"/>
  <c r="M10" i="14"/>
  <c r="X28" i="14"/>
  <c r="M101" i="12" l="1"/>
  <c r="M92" i="12"/>
  <c r="M99" i="12" s="1"/>
  <c r="M98" i="12"/>
  <c r="K100" i="12"/>
  <c r="K58" i="12"/>
  <c r="K64" i="12" s="1"/>
  <c r="K82" i="12"/>
  <c r="K70" i="12"/>
  <c r="N75" i="12"/>
  <c r="N14" i="14" s="1"/>
  <c r="N77" i="12"/>
  <c r="N74" i="12"/>
  <c r="Y28" i="14"/>
  <c r="N44" i="12" l="1"/>
  <c r="N37" i="12"/>
  <c r="N90" i="12"/>
  <c r="N38" i="12"/>
  <c r="N45" i="12"/>
  <c r="N46" i="12" s="1"/>
  <c r="N91" i="12"/>
  <c r="N41" i="12"/>
  <c r="N48" i="12"/>
  <c r="N94" i="12"/>
  <c r="N68" i="12"/>
  <c r="N59" i="12"/>
  <c r="N65" i="12" s="1"/>
  <c r="L76" i="12"/>
  <c r="N32" i="14"/>
  <c r="N71" i="12"/>
  <c r="N69" i="12"/>
  <c r="N10" i="14"/>
  <c r="N56" i="12"/>
  <c r="N62" i="12" s="1"/>
  <c r="N57" i="12"/>
  <c r="N63" i="12" s="1"/>
  <c r="N97" i="12" l="1"/>
  <c r="L40" i="12"/>
  <c r="L93" i="12"/>
  <c r="L100" i="12" s="1"/>
  <c r="N98" i="12"/>
  <c r="N92" i="12"/>
  <c r="N99" i="12" s="1"/>
  <c r="N101" i="12"/>
  <c r="L82" i="12"/>
  <c r="L58" i="12"/>
  <c r="L64" i="12" s="1"/>
  <c r="L26" i="14"/>
  <c r="L70" i="12"/>
  <c r="O75" i="12"/>
  <c r="O77" i="12"/>
  <c r="O74" i="12"/>
  <c r="O37" i="12" l="1"/>
  <c r="O44" i="12"/>
  <c r="O90" i="12"/>
  <c r="O48" i="12"/>
  <c r="O41" i="12"/>
  <c r="O94" i="12"/>
  <c r="O38" i="12"/>
  <c r="O45" i="12"/>
  <c r="O46" i="12" s="1"/>
  <c r="O91" i="12"/>
  <c r="O68" i="12"/>
  <c r="M76" i="12"/>
  <c r="O59" i="12"/>
  <c r="O65" i="12" s="1"/>
  <c r="O32" i="14"/>
  <c r="O14" i="14"/>
  <c r="O71" i="12"/>
  <c r="O69" i="12"/>
  <c r="O57" i="12"/>
  <c r="O63" i="12" s="1"/>
  <c r="O10" i="14"/>
  <c r="O56" i="12"/>
  <c r="O62" i="12" s="1"/>
  <c r="O97" i="12" l="1"/>
  <c r="O101" i="12"/>
  <c r="M26" i="14"/>
  <c r="M40" i="12"/>
  <c r="M93" i="12"/>
  <c r="O92" i="12"/>
  <c r="O99" i="12" s="1"/>
  <c r="O98" i="12"/>
  <c r="M58" i="12"/>
  <c r="M64" i="12" s="1"/>
  <c r="M70" i="12"/>
  <c r="M82" i="12"/>
  <c r="P75" i="12"/>
  <c r="P77" i="12"/>
  <c r="P74" i="12"/>
  <c r="M100" i="12" l="1"/>
  <c r="P37" i="12"/>
  <c r="P44" i="12"/>
  <c r="P90" i="12"/>
  <c r="P97" i="12" s="1"/>
  <c r="P41" i="12"/>
  <c r="P48" i="12"/>
  <c r="P94" i="12"/>
  <c r="P45" i="12"/>
  <c r="P46" i="12" s="1"/>
  <c r="P38" i="12"/>
  <c r="P91" i="12"/>
  <c r="N76" i="12"/>
  <c r="N70" i="12" s="1"/>
  <c r="P68" i="12"/>
  <c r="P14" i="14"/>
  <c r="P59" i="12"/>
  <c r="P65" i="12" s="1"/>
  <c r="P32" i="14"/>
  <c r="N82" i="12"/>
  <c r="P71" i="12"/>
  <c r="P69" i="12"/>
  <c r="P10" i="14"/>
  <c r="P56" i="12"/>
  <c r="P62" i="12" s="1"/>
  <c r="P57" i="12"/>
  <c r="P63" i="12" s="1"/>
  <c r="P101" i="12" l="1"/>
  <c r="N26" i="14"/>
  <c r="N40" i="12"/>
  <c r="N93" i="12"/>
  <c r="N100" i="12" s="1"/>
  <c r="N58" i="12"/>
  <c r="N64" i="12" s="1"/>
  <c r="O76" i="12" s="1"/>
  <c r="P92" i="12"/>
  <c r="P99" i="12" s="1"/>
  <c r="P98" i="12"/>
  <c r="Q75" i="12"/>
  <c r="Q77" i="12"/>
  <c r="Q74" i="12"/>
  <c r="O26" i="14" l="1"/>
  <c r="O40" i="12"/>
  <c r="O93" i="12"/>
  <c r="Q45" i="12"/>
  <c r="Q46" i="12" s="1"/>
  <c r="Q38" i="12"/>
  <c r="Q91" i="12"/>
  <c r="Q44" i="12"/>
  <c r="Q37" i="12"/>
  <c r="Q90" i="12"/>
  <c r="Q41" i="12"/>
  <c r="Q48" i="12"/>
  <c r="Q94" i="12"/>
  <c r="Q68" i="12"/>
  <c r="Q59" i="12"/>
  <c r="Q65" i="12" s="1"/>
  <c r="Q14" i="14"/>
  <c r="Q32" i="14"/>
  <c r="Q71" i="12"/>
  <c r="O82" i="12"/>
  <c r="O70" i="12"/>
  <c r="O58" i="12"/>
  <c r="Q69" i="12"/>
  <c r="Q57" i="12"/>
  <c r="Q63" i="12" s="1"/>
  <c r="Q56" i="12"/>
  <c r="Q62" i="12" s="1"/>
  <c r="Q10" i="14"/>
  <c r="Q101" i="12" l="1"/>
  <c r="O100" i="12"/>
  <c r="Q92" i="12"/>
  <c r="Q99" i="12" s="1"/>
  <c r="Q98" i="12"/>
  <c r="Q97" i="12"/>
  <c r="R75" i="12"/>
  <c r="O64" i="12"/>
  <c r="P76" i="12" s="1"/>
  <c r="R77" i="12"/>
  <c r="R74" i="12"/>
  <c r="P40" i="12" l="1"/>
  <c r="P93" i="12"/>
  <c r="R41" i="12"/>
  <c r="R48" i="12"/>
  <c r="R94" i="12"/>
  <c r="R38" i="12"/>
  <c r="R45" i="12"/>
  <c r="R46" i="12" s="1"/>
  <c r="R91" i="12"/>
  <c r="R44" i="12"/>
  <c r="R37" i="12"/>
  <c r="R90" i="12"/>
  <c r="R68" i="12"/>
  <c r="R59" i="12"/>
  <c r="R65" i="12" s="1"/>
  <c r="R14" i="14"/>
  <c r="P26" i="14"/>
  <c r="R32" i="14"/>
  <c r="R71" i="12"/>
  <c r="R69" i="12"/>
  <c r="R57" i="12"/>
  <c r="R63" i="12" s="1"/>
  <c r="R10" i="14"/>
  <c r="R56" i="12"/>
  <c r="R62" i="12" s="1"/>
  <c r="R97" i="12" l="1"/>
  <c r="P100" i="12"/>
  <c r="R92" i="12"/>
  <c r="R99" i="12" s="1"/>
  <c r="R98" i="12"/>
  <c r="R101" i="12"/>
  <c r="P58" i="12"/>
  <c r="P64" i="12" s="1"/>
  <c r="P82" i="12"/>
  <c r="P70" i="12"/>
  <c r="S75" i="12"/>
  <c r="S77" i="12"/>
  <c r="S74" i="12"/>
  <c r="S48" i="12" l="1"/>
  <c r="S41" i="12"/>
  <c r="S94" i="12"/>
  <c r="S38" i="12"/>
  <c r="S45" i="12"/>
  <c r="S46" i="12" s="1"/>
  <c r="S91" i="12"/>
  <c r="S37" i="12"/>
  <c r="S44" i="12"/>
  <c r="S90" i="12"/>
  <c r="S68" i="12"/>
  <c r="S59" i="12"/>
  <c r="S65" i="12" s="1"/>
  <c r="Q76" i="12"/>
  <c r="S32" i="14"/>
  <c r="S14" i="14"/>
  <c r="S71" i="12"/>
  <c r="S69" i="12"/>
  <c r="S57" i="12"/>
  <c r="S63" i="12" s="1"/>
  <c r="S56" i="12"/>
  <c r="S62" i="12" s="1"/>
  <c r="S10" i="14"/>
  <c r="Q58" i="12" l="1"/>
  <c r="Q40" i="12"/>
  <c r="Q93" i="12"/>
  <c r="S101" i="12"/>
  <c r="S92" i="12"/>
  <c r="S99" i="12" s="1"/>
  <c r="S98" i="12"/>
  <c r="S97" i="12"/>
  <c r="Q70" i="12"/>
  <c r="Q26" i="14"/>
  <c r="Q82" i="12"/>
  <c r="T75" i="12"/>
  <c r="T77" i="12"/>
  <c r="Q64" i="12"/>
  <c r="T74" i="12"/>
  <c r="T37" i="12" l="1"/>
  <c r="T44" i="12"/>
  <c r="T90" i="12"/>
  <c r="T41" i="12"/>
  <c r="T48" i="12"/>
  <c r="T94" i="12"/>
  <c r="T45" i="12"/>
  <c r="T46" i="12" s="1"/>
  <c r="T38" i="12"/>
  <c r="T91" i="12"/>
  <c r="Q100" i="12"/>
  <c r="R76" i="12"/>
  <c r="R26" i="14" s="1"/>
  <c r="T68" i="12"/>
  <c r="T59" i="12"/>
  <c r="T65" i="12" s="1"/>
  <c r="T32" i="14"/>
  <c r="T14" i="14"/>
  <c r="T71" i="12"/>
  <c r="T69" i="12"/>
  <c r="T57" i="12"/>
  <c r="T63" i="12" s="1"/>
  <c r="T10" i="14"/>
  <c r="T56" i="12"/>
  <c r="T62" i="12" s="1"/>
  <c r="T97" i="12" l="1"/>
  <c r="T101" i="12"/>
  <c r="R40" i="12"/>
  <c r="R93" i="12"/>
  <c r="R100" i="12" s="1"/>
  <c r="T92" i="12"/>
  <c r="T99" i="12" s="1"/>
  <c r="T98" i="12"/>
  <c r="U75" i="12"/>
  <c r="R82" i="12"/>
  <c r="R70" i="12"/>
  <c r="R58" i="12"/>
  <c r="R64" i="12" s="1"/>
  <c r="U77" i="12"/>
  <c r="U74" i="12"/>
  <c r="U45" i="12" l="1"/>
  <c r="U46" i="12" s="1"/>
  <c r="U38" i="12"/>
  <c r="U91" i="12"/>
  <c r="U44" i="12"/>
  <c r="U37" i="12"/>
  <c r="U90" i="12"/>
  <c r="U41" i="12"/>
  <c r="U48" i="12"/>
  <c r="U94" i="12"/>
  <c r="S76" i="12"/>
  <c r="S26" i="14" s="1"/>
  <c r="U68" i="12"/>
  <c r="U59" i="12"/>
  <c r="U65" i="12" s="1"/>
  <c r="U32" i="14"/>
  <c r="U14" i="14"/>
  <c r="U71" i="12"/>
  <c r="U69" i="12"/>
  <c r="U56" i="12"/>
  <c r="U62" i="12" s="1"/>
  <c r="U10" i="14"/>
  <c r="U57" i="12"/>
  <c r="U63" i="12" s="1"/>
  <c r="U92" i="12" l="1"/>
  <c r="U99" i="12" s="1"/>
  <c r="U98" i="12"/>
  <c r="S40" i="12"/>
  <c r="S93" i="12"/>
  <c r="S100" i="12" s="1"/>
  <c r="U97" i="12"/>
  <c r="U101" i="12"/>
  <c r="V75" i="12"/>
  <c r="V77" i="12"/>
  <c r="S82" i="12"/>
  <c r="S70" i="12"/>
  <c r="S58" i="12"/>
  <c r="V74" i="12"/>
  <c r="V44" i="12" l="1"/>
  <c r="V37" i="12"/>
  <c r="V90" i="12"/>
  <c r="V41" i="12"/>
  <c r="V48" i="12"/>
  <c r="V94" i="12"/>
  <c r="V38" i="12"/>
  <c r="V91" i="12"/>
  <c r="V45" i="12"/>
  <c r="V46" i="12" s="1"/>
  <c r="V14" i="14"/>
  <c r="V68" i="12"/>
  <c r="V59" i="12"/>
  <c r="V32" i="14"/>
  <c r="S64" i="12"/>
  <c r="T76" i="12" s="1"/>
  <c r="V71" i="12"/>
  <c r="V69" i="12"/>
  <c r="V57" i="12"/>
  <c r="V63" i="12" s="1"/>
  <c r="V56" i="12"/>
  <c r="V62" i="12" s="1"/>
  <c r="V10" i="14"/>
  <c r="V97" i="12" l="1"/>
  <c r="V92" i="12"/>
  <c r="V99" i="12" s="1"/>
  <c r="V98" i="12"/>
  <c r="V101" i="12"/>
  <c r="T40" i="12"/>
  <c r="T93" i="12"/>
  <c r="W75" i="12"/>
  <c r="W14" i="14" s="1"/>
  <c r="T70" i="12"/>
  <c r="V65" i="12"/>
  <c r="W77" i="12" s="1"/>
  <c r="W74" i="12"/>
  <c r="W37" i="12" l="1"/>
  <c r="W44" i="12"/>
  <c r="W90" i="12"/>
  <c r="W38" i="12"/>
  <c r="W45" i="12"/>
  <c r="W46" i="12" s="1"/>
  <c r="W91" i="12"/>
  <c r="W48" i="12"/>
  <c r="W41" i="12"/>
  <c r="W94" i="12"/>
  <c r="T100" i="12"/>
  <c r="W68" i="12"/>
  <c r="W59" i="12"/>
  <c r="W65" i="12" s="1"/>
  <c r="T58" i="12"/>
  <c r="T64" i="12" s="1"/>
  <c r="U76" i="12" s="1"/>
  <c r="T82" i="12"/>
  <c r="T26" i="14"/>
  <c r="W32" i="14"/>
  <c r="W71" i="12"/>
  <c r="W69" i="12"/>
  <c r="W57" i="12"/>
  <c r="W63" i="12" s="1"/>
  <c r="W56" i="12"/>
  <c r="W62" i="12" s="1"/>
  <c r="W10" i="14"/>
  <c r="W97" i="12" l="1"/>
  <c r="U40" i="12"/>
  <c r="U93" i="12"/>
  <c r="U100" i="12" s="1"/>
  <c r="W92" i="12"/>
  <c r="W99" i="12" s="1"/>
  <c r="W98" i="12"/>
  <c r="W101" i="12"/>
  <c r="X75" i="12"/>
  <c r="X77" i="12"/>
  <c r="U26" i="14"/>
  <c r="X74" i="12"/>
  <c r="X41" i="12" l="1"/>
  <c r="X48" i="12"/>
  <c r="X94" i="12"/>
  <c r="X45" i="12"/>
  <c r="X46" i="12" s="1"/>
  <c r="X38" i="12"/>
  <c r="X91" i="12"/>
  <c r="X37" i="12"/>
  <c r="X44" i="12"/>
  <c r="X90" i="12"/>
  <c r="X14" i="14"/>
  <c r="X68" i="12"/>
  <c r="X59" i="12"/>
  <c r="X65" i="12" s="1"/>
  <c r="X32" i="14"/>
  <c r="U70" i="12"/>
  <c r="U82" i="12"/>
  <c r="U58" i="12"/>
  <c r="U64" i="12" s="1"/>
  <c r="X71" i="12"/>
  <c r="X69" i="12"/>
  <c r="X57" i="12"/>
  <c r="X63" i="12" s="1"/>
  <c r="X56" i="12"/>
  <c r="X62" i="12" s="1"/>
  <c r="X10" i="14"/>
  <c r="X101" i="12" l="1"/>
  <c r="X92" i="12"/>
  <c r="X99" i="12" s="1"/>
  <c r="X98" i="12"/>
  <c r="X97" i="12"/>
  <c r="V76" i="12"/>
  <c r="Y75" i="12"/>
  <c r="Y77" i="12"/>
  <c r="Y74" i="12"/>
  <c r="Y44" i="12" l="1"/>
  <c r="Y37" i="12"/>
  <c r="Y90" i="12"/>
  <c r="V40" i="12"/>
  <c r="V93" i="12"/>
  <c r="Y41" i="12"/>
  <c r="Y48" i="12"/>
  <c r="Y94" i="12"/>
  <c r="Y45" i="12"/>
  <c r="Y46" i="12" s="1"/>
  <c r="Y38" i="12"/>
  <c r="Y91" i="12"/>
  <c r="V26" i="14"/>
  <c r="Y68" i="12"/>
  <c r="Y59" i="12"/>
  <c r="Y65" i="12" s="1"/>
  <c r="Y32" i="14"/>
  <c r="Y14" i="14"/>
  <c r="Y71" i="12"/>
  <c r="V82" i="12"/>
  <c r="V70" i="12"/>
  <c r="V58" i="12"/>
  <c r="Y69" i="12"/>
  <c r="Y56" i="12"/>
  <c r="Y62" i="12" s="1"/>
  <c r="Y10" i="14"/>
  <c r="Y57" i="12"/>
  <c r="Y63" i="12" s="1"/>
  <c r="Y101" i="12" l="1"/>
  <c r="Y98" i="12"/>
  <c r="Y92" i="12"/>
  <c r="Y99" i="12" s="1"/>
  <c r="Y97" i="12"/>
  <c r="V100" i="12"/>
  <c r="V64" i="12"/>
  <c r="W76" i="12" s="1"/>
  <c r="W40" i="12" l="1"/>
  <c r="W93" i="12"/>
  <c r="W26" i="14"/>
  <c r="W100" i="12" l="1"/>
  <c r="W82" i="12"/>
  <c r="W70" i="12"/>
  <c r="W58" i="12"/>
  <c r="W64" i="12" l="1"/>
  <c r="X76" i="12" s="1"/>
  <c r="X40" i="12" l="1"/>
  <c r="X93" i="12"/>
  <c r="X26" i="14"/>
  <c r="X100" i="12" l="1"/>
  <c r="X82" i="12"/>
  <c r="X70" i="12"/>
  <c r="X58" i="12"/>
  <c r="X64" i="12" s="1"/>
  <c r="Y76" i="12" s="1"/>
  <c r="Y40" i="12" l="1"/>
  <c r="Y93" i="12"/>
  <c r="Y26" i="14"/>
  <c r="Y100" i="12" l="1"/>
  <c r="Y70" i="12"/>
  <c r="Y82" i="12"/>
  <c r="Y58" i="12"/>
  <c r="Y64" i="12" s="1"/>
  <c r="C19" i="14" l="1"/>
  <c r="A44" i="12" l="1"/>
  <c r="A97" i="12" s="1"/>
  <c r="A104" i="12" s="1"/>
  <c r="A5" i="12" s="1"/>
  <c r="A79" i="12" l="1"/>
  <c r="A90" i="12"/>
  <c r="A111" i="12"/>
  <c r="A118" i="12" s="1"/>
  <c r="A56" i="12"/>
  <c r="A62" i="12" s="1"/>
  <c r="A68" i="12" s="1"/>
  <c r="A74" i="12"/>
  <c r="A9" i="14"/>
  <c r="E120" i="12" l="1"/>
  <c r="E7" i="12"/>
  <c r="Q100" i="5" l="1"/>
  <c r="Q96" i="5"/>
  <c r="Q93" i="5"/>
  <c r="Q99" i="5"/>
  <c r="Q95" i="5"/>
  <c r="Q98" i="5"/>
  <c r="Q94" i="5"/>
  <c r="Q97" i="5"/>
  <c r="N96" i="5" l="1"/>
  <c r="O96" i="5" s="1"/>
  <c r="J96" i="5"/>
  <c r="N95" i="5"/>
  <c r="O95" i="5" s="1"/>
  <c r="J95" i="5"/>
  <c r="J94" i="5"/>
  <c r="N94" i="5"/>
  <c r="O94" i="5" s="1"/>
  <c r="N99" i="5"/>
  <c r="O99" i="5" s="1"/>
  <c r="J99" i="5"/>
  <c r="J97" i="5"/>
  <c r="N97" i="5"/>
  <c r="O97" i="5" s="1"/>
  <c r="J93" i="5"/>
  <c r="N93" i="5"/>
  <c r="O93" i="5" s="1"/>
  <c r="N100" i="5"/>
  <c r="O100" i="5" s="1"/>
  <c r="J100" i="5"/>
  <c r="N98" i="5"/>
  <c r="O98" i="5" s="1"/>
  <c r="J98" i="5"/>
  <c r="Q79" i="5" l="1"/>
  <c r="Q80" i="5"/>
  <c r="J80" i="5" l="1"/>
  <c r="Q82" i="5"/>
  <c r="Q92" i="5"/>
  <c r="Q89" i="5"/>
  <c r="Q86" i="5"/>
  <c r="N80" i="5"/>
  <c r="O80" i="5" s="1"/>
  <c r="Q90" i="5"/>
  <c r="Q88" i="5"/>
  <c r="J53" i="5"/>
  <c r="N53" i="5"/>
  <c r="O53" i="5" s="1"/>
  <c r="Q85" i="5"/>
  <c r="Q84" i="5"/>
  <c r="N56" i="5"/>
  <c r="O56" i="5" s="1"/>
  <c r="J56" i="5"/>
  <c r="Q53" i="5"/>
  <c r="Q71" i="5"/>
  <c r="Q87" i="5"/>
  <c r="Q81" i="5"/>
  <c r="Q78" i="5"/>
  <c r="Q91" i="5"/>
  <c r="Q83" i="5"/>
  <c r="Q56" i="5"/>
  <c r="N79" i="5"/>
  <c r="O79" i="5" s="1"/>
  <c r="J79" i="5" l="1"/>
  <c r="N71" i="5"/>
  <c r="O71" i="5" s="1"/>
  <c r="J71" i="5"/>
  <c r="J7" i="5"/>
  <c r="N7" i="5"/>
  <c r="O7" i="5" s="1"/>
  <c r="N83" i="5"/>
  <c r="O83" i="5" s="1"/>
  <c r="J83" i="5"/>
  <c r="Q55" i="5"/>
  <c r="J21" i="5"/>
  <c r="N21" i="5"/>
  <c r="O21" i="5" s="1"/>
  <c r="Q59" i="5"/>
  <c r="Q44" i="5"/>
  <c r="N66" i="5"/>
  <c r="O66" i="5" s="1"/>
  <c r="J66" i="5"/>
  <c r="Q25" i="5"/>
  <c r="J81" i="5"/>
  <c r="N81" i="5"/>
  <c r="O81" i="5" s="1"/>
  <c r="Q74" i="5"/>
  <c r="J60" i="5"/>
  <c r="N60" i="5"/>
  <c r="O60" i="5" s="1"/>
  <c r="Q47" i="5"/>
  <c r="Q65" i="5"/>
  <c r="J9" i="5"/>
  <c r="N9" i="5"/>
  <c r="O9" i="5" s="1"/>
  <c r="N34" i="5"/>
  <c r="O34" i="5" s="1"/>
  <c r="J34" i="5"/>
  <c r="Q35" i="5"/>
  <c r="Q26" i="5"/>
  <c r="N85" i="5"/>
  <c r="O85" i="5" s="1"/>
  <c r="J85" i="5"/>
  <c r="J48" i="5"/>
  <c r="N48" i="5"/>
  <c r="O48" i="5" s="1"/>
  <c r="J24" i="5"/>
  <c r="N24" i="5"/>
  <c r="O24" i="5" s="1"/>
  <c r="Q24" i="5"/>
  <c r="J63" i="5"/>
  <c r="N63" i="5"/>
  <c r="O63" i="5" s="1"/>
  <c r="Q63" i="5"/>
  <c r="N70" i="5"/>
  <c r="O70" i="5" s="1"/>
  <c r="J70" i="5"/>
  <c r="Q16" i="5"/>
  <c r="Q27" i="5"/>
  <c r="J8" i="5"/>
  <c r="N8" i="5"/>
  <c r="O8" i="5" s="1"/>
  <c r="Q12" i="5"/>
  <c r="Q19" i="5"/>
  <c r="N62" i="5"/>
  <c r="O62" i="5" s="1"/>
  <c r="J62" i="5"/>
  <c r="Q50" i="5"/>
  <c r="J23" i="5"/>
  <c r="N23" i="5"/>
  <c r="O23" i="5" s="1"/>
  <c r="N18" i="5"/>
  <c r="O18" i="5" s="1"/>
  <c r="J18" i="5"/>
  <c r="N37" i="5"/>
  <c r="O37" i="5" s="1"/>
  <c r="J37" i="5"/>
  <c r="N36" i="5"/>
  <c r="O36" i="5" s="1"/>
  <c r="J36" i="5"/>
  <c r="Q20" i="5"/>
  <c r="J57" i="5"/>
  <c r="N57" i="5"/>
  <c r="O57" i="5" s="1"/>
  <c r="J43" i="5"/>
  <c r="N43" i="5"/>
  <c r="O43" i="5" s="1"/>
  <c r="N82" i="5"/>
  <c r="O82" i="5" s="1"/>
  <c r="J82" i="5"/>
  <c r="Q32" i="5"/>
  <c r="Q75" i="5"/>
  <c r="N67" i="5"/>
  <c r="O67" i="5" s="1"/>
  <c r="J67" i="5"/>
  <c r="J47" i="5"/>
  <c r="N47" i="5"/>
  <c r="O47" i="5" s="1"/>
  <c r="J39" i="5"/>
  <c r="N39" i="5"/>
  <c r="O39" i="5" s="1"/>
  <c r="N65" i="5"/>
  <c r="O65" i="5" s="1"/>
  <c r="J65" i="5"/>
  <c r="N51" i="5"/>
  <c r="O51" i="5" s="1"/>
  <c r="J51" i="5"/>
  <c r="Q34" i="5"/>
  <c r="Q49" i="5"/>
  <c r="J33" i="5"/>
  <c r="N33" i="5"/>
  <c r="O33" i="5" s="1"/>
  <c r="Q33" i="5"/>
  <c r="N22" i="5"/>
  <c r="O22" i="5" s="1"/>
  <c r="J22" i="5"/>
  <c r="Q70" i="5"/>
  <c r="J42" i="5"/>
  <c r="N42" i="5"/>
  <c r="O42" i="5" s="1"/>
  <c r="Q42" i="5"/>
  <c r="J88" i="5"/>
  <c r="N88" i="5"/>
  <c r="O88" i="5" s="1"/>
  <c r="J16" i="5"/>
  <c r="N16" i="5"/>
  <c r="O16" i="5" s="1"/>
  <c r="J14" i="5"/>
  <c r="N14" i="5"/>
  <c r="O14" i="5" s="1"/>
  <c r="Q14" i="5"/>
  <c r="N27" i="5"/>
  <c r="O27" i="5" s="1"/>
  <c r="J27" i="5"/>
  <c r="J31" i="5"/>
  <c r="N31" i="5"/>
  <c r="O31" i="5" s="1"/>
  <c r="J72" i="5"/>
  <c r="N72" i="5"/>
  <c r="O72" i="5" s="1"/>
  <c r="Q11" i="5"/>
  <c r="N12" i="5"/>
  <c r="O12" i="5" s="1"/>
  <c r="J12" i="5"/>
  <c r="J17" i="5"/>
  <c r="N17" i="5"/>
  <c r="O17" i="5" s="1"/>
  <c r="Q17" i="5"/>
  <c r="J19" i="5"/>
  <c r="N19" i="5"/>
  <c r="O19" i="5" s="1"/>
  <c r="N28" i="5"/>
  <c r="O28" i="5" s="1"/>
  <c r="J28" i="5"/>
  <c r="N86" i="5"/>
  <c r="O86" i="5" s="1"/>
  <c r="J86" i="5"/>
  <c r="Q54" i="5"/>
  <c r="Q15" i="5"/>
  <c r="J89" i="5"/>
  <c r="N89" i="5"/>
  <c r="O89" i="5" s="1"/>
  <c r="Q57" i="5"/>
  <c r="Q10" i="5"/>
  <c r="Q77" i="5"/>
  <c r="J55" i="5"/>
  <c r="N55" i="5"/>
  <c r="O55" i="5" s="1"/>
  <c r="N59" i="5"/>
  <c r="O59" i="5" s="1"/>
  <c r="J59" i="5"/>
  <c r="Q68" i="5"/>
  <c r="Q29" i="5"/>
  <c r="J32" i="5"/>
  <c r="N32" i="5"/>
  <c r="O32" i="5" s="1"/>
  <c r="N78" i="5"/>
  <c r="O78" i="5" s="1"/>
  <c r="J78" i="5"/>
  <c r="Q66" i="5"/>
  <c r="J73" i="5"/>
  <c r="N73" i="5"/>
  <c r="O73" i="5" s="1"/>
  <c r="Q73" i="5"/>
  <c r="Q67" i="5"/>
  <c r="J74" i="5"/>
  <c r="N74" i="5"/>
  <c r="O74" i="5" s="1"/>
  <c r="Q60" i="5"/>
  <c r="Q39" i="5"/>
  <c r="Q51" i="5"/>
  <c r="N84" i="5"/>
  <c r="O84" i="5" s="1"/>
  <c r="J84" i="5"/>
  <c r="J61" i="5"/>
  <c r="N61" i="5"/>
  <c r="O61" i="5" s="1"/>
  <c r="Q61" i="5"/>
  <c r="Q46" i="5"/>
  <c r="J49" i="5"/>
  <c r="N49" i="5"/>
  <c r="O49" i="5" s="1"/>
  <c r="N58" i="5"/>
  <c r="O58" i="5" s="1"/>
  <c r="J58" i="5"/>
  <c r="Q48" i="5"/>
  <c r="N38" i="5"/>
  <c r="O38" i="5" s="1"/>
  <c r="J38" i="5"/>
  <c r="Q38" i="5"/>
  <c r="J41" i="5"/>
  <c r="N41" i="5"/>
  <c r="O41" i="5" s="1"/>
  <c r="N30" i="5"/>
  <c r="O30" i="5" s="1"/>
  <c r="J30" i="5"/>
  <c r="Q30" i="5"/>
  <c r="J69" i="5"/>
  <c r="N69" i="5"/>
  <c r="O69" i="5" s="1"/>
  <c r="Q31" i="5"/>
  <c r="Q72" i="5"/>
  <c r="J45" i="5"/>
  <c r="N45" i="5"/>
  <c r="O45" i="5" s="1"/>
  <c r="Q62" i="5"/>
  <c r="Q23" i="5"/>
  <c r="Q76" i="5"/>
  <c r="N54" i="5"/>
  <c r="O54" i="5" s="1"/>
  <c r="J54" i="5"/>
  <c r="J52" i="5"/>
  <c r="N52" i="5"/>
  <c r="O52" i="5" s="1"/>
  <c r="Q37" i="5"/>
  <c r="Q36" i="5"/>
  <c r="J20" i="5"/>
  <c r="N20" i="5"/>
  <c r="O20" i="5" s="1"/>
  <c r="J92" i="5"/>
  <c r="N92" i="5"/>
  <c r="O92" i="5" s="1"/>
  <c r="N77" i="5"/>
  <c r="O77" i="5" s="1"/>
  <c r="J77" i="5"/>
  <c r="N13" i="5"/>
  <c r="O13" i="5" s="1"/>
  <c r="J13" i="5"/>
  <c r="Q64" i="5"/>
  <c r="F20" i="8"/>
  <c r="Q40" i="5"/>
  <c r="Q21" i="5"/>
  <c r="F14" i="8"/>
  <c r="D14" i="8"/>
  <c r="E14" i="8"/>
  <c r="G14" i="8"/>
  <c r="C14" i="8"/>
  <c r="F13" i="8"/>
  <c r="D12" i="8"/>
  <c r="G11" i="8"/>
  <c r="G10" i="8"/>
  <c r="G12" i="8"/>
  <c r="E12" i="8"/>
  <c r="E13" i="8"/>
  <c r="D10" i="8"/>
  <c r="C13" i="8"/>
  <c r="E11" i="8"/>
  <c r="Q7" i="5"/>
  <c r="C10" i="8"/>
  <c r="G13" i="8"/>
  <c r="F12" i="8"/>
  <c r="C12" i="8"/>
  <c r="D13" i="8"/>
  <c r="F10" i="8"/>
  <c r="F11" i="8"/>
  <c r="D11" i="8"/>
  <c r="C11" i="8"/>
  <c r="E10" i="8"/>
  <c r="J40" i="5"/>
  <c r="N40" i="5"/>
  <c r="O40" i="5" s="1"/>
  <c r="N68" i="5"/>
  <c r="O68" i="5" s="1"/>
  <c r="J68" i="5"/>
  <c r="N44" i="5"/>
  <c r="O44" i="5" s="1"/>
  <c r="J44" i="5"/>
  <c r="J91" i="5"/>
  <c r="N91" i="5"/>
  <c r="O91" i="5" s="1"/>
  <c r="N29" i="5"/>
  <c r="O29" i="5" s="1"/>
  <c r="J29" i="5"/>
  <c r="N75" i="5"/>
  <c r="O75" i="5" s="1"/>
  <c r="J75" i="5"/>
  <c r="N25" i="5"/>
  <c r="O25" i="5" s="1"/>
  <c r="J25" i="5"/>
  <c r="N87" i="5"/>
  <c r="O87" i="5" s="1"/>
  <c r="J87" i="5"/>
  <c r="Q9" i="5"/>
  <c r="J35" i="5"/>
  <c r="N35" i="5"/>
  <c r="O35" i="5" s="1"/>
  <c r="N26" i="5"/>
  <c r="O26" i="5" s="1"/>
  <c r="J26" i="5"/>
  <c r="N46" i="5"/>
  <c r="O46" i="5" s="1"/>
  <c r="J46" i="5"/>
  <c r="Q58" i="5"/>
  <c r="Q22" i="5"/>
  <c r="Q41" i="5"/>
  <c r="Q69" i="5"/>
  <c r="Q8" i="5"/>
  <c r="Q45" i="5"/>
  <c r="J11" i="5"/>
  <c r="N11" i="5"/>
  <c r="O11" i="5" s="1"/>
  <c r="J90" i="5"/>
  <c r="N90" i="5"/>
  <c r="O90" i="5" s="1"/>
  <c r="Q28" i="5"/>
  <c r="N50" i="5"/>
  <c r="O50" i="5" s="1"/>
  <c r="J50" i="5"/>
  <c r="Q18" i="5"/>
  <c r="J76" i="5"/>
  <c r="N76" i="5"/>
  <c r="O76" i="5" s="1"/>
  <c r="Q52" i="5"/>
  <c r="J15" i="5"/>
  <c r="N15" i="5"/>
  <c r="O15" i="5" s="1"/>
  <c r="J10" i="5"/>
  <c r="N10" i="5"/>
  <c r="O10" i="5" s="1"/>
  <c r="Q43" i="5"/>
  <c r="Q13" i="5"/>
  <c r="J64" i="5"/>
  <c r="N64" i="5"/>
  <c r="O64" i="5" s="1"/>
  <c r="F16" i="17" l="1"/>
  <c r="E15" i="8"/>
  <c r="F15" i="8"/>
  <c r="E20" i="8"/>
  <c r="E16" i="17"/>
  <c r="C20" i="7"/>
  <c r="I11" i="8"/>
  <c r="I13" i="8"/>
  <c r="C15" i="8"/>
  <c r="I10" i="8"/>
  <c r="D15" i="8"/>
  <c r="G15" i="8"/>
  <c r="I14" i="8"/>
  <c r="D16" i="17"/>
  <c r="D20" i="8"/>
  <c r="C20" i="8"/>
  <c r="C16" i="17"/>
  <c r="I12" i="8"/>
  <c r="E10" i="17"/>
  <c r="D10" i="17"/>
  <c r="C8" i="17"/>
  <c r="E8" i="17"/>
  <c r="G10" i="17"/>
  <c r="F10" i="17"/>
  <c r="C9" i="17"/>
  <c r="F9" i="17"/>
  <c r="G8" i="17"/>
  <c r="F8" i="17"/>
  <c r="C10" i="17"/>
  <c r="D9" i="17"/>
  <c r="D8" i="17"/>
  <c r="E9" i="17"/>
  <c r="G9" i="17"/>
  <c r="G16" i="17"/>
  <c r="G20" i="8"/>
  <c r="E11" i="17" l="1"/>
  <c r="F19" i="8"/>
  <c r="F21" i="8"/>
  <c r="I10" i="17"/>
  <c r="I9" i="17"/>
  <c r="I8" i="17"/>
  <c r="C11" i="17"/>
  <c r="F11" i="17"/>
  <c r="G19" i="8"/>
  <c r="G21" i="8"/>
  <c r="D11" i="17"/>
  <c r="G11" i="17"/>
  <c r="D21" i="8"/>
  <c r="D19" i="8"/>
  <c r="I15" i="8"/>
  <c r="C19" i="8"/>
  <c r="C21" i="8"/>
  <c r="E19" i="8"/>
  <c r="E21" i="8"/>
  <c r="G17" i="17" l="1"/>
  <c r="G15" i="17"/>
  <c r="D15" i="17"/>
  <c r="D17" i="17"/>
  <c r="F15" i="17"/>
  <c r="F17" i="17"/>
  <c r="C17" i="17"/>
  <c r="I11" i="17"/>
  <c r="C15" i="17"/>
  <c r="E15" i="17"/>
  <c r="E17" i="17"/>
  <c r="B24" i="11" l="1"/>
  <c r="B34" i="11"/>
  <c r="B29" i="11"/>
  <c r="B44" i="11"/>
  <c r="B39" i="11"/>
  <c r="B9" i="11"/>
  <c r="B59" i="11"/>
  <c r="B64" i="11"/>
  <c r="B54" i="11"/>
  <c r="B49" i="11"/>
  <c r="B14" i="11"/>
  <c r="B74" i="11"/>
  <c r="B19" i="11"/>
  <c r="B69" i="11"/>
  <c r="B35" i="11" l="1"/>
  <c r="B37" i="11"/>
  <c r="B15" i="11"/>
  <c r="B17" i="11"/>
  <c r="B65" i="11"/>
  <c r="B67" i="11"/>
  <c r="B42" i="11"/>
  <c r="B40" i="11"/>
  <c r="B45" i="11"/>
  <c r="B47" i="11"/>
  <c r="B72" i="11"/>
  <c r="B70" i="11"/>
  <c r="B22" i="11"/>
  <c r="B20" i="11"/>
  <c r="B75" i="11"/>
  <c r="B77" i="11"/>
  <c r="B52" i="11"/>
  <c r="B50" i="11"/>
  <c r="B57" i="11"/>
  <c r="B55" i="11"/>
  <c r="B12" i="11"/>
  <c r="B10" i="11"/>
  <c r="B27" i="11"/>
  <c r="B25" i="11"/>
  <c r="B62" i="11"/>
  <c r="B60" i="11"/>
  <c r="B30" i="11"/>
  <c r="B32" i="11"/>
  <c r="C10" i="7" l="1"/>
  <c r="C9" i="7"/>
  <c r="C8" i="7"/>
  <c r="D5" i="8"/>
  <c r="D6" i="8"/>
  <c r="E5" i="8"/>
  <c r="E3" i="8"/>
  <c r="D2" i="8"/>
  <c r="C6" i="8"/>
  <c r="G5" i="8"/>
  <c r="D3" i="8"/>
  <c r="G3" i="8"/>
  <c r="E4" i="8"/>
  <c r="E2" i="8"/>
  <c r="C4" i="8"/>
  <c r="G4" i="8"/>
  <c r="F6" i="8"/>
  <c r="G6" i="8"/>
  <c r="D4" i="8"/>
  <c r="F2" i="8"/>
  <c r="C3" i="8"/>
  <c r="F5" i="8"/>
  <c r="F3" i="8"/>
  <c r="F4" i="8"/>
  <c r="E6" i="8"/>
  <c r="C5" i="8"/>
  <c r="C2" i="8"/>
  <c r="G2" i="8"/>
  <c r="C21" i="7"/>
  <c r="E4" i="17"/>
  <c r="F3" i="17"/>
  <c r="E2" i="17"/>
  <c r="C4" i="17"/>
  <c r="C2" i="17"/>
  <c r="G3" i="17"/>
  <c r="F4" i="17"/>
  <c r="C3" i="17"/>
  <c r="F2" i="17"/>
  <c r="D2" i="17"/>
  <c r="G2" i="17"/>
  <c r="D4" i="17"/>
  <c r="G4" i="17"/>
  <c r="E3" i="17"/>
  <c r="D3" i="17"/>
  <c r="D27" i="11"/>
  <c r="C37" i="11"/>
  <c r="E37" i="11"/>
  <c r="C32" i="11"/>
  <c r="F47" i="11"/>
  <c r="G12" i="11"/>
  <c r="D12" i="11"/>
  <c r="C62" i="11"/>
  <c r="G67" i="11"/>
  <c r="E57" i="11"/>
  <c r="P14" i="11" s="1"/>
  <c r="E52" i="11"/>
  <c r="D52" i="11"/>
  <c r="F77" i="11"/>
  <c r="G77" i="11"/>
  <c r="G22" i="11"/>
  <c r="D72" i="11"/>
  <c r="G72" i="11"/>
  <c r="G27" i="11"/>
  <c r="G37" i="11"/>
  <c r="E32" i="11"/>
  <c r="G47" i="11"/>
  <c r="E47" i="11"/>
  <c r="F42" i="11"/>
  <c r="C12" i="11"/>
  <c r="E12" i="11"/>
  <c r="G62" i="11"/>
  <c r="E67" i="11"/>
  <c r="D67" i="11"/>
  <c r="C57" i="11"/>
  <c r="C52" i="11"/>
  <c r="F52" i="11"/>
  <c r="D17" i="11"/>
  <c r="E77" i="11"/>
  <c r="C77" i="11"/>
  <c r="C72" i="11"/>
  <c r="F27" i="11"/>
  <c r="C27" i="11"/>
  <c r="D37" i="11"/>
  <c r="G32" i="11"/>
  <c r="D47" i="11"/>
  <c r="E42" i="11"/>
  <c r="C42" i="11"/>
  <c r="F12" i="11"/>
  <c r="E62" i="11"/>
  <c r="C67" i="11"/>
  <c r="G57" i="11"/>
  <c r="R14" i="11" s="1"/>
  <c r="F57" i="11"/>
  <c r="Q14" i="11" s="1"/>
  <c r="G52" i="11"/>
  <c r="C17" i="11"/>
  <c r="F17" i="11"/>
  <c r="D77" i="11"/>
  <c r="C22" i="11"/>
  <c r="F22" i="11"/>
  <c r="E27" i="11"/>
  <c r="F37" i="11"/>
  <c r="D32" i="11"/>
  <c r="F32" i="11"/>
  <c r="C47" i="11"/>
  <c r="G42" i="11"/>
  <c r="D42" i="11"/>
  <c r="D62" i="11"/>
  <c r="F62" i="11"/>
  <c r="F67" i="11"/>
  <c r="D57" i="11"/>
  <c r="O14" i="11" s="1"/>
  <c r="G17" i="11"/>
  <c r="E17" i="11"/>
  <c r="D22" i="11"/>
  <c r="E72" i="11"/>
  <c r="E22" i="11"/>
  <c r="F72" i="11"/>
  <c r="D5" i="17" l="1"/>
  <c r="F5" i="17"/>
  <c r="H47" i="11"/>
  <c r="H52" i="11"/>
  <c r="I3" i="17"/>
  <c r="H22" i="11"/>
  <c r="H12" i="11"/>
  <c r="H62" i="11"/>
  <c r="H32" i="11"/>
  <c r="G5" i="17"/>
  <c r="E5" i="17"/>
  <c r="R4" i="11"/>
  <c r="G7" i="8"/>
  <c r="G4" i="11" s="1"/>
  <c r="Q6" i="11"/>
  <c r="Q4" i="11"/>
  <c r="F7" i="8"/>
  <c r="F4" i="11" s="1"/>
  <c r="R6" i="11"/>
  <c r="R5" i="11"/>
  <c r="O4" i="11"/>
  <c r="D7" i="8"/>
  <c r="D4" i="11" s="1"/>
  <c r="O7" i="11"/>
  <c r="H72" i="11"/>
  <c r="C7" i="8"/>
  <c r="N4" i="11"/>
  <c r="I2" i="8"/>
  <c r="Q5" i="11"/>
  <c r="O6" i="11"/>
  <c r="N6" i="11"/>
  <c r="I4" i="8"/>
  <c r="O5" i="11"/>
  <c r="P5" i="11"/>
  <c r="C14" i="7"/>
  <c r="C11" i="7"/>
  <c r="C22" i="7" s="1"/>
  <c r="C2" i="7"/>
  <c r="H42" i="11"/>
  <c r="H77" i="11"/>
  <c r="H37" i="11"/>
  <c r="C5" i="17"/>
  <c r="I2" i="17"/>
  <c r="N7" i="11"/>
  <c r="I5" i="8"/>
  <c r="Q7" i="11"/>
  <c r="R8" i="11"/>
  <c r="P4" i="11"/>
  <c r="E7" i="8"/>
  <c r="E4" i="11" s="1"/>
  <c r="R7" i="11"/>
  <c r="P7" i="11"/>
  <c r="C15" i="7"/>
  <c r="C3" i="7"/>
  <c r="H17" i="11"/>
  <c r="H67" i="11"/>
  <c r="H27" i="11"/>
  <c r="N14" i="11"/>
  <c r="S14" i="11" s="1"/>
  <c r="H57" i="11"/>
  <c r="I4" i="17"/>
  <c r="P8" i="11"/>
  <c r="N5" i="11"/>
  <c r="I3" i="8"/>
  <c r="Q8" i="11"/>
  <c r="P6" i="11"/>
  <c r="I6" i="8"/>
  <c r="N8" i="11"/>
  <c r="O8" i="11"/>
  <c r="C16" i="7"/>
  <c r="C4" i="7"/>
  <c r="S5" i="11" l="1"/>
  <c r="I5" i="17"/>
  <c r="C5" i="7"/>
  <c r="I7" i="8"/>
  <c r="C4" i="11"/>
  <c r="F6" i="11"/>
  <c r="Q20" i="11"/>
  <c r="Q21" i="11" s="1"/>
  <c r="E6" i="11"/>
  <c r="P20" i="11"/>
  <c r="P21" i="11" s="1"/>
  <c r="S6" i="11"/>
  <c r="D6" i="11"/>
  <c r="O20" i="11"/>
  <c r="O21" i="11" s="1"/>
  <c r="G6" i="11"/>
  <c r="R20" i="11"/>
  <c r="R21" i="11" s="1"/>
  <c r="S7" i="11"/>
  <c r="C17" i="7"/>
  <c r="Q9" i="11"/>
  <c r="Q15" i="11" s="1"/>
  <c r="Q13" i="11"/>
  <c r="P9" i="11"/>
  <c r="P15" i="11" s="1"/>
  <c r="P13" i="11"/>
  <c r="N9" i="11"/>
  <c r="S4" i="11"/>
  <c r="O9" i="11"/>
  <c r="O15" i="11" s="1"/>
  <c r="O13" i="11"/>
  <c r="R9" i="11"/>
  <c r="R15" i="11" s="1"/>
  <c r="R13" i="11"/>
  <c r="N20" i="11" l="1"/>
  <c r="C6" i="11"/>
  <c r="H4" i="11"/>
  <c r="H6" i="11" s="1"/>
  <c r="S9" i="11"/>
  <c r="N15" i="11"/>
  <c r="S15" i="11" l="1"/>
  <c r="N13" i="11"/>
  <c r="S13" i="11" s="1"/>
  <c r="N21" i="11"/>
  <c r="S20" i="11"/>
  <c r="S21" i="11" s="1"/>
  <c r="D115" i="12" l="1"/>
  <c r="H33" i="14"/>
  <c r="L33" i="14"/>
  <c r="O33" i="14"/>
  <c r="S33" i="14"/>
  <c r="W33" i="14"/>
  <c r="D108" i="12"/>
  <c r="H108" i="12"/>
  <c r="L108" i="12"/>
  <c r="P108" i="12"/>
  <c r="T108" i="12"/>
  <c r="X108" i="12"/>
  <c r="F6" i="16"/>
  <c r="J6" i="16"/>
  <c r="N6" i="16"/>
  <c r="R6" i="16"/>
  <c r="Y6" i="16"/>
  <c r="D106" i="12"/>
  <c r="H106" i="12"/>
  <c r="L106" i="12"/>
  <c r="P106" i="12"/>
  <c r="T106" i="12"/>
  <c r="X106" i="12"/>
  <c r="D15" i="14"/>
  <c r="F17" i="14"/>
  <c r="E11" i="14"/>
  <c r="E15" i="14"/>
  <c r="I17" i="14"/>
  <c r="G29" i="14"/>
  <c r="E27" i="14"/>
  <c r="L17" i="14"/>
  <c r="I29" i="14"/>
  <c r="M17" i="14"/>
  <c r="G104" i="12"/>
  <c r="N17" i="14"/>
  <c r="N29" i="14"/>
  <c r="O29" i="14"/>
  <c r="P29" i="14"/>
  <c r="I105" i="12"/>
  <c r="I27" i="14"/>
  <c r="J15" i="14"/>
  <c r="S29" i="14"/>
  <c r="T29" i="14"/>
  <c r="U29" i="14"/>
  <c r="K104" i="12"/>
  <c r="V29" i="14"/>
  <c r="W29" i="14"/>
  <c r="Y17" i="14"/>
  <c r="M27" i="14"/>
  <c r="N11" i="14"/>
  <c r="N107" i="12"/>
  <c r="O105" i="12"/>
  <c r="P11" i="14"/>
  <c r="P104" i="12"/>
  <c r="Q104" i="12"/>
  <c r="R11" i="14"/>
  <c r="R104" i="12"/>
  <c r="S27" i="14"/>
  <c r="T11" i="14"/>
  <c r="T105" i="12"/>
  <c r="U27" i="14"/>
  <c r="V11" i="14"/>
  <c r="V27" i="14"/>
  <c r="W27" i="14"/>
  <c r="X11" i="14"/>
  <c r="X105" i="12"/>
  <c r="D119" i="12"/>
  <c r="D118" i="12"/>
  <c r="S6" i="16"/>
  <c r="T6" i="16"/>
  <c r="J33" i="14"/>
  <c r="K108" i="12"/>
  <c r="W108" i="12"/>
  <c r="M6" i="16"/>
  <c r="G106" i="12"/>
  <c r="O106" i="12"/>
  <c r="D112" i="12"/>
  <c r="F29" i="14"/>
  <c r="F27" i="14"/>
  <c r="G27" i="14"/>
  <c r="H105" i="12"/>
  <c r="I107" i="12"/>
  <c r="J104" i="12"/>
  <c r="K27" i="14"/>
  <c r="M11" i="14"/>
  <c r="D122" i="12"/>
  <c r="G33" i="14"/>
  <c r="K33" i="14"/>
  <c r="P33" i="14"/>
  <c r="T33" i="14"/>
  <c r="X33" i="14"/>
  <c r="E108" i="12"/>
  <c r="I108" i="12"/>
  <c r="M108" i="12"/>
  <c r="Q108" i="12"/>
  <c r="U108" i="12"/>
  <c r="Y108" i="12"/>
  <c r="G6" i="16"/>
  <c r="K6" i="16"/>
  <c r="O6" i="16"/>
  <c r="V6" i="16"/>
  <c r="D113" i="12"/>
  <c r="E106" i="12"/>
  <c r="I106" i="12"/>
  <c r="M106" i="12"/>
  <c r="Q106" i="12"/>
  <c r="U106" i="12"/>
  <c r="D120" i="12"/>
  <c r="F120" i="12" s="1"/>
  <c r="H120" i="12" s="1"/>
  <c r="D17" i="14"/>
  <c r="D105" i="12"/>
  <c r="H17" i="14"/>
  <c r="D107" i="12"/>
  <c r="E29" i="14"/>
  <c r="E107" i="12"/>
  <c r="F11" i="14"/>
  <c r="F104" i="12"/>
  <c r="G11" i="14"/>
  <c r="M29" i="14"/>
  <c r="K29" i="14"/>
  <c r="H11" i="14"/>
  <c r="H27" i="14"/>
  <c r="H107" i="12"/>
  <c r="I15" i="14"/>
  <c r="R17" i="14"/>
  <c r="J11" i="14"/>
  <c r="J27" i="14"/>
  <c r="T17" i="14"/>
  <c r="K15" i="14"/>
  <c r="K107" i="12"/>
  <c r="L11" i="14"/>
  <c r="L15" i="14"/>
  <c r="L107" i="12"/>
  <c r="X29" i="14"/>
  <c r="M105" i="12"/>
  <c r="N15" i="14"/>
  <c r="N27" i="14"/>
  <c r="O104" i="12"/>
  <c r="P15" i="14"/>
  <c r="P107" i="12"/>
  <c r="Q27" i="14"/>
  <c r="R15" i="14"/>
  <c r="R107" i="12"/>
  <c r="S104" i="12"/>
  <c r="T15" i="14"/>
  <c r="T104" i="12"/>
  <c r="U104" i="12"/>
  <c r="V15" i="14"/>
  <c r="V105" i="12"/>
  <c r="W104" i="12"/>
  <c r="X15" i="14"/>
  <c r="X27" i="14"/>
  <c r="Y27" i="14"/>
  <c r="Y105" i="12"/>
  <c r="M33" i="14"/>
  <c r="D33" i="14"/>
  <c r="O108" i="12"/>
  <c r="E6" i="16"/>
  <c r="Q6" i="16"/>
  <c r="D111" i="12"/>
  <c r="S106" i="12"/>
  <c r="E17" i="14"/>
  <c r="E104" i="12"/>
  <c r="F105" i="12"/>
  <c r="H15" i="14"/>
  <c r="I11" i="14"/>
  <c r="R29" i="14"/>
  <c r="K105" i="12"/>
  <c r="L104" i="12"/>
  <c r="M107" i="12"/>
  <c r="E33" i="14"/>
  <c r="I33" i="14"/>
  <c r="N33" i="14"/>
  <c r="R33" i="14"/>
  <c r="U33" i="14"/>
  <c r="Y33" i="14"/>
  <c r="F108" i="12"/>
  <c r="J108" i="12"/>
  <c r="N108" i="12"/>
  <c r="R108" i="12"/>
  <c r="V108" i="12"/>
  <c r="D6" i="16"/>
  <c r="H6" i="16"/>
  <c r="L6" i="16"/>
  <c r="P6" i="16"/>
  <c r="W6" i="16"/>
  <c r="D114" i="12"/>
  <c r="F106" i="12"/>
  <c r="J106" i="12"/>
  <c r="N106" i="12"/>
  <c r="R106" i="12"/>
  <c r="V106" i="12"/>
  <c r="Y106" i="12"/>
  <c r="D11" i="14"/>
  <c r="D104" i="12"/>
  <c r="D29" i="14"/>
  <c r="G17" i="14"/>
  <c r="J17" i="14"/>
  <c r="H29" i="14"/>
  <c r="F15" i="14"/>
  <c r="F107" i="12"/>
  <c r="G15" i="14"/>
  <c r="L29" i="14"/>
  <c r="G105" i="12"/>
  <c r="O17" i="14"/>
  <c r="H104" i="12"/>
  <c r="P17" i="14"/>
  <c r="Q17" i="14"/>
  <c r="Q29" i="14"/>
  <c r="S17" i="14"/>
  <c r="J105" i="12"/>
  <c r="J107" i="12"/>
  <c r="U17" i="14"/>
  <c r="V17" i="14"/>
  <c r="W17" i="14"/>
  <c r="L27" i="14"/>
  <c r="X17" i="14"/>
  <c r="M15" i="14"/>
  <c r="M104" i="12"/>
  <c r="N104" i="12"/>
  <c r="O11" i="14"/>
  <c r="O107" i="12"/>
  <c r="P27" i="14"/>
  <c r="Q11" i="14"/>
  <c r="Q107" i="12"/>
  <c r="R27" i="14"/>
  <c r="S11" i="14"/>
  <c r="S105" i="12"/>
  <c r="T27" i="14"/>
  <c r="U11" i="14"/>
  <c r="U107" i="12"/>
  <c r="V104" i="12"/>
  <c r="W11" i="14"/>
  <c r="W105" i="12"/>
  <c r="X104" i="12"/>
  <c r="Y11" i="14"/>
  <c r="Y104" i="12"/>
  <c r="Y107" i="12"/>
  <c r="F33" i="14"/>
  <c r="Q33" i="14"/>
  <c r="V33" i="14"/>
  <c r="G108" i="12"/>
  <c r="S108" i="12"/>
  <c r="I6" i="16"/>
  <c r="X6" i="16"/>
  <c r="K106" i="12"/>
  <c r="W106" i="12"/>
  <c r="D27" i="14"/>
  <c r="E105" i="12"/>
  <c r="K17" i="14"/>
  <c r="J29" i="14"/>
  <c r="G107" i="12"/>
  <c r="I104" i="12"/>
  <c r="K11" i="14"/>
  <c r="L105" i="12"/>
  <c r="Y29" i="14"/>
  <c r="P105" i="12"/>
  <c r="S15" i="14"/>
  <c r="U105" i="12"/>
  <c r="X107" i="12"/>
  <c r="S107" i="12"/>
  <c r="V107" i="12"/>
  <c r="Y15" i="14"/>
  <c r="Q105" i="12"/>
  <c r="W15" i="14"/>
  <c r="O27" i="14"/>
  <c r="R105" i="12"/>
  <c r="U6" i="16"/>
  <c r="N105" i="12"/>
  <c r="Q15" i="14"/>
  <c r="T107" i="12"/>
  <c r="D121" i="12"/>
  <c r="U15" i="14"/>
  <c r="W107" i="12"/>
  <c r="O15" i="14"/>
  <c r="D35" i="14"/>
  <c r="K35" i="14"/>
  <c r="P35" i="14"/>
  <c r="G35" i="14"/>
  <c r="M35" i="14"/>
  <c r="E35" i="14"/>
  <c r="X35" i="14"/>
  <c r="L35" i="14"/>
  <c r="R35" i="14"/>
  <c r="T35" i="14"/>
  <c r="H35" i="14"/>
  <c r="N35" i="14"/>
  <c r="Q35" i="14"/>
  <c r="J35" i="14"/>
  <c r="W35" i="14"/>
  <c r="V35" i="14"/>
  <c r="Y35" i="14"/>
  <c r="S35" i="14"/>
  <c r="U35" i="14"/>
  <c r="O35" i="14"/>
  <c r="F35" i="14"/>
  <c r="I35" i="14"/>
  <c r="C35" i="14" l="1"/>
  <c r="C27" i="14"/>
  <c r="C29" i="14"/>
  <c r="C33" i="14"/>
  <c r="D9" i="12"/>
  <c r="D8" i="12"/>
  <c r="C15" i="14"/>
  <c r="D5" i="12"/>
  <c r="D6" i="12"/>
  <c r="D7" i="12"/>
  <c r="F7" i="12" s="1"/>
  <c r="H7" i="12" s="1"/>
  <c r="C11" i="14"/>
  <c r="C9" i="14" s="1"/>
  <c r="C7" i="16"/>
  <c r="C17" i="14"/>
  <c r="C25" i="14" l="1"/>
  <c r="C13" i="14"/>
  <c r="E8" i="12"/>
  <c r="F8" i="12" s="1"/>
  <c r="E121" i="12"/>
  <c r="F121" i="12" s="1"/>
  <c r="E118" i="12"/>
  <c r="F118" i="12" s="1"/>
  <c r="E5" i="12"/>
  <c r="F5" i="12" s="1"/>
  <c r="G9" i="12"/>
  <c r="G119" i="12"/>
  <c r="G122" i="12"/>
  <c r="G5" i="12"/>
  <c r="G8" i="12"/>
  <c r="G6" i="12"/>
  <c r="G121" i="12"/>
  <c r="G118" i="12"/>
  <c r="C31" i="14"/>
  <c r="H5" i="12" l="1"/>
  <c r="H121" i="12"/>
  <c r="H8" i="12"/>
  <c r="E6" i="12"/>
  <c r="F6" i="12" s="1"/>
  <c r="H6" i="12" s="1"/>
  <c r="E119" i="12"/>
  <c r="F119" i="12" s="1"/>
  <c r="H119" i="12" s="1"/>
  <c r="E122" i="12"/>
  <c r="F122" i="12" s="1"/>
  <c r="H122" i="12" s="1"/>
  <c r="E9" i="12"/>
  <c r="F9" i="12" s="1"/>
  <c r="H9" i="12" s="1"/>
  <c r="H118" i="12"/>
  <c r="I9" i="12" l="1"/>
  <c r="I5" i="12"/>
  <c r="I6" i="12"/>
  <c r="I7" i="12"/>
  <c r="I8" i="12"/>
  <c r="B2" i="12"/>
</calcChain>
</file>

<file path=xl/comments1.xml><?xml version="1.0" encoding="utf-8"?>
<comments xmlns="http://schemas.openxmlformats.org/spreadsheetml/2006/main">
  <authors>
    <author>Allen, Mark</author>
  </authors>
  <commentList>
    <comment ref="B39" authorId="0" shapeId="0">
      <text>
        <r>
          <rPr>
            <b/>
            <sz val="9"/>
            <color indexed="81"/>
            <rFont val="Tahoma"/>
            <family val="2"/>
          </rPr>
          <t>Allen, Mark:</t>
        </r>
        <r>
          <rPr>
            <sz val="9"/>
            <color indexed="81"/>
            <rFont val="Tahoma"/>
            <family val="2"/>
          </rPr>
          <t xml:space="preserve">
Fy 21-Fy30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</rPr>
          <t>Allen, Mark:</t>
        </r>
        <r>
          <rPr>
            <sz val="9"/>
            <color indexed="81"/>
            <rFont val="Tahoma"/>
            <family val="2"/>
          </rPr>
          <t xml:space="preserve">
FY 31 - FY42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Allen, Mark:</t>
        </r>
        <r>
          <rPr>
            <sz val="9"/>
            <color indexed="81"/>
            <rFont val="Tahoma"/>
            <family val="2"/>
          </rPr>
          <t xml:space="preserve">
Sourced from EnegryEdge analysis</t>
        </r>
      </text>
    </comment>
    <comment ref="B87" authorId="0" shapeId="0">
      <text>
        <r>
          <rPr>
            <b/>
            <sz val="9"/>
            <color indexed="81"/>
            <rFont val="Tahoma"/>
            <family val="2"/>
          </rPr>
          <t>Allen, Mark:</t>
        </r>
        <r>
          <rPr>
            <sz val="9"/>
            <color indexed="81"/>
            <rFont val="Tahoma"/>
            <family val="2"/>
          </rPr>
          <t xml:space="preserve">
10% of annual average laboure/materials/other opex (5 years) divided by 15 phases 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Allen, Mark:</t>
        </r>
        <r>
          <rPr>
            <sz val="9"/>
            <color indexed="81"/>
            <rFont val="Tahoma"/>
            <family val="2"/>
          </rPr>
          <t xml:space="preserve">
Assumes that more modern IGBTs will save 10% in opex costs</t>
        </r>
      </text>
    </comment>
  </commentList>
</comments>
</file>

<file path=xl/comments2.xml><?xml version="1.0" encoding="utf-8"?>
<comments xmlns="http://schemas.openxmlformats.org/spreadsheetml/2006/main">
  <authors>
    <author>Allen, Mark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Allen, Mark:</t>
        </r>
        <r>
          <rPr>
            <sz val="9"/>
            <color indexed="81"/>
            <rFont val="Tahoma"/>
            <family val="2"/>
          </rPr>
          <t xml:space="preserve">
Management time estimate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Allen, Mark:</t>
        </r>
        <r>
          <rPr>
            <sz val="9"/>
            <color indexed="81"/>
            <rFont val="Tahoma"/>
            <family val="2"/>
          </rPr>
          <t xml:space="preserve">
Management time estimate</t>
        </r>
      </text>
    </comment>
  </commentList>
</comments>
</file>

<file path=xl/sharedStrings.xml><?xml version="1.0" encoding="utf-8"?>
<sst xmlns="http://schemas.openxmlformats.org/spreadsheetml/2006/main" count="571" uniqueCount="202">
  <si>
    <t>Capital Expenditure Item</t>
  </si>
  <si>
    <t>FY 19</t>
  </si>
  <si>
    <t>FY 20</t>
  </si>
  <si>
    <t>FY 21</t>
  </si>
  <si>
    <t>FY 22</t>
  </si>
  <si>
    <t>FY 23</t>
  </si>
  <si>
    <t>FY 24</t>
  </si>
  <si>
    <t>FY 25</t>
  </si>
  <si>
    <t>Converter Stations</t>
  </si>
  <si>
    <t xml:space="preserve">Transmission lines </t>
  </si>
  <si>
    <t xml:space="preserve">Easements </t>
  </si>
  <si>
    <t>Inflation Assumption</t>
  </si>
  <si>
    <t>Total</t>
  </si>
  <si>
    <t>($m real 2018)</t>
  </si>
  <si>
    <t>Project Number</t>
  </si>
  <si>
    <t>($m real 2020)</t>
  </si>
  <si>
    <t>$m nominal</t>
  </si>
  <si>
    <t>$m $2018</t>
  </si>
  <si>
    <t>Check</t>
  </si>
  <si>
    <t>Forecast Capex</t>
  </si>
  <si>
    <t>Adjusted for inflation</t>
  </si>
  <si>
    <t>Difference</t>
  </si>
  <si>
    <t>Next TD Period</t>
  </si>
  <si>
    <t>Program Index</t>
  </si>
  <si>
    <t>Table</t>
  </si>
  <si>
    <t>Year 1</t>
  </si>
  <si>
    <t>Year 2</t>
  </si>
  <si>
    <t>Year 3</t>
  </si>
  <si>
    <t>Year 4</t>
  </si>
  <si>
    <t>Year 5</t>
  </si>
  <si>
    <t>Historic capital expenditure</t>
  </si>
  <si>
    <t>Forecast capital expenditure</t>
  </si>
  <si>
    <t>Project Name</t>
  </si>
  <si>
    <t>Staged Replacement</t>
  </si>
  <si>
    <t>FY 26</t>
  </si>
  <si>
    <t>FY 27</t>
  </si>
  <si>
    <t>FY 28</t>
  </si>
  <si>
    <t>FY 29</t>
  </si>
  <si>
    <t>FY 30</t>
  </si>
  <si>
    <t>FY 31</t>
  </si>
  <si>
    <t>FY 32</t>
  </si>
  <si>
    <t>FY 33</t>
  </si>
  <si>
    <t>FY 34</t>
  </si>
  <si>
    <t>FY 35</t>
  </si>
  <si>
    <t>FY 36</t>
  </si>
  <si>
    <t>FY 37</t>
  </si>
  <si>
    <t>FY 38</t>
  </si>
  <si>
    <t>FY 39</t>
  </si>
  <si>
    <t>FY 40</t>
  </si>
  <si>
    <t>FY 41</t>
  </si>
  <si>
    <t>FY 42</t>
  </si>
  <si>
    <t>Failure Rate</t>
  </si>
  <si>
    <t>WACC</t>
  </si>
  <si>
    <t>Annual value provided (System 1)</t>
  </si>
  <si>
    <t>Annual value provided (System 2)</t>
  </si>
  <si>
    <t>Annual value provided (System 3)</t>
  </si>
  <si>
    <t>Maintenance opex per new system</t>
  </si>
  <si>
    <t>Inputs</t>
  </si>
  <si>
    <t>Cost</t>
  </si>
  <si>
    <t>Net Benefit</t>
  </si>
  <si>
    <t>NPV</t>
  </si>
  <si>
    <t>Value of annual delay</t>
  </si>
  <si>
    <t>PV Cost</t>
  </si>
  <si>
    <t>Proportion of recovered IGBTs</t>
  </si>
  <si>
    <t>Cost VCU</t>
  </si>
  <si>
    <t>VCU per Phase</t>
  </si>
  <si>
    <t>Total VCU</t>
  </si>
  <si>
    <t>Cost all VCU</t>
  </si>
  <si>
    <t>All in one</t>
  </si>
  <si>
    <t># of Phase</t>
  </si>
  <si>
    <t>Staged Replace VCU</t>
  </si>
  <si>
    <t>All in one replace VCU</t>
  </si>
  <si>
    <t>Present Value</t>
  </si>
  <si>
    <t>NPV IGBT</t>
  </si>
  <si>
    <t>VCU Replacement</t>
  </si>
  <si>
    <t>NPV - VCU</t>
  </si>
  <si>
    <t>Benefit</t>
  </si>
  <si>
    <t>Number of IGBTs released</t>
  </si>
  <si>
    <t>Remaining IGBTs (in use and spares)</t>
  </si>
  <si>
    <t>IGBTs (Spare and in use)</t>
  </si>
  <si>
    <t>Spare IGBTs Gen 3 (per phase)</t>
  </si>
  <si>
    <t>Transmission Assets</t>
  </si>
  <si>
    <t>Table 9‑15 – Forecast capital expenditure 2020-25 by asset class ($m real FY20)</t>
  </si>
  <si>
    <t>2020/21</t>
  </si>
  <si>
    <t>2021/22</t>
  </si>
  <si>
    <t>2022/23</t>
  </si>
  <si>
    <t xml:space="preserve"> -   </t>
  </si>
  <si>
    <t>Augmentation/Expansion</t>
  </si>
  <si>
    <t>Replacement/Refurbishment</t>
  </si>
  <si>
    <t>Non-network</t>
  </si>
  <si>
    <t>Control and Protection system</t>
  </si>
  <si>
    <t>Avoided Cost</t>
  </si>
  <si>
    <t>Avoided Cost ($m)</t>
  </si>
  <si>
    <t>LTSA avoided costs</t>
  </si>
  <si>
    <t>VCU</t>
  </si>
  <si>
    <t>Contractor costs associated with Cyber Security and spares management</t>
  </si>
  <si>
    <t>Labour cost  with Cyber Security and spares management</t>
  </si>
  <si>
    <t>Phases per building</t>
  </si>
  <si>
    <t>IGBTs per building</t>
  </si>
  <si>
    <t>Preferred Solution</t>
  </si>
  <si>
    <t>Required IGBTS</t>
  </si>
  <si>
    <t>Total NPV</t>
  </si>
  <si>
    <t>IGBTs per Phase</t>
  </si>
  <si>
    <t>Maintenance opex per phase</t>
  </si>
  <si>
    <t>Remaining Phases</t>
  </si>
  <si>
    <t>Buildings in Directlink</t>
  </si>
  <si>
    <t>Buildings on Gen 3</t>
  </si>
  <si>
    <t>Buidlings using Genb 1</t>
  </si>
  <si>
    <t>IGBT adj to system numbers</t>
  </si>
  <si>
    <t>Capital expenditure replacing Equipment</t>
  </si>
  <si>
    <t>Capital Expenditure (including gen 3 spares)</t>
  </si>
  <si>
    <t>Required/starting</t>
  </si>
  <si>
    <t>Difference from preferred option</t>
  </si>
  <si>
    <t xml:space="preserve">  </t>
  </si>
  <si>
    <t>$m FY 20</t>
  </si>
  <si>
    <t>Tax Index</t>
  </si>
  <si>
    <t>Declining Value</t>
  </si>
  <si>
    <t>Straight Line</t>
  </si>
  <si>
    <t>Immediate Expense</t>
  </si>
  <si>
    <t>Replace one Valve room</t>
  </si>
  <si>
    <t>Replace one entire converter building</t>
  </si>
  <si>
    <t>IGBTs per phase</t>
  </si>
  <si>
    <t>Phases per valve room</t>
  </si>
  <si>
    <t>Valve Rooms per building</t>
  </si>
  <si>
    <t>Buildings</t>
  </si>
  <si>
    <t>Land</t>
  </si>
  <si>
    <t>Spare IGBTs</t>
  </si>
  <si>
    <t>Site security enhancements</t>
  </si>
  <si>
    <t>Sound dampening replacement for ventilation inlet</t>
  </si>
  <si>
    <t xml:space="preserve">Emergency lighting </t>
  </si>
  <si>
    <t>Cooling tower sound enclosure panel replacement</t>
  </si>
  <si>
    <t>Zero sequence reactor repair</t>
  </si>
  <si>
    <t>Safety compliance program</t>
  </si>
  <si>
    <t>Contingent cable repairs / relocation</t>
  </si>
  <si>
    <t>Control and protection system upgrade</t>
  </si>
  <si>
    <t>Fan control relay replacement</t>
  </si>
  <si>
    <t>Directlink Land Slip</t>
  </si>
  <si>
    <t>Transmission Determination Costs</t>
  </si>
  <si>
    <t>Barn Roof Repair</t>
  </si>
  <si>
    <t>Barn Door Replacement</t>
  </si>
  <si>
    <t xml:space="preserve">Cable Modification Program
</t>
  </si>
  <si>
    <t>Cable Route Risk Mitigation (Signs)</t>
  </si>
  <si>
    <t>Asset replacement contract</t>
  </si>
  <si>
    <t>Transmission Determination</t>
  </si>
  <si>
    <t>RAB Asset Class</t>
  </si>
  <si>
    <t>PTRM Asset Class</t>
  </si>
  <si>
    <t>Real Rate of Return</t>
  </si>
  <si>
    <t>Real Return on Debt</t>
  </si>
  <si>
    <t>n/a</t>
  </si>
  <si>
    <t xml:space="preserve">Stay in Business - Other </t>
  </si>
  <si>
    <t>Cannibalise  entire converter building</t>
  </si>
  <si>
    <t>Replace all GEN1 IGBTs</t>
  </si>
  <si>
    <t>Easements</t>
  </si>
  <si>
    <t>IGBT deliveries FY20</t>
  </si>
  <si>
    <t>Draft Determination</t>
  </si>
  <si>
    <t>AER Draft Determination</t>
  </si>
  <si>
    <t>Revised Proposal</t>
  </si>
  <si>
    <t>2023/24</t>
  </si>
  <si>
    <t>2024/25</t>
  </si>
  <si>
    <t>Table 9‑17 – Forecast capital expenditure 2018-23 by asset driver ($’000 real 2019/20)</t>
  </si>
  <si>
    <t>Refurbishment/Replacement</t>
  </si>
  <si>
    <t>Phase Reactor Silencer Replacement</t>
  </si>
  <si>
    <t>Barn Sound Damp Vent Inlet Replacement</t>
  </si>
  <si>
    <t>Annual Spraying for Corrosion</t>
  </si>
  <si>
    <t xml:space="preserve">Transformer Painting and Protection </t>
  </si>
  <si>
    <t>Capacity Voltage Transmission (CVT) 
Replacement</t>
  </si>
  <si>
    <t>Circuit Breaker Pole Repair and Refurbishment</t>
  </si>
  <si>
    <t xml:space="preserve">Fire System Equipment Protection </t>
  </si>
  <si>
    <t>Site Cable Tray Installation &amp; Relocation of Cables</t>
  </si>
  <si>
    <t xml:space="preserve">Capacitors </t>
  </si>
  <si>
    <t>IGBT Spares -  Mullumbimby 1 Gen 3</t>
  </si>
  <si>
    <t>Noise Monitoring Equipment</t>
  </si>
  <si>
    <t>Hi Pot Tester / Thumper Replacement inc thumper trailor</t>
  </si>
  <si>
    <t>IGBT Tester for older style IGBT's</t>
  </si>
  <si>
    <t xml:space="preserve">Power Quality Metering </t>
  </si>
  <si>
    <t>Power Supply Upgrade</t>
  </si>
  <si>
    <t xml:space="preserve">Cyber Security 
</t>
  </si>
  <si>
    <t>PLC Yard (Switchyard) - Concreting Bungalora</t>
  </si>
  <si>
    <t>Motor Operated Alternating Current (AC)Isolators and 
Earth Switch + Relocation of SC Isolator Switch and Locking</t>
  </si>
  <si>
    <t xml:space="preserve">Security Camera / Survelliance </t>
  </si>
  <si>
    <t>Cable Repair Trailer</t>
  </si>
  <si>
    <t>Cable Handling Equipment (Stands, Winches)</t>
  </si>
  <si>
    <t>HV Cable Cutter/Earthing Spike</t>
  </si>
  <si>
    <t>Repair Tents</t>
  </si>
  <si>
    <t>SF6 Gas Handling Gear</t>
  </si>
  <si>
    <t xml:space="preserve">Essential Tools </t>
  </si>
  <si>
    <t/>
  </si>
  <si>
    <t>Corrosion and Environmental Deterioration</t>
  </si>
  <si>
    <t>Cable Protection</t>
  </si>
  <si>
    <t>Cable Modification</t>
  </si>
  <si>
    <t xml:space="preserve">Essential Spares </t>
  </si>
  <si>
    <t>Obsolete IGBTs</t>
  </si>
  <si>
    <t>Testing Equipment</t>
  </si>
  <si>
    <t>Reliability</t>
  </si>
  <si>
    <t>Stay in Business</t>
  </si>
  <si>
    <t>Asset Program</t>
  </si>
  <si>
    <t>Tax Treatment</t>
  </si>
  <si>
    <t>Lower than DD</t>
  </si>
  <si>
    <t>Higher than DD</t>
  </si>
  <si>
    <t>Optic fibres</t>
  </si>
  <si>
    <t>Spare IGBTs as at 30/11/2019</t>
  </si>
  <si>
    <t>Failure between 30/11/2019 and 30/6/2020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</si>
</sst>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;[Red]\-&quot;$&quot;#,##0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  <numFmt numFmtId="167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rgb="FFFFFFFF"/>
      <name val="Century Gothic"/>
      <family val="2"/>
    </font>
    <font>
      <sz val="9"/>
      <color theme="1"/>
      <name val="Century Gothic"/>
      <family val="2"/>
    </font>
    <font>
      <b/>
      <sz val="11"/>
      <color rgb="FF3F3F3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rgb="FF333333"/>
      <name val="Century Gothic"/>
      <family val="2"/>
    </font>
    <font>
      <b/>
      <sz val="11"/>
      <color theme="3"/>
      <name val="Calibri"/>
      <family val="2"/>
      <scheme val="minor"/>
    </font>
    <font>
      <sz val="6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rgb="FFC00000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6" fillId="4" borderId="4" applyNumberFormat="0" applyAlignment="0" applyProtection="0"/>
    <xf numFmtId="0" fontId="7" fillId="5" borderId="0" applyNumberFormat="0" applyBorder="0" applyAlignment="0" applyProtection="0"/>
    <xf numFmtId="38" fontId="9" fillId="4" borderId="5" applyAlignment="0" applyProtection="0"/>
    <xf numFmtId="38" fontId="10" fillId="0" borderId="0" applyAlignment="0" applyProtection="0"/>
    <xf numFmtId="17" fontId="11" fillId="0" borderId="6" applyFill="0" applyAlignment="0" applyProtection="0"/>
    <xf numFmtId="38" fontId="8" fillId="6" borderId="5" applyAlignment="0" applyProtection="0"/>
    <xf numFmtId="40" fontId="9" fillId="4" borderId="5" applyAlignment="0" applyProtection="0"/>
    <xf numFmtId="0" fontId="12" fillId="10" borderId="13" applyNumberFormat="0" applyAlignment="0" applyProtection="0"/>
    <xf numFmtId="0" fontId="8" fillId="6" borderId="5" applyNumberFormat="0" applyAlignment="0" applyProtection="0"/>
    <xf numFmtId="9" fontId="1" fillId="0" borderId="0" applyFont="0" applyFill="0" applyBorder="0" applyAlignment="0" applyProtection="0"/>
    <xf numFmtId="0" fontId="13" fillId="35" borderId="7" applyNumberFormat="0" applyAlignment="0" applyProtection="0"/>
    <xf numFmtId="0" fontId="17" fillId="0" borderId="12" applyNumberFormat="0" applyFill="0" applyAlignment="0" applyProtection="0"/>
    <xf numFmtId="0" fontId="18" fillId="10" borderId="0" applyBorder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9" fillId="34" borderId="0" applyNumberFormat="0" applyBorder="0" applyAlignment="0" applyProtection="0"/>
    <xf numFmtId="0" fontId="21" fillId="0" borderId="0"/>
  </cellStyleXfs>
  <cellXfs count="77">
    <xf numFmtId="0" fontId="0" fillId="0" borderId="0" xfId="0"/>
    <xf numFmtId="0" fontId="3" fillId="3" borderId="1" xfId="3"/>
    <xf numFmtId="43" fontId="3" fillId="3" borderId="1" xfId="3" applyNumberFormat="1"/>
    <xf numFmtId="10" fontId="0" fillId="0" borderId="0" xfId="0" applyNumberFormat="1"/>
    <xf numFmtId="0" fontId="6" fillId="4" borderId="4" xfId="4"/>
    <xf numFmtId="43" fontId="6" fillId="4" borderId="4" xfId="4" applyNumberFormat="1"/>
    <xf numFmtId="38" fontId="10" fillId="0" borderId="0" xfId="7"/>
    <xf numFmtId="38" fontId="9" fillId="4" borderId="5" xfId="6"/>
    <xf numFmtId="17" fontId="11" fillId="0" borderId="6" xfId="8"/>
    <xf numFmtId="38" fontId="8" fillId="6" borderId="5" xfId="9"/>
    <xf numFmtId="2" fontId="6" fillId="4" borderId="4" xfId="4" applyNumberFormat="1"/>
    <xf numFmtId="0" fontId="0" fillId="0" borderId="0" xfId="0"/>
    <xf numFmtId="40" fontId="9" fillId="4" borderId="5" xfId="10"/>
    <xf numFmtId="0" fontId="12" fillId="10" borderId="13" xfId="11"/>
    <xf numFmtId="166" fontId="3" fillId="3" borderId="1" xfId="3" applyNumberFormat="1"/>
    <xf numFmtId="0" fontId="0" fillId="0" borderId="0" xfId="0"/>
    <xf numFmtId="0" fontId="8" fillId="6" borderId="5" xfId="12"/>
    <xf numFmtId="165" fontId="0" fillId="0" borderId="0" xfId="0" applyNumberFormat="1"/>
    <xf numFmtId="0" fontId="12" fillId="0" borderId="0" xfId="11" applyFill="1" applyBorder="1"/>
    <xf numFmtId="38" fontId="8" fillId="6" borderId="5" xfId="12" applyNumberFormat="1"/>
    <xf numFmtId="0" fontId="0" fillId="0" borderId="0" xfId="0"/>
    <xf numFmtId="0" fontId="0" fillId="0" borderId="0" xfId="0"/>
    <xf numFmtId="0" fontId="0" fillId="0" borderId="0" xfId="0"/>
    <xf numFmtId="0" fontId="5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43" fontId="5" fillId="0" borderId="3" xfId="0" applyNumberFormat="1" applyFont="1" applyBorder="1" applyAlignment="1">
      <alignment horizontal="center" vertical="center" wrapText="1"/>
    </xf>
    <xf numFmtId="17" fontId="4" fillId="8" borderId="2" xfId="0" applyNumberFormat="1" applyFont="1" applyFill="1" applyBorder="1" applyAlignment="1">
      <alignment horizontal="center" vertical="center" wrapText="1"/>
    </xf>
    <xf numFmtId="38" fontId="0" fillId="0" borderId="0" xfId="0" applyNumberFormat="1"/>
    <xf numFmtId="38" fontId="12" fillId="10" borderId="13" xfId="11" applyNumberFormat="1"/>
    <xf numFmtId="0" fontId="0" fillId="0" borderId="0" xfId="0"/>
    <xf numFmtId="0" fontId="12" fillId="0" borderId="13" xfId="11" applyFill="1"/>
    <xf numFmtId="0" fontId="13" fillId="35" borderId="7" xfId="14"/>
    <xf numFmtId="10" fontId="8" fillId="6" borderId="5" xfId="12" applyNumberFormat="1"/>
    <xf numFmtId="6" fontId="8" fillId="6" borderId="5" xfId="12" applyNumberFormat="1"/>
    <xf numFmtId="10" fontId="12" fillId="10" borderId="13" xfId="11" applyNumberFormat="1"/>
    <xf numFmtId="38" fontId="6" fillId="4" borderId="4" xfId="4" applyNumberFormat="1"/>
    <xf numFmtId="0" fontId="0" fillId="0" borderId="0" xfId="0"/>
    <xf numFmtId="0" fontId="0" fillId="0" borderId="0" xfId="0"/>
    <xf numFmtId="43" fontId="0" fillId="0" borderId="0" xfId="1" applyFont="1"/>
    <xf numFmtId="0" fontId="0" fillId="0" borderId="0" xfId="0"/>
    <xf numFmtId="9" fontId="8" fillId="6" borderId="5" xfId="13" applyFont="1" applyFill="1" applyBorder="1"/>
    <xf numFmtId="40" fontId="8" fillId="6" borderId="5" xfId="9" applyNumberFormat="1"/>
    <xf numFmtId="43" fontId="0" fillId="0" borderId="0" xfId="0" applyNumberFormat="1"/>
    <xf numFmtId="43" fontId="13" fillId="35" borderId="7" xfId="14" applyNumberFormat="1"/>
    <xf numFmtId="0" fontId="13" fillId="0" borderId="7" xfId="14" applyFill="1"/>
    <xf numFmtId="38" fontId="13" fillId="35" borderId="7" xfId="14" applyNumberFormat="1"/>
    <xf numFmtId="0" fontId="0" fillId="0" borderId="0" xfId="0"/>
    <xf numFmtId="0" fontId="8" fillId="6" borderId="5" xfId="12" applyNumberFormat="1"/>
    <xf numFmtId="164" fontId="0" fillId="0" borderId="0" xfId="0" applyNumberFormat="1"/>
    <xf numFmtId="0" fontId="5" fillId="8" borderId="8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67" fontId="5" fillId="0" borderId="3" xfId="0" applyNumberFormat="1" applyFont="1" applyBorder="1" applyAlignment="1">
      <alignment horizontal="center" vertical="center" wrapText="1"/>
    </xf>
    <xf numFmtId="0" fontId="17" fillId="0" borderId="12" xfId="15"/>
    <xf numFmtId="0" fontId="13" fillId="9" borderId="7" xfId="14" applyFill="1"/>
    <xf numFmtId="164" fontId="6" fillId="4" borderId="4" xfId="4" applyNumberFormat="1"/>
    <xf numFmtId="164" fontId="9" fillId="4" borderId="5" xfId="10" applyNumberFormat="1"/>
    <xf numFmtId="0" fontId="0" fillId="0" borderId="0" xfId="0" applyAlignment="1">
      <alignment wrapText="1"/>
    </xf>
    <xf numFmtId="0" fontId="0" fillId="0" borderId="0" xfId="0"/>
    <xf numFmtId="38" fontId="8" fillId="7" borderId="5" xfId="9" applyFill="1"/>
    <xf numFmtId="9" fontId="8" fillId="7" borderId="5" xfId="12" applyNumberFormat="1" applyFill="1"/>
    <xf numFmtId="43" fontId="3" fillId="3" borderId="1" xfId="1" applyNumberFormat="1" applyFont="1" applyFill="1" applyBorder="1"/>
    <xf numFmtId="2" fontId="3" fillId="3" borderId="1" xfId="3" applyNumberFormat="1"/>
    <xf numFmtId="165" fontId="8" fillId="6" borderId="5" xfId="12" applyNumberFormat="1"/>
    <xf numFmtId="40" fontId="6" fillId="4" borderId="4" xfId="4" applyNumberFormat="1"/>
    <xf numFmtId="40" fontId="9" fillId="4" borderId="5" xfId="10" applyNumberFormat="1"/>
    <xf numFmtId="0" fontId="12" fillId="10" borderId="0" xfId="11" applyBorder="1"/>
    <xf numFmtId="0" fontId="12" fillId="36" borderId="0" xfId="11" applyFill="1" applyBorder="1"/>
    <xf numFmtId="165" fontId="8" fillId="36" borderId="5" xfId="12" applyNumberFormat="1" applyFill="1"/>
    <xf numFmtId="165" fontId="8" fillId="37" borderId="5" xfId="12" applyNumberFormat="1" applyFill="1"/>
    <xf numFmtId="165" fontId="0" fillId="37" borderId="0" xfId="0" applyNumberFormat="1" applyFill="1"/>
    <xf numFmtId="165" fontId="20" fillId="37" borderId="5" xfId="12" applyNumberFormat="1" applyFont="1" applyFill="1"/>
    <xf numFmtId="0" fontId="12" fillId="0" borderId="0" xfId="11" applyFill="1" applyBorder="1" applyAlignment="1">
      <alignment horizontal="center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/>
    </xf>
    <xf numFmtId="0" fontId="13" fillId="9" borderId="7" xfId="14" applyFill="1" applyAlignment="1">
      <alignment horizontal="center"/>
    </xf>
  </cellXfs>
  <cellStyles count="42">
    <cellStyle name="20% - Accent1" xfId="18" builtinId="30" hidden="1"/>
    <cellStyle name="20% - Accent2" xfId="22" builtinId="34" hidden="1"/>
    <cellStyle name="20% - Accent3" xfId="26" builtinId="38" hidden="1"/>
    <cellStyle name="20% - Accent4" xfId="30" builtinId="42" hidden="1"/>
    <cellStyle name="20% - Accent5" xfId="34" builtinId="46" hidden="1"/>
    <cellStyle name="20% - Accent6" xfId="38" builtinId="50" hidden="1"/>
    <cellStyle name="40% - Accent1" xfId="19" builtinId="31" hidden="1"/>
    <cellStyle name="40% - Accent2" xfId="23" builtinId="35" hidden="1"/>
    <cellStyle name="40% - Accent3" xfId="27" builtinId="39" hidden="1"/>
    <cellStyle name="40% - Accent4" xfId="31" builtinId="43" hidden="1"/>
    <cellStyle name="40% - Accent5" xfId="35" builtinId="47" hidden="1"/>
    <cellStyle name="40% - Accent6" xfId="39" builtinId="51" hidden="1"/>
    <cellStyle name="60% - Accent1" xfId="20" builtinId="32" hidden="1"/>
    <cellStyle name="60% - Accent2" xfId="24" builtinId="36" hidden="1"/>
    <cellStyle name="60% - Accent3" xfId="28" builtinId="40" hidden="1"/>
    <cellStyle name="60% - Accent4" xfId="32" builtinId="44" hidden="1"/>
    <cellStyle name="60% - Accent5" xfId="36" builtinId="48" hidden="1"/>
    <cellStyle name="60% - Accent6" xfId="40" builtinId="52" hidden="1"/>
    <cellStyle name="Accent1" xfId="17" builtinId="29" hidden="1"/>
    <cellStyle name="Accent2" xfId="21" builtinId="33" hidden="1"/>
    <cellStyle name="Accent3" xfId="25" builtinId="37" hidden="1"/>
    <cellStyle name="Accent4" xfId="29" builtinId="41" hidden="1"/>
    <cellStyle name="Accent5" xfId="33" builtinId="45" hidden="1"/>
    <cellStyle name="Accent6" xfId="37" builtinId="49" hidden="1"/>
    <cellStyle name="Bad" xfId="2" builtinId="27" hidden="1"/>
    <cellStyle name="Calculation" xfId="6" builtinId="22" customBuiltin="1"/>
    <cellStyle name="Calculation $m" xfId="10"/>
    <cellStyle name="Check Cell" xfId="3" builtinId="23"/>
    <cellStyle name="Comma" xfId="1" builtinId="3"/>
    <cellStyle name="Good" xfId="5" builtinId="26" hidden="1"/>
    <cellStyle name="Heading 1" xfId="14" builtinId="16" customBuiltin="1"/>
    <cellStyle name="Heading 2" xfId="11" builtinId="17" customBuiltin="1"/>
    <cellStyle name="Heading 3" xfId="15" builtinId="18"/>
    <cellStyle name="Input" xfId="12" builtinId="20"/>
    <cellStyle name="Input Number" xfId="9"/>
    <cellStyle name="Linked Cell" xfId="7" builtinId="24" customBuiltin="1"/>
    <cellStyle name="Month" xfId="8"/>
    <cellStyle name="Normal" xfId="0" builtinId="0"/>
    <cellStyle name="Normal 10 2 2" xfId="41"/>
    <cellStyle name="Output" xfId="4" builtinId="21"/>
    <cellStyle name="Percent" xfId="13" builtinId="5"/>
    <cellStyle name="Source" xfId="1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16"/>
  <sheetViews>
    <sheetView tabSelected="1" workbookViewId="0"/>
  </sheetViews>
  <sheetFormatPr defaultRowHeight="14.5" x14ac:dyDescent="0.35"/>
  <cols>
    <col min="1" max="1" width="18" bestFit="1" customWidth="1"/>
  </cols>
  <sheetData>
    <row r="1" spans="1:7" s="59" customFormat="1" x14ac:dyDescent="0.35">
      <c r="C1" s="16">
        <v>2021</v>
      </c>
      <c r="D1" s="16">
        <v>2022</v>
      </c>
      <c r="E1" s="16">
        <v>2023</v>
      </c>
      <c r="F1" s="16">
        <v>2024</v>
      </c>
      <c r="G1" s="16">
        <v>2025</v>
      </c>
    </row>
    <row r="2" spans="1:7" x14ac:dyDescent="0.35">
      <c r="A2" s="16" t="s">
        <v>8</v>
      </c>
    </row>
    <row r="3" spans="1:7" x14ac:dyDescent="0.35">
      <c r="A3" s="16" t="s">
        <v>9</v>
      </c>
    </row>
    <row r="4" spans="1:7" x14ac:dyDescent="0.35">
      <c r="A4" s="16" t="s">
        <v>10</v>
      </c>
    </row>
    <row r="6" spans="1:7" x14ac:dyDescent="0.35">
      <c r="A6" s="16" t="s">
        <v>11</v>
      </c>
      <c r="B6" s="33">
        <v>2.3370936398920517E-2</v>
      </c>
    </row>
    <row r="8" spans="1:7" x14ac:dyDescent="0.35">
      <c r="A8" s="16" t="s">
        <v>81</v>
      </c>
    </row>
    <row r="9" spans="1:7" x14ac:dyDescent="0.35">
      <c r="A9" s="16" t="s">
        <v>143</v>
      </c>
    </row>
    <row r="10" spans="1:7" x14ac:dyDescent="0.35">
      <c r="A10" s="16" t="s">
        <v>152</v>
      </c>
    </row>
    <row r="11" spans="1:7" x14ac:dyDescent="0.35">
      <c r="A11" s="16" t="s">
        <v>125</v>
      </c>
    </row>
    <row r="12" spans="1:7" x14ac:dyDescent="0.35">
      <c r="A12" s="16" t="s">
        <v>124</v>
      </c>
    </row>
    <row r="14" spans="1:7" x14ac:dyDescent="0.35">
      <c r="A14" s="9" t="s">
        <v>52</v>
      </c>
    </row>
    <row r="15" spans="1:7" x14ac:dyDescent="0.35">
      <c r="A15" s="9" t="s">
        <v>146</v>
      </c>
      <c r="C15" s="33">
        <v>2.1573815470584456E-2</v>
      </c>
      <c r="D15" s="33">
        <v>2.0694490525849173E-2</v>
      </c>
      <c r="E15" s="33">
        <v>1.9815165581113757E-2</v>
      </c>
      <c r="F15" s="33">
        <v>1.8935840636378341E-2</v>
      </c>
      <c r="G15" s="33">
        <v>1.8056515691642926E-2</v>
      </c>
    </row>
    <row r="16" spans="1:7" x14ac:dyDescent="0.35">
      <c r="A16" s="9" t="s">
        <v>147</v>
      </c>
      <c r="C16" s="33">
        <v>2.0500526983326051E-2</v>
      </c>
      <c r="D16" s="33">
        <v>1.9034985408767247E-2</v>
      </c>
      <c r="E16" s="33">
        <v>1.756944383420822E-2</v>
      </c>
      <c r="F16" s="33">
        <v>1.6103902259649194E-2</v>
      </c>
      <c r="G16" s="33">
        <v>1.4638360685090168E-2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"/>
  <sheetViews>
    <sheetView zoomScaleNormal="100" workbookViewId="0"/>
  </sheetViews>
  <sheetFormatPr defaultRowHeight="14.5" x14ac:dyDescent="0.35"/>
  <cols>
    <col min="1" max="1" width="53.54296875" bestFit="1" customWidth="1"/>
    <col min="2" max="2" width="6" customWidth="1"/>
    <col min="3" max="3" width="16.81640625" bestFit="1" customWidth="1"/>
    <col min="4" max="5" width="13.26953125" bestFit="1" customWidth="1"/>
    <col min="6" max="6" width="14.26953125" bestFit="1" customWidth="1"/>
    <col min="7" max="8" width="13.26953125" bestFit="1" customWidth="1"/>
    <col min="10" max="10" width="16.7265625" bestFit="1" customWidth="1"/>
    <col min="11" max="11" width="16.7265625" style="59" customWidth="1"/>
    <col min="12" max="12" width="18" bestFit="1" customWidth="1"/>
    <col min="15" max="15" width="19" customWidth="1"/>
    <col min="17" max="17" width="15" bestFit="1" customWidth="1"/>
    <col min="23" max="23" width="27.1796875" bestFit="1" customWidth="1"/>
  </cols>
  <sheetData>
    <row r="1" spans="1:24" ht="17.5" thickBot="1" x14ac:dyDescent="0.4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/>
      <c r="J1" s="18"/>
      <c r="K1" s="68" t="s">
        <v>197</v>
      </c>
      <c r="L1" s="18"/>
      <c r="M1" s="18"/>
      <c r="N1" s="18"/>
      <c r="O1" s="18"/>
      <c r="R1" s="73" t="s">
        <v>23</v>
      </c>
      <c r="S1" s="73"/>
      <c r="T1" t="s">
        <v>115</v>
      </c>
    </row>
    <row r="2" spans="1:24" s="11" customFormat="1" ht="15" thickTop="1" x14ac:dyDescent="0.35">
      <c r="A2" s="17"/>
      <c r="B2" s="17"/>
      <c r="C2" s="17">
        <f t="shared" ref="C2:H2" si="0">SUM(C7:C100)</f>
        <v>8823.9068678333333</v>
      </c>
      <c r="D2" s="17">
        <f t="shared" si="0"/>
        <v>4658.2978649999995</v>
      </c>
      <c r="E2" s="17">
        <f t="shared" si="0"/>
        <v>6284.1978650000001</v>
      </c>
      <c r="F2" s="17">
        <f t="shared" si="0"/>
        <v>5191.8478649999997</v>
      </c>
      <c r="G2" s="17">
        <f t="shared" si="0"/>
        <v>4742.3074249999991</v>
      </c>
      <c r="H2" s="17">
        <f t="shared" si="0"/>
        <v>3725.0259999999998</v>
      </c>
      <c r="I2" s="17"/>
      <c r="J2" s="17"/>
      <c r="K2" s="71" t="s">
        <v>198</v>
      </c>
      <c r="L2" s="59"/>
      <c r="M2" s="59"/>
    </row>
    <row r="3" spans="1:24" x14ac:dyDescent="0.3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59"/>
      <c r="M3" s="59"/>
    </row>
    <row r="4" spans="1:24" s="20" customFormat="1" x14ac:dyDescent="0.3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59"/>
      <c r="M4" s="59"/>
    </row>
    <row r="5" spans="1:24" s="11" customFormat="1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59"/>
      <c r="M5" s="59"/>
    </row>
    <row r="6" spans="1:24" s="21" customFormat="1" ht="17.5" thickBot="1" x14ac:dyDescent="0.45">
      <c r="A6" s="13" t="s">
        <v>32</v>
      </c>
      <c r="B6" s="13" t="str">
        <f>B1</f>
        <v>FY 19</v>
      </c>
      <c r="C6" s="13" t="str">
        <f t="shared" ref="C6:H6" si="1">C1</f>
        <v>FY 20</v>
      </c>
      <c r="D6" s="13" t="str">
        <f t="shared" si="1"/>
        <v>FY 21</v>
      </c>
      <c r="E6" s="13" t="str">
        <f t="shared" si="1"/>
        <v>FY 22</v>
      </c>
      <c r="F6" s="13" t="str">
        <f t="shared" si="1"/>
        <v>FY 23</v>
      </c>
      <c r="G6" s="13" t="str">
        <f t="shared" si="1"/>
        <v>FY 24</v>
      </c>
      <c r="H6" s="13" t="str">
        <f t="shared" si="1"/>
        <v>FY 25</v>
      </c>
      <c r="I6" s="13"/>
      <c r="J6" s="13" t="s">
        <v>22</v>
      </c>
      <c r="K6" s="13" t="s">
        <v>144</v>
      </c>
      <c r="L6" s="13" t="s">
        <v>145</v>
      </c>
      <c r="M6" s="13" t="s">
        <v>14</v>
      </c>
      <c r="N6" s="13"/>
      <c r="O6" s="13" t="s">
        <v>195</v>
      </c>
      <c r="Q6" s="67" t="s">
        <v>196</v>
      </c>
    </row>
    <row r="7" spans="1:24" ht="15" thickTop="1" x14ac:dyDescent="0.35">
      <c r="A7" s="16" t="s">
        <v>163</v>
      </c>
      <c r="B7" s="64"/>
      <c r="C7" s="64">
        <v>0</v>
      </c>
      <c r="D7" s="64">
        <v>66</v>
      </c>
      <c r="E7" s="64">
        <v>22</v>
      </c>
      <c r="F7" s="64">
        <v>44</v>
      </c>
      <c r="G7" s="64">
        <v>44</v>
      </c>
      <c r="H7" s="64">
        <v>44</v>
      </c>
      <c r="I7" s="16"/>
      <c r="J7" s="64">
        <f t="shared" ref="J7:J9" si="2">SUM(D7:H7)</f>
        <v>220</v>
      </c>
      <c r="K7" s="16" t="s">
        <v>8</v>
      </c>
      <c r="L7" s="16" t="s">
        <v>81</v>
      </c>
      <c r="M7" s="16">
        <v>1.06</v>
      </c>
      <c r="N7" s="6">
        <f t="shared" ref="N7:N70" si="3">IF(SUM(D7:H7)=0,"",LEFT(M7,2)-0)</f>
        <v>1</v>
      </c>
      <c r="O7" s="6" t="str">
        <f>_xlfn.IFNA(INDEX($S$7:$S$22,MATCH(N7,$R$7:$R$22,0),0),"")</f>
        <v>Corrosion and Environmental Deterioration</v>
      </c>
      <c r="P7" s="15"/>
      <c r="Q7" s="6" t="str">
        <f>_xlfn.IFNA(INDEX($X$7:$X$11,MATCH($L7,$W$7:$W$11,0),0),"")</f>
        <v>Declining Value</v>
      </c>
      <c r="R7" s="16">
        <v>1</v>
      </c>
      <c r="S7" s="16" t="s">
        <v>187</v>
      </c>
      <c r="T7" s="16">
        <v>1</v>
      </c>
      <c r="U7" s="16" t="s">
        <v>116</v>
      </c>
      <c r="W7" s="16" t="str">
        <f>'1. Data'!A8</f>
        <v>Transmission Assets</v>
      </c>
      <c r="X7" s="16" t="str">
        <f>U7</f>
        <v>Declining Value</v>
      </c>
    </row>
    <row r="8" spans="1:24" x14ac:dyDescent="0.35">
      <c r="A8" s="16" t="s">
        <v>142</v>
      </c>
      <c r="B8" s="64"/>
      <c r="C8" s="64">
        <v>0</v>
      </c>
      <c r="D8" s="69">
        <v>1650</v>
      </c>
      <c r="E8" s="64">
        <v>3300</v>
      </c>
      <c r="F8" s="64">
        <v>3300</v>
      </c>
      <c r="G8" s="64">
        <v>3300</v>
      </c>
      <c r="H8" s="64">
        <v>3300</v>
      </c>
      <c r="I8" s="16"/>
      <c r="J8" s="69">
        <f t="shared" si="2"/>
        <v>14850</v>
      </c>
      <c r="K8" s="16" t="s">
        <v>8</v>
      </c>
      <c r="L8" s="16" t="s">
        <v>81</v>
      </c>
      <c r="M8" s="16">
        <v>5.01</v>
      </c>
      <c r="N8" s="6">
        <f t="shared" si="3"/>
        <v>5</v>
      </c>
      <c r="O8" s="6" t="str">
        <f t="shared" ref="O8:O71" si="4">_xlfn.IFNA(INDEX($S$7:$S$22,MATCH(N8,$R$7:$R$22,0),0),"")</f>
        <v>Obsolete IGBTs</v>
      </c>
      <c r="P8" s="47"/>
      <c r="Q8" s="6" t="str">
        <f t="shared" ref="Q8:Q71" si="5">_xlfn.IFNA(INDEX($X$7:$X$11,MATCH($L8,$W$7:$W$11,0),0),"")</f>
        <v>Declining Value</v>
      </c>
      <c r="R8" s="16">
        <f>R7+1</f>
        <v>2</v>
      </c>
      <c r="S8" s="16" t="s">
        <v>188</v>
      </c>
      <c r="T8" s="16">
        <v>2</v>
      </c>
      <c r="U8" s="16" t="s">
        <v>117</v>
      </c>
      <c r="W8" s="16" t="str">
        <f>'1. Data'!A9</f>
        <v>Transmission Determination</v>
      </c>
      <c r="X8" s="16" t="str">
        <f>U7</f>
        <v>Declining Value</v>
      </c>
    </row>
    <row r="9" spans="1:24" x14ac:dyDescent="0.35">
      <c r="A9" s="16" t="s">
        <v>139</v>
      </c>
      <c r="B9" s="64"/>
      <c r="C9" s="64">
        <v>0</v>
      </c>
      <c r="D9" s="64">
        <v>0</v>
      </c>
      <c r="E9" s="64">
        <v>176</v>
      </c>
      <c r="F9" s="64">
        <v>0</v>
      </c>
      <c r="G9" s="64">
        <v>0</v>
      </c>
      <c r="H9" s="64">
        <v>0</v>
      </c>
      <c r="I9" s="16"/>
      <c r="J9" s="64">
        <f t="shared" si="2"/>
        <v>176</v>
      </c>
      <c r="K9" s="16" t="s">
        <v>8</v>
      </c>
      <c r="L9" s="16" t="s">
        <v>124</v>
      </c>
      <c r="M9" s="16">
        <v>1.02</v>
      </c>
      <c r="N9" s="6">
        <f t="shared" si="3"/>
        <v>1</v>
      </c>
      <c r="O9" s="6" t="str">
        <f t="shared" si="4"/>
        <v>Corrosion and Environmental Deterioration</v>
      </c>
      <c r="P9" s="47"/>
      <c r="Q9" s="6" t="str">
        <f t="shared" si="5"/>
        <v>Declining Value</v>
      </c>
      <c r="R9" s="16">
        <f t="shared" ref="R9:R17" si="6">R8+1</f>
        <v>3</v>
      </c>
      <c r="S9" s="16" t="s">
        <v>189</v>
      </c>
      <c r="T9" s="16">
        <v>3</v>
      </c>
      <c r="U9" s="16" t="s">
        <v>118</v>
      </c>
      <c r="W9" s="16" t="str">
        <f>'1. Data'!A10</f>
        <v>Easements</v>
      </c>
      <c r="X9" s="16" t="s">
        <v>148</v>
      </c>
    </row>
    <row r="10" spans="1:24" x14ac:dyDescent="0.35">
      <c r="A10" s="16" t="s">
        <v>138</v>
      </c>
      <c r="B10" s="64"/>
      <c r="C10" s="70">
        <v>100</v>
      </c>
      <c r="D10" s="64">
        <v>220</v>
      </c>
      <c r="E10" s="64">
        <v>0</v>
      </c>
      <c r="F10" s="64">
        <v>0</v>
      </c>
      <c r="G10" s="64">
        <v>0</v>
      </c>
      <c r="H10" s="64">
        <v>0</v>
      </c>
      <c r="I10" s="16"/>
      <c r="J10" s="64">
        <f t="shared" ref="J10:J70" si="7">SUM(D10:H10)</f>
        <v>220</v>
      </c>
      <c r="K10" s="16" t="s">
        <v>8</v>
      </c>
      <c r="L10" s="16" t="s">
        <v>124</v>
      </c>
      <c r="M10" s="16">
        <v>1.05</v>
      </c>
      <c r="N10" s="6">
        <f t="shared" si="3"/>
        <v>1</v>
      </c>
      <c r="O10" s="6" t="str">
        <f t="shared" si="4"/>
        <v>Corrosion and Environmental Deterioration</v>
      </c>
      <c r="P10" s="47"/>
      <c r="Q10" s="6" t="str">
        <f t="shared" si="5"/>
        <v>Declining Value</v>
      </c>
      <c r="R10" s="16">
        <f t="shared" si="6"/>
        <v>4</v>
      </c>
      <c r="S10" s="16" t="s">
        <v>190</v>
      </c>
      <c r="W10" s="16" t="str">
        <f>'1. Data'!A11</f>
        <v>Land</v>
      </c>
      <c r="X10" s="16" t="str">
        <f>U8</f>
        <v>Straight Line</v>
      </c>
    </row>
    <row r="11" spans="1:24" x14ac:dyDescent="0.35">
      <c r="A11" s="16" t="s">
        <v>162</v>
      </c>
      <c r="B11" s="64"/>
      <c r="C11" s="64">
        <v>0</v>
      </c>
      <c r="D11" s="64">
        <v>0</v>
      </c>
      <c r="E11" s="64">
        <v>198</v>
      </c>
      <c r="F11" s="64">
        <v>0</v>
      </c>
      <c r="G11" s="64">
        <v>0</v>
      </c>
      <c r="H11" s="64">
        <v>0</v>
      </c>
      <c r="I11" s="16"/>
      <c r="J11" s="64">
        <f t="shared" si="7"/>
        <v>198</v>
      </c>
      <c r="K11" s="16" t="s">
        <v>8</v>
      </c>
      <c r="L11" s="16" t="s">
        <v>124</v>
      </c>
      <c r="M11" s="16">
        <v>1.04</v>
      </c>
      <c r="N11" s="6">
        <f t="shared" si="3"/>
        <v>1</v>
      </c>
      <c r="O11" s="6" t="str">
        <f t="shared" si="4"/>
        <v>Corrosion and Environmental Deterioration</v>
      </c>
      <c r="P11" s="47"/>
      <c r="Q11" s="6" t="str">
        <f t="shared" si="5"/>
        <v>Declining Value</v>
      </c>
      <c r="R11" s="16">
        <f t="shared" si="6"/>
        <v>5</v>
      </c>
      <c r="S11" s="16" t="s">
        <v>191</v>
      </c>
      <c r="W11" s="16" t="str">
        <f>'1. Data'!A12</f>
        <v>Buildings</v>
      </c>
      <c r="X11" s="16" t="str">
        <f>U7</f>
        <v>Declining Value</v>
      </c>
    </row>
    <row r="12" spans="1:24" x14ac:dyDescent="0.35">
      <c r="A12" s="16" t="s">
        <v>181</v>
      </c>
      <c r="B12" s="64"/>
      <c r="C12" s="64">
        <v>0</v>
      </c>
      <c r="D12" s="64">
        <v>3</v>
      </c>
      <c r="E12" s="64">
        <v>0</v>
      </c>
      <c r="F12" s="64">
        <v>0</v>
      </c>
      <c r="G12" s="64">
        <v>0</v>
      </c>
      <c r="H12" s="64">
        <v>0</v>
      </c>
      <c r="I12" s="16"/>
      <c r="J12" s="64">
        <f t="shared" si="7"/>
        <v>3</v>
      </c>
      <c r="K12" s="16" t="s">
        <v>9</v>
      </c>
      <c r="L12" s="16" t="s">
        <v>81</v>
      </c>
      <c r="M12" s="16">
        <v>9.0599999999999987</v>
      </c>
      <c r="N12" s="6">
        <f t="shared" si="3"/>
        <v>9</v>
      </c>
      <c r="O12" s="6" t="str">
        <f t="shared" si="4"/>
        <v>Stay in Business</v>
      </c>
      <c r="P12" s="47"/>
      <c r="Q12" s="6" t="str">
        <f t="shared" si="5"/>
        <v>Declining Value</v>
      </c>
      <c r="R12" s="16">
        <f t="shared" si="6"/>
        <v>6</v>
      </c>
      <c r="S12" s="16" t="s">
        <v>171</v>
      </c>
    </row>
    <row r="13" spans="1:24" x14ac:dyDescent="0.35">
      <c r="A13" s="16" t="s">
        <v>140</v>
      </c>
      <c r="B13" s="64"/>
      <c r="C13" s="70">
        <v>64.481880000000004</v>
      </c>
      <c r="D13" s="69">
        <v>272.447835</v>
      </c>
      <c r="E13" s="69">
        <v>272.447835</v>
      </c>
      <c r="F13" s="69">
        <v>272.447835</v>
      </c>
      <c r="G13" s="69">
        <v>272.447835</v>
      </c>
      <c r="H13" s="64">
        <v>0</v>
      </c>
      <c r="I13" s="16"/>
      <c r="J13" s="69">
        <f t="shared" si="7"/>
        <v>1089.79134</v>
      </c>
      <c r="K13" s="16" t="s">
        <v>9</v>
      </c>
      <c r="L13" s="16" t="s">
        <v>81</v>
      </c>
      <c r="M13" s="16">
        <v>3.01</v>
      </c>
      <c r="N13" s="6">
        <f t="shared" si="3"/>
        <v>3</v>
      </c>
      <c r="O13" s="6" t="str">
        <f t="shared" si="4"/>
        <v>Cable Modification</v>
      </c>
      <c r="P13" s="47"/>
      <c r="Q13" s="6" t="str">
        <f t="shared" si="5"/>
        <v>Declining Value</v>
      </c>
      <c r="R13" s="16">
        <f t="shared" si="6"/>
        <v>7</v>
      </c>
      <c r="S13" s="16" t="s">
        <v>192</v>
      </c>
    </row>
    <row r="14" spans="1:24" x14ac:dyDescent="0.35">
      <c r="A14" s="16" t="s">
        <v>180</v>
      </c>
      <c r="B14" s="64"/>
      <c r="C14" s="64">
        <v>0</v>
      </c>
      <c r="D14" s="64">
        <v>26</v>
      </c>
      <c r="E14" s="64">
        <v>0</v>
      </c>
      <c r="F14" s="64">
        <v>0</v>
      </c>
      <c r="G14" s="64">
        <v>0</v>
      </c>
      <c r="H14" s="64">
        <v>0</v>
      </c>
      <c r="I14" s="16"/>
      <c r="J14" s="64">
        <f t="shared" si="7"/>
        <v>26</v>
      </c>
      <c r="K14" s="16" t="s">
        <v>9</v>
      </c>
      <c r="L14" s="16" t="s">
        <v>81</v>
      </c>
      <c r="M14" s="16">
        <v>9.0499999999999989</v>
      </c>
      <c r="N14" s="6">
        <f t="shared" si="3"/>
        <v>9</v>
      </c>
      <c r="O14" s="6" t="str">
        <f t="shared" si="4"/>
        <v>Stay in Business</v>
      </c>
      <c r="P14" s="47"/>
      <c r="Q14" s="6" t="str">
        <f t="shared" si="5"/>
        <v>Declining Value</v>
      </c>
      <c r="R14" s="16">
        <f t="shared" si="6"/>
        <v>8</v>
      </c>
      <c r="S14" s="16" t="s">
        <v>193</v>
      </c>
    </row>
    <row r="15" spans="1:24" x14ac:dyDescent="0.35">
      <c r="A15" s="16" t="s">
        <v>141</v>
      </c>
      <c r="B15" s="64"/>
      <c r="C15" s="64">
        <v>0</v>
      </c>
      <c r="D15" s="64">
        <v>470</v>
      </c>
      <c r="E15" s="64">
        <v>350</v>
      </c>
      <c r="F15" s="64">
        <v>0</v>
      </c>
      <c r="G15" s="64">
        <v>0</v>
      </c>
      <c r="H15" s="64">
        <v>0</v>
      </c>
      <c r="I15" s="16"/>
      <c r="J15" s="64">
        <f t="shared" si="7"/>
        <v>820</v>
      </c>
      <c r="K15" s="16" t="s">
        <v>9</v>
      </c>
      <c r="L15" s="16" t="s">
        <v>81</v>
      </c>
      <c r="M15" s="16">
        <v>2.0099999999999998</v>
      </c>
      <c r="N15" s="6">
        <f t="shared" si="3"/>
        <v>2</v>
      </c>
      <c r="O15" s="6" t="str">
        <f t="shared" si="4"/>
        <v>Cable Protection</v>
      </c>
      <c r="P15" s="47"/>
      <c r="Q15" s="6" t="str">
        <f t="shared" si="5"/>
        <v>Declining Value</v>
      </c>
      <c r="R15" s="16">
        <f t="shared" si="6"/>
        <v>9</v>
      </c>
      <c r="S15" s="16" t="s">
        <v>194</v>
      </c>
    </row>
    <row r="16" spans="1:24" x14ac:dyDescent="0.35">
      <c r="A16" s="16" t="s">
        <v>169</v>
      </c>
      <c r="B16" s="64"/>
      <c r="C16" s="64">
        <v>0</v>
      </c>
      <c r="D16" s="64">
        <v>78</v>
      </c>
      <c r="E16" s="64">
        <v>78</v>
      </c>
      <c r="F16" s="64">
        <v>78</v>
      </c>
      <c r="G16" s="64">
        <v>78</v>
      </c>
      <c r="H16" s="64">
        <v>78</v>
      </c>
      <c r="I16" s="16"/>
      <c r="J16" s="64">
        <f t="shared" si="7"/>
        <v>390</v>
      </c>
      <c r="K16" s="16" t="s">
        <v>8</v>
      </c>
      <c r="L16" s="16" t="s">
        <v>81</v>
      </c>
      <c r="M16" s="16">
        <v>4.01</v>
      </c>
      <c r="N16" s="6">
        <f t="shared" si="3"/>
        <v>4</v>
      </c>
      <c r="O16" s="6" t="str">
        <f t="shared" si="4"/>
        <v xml:space="preserve">Essential Spares </v>
      </c>
      <c r="P16" s="47"/>
      <c r="Q16" s="6" t="str">
        <f t="shared" si="5"/>
        <v>Declining Value</v>
      </c>
      <c r="R16" s="16">
        <f t="shared" si="6"/>
        <v>10</v>
      </c>
      <c r="S16" s="16" t="s">
        <v>137</v>
      </c>
    </row>
    <row r="17" spans="1:19" x14ac:dyDescent="0.35">
      <c r="A17" s="16" t="s">
        <v>165</v>
      </c>
      <c r="B17" s="64"/>
      <c r="C17" s="64">
        <v>0</v>
      </c>
      <c r="D17" s="64">
        <v>0</v>
      </c>
      <c r="E17" s="64">
        <v>407.1</v>
      </c>
      <c r="F17" s="64">
        <v>0</v>
      </c>
      <c r="G17" s="64">
        <v>0</v>
      </c>
      <c r="H17" s="64">
        <v>0</v>
      </c>
      <c r="I17" s="16"/>
      <c r="J17" s="64">
        <f t="shared" si="7"/>
        <v>407.1</v>
      </c>
      <c r="K17" s="16" t="s">
        <v>8</v>
      </c>
      <c r="L17" s="16" t="s">
        <v>81</v>
      </c>
      <c r="M17" s="16">
        <v>1.08</v>
      </c>
      <c r="N17" s="6">
        <f t="shared" si="3"/>
        <v>1</v>
      </c>
      <c r="O17" s="6" t="str">
        <f t="shared" si="4"/>
        <v>Corrosion and Environmental Deterioration</v>
      </c>
      <c r="P17" s="47"/>
      <c r="Q17" s="6" t="str">
        <f t="shared" si="5"/>
        <v>Declining Value</v>
      </c>
      <c r="R17" s="16">
        <f t="shared" si="6"/>
        <v>11</v>
      </c>
      <c r="S17" s="16" t="s">
        <v>160</v>
      </c>
    </row>
    <row r="18" spans="1:19" x14ac:dyDescent="0.35">
      <c r="A18" s="16" t="s">
        <v>166</v>
      </c>
      <c r="B18" s="64"/>
      <c r="C18" s="64">
        <v>0</v>
      </c>
      <c r="D18" s="69">
        <v>72</v>
      </c>
      <c r="E18" s="69">
        <v>24</v>
      </c>
      <c r="F18" s="69">
        <v>77</v>
      </c>
      <c r="G18" s="69">
        <v>78</v>
      </c>
      <c r="H18" s="69">
        <v>77</v>
      </c>
      <c r="I18" s="16"/>
      <c r="J18" s="69">
        <f t="shared" si="7"/>
        <v>328</v>
      </c>
      <c r="K18" s="16" t="s">
        <v>8</v>
      </c>
      <c r="L18" s="16" t="s">
        <v>81</v>
      </c>
      <c r="M18" s="16">
        <v>1.0900000000000001</v>
      </c>
      <c r="N18" s="6">
        <f t="shared" si="3"/>
        <v>1</v>
      </c>
      <c r="O18" s="6" t="str">
        <f t="shared" si="4"/>
        <v>Corrosion and Environmental Deterioration</v>
      </c>
      <c r="P18" s="47"/>
      <c r="Q18" s="6" t="str">
        <f t="shared" si="5"/>
        <v>Declining Value</v>
      </c>
      <c r="R18" s="47"/>
      <c r="S18" s="59"/>
    </row>
    <row r="19" spans="1:19" x14ac:dyDescent="0.35">
      <c r="A19" s="16" t="s">
        <v>133</v>
      </c>
      <c r="B19" s="64"/>
      <c r="C19" s="69">
        <v>50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16"/>
      <c r="J19" s="64">
        <f t="shared" si="7"/>
        <v>0</v>
      </c>
      <c r="K19" s="16" t="s">
        <v>9</v>
      </c>
      <c r="L19" s="16" t="s">
        <v>81</v>
      </c>
      <c r="M19" s="16">
        <v>0.01</v>
      </c>
      <c r="N19" s="6" t="str">
        <f t="shared" si="3"/>
        <v/>
      </c>
      <c r="O19" s="6" t="str">
        <f t="shared" si="4"/>
        <v/>
      </c>
      <c r="P19" s="47"/>
      <c r="Q19" s="6" t="str">
        <f t="shared" si="5"/>
        <v>Declining Value</v>
      </c>
      <c r="R19" s="47"/>
      <c r="S19" s="59"/>
    </row>
    <row r="20" spans="1:19" x14ac:dyDescent="0.35">
      <c r="A20" s="16" t="s">
        <v>134</v>
      </c>
      <c r="B20" s="64"/>
      <c r="C20" s="69">
        <v>3865.1912944999999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16"/>
      <c r="J20" s="64">
        <f t="shared" si="7"/>
        <v>0</v>
      </c>
      <c r="K20" s="16" t="s">
        <v>8</v>
      </c>
      <c r="L20" s="16" t="s">
        <v>81</v>
      </c>
      <c r="M20" s="16">
        <v>0.01</v>
      </c>
      <c r="N20" s="6" t="str">
        <f t="shared" si="3"/>
        <v/>
      </c>
      <c r="O20" s="6" t="str">
        <f t="shared" si="4"/>
        <v/>
      </c>
      <c r="P20" s="47"/>
      <c r="Q20" s="6" t="str">
        <f t="shared" si="5"/>
        <v>Declining Value</v>
      </c>
      <c r="R20" s="47"/>
      <c r="S20" s="59"/>
    </row>
    <row r="21" spans="1:19" x14ac:dyDescent="0.35">
      <c r="A21" s="16" t="s">
        <v>130</v>
      </c>
      <c r="B21" s="64"/>
      <c r="C21" s="64">
        <v>0</v>
      </c>
      <c r="D21" s="64">
        <v>0</v>
      </c>
      <c r="E21" s="64">
        <v>0</v>
      </c>
      <c r="F21" s="64">
        <v>77</v>
      </c>
      <c r="G21" s="64">
        <v>693</v>
      </c>
      <c r="H21" s="64">
        <v>0</v>
      </c>
      <c r="I21" s="16"/>
      <c r="J21" s="64">
        <f t="shared" si="7"/>
        <v>770</v>
      </c>
      <c r="K21" s="16" t="s">
        <v>8</v>
      </c>
      <c r="L21" s="16" t="s">
        <v>81</v>
      </c>
      <c r="M21" s="16">
        <v>1.01</v>
      </c>
      <c r="N21" s="6">
        <f t="shared" si="3"/>
        <v>1</v>
      </c>
      <c r="O21" s="6" t="str">
        <f t="shared" si="4"/>
        <v>Corrosion and Environmental Deterioration</v>
      </c>
      <c r="P21" s="47"/>
      <c r="Q21" s="6" t="str">
        <f t="shared" si="5"/>
        <v>Declining Value</v>
      </c>
      <c r="R21" s="47"/>
      <c r="S21" s="59"/>
    </row>
    <row r="22" spans="1:19" x14ac:dyDescent="0.35">
      <c r="A22" s="16" t="s">
        <v>176</v>
      </c>
      <c r="B22" s="64"/>
      <c r="C22" s="64">
        <v>0</v>
      </c>
      <c r="D22" s="64">
        <v>550</v>
      </c>
      <c r="E22" s="64">
        <v>0</v>
      </c>
      <c r="F22" s="64">
        <v>0</v>
      </c>
      <c r="G22" s="64">
        <v>0</v>
      </c>
      <c r="H22" s="64">
        <v>0</v>
      </c>
      <c r="I22" s="16"/>
      <c r="J22" s="64">
        <f t="shared" si="7"/>
        <v>550</v>
      </c>
      <c r="K22" s="16" t="s">
        <v>8</v>
      </c>
      <c r="L22" s="16" t="s">
        <v>81</v>
      </c>
      <c r="M22" s="16">
        <v>8.02</v>
      </c>
      <c r="N22" s="6">
        <f t="shared" si="3"/>
        <v>8</v>
      </c>
      <c r="O22" s="6" t="str">
        <f t="shared" si="4"/>
        <v>Reliability</v>
      </c>
      <c r="P22" s="47"/>
      <c r="Q22" s="6" t="str">
        <f t="shared" si="5"/>
        <v>Declining Value</v>
      </c>
      <c r="R22" s="47"/>
      <c r="S22" s="59"/>
    </row>
    <row r="23" spans="1:19" x14ac:dyDescent="0.35">
      <c r="A23" s="16" t="s">
        <v>136</v>
      </c>
      <c r="B23" s="64"/>
      <c r="C23" s="72">
        <v>0.69299999999999995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16"/>
      <c r="J23" s="64">
        <f t="shared" si="7"/>
        <v>0</v>
      </c>
      <c r="K23" s="16" t="s">
        <v>9</v>
      </c>
      <c r="L23" s="16" t="s">
        <v>81</v>
      </c>
      <c r="M23" s="16">
        <v>0.01</v>
      </c>
      <c r="N23" s="6" t="str">
        <f t="shared" si="3"/>
        <v/>
      </c>
      <c r="O23" s="6" t="str">
        <f t="shared" si="4"/>
        <v/>
      </c>
      <c r="P23" s="47"/>
      <c r="Q23" s="6" t="str">
        <f t="shared" si="5"/>
        <v>Declining Value</v>
      </c>
    </row>
    <row r="24" spans="1:19" x14ac:dyDescent="0.35">
      <c r="A24" s="16" t="s">
        <v>129</v>
      </c>
      <c r="B24" s="64"/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16"/>
      <c r="J24" s="64">
        <f t="shared" si="7"/>
        <v>0</v>
      </c>
      <c r="K24" s="16" t="s">
        <v>8</v>
      </c>
      <c r="L24" s="16" t="s">
        <v>81</v>
      </c>
      <c r="M24" s="16">
        <v>0.01</v>
      </c>
      <c r="N24" s="6" t="str">
        <f t="shared" si="3"/>
        <v/>
      </c>
      <c r="O24" s="6" t="str">
        <f t="shared" si="4"/>
        <v/>
      </c>
      <c r="P24" s="47"/>
      <c r="Q24" s="6" t="str">
        <f t="shared" si="5"/>
        <v>Declining Value</v>
      </c>
    </row>
    <row r="25" spans="1:19" x14ac:dyDescent="0.35">
      <c r="A25" s="16" t="s">
        <v>185</v>
      </c>
      <c r="B25" s="64"/>
      <c r="C25" s="64">
        <v>0</v>
      </c>
      <c r="D25" s="64">
        <v>28</v>
      </c>
      <c r="E25" s="64">
        <v>0</v>
      </c>
      <c r="F25" s="64">
        <v>0</v>
      </c>
      <c r="G25" s="64">
        <v>0</v>
      </c>
      <c r="H25" s="64">
        <v>0</v>
      </c>
      <c r="I25" s="16"/>
      <c r="J25" s="64">
        <f t="shared" si="7"/>
        <v>28</v>
      </c>
      <c r="K25" s="16" t="s">
        <v>9</v>
      </c>
      <c r="L25" s="16" t="s">
        <v>81</v>
      </c>
      <c r="M25" s="16">
        <v>9.0999999999999979</v>
      </c>
      <c r="N25" s="6">
        <f t="shared" si="3"/>
        <v>9</v>
      </c>
      <c r="O25" s="6" t="str">
        <f t="shared" si="4"/>
        <v>Stay in Business</v>
      </c>
      <c r="P25" s="47"/>
      <c r="Q25" s="6" t="str">
        <f t="shared" si="5"/>
        <v>Declining Value</v>
      </c>
    </row>
    <row r="26" spans="1:19" x14ac:dyDescent="0.35">
      <c r="A26" s="16" t="s">
        <v>135</v>
      </c>
      <c r="B26" s="64"/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16"/>
      <c r="J26" s="64">
        <f t="shared" si="7"/>
        <v>0</v>
      </c>
      <c r="K26" s="16" t="s">
        <v>8</v>
      </c>
      <c r="L26" s="16" t="s">
        <v>81</v>
      </c>
      <c r="M26" s="16">
        <v>0.01</v>
      </c>
      <c r="N26" s="6" t="str">
        <f t="shared" si="3"/>
        <v/>
      </c>
      <c r="O26" s="6" t="str">
        <f t="shared" si="4"/>
        <v/>
      </c>
      <c r="P26" s="47"/>
      <c r="Q26" s="6" t="str">
        <f t="shared" si="5"/>
        <v>Declining Value</v>
      </c>
    </row>
    <row r="27" spans="1:19" x14ac:dyDescent="0.35">
      <c r="A27" s="16" t="s">
        <v>167</v>
      </c>
      <c r="B27" s="64"/>
      <c r="C27" s="64">
        <v>0</v>
      </c>
      <c r="D27" s="64">
        <v>15.7</v>
      </c>
      <c r="E27" s="64">
        <v>7.7</v>
      </c>
      <c r="F27" s="64">
        <v>7.7</v>
      </c>
      <c r="G27" s="64">
        <v>7.7</v>
      </c>
      <c r="H27" s="64">
        <v>0</v>
      </c>
      <c r="I27" s="16"/>
      <c r="J27" s="64">
        <f t="shared" si="7"/>
        <v>38.799999999999997</v>
      </c>
      <c r="K27" s="16" t="s">
        <v>8</v>
      </c>
      <c r="L27" s="16" t="s">
        <v>81</v>
      </c>
      <c r="M27" s="16">
        <v>1.1000000000000001</v>
      </c>
      <c r="N27" s="6">
        <f t="shared" si="3"/>
        <v>1</v>
      </c>
      <c r="O27" s="6" t="str">
        <f t="shared" si="4"/>
        <v>Corrosion and Environmental Deterioration</v>
      </c>
      <c r="P27" s="47"/>
      <c r="Q27" s="6" t="str">
        <f t="shared" si="5"/>
        <v>Declining Value</v>
      </c>
    </row>
    <row r="28" spans="1:19" x14ac:dyDescent="0.35">
      <c r="A28" s="16" t="s">
        <v>172</v>
      </c>
      <c r="B28" s="64"/>
      <c r="C28" s="64">
        <v>0</v>
      </c>
      <c r="D28" s="64">
        <v>0</v>
      </c>
      <c r="E28" s="64">
        <v>30</v>
      </c>
      <c r="F28" s="64">
        <v>300</v>
      </c>
      <c r="G28" s="64">
        <v>0</v>
      </c>
      <c r="H28" s="64">
        <v>0</v>
      </c>
      <c r="I28" s="16"/>
      <c r="J28" s="64">
        <f t="shared" si="7"/>
        <v>330</v>
      </c>
      <c r="K28" s="16" t="s">
        <v>9</v>
      </c>
      <c r="L28" s="16" t="s">
        <v>81</v>
      </c>
      <c r="M28" s="16">
        <v>7.01</v>
      </c>
      <c r="N28" s="6">
        <f t="shared" si="3"/>
        <v>7</v>
      </c>
      <c r="O28" s="6" t="str">
        <f t="shared" si="4"/>
        <v>Testing Equipment</v>
      </c>
      <c r="P28" s="47"/>
      <c r="Q28" s="6" t="str">
        <f t="shared" si="5"/>
        <v>Declining Value</v>
      </c>
    </row>
    <row r="29" spans="1:19" x14ac:dyDescent="0.35">
      <c r="A29" s="16" t="s">
        <v>182</v>
      </c>
      <c r="B29" s="64"/>
      <c r="C29" s="64">
        <v>0</v>
      </c>
      <c r="D29" s="64">
        <v>14</v>
      </c>
      <c r="E29" s="64">
        <v>0</v>
      </c>
      <c r="F29" s="64">
        <v>0</v>
      </c>
      <c r="G29" s="64">
        <v>0</v>
      </c>
      <c r="H29" s="64">
        <v>0</v>
      </c>
      <c r="I29" s="16"/>
      <c r="J29" s="64">
        <f t="shared" si="7"/>
        <v>14</v>
      </c>
      <c r="K29" s="16" t="s">
        <v>9</v>
      </c>
      <c r="L29" s="16" t="s">
        <v>81</v>
      </c>
      <c r="M29" s="16">
        <v>9.0699999999999985</v>
      </c>
      <c r="N29" s="6">
        <f t="shared" si="3"/>
        <v>9</v>
      </c>
      <c r="O29" s="6" t="str">
        <f t="shared" si="4"/>
        <v>Stay in Business</v>
      </c>
      <c r="P29" s="47"/>
      <c r="Q29" s="6" t="str">
        <f t="shared" si="5"/>
        <v>Declining Value</v>
      </c>
    </row>
    <row r="30" spans="1:19" x14ac:dyDescent="0.35">
      <c r="A30" s="16" t="s">
        <v>170</v>
      </c>
      <c r="B30" s="64"/>
      <c r="C30" s="64">
        <v>0</v>
      </c>
      <c r="D30" s="64">
        <v>70</v>
      </c>
      <c r="E30" s="64">
        <v>70</v>
      </c>
      <c r="F30" s="64">
        <v>70</v>
      </c>
      <c r="G30" s="64">
        <v>70</v>
      </c>
      <c r="H30" s="64">
        <v>70</v>
      </c>
      <c r="I30" s="16"/>
      <c r="J30" s="64">
        <f t="shared" si="7"/>
        <v>350</v>
      </c>
      <c r="K30" s="16" t="s">
        <v>8</v>
      </c>
      <c r="L30" s="16" t="s">
        <v>81</v>
      </c>
      <c r="M30" s="16">
        <v>4.0199999999999996</v>
      </c>
      <c r="N30" s="6">
        <f t="shared" si="3"/>
        <v>4</v>
      </c>
      <c r="O30" s="6" t="str">
        <f t="shared" si="4"/>
        <v xml:space="preserve">Essential Spares </v>
      </c>
      <c r="P30" s="47"/>
      <c r="Q30" s="6" t="str">
        <f t="shared" si="5"/>
        <v>Declining Value</v>
      </c>
    </row>
    <row r="31" spans="1:19" x14ac:dyDescent="0.35">
      <c r="A31" s="16" t="s">
        <v>173</v>
      </c>
      <c r="B31" s="64"/>
      <c r="C31" s="64">
        <v>0</v>
      </c>
      <c r="D31" s="70">
        <v>72</v>
      </c>
      <c r="E31" s="64">
        <v>0</v>
      </c>
      <c r="F31" s="64">
        <v>0</v>
      </c>
      <c r="G31" s="64">
        <v>0</v>
      </c>
      <c r="H31" s="64">
        <v>0</v>
      </c>
      <c r="I31" s="16"/>
      <c r="J31" s="70">
        <f t="shared" si="7"/>
        <v>72</v>
      </c>
      <c r="K31" s="16" t="s">
        <v>9</v>
      </c>
      <c r="L31" s="16" t="s">
        <v>81</v>
      </c>
      <c r="M31" s="16">
        <v>7.02</v>
      </c>
      <c r="N31" s="6">
        <f t="shared" si="3"/>
        <v>7</v>
      </c>
      <c r="O31" s="6" t="str">
        <f t="shared" si="4"/>
        <v>Testing Equipment</v>
      </c>
      <c r="P31" s="47"/>
      <c r="Q31" s="6" t="str">
        <f t="shared" si="5"/>
        <v>Declining Value</v>
      </c>
    </row>
    <row r="32" spans="1:19" x14ac:dyDescent="0.35">
      <c r="A32" s="16" t="s">
        <v>178</v>
      </c>
      <c r="B32" s="64"/>
      <c r="C32" s="64">
        <v>0</v>
      </c>
      <c r="D32" s="64">
        <v>0</v>
      </c>
      <c r="E32" s="64">
        <v>500</v>
      </c>
      <c r="F32" s="64">
        <v>0</v>
      </c>
      <c r="G32" s="64">
        <v>0</v>
      </c>
      <c r="H32" s="64">
        <v>0</v>
      </c>
      <c r="I32" s="16"/>
      <c r="J32" s="64">
        <f t="shared" si="7"/>
        <v>500</v>
      </c>
      <c r="K32" s="16" t="s">
        <v>8</v>
      </c>
      <c r="L32" s="16" t="s">
        <v>81</v>
      </c>
      <c r="M32" s="16">
        <v>9.02</v>
      </c>
      <c r="N32" s="6">
        <f t="shared" si="3"/>
        <v>9</v>
      </c>
      <c r="O32" s="6" t="str">
        <f t="shared" si="4"/>
        <v>Stay in Business</v>
      </c>
      <c r="P32" s="47"/>
      <c r="Q32" s="6" t="str">
        <f t="shared" si="5"/>
        <v>Declining Value</v>
      </c>
    </row>
    <row r="33" spans="1:17" x14ac:dyDescent="0.35">
      <c r="A33" s="16" t="s">
        <v>171</v>
      </c>
      <c r="B33" s="64"/>
      <c r="C33" s="64">
        <v>0</v>
      </c>
      <c r="D33" s="70">
        <v>150</v>
      </c>
      <c r="E33" s="64">
        <v>0</v>
      </c>
      <c r="F33" s="64">
        <v>0</v>
      </c>
      <c r="G33" s="64">
        <v>0</v>
      </c>
      <c r="H33" s="64">
        <v>0</v>
      </c>
      <c r="I33" s="16"/>
      <c r="J33" s="70">
        <f t="shared" si="7"/>
        <v>150</v>
      </c>
      <c r="K33" s="16" t="s">
        <v>8</v>
      </c>
      <c r="L33" s="16" t="s">
        <v>81</v>
      </c>
      <c r="M33" s="16">
        <v>6</v>
      </c>
      <c r="N33" s="6">
        <f t="shared" si="3"/>
        <v>6</v>
      </c>
      <c r="O33" s="6" t="str">
        <f t="shared" si="4"/>
        <v>Noise Monitoring Equipment</v>
      </c>
      <c r="P33" s="47"/>
      <c r="Q33" s="6" t="str">
        <f t="shared" si="5"/>
        <v>Declining Value</v>
      </c>
    </row>
    <row r="34" spans="1:17" x14ac:dyDescent="0.35">
      <c r="A34" s="16" t="s">
        <v>161</v>
      </c>
      <c r="B34" s="64"/>
      <c r="C34" s="64">
        <v>0</v>
      </c>
      <c r="D34" s="64">
        <v>0</v>
      </c>
      <c r="E34" s="64">
        <v>50</v>
      </c>
      <c r="F34" s="64">
        <v>60</v>
      </c>
      <c r="G34" s="64">
        <v>0</v>
      </c>
      <c r="H34" s="64">
        <v>0</v>
      </c>
      <c r="I34" s="16"/>
      <c r="J34" s="64">
        <f t="shared" si="7"/>
        <v>110</v>
      </c>
      <c r="K34" s="16" t="s">
        <v>8</v>
      </c>
      <c r="L34" s="16" t="s">
        <v>81</v>
      </c>
      <c r="M34" s="16">
        <v>1.03</v>
      </c>
      <c r="N34" s="6">
        <f t="shared" si="3"/>
        <v>1</v>
      </c>
      <c r="O34" s="6" t="str">
        <f t="shared" si="4"/>
        <v>Corrosion and Environmental Deterioration</v>
      </c>
      <c r="P34" s="47"/>
      <c r="Q34" s="6" t="str">
        <f t="shared" si="5"/>
        <v>Declining Value</v>
      </c>
    </row>
    <row r="35" spans="1:17" x14ac:dyDescent="0.35">
      <c r="A35" s="16" t="s">
        <v>177</v>
      </c>
      <c r="B35" s="64"/>
      <c r="C35" s="64">
        <v>0</v>
      </c>
      <c r="D35" s="64">
        <v>35</v>
      </c>
      <c r="E35" s="64">
        <v>0</v>
      </c>
      <c r="F35" s="64">
        <v>0</v>
      </c>
      <c r="G35" s="64">
        <v>0</v>
      </c>
      <c r="H35" s="64">
        <v>0</v>
      </c>
      <c r="I35" s="16"/>
      <c r="J35" s="64">
        <f t="shared" si="7"/>
        <v>35</v>
      </c>
      <c r="K35" s="16" t="s">
        <v>8</v>
      </c>
      <c r="L35" s="16" t="s">
        <v>81</v>
      </c>
      <c r="M35" s="16">
        <v>9.01</v>
      </c>
      <c r="N35" s="6">
        <f t="shared" si="3"/>
        <v>9</v>
      </c>
      <c r="O35" s="6" t="str">
        <f t="shared" si="4"/>
        <v>Stay in Business</v>
      </c>
      <c r="P35" s="47"/>
      <c r="Q35" s="6" t="str">
        <f t="shared" si="5"/>
        <v>Declining Value</v>
      </c>
    </row>
    <row r="36" spans="1:17" x14ac:dyDescent="0.35">
      <c r="A36" s="16" t="s">
        <v>174</v>
      </c>
      <c r="B36" s="64"/>
      <c r="C36" s="64">
        <v>0</v>
      </c>
      <c r="D36" s="64">
        <v>0</v>
      </c>
      <c r="E36" s="64">
        <v>330</v>
      </c>
      <c r="F36" s="64">
        <v>0</v>
      </c>
      <c r="G36" s="64">
        <v>0</v>
      </c>
      <c r="H36" s="64">
        <v>0</v>
      </c>
      <c r="I36" s="16"/>
      <c r="J36" s="64">
        <f t="shared" si="7"/>
        <v>330</v>
      </c>
      <c r="K36" s="16" t="s">
        <v>8</v>
      </c>
      <c r="L36" s="16" t="s">
        <v>81</v>
      </c>
      <c r="M36" s="16">
        <v>7.0299999999999994</v>
      </c>
      <c r="N36" s="6">
        <f t="shared" si="3"/>
        <v>7</v>
      </c>
      <c r="O36" s="6" t="str">
        <f t="shared" si="4"/>
        <v>Testing Equipment</v>
      </c>
      <c r="P36" s="47"/>
      <c r="Q36" s="6" t="str">
        <f t="shared" si="5"/>
        <v>Declining Value</v>
      </c>
    </row>
    <row r="37" spans="1:17" x14ac:dyDescent="0.35">
      <c r="A37" s="16" t="s">
        <v>175</v>
      </c>
      <c r="B37" s="64"/>
      <c r="C37" s="64">
        <v>0</v>
      </c>
      <c r="D37" s="64">
        <v>0</v>
      </c>
      <c r="E37" s="64">
        <v>0</v>
      </c>
      <c r="F37" s="64">
        <v>800</v>
      </c>
      <c r="G37" s="64">
        <v>0</v>
      </c>
      <c r="H37" s="64">
        <v>0</v>
      </c>
      <c r="I37" s="16"/>
      <c r="J37" s="64">
        <f t="shared" si="7"/>
        <v>800</v>
      </c>
      <c r="K37" s="16" t="s">
        <v>8</v>
      </c>
      <c r="L37" s="16" t="s">
        <v>81</v>
      </c>
      <c r="M37" s="16">
        <v>8.01</v>
      </c>
      <c r="N37" s="6">
        <f t="shared" si="3"/>
        <v>8</v>
      </c>
      <c r="O37" s="6" t="str">
        <f t="shared" si="4"/>
        <v>Reliability</v>
      </c>
      <c r="P37" s="47"/>
      <c r="Q37" s="6" t="str">
        <f t="shared" si="5"/>
        <v>Declining Value</v>
      </c>
    </row>
    <row r="38" spans="1:17" x14ac:dyDescent="0.35">
      <c r="A38" s="16" t="s">
        <v>160</v>
      </c>
      <c r="B38" s="64"/>
      <c r="C38" s="69">
        <v>100</v>
      </c>
      <c r="D38" s="70">
        <v>404.65</v>
      </c>
      <c r="E38" s="70">
        <v>414.45</v>
      </c>
      <c r="F38" s="70">
        <v>51.2</v>
      </c>
      <c r="G38" s="70">
        <v>38.4</v>
      </c>
      <c r="H38" s="70">
        <v>0</v>
      </c>
      <c r="I38" s="16"/>
      <c r="J38" s="70">
        <f t="shared" si="7"/>
        <v>908.69999999999993</v>
      </c>
      <c r="K38" s="16" t="s">
        <v>8</v>
      </c>
      <c r="L38" s="16" t="s">
        <v>81</v>
      </c>
      <c r="M38" s="16">
        <v>11</v>
      </c>
      <c r="N38" s="6">
        <f t="shared" si="3"/>
        <v>11</v>
      </c>
      <c r="O38" s="6" t="str">
        <f t="shared" si="4"/>
        <v>Refurbishment/Replacement</v>
      </c>
      <c r="P38" s="47"/>
      <c r="Q38" s="6" t="str">
        <f t="shared" si="5"/>
        <v>Declining Value</v>
      </c>
    </row>
    <row r="39" spans="1:17" x14ac:dyDescent="0.35">
      <c r="A39" s="16" t="s">
        <v>183</v>
      </c>
      <c r="B39" s="64"/>
      <c r="C39" s="64">
        <v>0</v>
      </c>
      <c r="D39" s="64">
        <v>3</v>
      </c>
      <c r="E39" s="64">
        <v>0</v>
      </c>
      <c r="F39" s="64">
        <v>0</v>
      </c>
      <c r="G39" s="64">
        <v>0</v>
      </c>
      <c r="H39" s="64">
        <v>0</v>
      </c>
      <c r="I39" s="16"/>
      <c r="J39" s="64">
        <f t="shared" si="7"/>
        <v>3</v>
      </c>
      <c r="K39" s="16" t="s">
        <v>9</v>
      </c>
      <c r="L39" s="16" t="s">
        <v>81</v>
      </c>
      <c r="M39" s="16">
        <v>9.0799999999999983</v>
      </c>
      <c r="N39" s="6">
        <f t="shared" si="3"/>
        <v>9</v>
      </c>
      <c r="O39" s="6" t="str">
        <f t="shared" si="4"/>
        <v>Stay in Business</v>
      </c>
      <c r="P39" s="47"/>
      <c r="Q39" s="6" t="str">
        <f t="shared" si="5"/>
        <v>Declining Value</v>
      </c>
    </row>
    <row r="40" spans="1:17" x14ac:dyDescent="0.35">
      <c r="A40" s="16" t="s">
        <v>132</v>
      </c>
      <c r="B40" s="64"/>
      <c r="C40" s="64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16"/>
      <c r="J40" s="64">
        <f t="shared" si="7"/>
        <v>0</v>
      </c>
      <c r="K40" s="16" t="s">
        <v>8</v>
      </c>
      <c r="L40" s="16" t="s">
        <v>81</v>
      </c>
      <c r="M40" s="16">
        <v>0.01</v>
      </c>
      <c r="N40" s="6" t="str">
        <f t="shared" si="3"/>
        <v/>
      </c>
      <c r="O40" s="6" t="str">
        <f t="shared" si="4"/>
        <v/>
      </c>
      <c r="P40" s="47"/>
      <c r="Q40" s="6" t="str">
        <f t="shared" si="5"/>
        <v>Declining Value</v>
      </c>
    </row>
    <row r="41" spans="1:17" x14ac:dyDescent="0.35">
      <c r="A41" s="16" t="s">
        <v>179</v>
      </c>
      <c r="B41" s="64"/>
      <c r="C41" s="64">
        <v>0</v>
      </c>
      <c r="D41" s="64">
        <v>22</v>
      </c>
      <c r="E41" s="64">
        <v>0</v>
      </c>
      <c r="F41" s="64">
        <v>0</v>
      </c>
      <c r="G41" s="64">
        <v>0</v>
      </c>
      <c r="H41" s="64">
        <v>0</v>
      </c>
      <c r="I41" s="16"/>
      <c r="J41" s="64">
        <f t="shared" si="7"/>
        <v>22</v>
      </c>
      <c r="K41" s="16" t="s">
        <v>8</v>
      </c>
      <c r="L41" s="16" t="s">
        <v>81</v>
      </c>
      <c r="M41" s="16">
        <v>9.0299999999999994</v>
      </c>
      <c r="N41" s="6">
        <f t="shared" si="3"/>
        <v>9</v>
      </c>
      <c r="O41" s="6" t="str">
        <f t="shared" si="4"/>
        <v>Stay in Business</v>
      </c>
      <c r="P41" s="47"/>
      <c r="Q41" s="6" t="str">
        <f t="shared" si="5"/>
        <v>Declining Value</v>
      </c>
    </row>
    <row r="42" spans="1:17" x14ac:dyDescent="0.35">
      <c r="A42" s="16" t="s">
        <v>184</v>
      </c>
      <c r="B42" s="64"/>
      <c r="C42" s="64">
        <v>0</v>
      </c>
      <c r="D42" s="64">
        <v>24</v>
      </c>
      <c r="E42" s="64">
        <v>0</v>
      </c>
      <c r="F42" s="64">
        <v>0</v>
      </c>
      <c r="G42" s="64">
        <v>0</v>
      </c>
      <c r="H42" s="64">
        <v>0</v>
      </c>
      <c r="I42" s="16"/>
      <c r="J42" s="64">
        <f t="shared" si="7"/>
        <v>24</v>
      </c>
      <c r="K42" s="16" t="s">
        <v>8</v>
      </c>
      <c r="L42" s="16" t="s">
        <v>81</v>
      </c>
      <c r="M42" s="16">
        <v>9.0899999999999981</v>
      </c>
      <c r="N42" s="6">
        <f t="shared" si="3"/>
        <v>9</v>
      </c>
      <c r="O42" s="6" t="str">
        <f t="shared" si="4"/>
        <v>Stay in Business</v>
      </c>
      <c r="P42" s="47"/>
      <c r="Q42" s="6" t="str">
        <f t="shared" si="5"/>
        <v>Declining Value</v>
      </c>
    </row>
    <row r="43" spans="1:17" x14ac:dyDescent="0.35">
      <c r="A43" s="16" t="s">
        <v>168</v>
      </c>
      <c r="B43" s="64"/>
      <c r="C43" s="64">
        <v>0</v>
      </c>
      <c r="D43" s="64">
        <v>121</v>
      </c>
      <c r="E43" s="64">
        <v>0</v>
      </c>
      <c r="F43" s="64">
        <v>0</v>
      </c>
      <c r="G43" s="64">
        <v>0</v>
      </c>
      <c r="H43" s="64">
        <v>0</v>
      </c>
      <c r="I43" s="16"/>
      <c r="J43" s="64">
        <f t="shared" si="7"/>
        <v>121</v>
      </c>
      <c r="K43" s="16" t="s">
        <v>9</v>
      </c>
      <c r="L43" s="16" t="s">
        <v>81</v>
      </c>
      <c r="M43" s="16">
        <v>1.1100000000000001</v>
      </c>
      <c r="N43" s="6">
        <f t="shared" si="3"/>
        <v>1</v>
      </c>
      <c r="O43" s="6" t="str">
        <f t="shared" si="4"/>
        <v>Corrosion and Environmental Deterioration</v>
      </c>
      <c r="P43" s="47"/>
      <c r="Q43" s="6" t="str">
        <f t="shared" si="5"/>
        <v>Declining Value</v>
      </c>
    </row>
    <row r="44" spans="1:17" x14ac:dyDescent="0.35">
      <c r="A44" s="16" t="s">
        <v>127</v>
      </c>
      <c r="B44" s="64"/>
      <c r="C44" s="70">
        <v>154.90420999999998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16"/>
      <c r="J44" s="64">
        <f t="shared" si="7"/>
        <v>0</v>
      </c>
      <c r="K44" s="16" t="s">
        <v>8</v>
      </c>
      <c r="L44" s="16" t="s">
        <v>124</v>
      </c>
      <c r="M44" s="16">
        <v>0.01</v>
      </c>
      <c r="N44" s="6" t="str">
        <f t="shared" si="3"/>
        <v/>
      </c>
      <c r="O44" s="6" t="str">
        <f t="shared" si="4"/>
        <v/>
      </c>
      <c r="P44" s="47"/>
      <c r="Q44" s="6" t="str">
        <f t="shared" si="5"/>
        <v>Declining Value</v>
      </c>
    </row>
    <row r="45" spans="1:17" x14ac:dyDescent="0.35">
      <c r="A45" s="16" t="s">
        <v>128</v>
      </c>
      <c r="B45" s="64"/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16"/>
      <c r="J45" s="64">
        <f t="shared" si="7"/>
        <v>0</v>
      </c>
      <c r="K45" s="16" t="s">
        <v>8</v>
      </c>
      <c r="L45" s="16" t="s">
        <v>124</v>
      </c>
      <c r="M45" s="16">
        <v>0.01</v>
      </c>
      <c r="N45" s="6" t="str">
        <f t="shared" si="3"/>
        <v/>
      </c>
      <c r="O45" s="6" t="str">
        <f t="shared" si="4"/>
        <v/>
      </c>
      <c r="P45" s="47"/>
      <c r="Q45" s="6" t="str">
        <f t="shared" si="5"/>
        <v>Declining Value</v>
      </c>
    </row>
    <row r="46" spans="1:17" x14ac:dyDescent="0.35">
      <c r="A46" s="16" t="s">
        <v>126</v>
      </c>
      <c r="B46" s="64"/>
      <c r="C46" s="70">
        <v>976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16"/>
      <c r="J46" s="64">
        <f t="shared" si="7"/>
        <v>0</v>
      </c>
      <c r="K46" s="16" t="s">
        <v>8</v>
      </c>
      <c r="L46" s="16" t="s">
        <v>81</v>
      </c>
      <c r="M46" s="16">
        <v>0.01</v>
      </c>
      <c r="N46" s="6" t="str">
        <f t="shared" si="3"/>
        <v/>
      </c>
      <c r="O46" s="6" t="str">
        <f t="shared" si="4"/>
        <v/>
      </c>
      <c r="P46" s="47"/>
      <c r="Q46" s="6" t="str">
        <f t="shared" si="5"/>
        <v>Declining Value</v>
      </c>
    </row>
    <row r="47" spans="1:17" x14ac:dyDescent="0.35">
      <c r="A47" s="16" t="s">
        <v>199</v>
      </c>
      <c r="B47" s="64"/>
      <c r="C47" s="70">
        <v>2296.9760000000001</v>
      </c>
      <c r="D47" s="69">
        <v>0</v>
      </c>
      <c r="E47" s="69">
        <v>0</v>
      </c>
      <c r="F47" s="69">
        <v>0</v>
      </c>
      <c r="G47" s="69">
        <v>0</v>
      </c>
      <c r="H47" s="69">
        <v>0</v>
      </c>
      <c r="I47" s="16"/>
      <c r="J47" s="69">
        <f t="shared" si="7"/>
        <v>0</v>
      </c>
      <c r="K47" s="16" t="s">
        <v>8</v>
      </c>
      <c r="L47" s="16" t="s">
        <v>81</v>
      </c>
      <c r="M47" s="16">
        <v>0.01</v>
      </c>
      <c r="N47" s="6" t="str">
        <f t="shared" si="3"/>
        <v/>
      </c>
      <c r="O47" s="6" t="str">
        <f t="shared" si="4"/>
        <v/>
      </c>
      <c r="P47" s="47"/>
      <c r="Q47" s="6" t="str">
        <f t="shared" si="5"/>
        <v>Declining Value</v>
      </c>
    </row>
    <row r="48" spans="1:17" x14ac:dyDescent="0.35">
      <c r="A48" s="16" t="s">
        <v>149</v>
      </c>
      <c r="B48" s="64"/>
      <c r="C48" s="70">
        <v>28.333333333333329</v>
      </c>
      <c r="D48" s="70">
        <v>38.999999999999979</v>
      </c>
      <c r="E48" s="64">
        <v>22</v>
      </c>
      <c r="F48" s="64">
        <v>22</v>
      </c>
      <c r="G48" s="64">
        <v>22</v>
      </c>
      <c r="H48" s="64">
        <v>22</v>
      </c>
      <c r="I48" s="16"/>
      <c r="J48" s="70">
        <f t="shared" si="7"/>
        <v>126.99999999999997</v>
      </c>
      <c r="K48" s="16" t="s">
        <v>8</v>
      </c>
      <c r="L48" s="16" t="s">
        <v>81</v>
      </c>
      <c r="M48" s="16">
        <v>9.0399999999999991</v>
      </c>
      <c r="N48" s="6">
        <f t="shared" si="3"/>
        <v>9</v>
      </c>
      <c r="O48" s="6" t="str">
        <f t="shared" si="4"/>
        <v>Stay in Business</v>
      </c>
      <c r="P48" s="47"/>
      <c r="Q48" s="6" t="str">
        <f t="shared" si="5"/>
        <v>Declining Value</v>
      </c>
    </row>
    <row r="49" spans="1:17" x14ac:dyDescent="0.35">
      <c r="A49" s="16" t="s">
        <v>164</v>
      </c>
      <c r="B49" s="64"/>
      <c r="C49" s="64">
        <v>0</v>
      </c>
      <c r="D49" s="64">
        <v>220</v>
      </c>
      <c r="E49" s="64">
        <v>0</v>
      </c>
      <c r="F49" s="64">
        <v>0</v>
      </c>
      <c r="G49" s="64">
        <v>0</v>
      </c>
      <c r="H49" s="64">
        <v>0</v>
      </c>
      <c r="I49" s="16"/>
      <c r="J49" s="64">
        <f t="shared" si="7"/>
        <v>220</v>
      </c>
      <c r="K49" s="16" t="s">
        <v>8</v>
      </c>
      <c r="L49" s="16" t="s">
        <v>81</v>
      </c>
      <c r="M49" s="16">
        <v>1.07</v>
      </c>
      <c r="N49" s="6">
        <f t="shared" si="3"/>
        <v>1</v>
      </c>
      <c r="O49" s="6" t="str">
        <f t="shared" si="4"/>
        <v>Corrosion and Environmental Deterioration</v>
      </c>
      <c r="P49" s="47"/>
      <c r="Q49" s="6" t="str">
        <f t="shared" si="5"/>
        <v>Declining Value</v>
      </c>
    </row>
    <row r="50" spans="1:17" x14ac:dyDescent="0.35">
      <c r="A50" s="16" t="s">
        <v>137</v>
      </c>
      <c r="B50" s="64"/>
      <c r="C50" s="70">
        <v>134.02600000000001</v>
      </c>
      <c r="D50" s="70">
        <v>32.500029999999995</v>
      </c>
      <c r="E50" s="70">
        <v>32.500029999999995</v>
      </c>
      <c r="F50" s="70">
        <v>32.500029999999995</v>
      </c>
      <c r="G50" s="70">
        <v>138.75958999999997</v>
      </c>
      <c r="H50" s="70">
        <v>134.02600000000001</v>
      </c>
      <c r="I50" s="16"/>
      <c r="J50" s="70">
        <f t="shared" si="7"/>
        <v>370.28567999999996</v>
      </c>
      <c r="K50" s="16" t="s">
        <v>8</v>
      </c>
      <c r="L50" s="16" t="s">
        <v>143</v>
      </c>
      <c r="M50" s="16">
        <v>10</v>
      </c>
      <c r="N50" s="6">
        <f t="shared" si="3"/>
        <v>10</v>
      </c>
      <c r="O50" s="6" t="str">
        <f t="shared" si="4"/>
        <v>Transmission Determination Costs</v>
      </c>
      <c r="P50" s="47"/>
      <c r="Q50" s="6" t="str">
        <f t="shared" si="5"/>
        <v>Declining Value</v>
      </c>
    </row>
    <row r="51" spans="1:17" x14ac:dyDescent="0.35">
      <c r="A51" s="16" t="s">
        <v>131</v>
      </c>
      <c r="B51" s="64"/>
      <c r="C51" s="70">
        <v>1053.30115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16"/>
      <c r="J51" s="64">
        <f t="shared" si="7"/>
        <v>0</v>
      </c>
      <c r="K51" s="16" t="s">
        <v>8</v>
      </c>
      <c r="L51" s="16" t="s">
        <v>81</v>
      </c>
      <c r="M51" s="16">
        <v>0.01</v>
      </c>
      <c r="N51" s="6" t="str">
        <f t="shared" si="3"/>
        <v/>
      </c>
      <c r="O51" s="6" t="str">
        <f t="shared" si="4"/>
        <v/>
      </c>
      <c r="P51" s="47"/>
      <c r="Q51" s="6" t="str">
        <f t="shared" si="5"/>
        <v>Declining Value</v>
      </c>
    </row>
    <row r="52" spans="1:17" x14ac:dyDescent="0.35">
      <c r="A52" s="16" t="s">
        <v>186</v>
      </c>
      <c r="B52" s="64"/>
      <c r="C52" s="64">
        <v>0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16"/>
      <c r="J52" s="64">
        <f t="shared" si="7"/>
        <v>0</v>
      </c>
      <c r="K52" s="16" t="s">
        <v>186</v>
      </c>
      <c r="L52" s="16" t="s">
        <v>186</v>
      </c>
      <c r="M52" s="16" t="s">
        <v>186</v>
      </c>
      <c r="N52" s="6" t="str">
        <f t="shared" si="3"/>
        <v/>
      </c>
      <c r="O52" s="6" t="str">
        <f t="shared" si="4"/>
        <v/>
      </c>
      <c r="P52" s="47"/>
      <c r="Q52" s="6" t="str">
        <f t="shared" si="5"/>
        <v/>
      </c>
    </row>
    <row r="53" spans="1:17" x14ac:dyDescent="0.35">
      <c r="A53" s="16" t="s">
        <v>186</v>
      </c>
      <c r="B53" s="64"/>
      <c r="C53" s="64">
        <v>0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16"/>
      <c r="J53" s="64">
        <f t="shared" si="7"/>
        <v>0</v>
      </c>
      <c r="K53" s="16" t="s">
        <v>186</v>
      </c>
      <c r="L53" s="16" t="s">
        <v>186</v>
      </c>
      <c r="M53" s="16" t="s">
        <v>186</v>
      </c>
      <c r="N53" s="6" t="str">
        <f t="shared" si="3"/>
        <v/>
      </c>
      <c r="O53" s="6" t="str">
        <f t="shared" si="4"/>
        <v/>
      </c>
      <c r="P53" s="47"/>
      <c r="Q53" s="6" t="str">
        <f t="shared" si="5"/>
        <v/>
      </c>
    </row>
    <row r="54" spans="1:17" x14ac:dyDescent="0.35">
      <c r="A54" s="16" t="s">
        <v>186</v>
      </c>
      <c r="B54" s="64"/>
      <c r="C54" s="64">
        <v>0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16"/>
      <c r="J54" s="64">
        <f t="shared" si="7"/>
        <v>0</v>
      </c>
      <c r="K54" s="16" t="s">
        <v>186</v>
      </c>
      <c r="L54" s="16" t="s">
        <v>186</v>
      </c>
      <c r="M54" s="16" t="s">
        <v>186</v>
      </c>
      <c r="N54" s="6" t="str">
        <f t="shared" si="3"/>
        <v/>
      </c>
      <c r="O54" s="6" t="str">
        <f t="shared" si="4"/>
        <v/>
      </c>
      <c r="P54" s="47"/>
      <c r="Q54" s="6" t="str">
        <f t="shared" si="5"/>
        <v/>
      </c>
    </row>
    <row r="55" spans="1:17" x14ac:dyDescent="0.35">
      <c r="A55" s="16" t="s">
        <v>186</v>
      </c>
      <c r="B55" s="64"/>
      <c r="C55" s="64">
        <v>0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16"/>
      <c r="J55" s="64">
        <f t="shared" si="7"/>
        <v>0</v>
      </c>
      <c r="K55" s="16" t="s">
        <v>186</v>
      </c>
      <c r="L55" s="16" t="s">
        <v>186</v>
      </c>
      <c r="M55" s="16" t="s">
        <v>186</v>
      </c>
      <c r="N55" s="6" t="str">
        <f t="shared" si="3"/>
        <v/>
      </c>
      <c r="O55" s="6" t="str">
        <f t="shared" si="4"/>
        <v/>
      </c>
      <c r="P55" s="47"/>
      <c r="Q55" s="6" t="str">
        <f t="shared" si="5"/>
        <v/>
      </c>
    </row>
    <row r="56" spans="1:17" x14ac:dyDescent="0.35">
      <c r="A56" s="16" t="s">
        <v>186</v>
      </c>
      <c r="B56" s="64"/>
      <c r="C56" s="64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16"/>
      <c r="J56" s="64">
        <f t="shared" si="7"/>
        <v>0</v>
      </c>
      <c r="K56" s="16" t="s">
        <v>186</v>
      </c>
      <c r="L56" s="16" t="s">
        <v>186</v>
      </c>
      <c r="M56" s="16" t="s">
        <v>186</v>
      </c>
      <c r="N56" s="6" t="str">
        <f t="shared" si="3"/>
        <v/>
      </c>
      <c r="O56" s="6" t="str">
        <f t="shared" si="4"/>
        <v/>
      </c>
      <c r="P56" s="47"/>
      <c r="Q56" s="6" t="str">
        <f t="shared" si="5"/>
        <v/>
      </c>
    </row>
    <row r="57" spans="1:17" x14ac:dyDescent="0.35">
      <c r="A57" s="16" t="s">
        <v>186</v>
      </c>
      <c r="B57" s="64"/>
      <c r="C57" s="64">
        <v>0</v>
      </c>
      <c r="D57" s="64">
        <v>0</v>
      </c>
      <c r="E57" s="64">
        <v>0</v>
      </c>
      <c r="F57" s="64">
        <v>0</v>
      </c>
      <c r="G57" s="64">
        <v>0</v>
      </c>
      <c r="H57" s="64">
        <v>0</v>
      </c>
      <c r="I57" s="16"/>
      <c r="J57" s="64">
        <f t="shared" si="7"/>
        <v>0</v>
      </c>
      <c r="K57" s="16" t="s">
        <v>186</v>
      </c>
      <c r="L57" s="16" t="s">
        <v>186</v>
      </c>
      <c r="M57" s="16" t="s">
        <v>186</v>
      </c>
      <c r="N57" s="6" t="str">
        <f t="shared" si="3"/>
        <v/>
      </c>
      <c r="O57" s="6" t="str">
        <f t="shared" si="4"/>
        <v/>
      </c>
      <c r="P57" s="47"/>
      <c r="Q57" s="6" t="str">
        <f t="shared" si="5"/>
        <v/>
      </c>
    </row>
    <row r="58" spans="1:17" x14ac:dyDescent="0.35">
      <c r="A58" s="16" t="s">
        <v>186</v>
      </c>
      <c r="B58" s="64"/>
      <c r="C58" s="64">
        <v>0</v>
      </c>
      <c r="D58" s="64">
        <v>0</v>
      </c>
      <c r="E58" s="64">
        <v>0</v>
      </c>
      <c r="F58" s="64">
        <v>0</v>
      </c>
      <c r="G58" s="64">
        <v>0</v>
      </c>
      <c r="H58" s="64">
        <v>0</v>
      </c>
      <c r="I58" s="16"/>
      <c r="J58" s="64">
        <f t="shared" si="7"/>
        <v>0</v>
      </c>
      <c r="K58" s="16" t="s">
        <v>186</v>
      </c>
      <c r="L58" s="16" t="s">
        <v>186</v>
      </c>
      <c r="M58" s="16" t="s">
        <v>186</v>
      </c>
      <c r="N58" s="6" t="str">
        <f t="shared" si="3"/>
        <v/>
      </c>
      <c r="O58" s="6" t="str">
        <f t="shared" si="4"/>
        <v/>
      </c>
      <c r="P58" s="47"/>
      <c r="Q58" s="6" t="str">
        <f t="shared" si="5"/>
        <v/>
      </c>
    </row>
    <row r="59" spans="1:17" x14ac:dyDescent="0.35">
      <c r="A59" s="16" t="s">
        <v>186</v>
      </c>
      <c r="B59" s="64"/>
      <c r="C59" s="64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16"/>
      <c r="J59" s="64">
        <f t="shared" si="7"/>
        <v>0</v>
      </c>
      <c r="K59" s="16" t="s">
        <v>186</v>
      </c>
      <c r="L59" s="16" t="s">
        <v>186</v>
      </c>
      <c r="M59" s="16" t="s">
        <v>186</v>
      </c>
      <c r="N59" s="6" t="str">
        <f t="shared" si="3"/>
        <v/>
      </c>
      <c r="O59" s="6" t="str">
        <f t="shared" si="4"/>
        <v/>
      </c>
      <c r="P59" s="47"/>
      <c r="Q59" s="6" t="str">
        <f t="shared" si="5"/>
        <v/>
      </c>
    </row>
    <row r="60" spans="1:17" x14ac:dyDescent="0.35">
      <c r="A60" s="16" t="s">
        <v>186</v>
      </c>
      <c r="B60" s="64"/>
      <c r="C60" s="64">
        <v>0</v>
      </c>
      <c r="D60" s="64">
        <v>0</v>
      </c>
      <c r="E60" s="64">
        <v>0</v>
      </c>
      <c r="F60" s="64">
        <v>0</v>
      </c>
      <c r="G60" s="64">
        <v>0</v>
      </c>
      <c r="H60" s="64">
        <v>0</v>
      </c>
      <c r="I60" s="16"/>
      <c r="J60" s="64">
        <f t="shared" si="7"/>
        <v>0</v>
      </c>
      <c r="K60" s="16" t="s">
        <v>186</v>
      </c>
      <c r="L60" s="16" t="s">
        <v>186</v>
      </c>
      <c r="M60" s="16" t="s">
        <v>186</v>
      </c>
      <c r="N60" s="6" t="str">
        <f t="shared" si="3"/>
        <v/>
      </c>
      <c r="O60" s="6" t="str">
        <f t="shared" si="4"/>
        <v/>
      </c>
      <c r="P60" s="47"/>
      <c r="Q60" s="6" t="str">
        <f t="shared" si="5"/>
        <v/>
      </c>
    </row>
    <row r="61" spans="1:17" x14ac:dyDescent="0.35">
      <c r="A61" s="16" t="s">
        <v>186</v>
      </c>
      <c r="B61" s="64"/>
      <c r="C61" s="64">
        <v>0</v>
      </c>
      <c r="D61" s="64">
        <v>0</v>
      </c>
      <c r="E61" s="64">
        <v>0</v>
      </c>
      <c r="F61" s="64">
        <v>0</v>
      </c>
      <c r="G61" s="64">
        <v>0</v>
      </c>
      <c r="H61" s="64">
        <v>0</v>
      </c>
      <c r="I61" s="16"/>
      <c r="J61" s="64">
        <f t="shared" si="7"/>
        <v>0</v>
      </c>
      <c r="K61" s="16" t="s">
        <v>186</v>
      </c>
      <c r="L61" s="16" t="s">
        <v>186</v>
      </c>
      <c r="M61" s="16" t="s">
        <v>186</v>
      </c>
      <c r="N61" s="6" t="str">
        <f t="shared" si="3"/>
        <v/>
      </c>
      <c r="O61" s="6" t="str">
        <f t="shared" si="4"/>
        <v/>
      </c>
      <c r="P61" s="47"/>
      <c r="Q61" s="6" t="str">
        <f t="shared" si="5"/>
        <v/>
      </c>
    </row>
    <row r="62" spans="1:17" x14ac:dyDescent="0.35">
      <c r="A62" s="16" t="s">
        <v>186</v>
      </c>
      <c r="B62" s="64"/>
      <c r="C62" s="64">
        <v>0</v>
      </c>
      <c r="D62" s="64">
        <v>0</v>
      </c>
      <c r="E62" s="64">
        <v>0</v>
      </c>
      <c r="F62" s="64">
        <v>0</v>
      </c>
      <c r="G62" s="64">
        <v>0</v>
      </c>
      <c r="H62" s="64">
        <v>0</v>
      </c>
      <c r="I62" s="16"/>
      <c r="J62" s="64">
        <f t="shared" si="7"/>
        <v>0</v>
      </c>
      <c r="K62" s="16" t="s">
        <v>186</v>
      </c>
      <c r="L62" s="16" t="s">
        <v>186</v>
      </c>
      <c r="M62" s="16" t="s">
        <v>186</v>
      </c>
      <c r="N62" s="6" t="str">
        <f t="shared" si="3"/>
        <v/>
      </c>
      <c r="O62" s="6" t="str">
        <f t="shared" si="4"/>
        <v/>
      </c>
      <c r="P62" s="47"/>
      <c r="Q62" s="6" t="str">
        <f t="shared" si="5"/>
        <v/>
      </c>
    </row>
    <row r="63" spans="1:17" x14ac:dyDescent="0.35">
      <c r="A63" s="16" t="s">
        <v>186</v>
      </c>
      <c r="B63" s="64"/>
      <c r="C63" s="64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16"/>
      <c r="J63" s="64">
        <f t="shared" si="7"/>
        <v>0</v>
      </c>
      <c r="K63" s="16" t="s">
        <v>186</v>
      </c>
      <c r="L63" s="16" t="s">
        <v>186</v>
      </c>
      <c r="M63" s="16" t="s">
        <v>186</v>
      </c>
      <c r="N63" s="6" t="str">
        <f t="shared" si="3"/>
        <v/>
      </c>
      <c r="O63" s="6" t="str">
        <f t="shared" si="4"/>
        <v/>
      </c>
      <c r="P63" s="47"/>
      <c r="Q63" s="6" t="str">
        <f t="shared" si="5"/>
        <v/>
      </c>
    </row>
    <row r="64" spans="1:17" x14ac:dyDescent="0.35">
      <c r="A64" s="16" t="s">
        <v>186</v>
      </c>
      <c r="B64" s="64"/>
      <c r="C64" s="64">
        <v>0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16"/>
      <c r="J64" s="64">
        <f t="shared" si="7"/>
        <v>0</v>
      </c>
      <c r="K64" s="16" t="s">
        <v>186</v>
      </c>
      <c r="L64" s="16" t="s">
        <v>186</v>
      </c>
      <c r="M64" s="16" t="s">
        <v>186</v>
      </c>
      <c r="N64" s="6" t="str">
        <f t="shared" si="3"/>
        <v/>
      </c>
      <c r="O64" s="6" t="str">
        <f t="shared" si="4"/>
        <v/>
      </c>
      <c r="P64" s="47"/>
      <c r="Q64" s="6" t="str">
        <f t="shared" si="5"/>
        <v/>
      </c>
    </row>
    <row r="65" spans="1:17" x14ac:dyDescent="0.35">
      <c r="A65" s="16" t="s">
        <v>186</v>
      </c>
      <c r="B65" s="64"/>
      <c r="C65" s="64">
        <v>0</v>
      </c>
      <c r="D65" s="64">
        <v>0</v>
      </c>
      <c r="E65" s="64">
        <v>0</v>
      </c>
      <c r="F65" s="64">
        <v>0</v>
      </c>
      <c r="G65" s="64">
        <v>0</v>
      </c>
      <c r="H65" s="64">
        <v>0</v>
      </c>
      <c r="I65" s="16"/>
      <c r="J65" s="64">
        <f t="shared" si="7"/>
        <v>0</v>
      </c>
      <c r="K65" s="16" t="s">
        <v>186</v>
      </c>
      <c r="L65" s="16" t="s">
        <v>186</v>
      </c>
      <c r="M65" s="16" t="s">
        <v>186</v>
      </c>
      <c r="N65" s="6" t="str">
        <f t="shared" si="3"/>
        <v/>
      </c>
      <c r="O65" s="6" t="str">
        <f t="shared" si="4"/>
        <v/>
      </c>
      <c r="P65" s="47"/>
      <c r="Q65" s="6" t="str">
        <f t="shared" si="5"/>
        <v/>
      </c>
    </row>
    <row r="66" spans="1:17" x14ac:dyDescent="0.35">
      <c r="A66" s="16" t="s">
        <v>186</v>
      </c>
      <c r="B66" s="64"/>
      <c r="C66" s="64">
        <v>0</v>
      </c>
      <c r="D66" s="64">
        <v>0</v>
      </c>
      <c r="E66" s="64">
        <v>0</v>
      </c>
      <c r="F66" s="64">
        <v>0</v>
      </c>
      <c r="G66" s="64">
        <v>0</v>
      </c>
      <c r="H66" s="64">
        <v>0</v>
      </c>
      <c r="I66" s="16"/>
      <c r="J66" s="64">
        <f t="shared" si="7"/>
        <v>0</v>
      </c>
      <c r="K66" s="16" t="s">
        <v>186</v>
      </c>
      <c r="L66" s="16" t="s">
        <v>186</v>
      </c>
      <c r="M66" s="16" t="s">
        <v>186</v>
      </c>
      <c r="N66" s="6" t="str">
        <f t="shared" si="3"/>
        <v/>
      </c>
      <c r="O66" s="6" t="str">
        <f t="shared" si="4"/>
        <v/>
      </c>
      <c r="P66" s="47"/>
      <c r="Q66" s="6" t="str">
        <f t="shared" si="5"/>
        <v/>
      </c>
    </row>
    <row r="67" spans="1:17" x14ac:dyDescent="0.35">
      <c r="A67" s="16" t="s">
        <v>186</v>
      </c>
      <c r="B67" s="64"/>
      <c r="C67" s="64">
        <v>0</v>
      </c>
      <c r="D67" s="64">
        <v>0</v>
      </c>
      <c r="E67" s="64">
        <v>0</v>
      </c>
      <c r="F67" s="64">
        <v>0</v>
      </c>
      <c r="G67" s="64">
        <v>0</v>
      </c>
      <c r="H67" s="64">
        <v>0</v>
      </c>
      <c r="I67" s="16"/>
      <c r="J67" s="64">
        <f t="shared" si="7"/>
        <v>0</v>
      </c>
      <c r="K67" s="16" t="s">
        <v>186</v>
      </c>
      <c r="L67" s="16" t="s">
        <v>186</v>
      </c>
      <c r="M67" s="16" t="s">
        <v>186</v>
      </c>
      <c r="N67" s="6" t="str">
        <f t="shared" si="3"/>
        <v/>
      </c>
      <c r="O67" s="6" t="str">
        <f t="shared" si="4"/>
        <v/>
      </c>
      <c r="P67" s="47"/>
      <c r="Q67" s="6" t="str">
        <f t="shared" si="5"/>
        <v/>
      </c>
    </row>
    <row r="68" spans="1:17" x14ac:dyDescent="0.35">
      <c r="A68" s="16" t="s">
        <v>186</v>
      </c>
      <c r="B68" s="64"/>
      <c r="C68" s="64">
        <v>0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16"/>
      <c r="J68" s="64">
        <f t="shared" si="7"/>
        <v>0</v>
      </c>
      <c r="K68" s="16" t="s">
        <v>186</v>
      </c>
      <c r="L68" s="16" t="s">
        <v>186</v>
      </c>
      <c r="M68" s="16" t="s">
        <v>186</v>
      </c>
      <c r="N68" s="6" t="str">
        <f t="shared" si="3"/>
        <v/>
      </c>
      <c r="O68" s="6" t="str">
        <f t="shared" si="4"/>
        <v/>
      </c>
      <c r="P68" s="47"/>
      <c r="Q68" s="6" t="str">
        <f t="shared" si="5"/>
        <v/>
      </c>
    </row>
    <row r="69" spans="1:17" x14ac:dyDescent="0.35">
      <c r="A69" s="16" t="s">
        <v>186</v>
      </c>
      <c r="B69" s="64"/>
      <c r="C69" s="64">
        <v>0</v>
      </c>
      <c r="D69" s="64">
        <v>0</v>
      </c>
      <c r="E69" s="64">
        <v>0</v>
      </c>
      <c r="F69" s="64">
        <v>0</v>
      </c>
      <c r="G69" s="64">
        <v>0</v>
      </c>
      <c r="H69" s="64">
        <v>0</v>
      </c>
      <c r="I69" s="16"/>
      <c r="J69" s="64">
        <f t="shared" si="7"/>
        <v>0</v>
      </c>
      <c r="K69" s="16" t="s">
        <v>186</v>
      </c>
      <c r="L69" s="16" t="s">
        <v>186</v>
      </c>
      <c r="M69" s="16" t="s">
        <v>186</v>
      </c>
      <c r="N69" s="6" t="str">
        <f t="shared" si="3"/>
        <v/>
      </c>
      <c r="O69" s="6" t="str">
        <f t="shared" si="4"/>
        <v/>
      </c>
      <c r="P69" s="47"/>
      <c r="Q69" s="6" t="str">
        <f t="shared" si="5"/>
        <v/>
      </c>
    </row>
    <row r="70" spans="1:17" x14ac:dyDescent="0.35">
      <c r="A70" s="16" t="s">
        <v>186</v>
      </c>
      <c r="B70" s="64"/>
      <c r="C70" s="64">
        <v>0</v>
      </c>
      <c r="D70" s="64">
        <v>0</v>
      </c>
      <c r="E70" s="64">
        <v>0</v>
      </c>
      <c r="F70" s="64">
        <v>0</v>
      </c>
      <c r="G70" s="64">
        <v>0</v>
      </c>
      <c r="H70" s="64">
        <v>0</v>
      </c>
      <c r="I70" s="16"/>
      <c r="J70" s="64">
        <f t="shared" si="7"/>
        <v>0</v>
      </c>
      <c r="K70" s="16" t="s">
        <v>186</v>
      </c>
      <c r="L70" s="16" t="s">
        <v>186</v>
      </c>
      <c r="M70" s="16" t="s">
        <v>186</v>
      </c>
      <c r="N70" s="6" t="str">
        <f t="shared" si="3"/>
        <v/>
      </c>
      <c r="O70" s="6" t="str">
        <f t="shared" si="4"/>
        <v/>
      </c>
      <c r="P70" s="47"/>
      <c r="Q70" s="6" t="str">
        <f t="shared" si="5"/>
        <v/>
      </c>
    </row>
    <row r="71" spans="1:17" x14ac:dyDescent="0.35">
      <c r="A71" s="16" t="s">
        <v>186</v>
      </c>
      <c r="B71" s="64"/>
      <c r="C71" s="64">
        <v>0</v>
      </c>
      <c r="D71" s="64">
        <v>0</v>
      </c>
      <c r="E71" s="64">
        <v>0</v>
      </c>
      <c r="F71" s="64">
        <v>0</v>
      </c>
      <c r="G71" s="64">
        <v>0</v>
      </c>
      <c r="H71" s="64">
        <v>0</v>
      </c>
      <c r="I71" s="16"/>
      <c r="J71" s="64">
        <f t="shared" ref="J71:J100" si="8">SUM(D71:H71)</f>
        <v>0</v>
      </c>
      <c r="K71" s="16" t="s">
        <v>186</v>
      </c>
      <c r="L71" s="16" t="s">
        <v>186</v>
      </c>
      <c r="M71" s="16" t="s">
        <v>186</v>
      </c>
      <c r="N71" s="6" t="str">
        <f t="shared" ref="N71:N100" si="9">IF(SUM(D71:H71)=0,"",LEFT(M71,2)-0)</f>
        <v/>
      </c>
      <c r="O71" s="6" t="str">
        <f t="shared" si="4"/>
        <v/>
      </c>
      <c r="P71" s="47"/>
      <c r="Q71" s="6" t="str">
        <f t="shared" si="5"/>
        <v/>
      </c>
    </row>
    <row r="72" spans="1:17" x14ac:dyDescent="0.35">
      <c r="A72" s="16" t="s">
        <v>186</v>
      </c>
      <c r="B72" s="64"/>
      <c r="C72" s="64">
        <v>0</v>
      </c>
      <c r="D72" s="64">
        <v>0</v>
      </c>
      <c r="E72" s="64">
        <v>0</v>
      </c>
      <c r="F72" s="64">
        <v>0</v>
      </c>
      <c r="G72" s="64">
        <v>0</v>
      </c>
      <c r="H72" s="64">
        <v>0</v>
      </c>
      <c r="I72" s="16"/>
      <c r="J72" s="64">
        <f t="shared" si="8"/>
        <v>0</v>
      </c>
      <c r="K72" s="16" t="s">
        <v>186</v>
      </c>
      <c r="L72" s="16" t="s">
        <v>186</v>
      </c>
      <c r="M72" s="16" t="s">
        <v>186</v>
      </c>
      <c r="N72" s="6" t="str">
        <f t="shared" si="9"/>
        <v/>
      </c>
      <c r="O72" s="6" t="str">
        <f t="shared" ref="O72:O100" si="10">_xlfn.IFNA(INDEX($S$7:$S$22,MATCH(N72,$R$7:$R$22,0),0),"")</f>
        <v/>
      </c>
      <c r="P72" s="47"/>
      <c r="Q72" s="6" t="str">
        <f t="shared" ref="Q72:Q100" si="11">_xlfn.IFNA(INDEX($X$7:$X$11,MATCH($L72,$W$7:$W$11,0),0),"")</f>
        <v/>
      </c>
    </row>
    <row r="73" spans="1:17" x14ac:dyDescent="0.35">
      <c r="A73" s="16" t="s">
        <v>186</v>
      </c>
      <c r="B73" s="64"/>
      <c r="C73" s="64">
        <v>0</v>
      </c>
      <c r="D73" s="64">
        <v>0</v>
      </c>
      <c r="E73" s="64">
        <v>0</v>
      </c>
      <c r="F73" s="64">
        <v>0</v>
      </c>
      <c r="G73" s="64">
        <v>0</v>
      </c>
      <c r="H73" s="64">
        <v>0</v>
      </c>
      <c r="I73" s="16"/>
      <c r="J73" s="64">
        <f t="shared" si="8"/>
        <v>0</v>
      </c>
      <c r="K73" s="16" t="s">
        <v>186</v>
      </c>
      <c r="L73" s="16" t="s">
        <v>186</v>
      </c>
      <c r="M73" s="16" t="s">
        <v>186</v>
      </c>
      <c r="N73" s="6" t="str">
        <f t="shared" si="9"/>
        <v/>
      </c>
      <c r="O73" s="6" t="str">
        <f t="shared" si="10"/>
        <v/>
      </c>
      <c r="P73" s="47"/>
      <c r="Q73" s="6" t="str">
        <f t="shared" si="11"/>
        <v/>
      </c>
    </row>
    <row r="74" spans="1:17" x14ac:dyDescent="0.35">
      <c r="A74" s="16" t="s">
        <v>186</v>
      </c>
      <c r="B74" s="64"/>
      <c r="C74" s="64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16"/>
      <c r="J74" s="64">
        <f t="shared" si="8"/>
        <v>0</v>
      </c>
      <c r="K74" s="16" t="s">
        <v>186</v>
      </c>
      <c r="L74" s="16" t="s">
        <v>186</v>
      </c>
      <c r="M74" s="16" t="s">
        <v>186</v>
      </c>
      <c r="N74" s="6" t="str">
        <f t="shared" si="9"/>
        <v/>
      </c>
      <c r="O74" s="6" t="str">
        <f t="shared" si="10"/>
        <v/>
      </c>
      <c r="P74" s="47"/>
      <c r="Q74" s="6" t="str">
        <f t="shared" si="11"/>
        <v/>
      </c>
    </row>
    <row r="75" spans="1:17" x14ac:dyDescent="0.35">
      <c r="A75" s="16" t="s">
        <v>186</v>
      </c>
      <c r="B75" s="64"/>
      <c r="C75" s="64">
        <v>0</v>
      </c>
      <c r="D75" s="64">
        <v>0</v>
      </c>
      <c r="E75" s="64">
        <v>0</v>
      </c>
      <c r="F75" s="64">
        <v>0</v>
      </c>
      <c r="G75" s="64">
        <v>0</v>
      </c>
      <c r="H75" s="64">
        <v>0</v>
      </c>
      <c r="I75" s="16"/>
      <c r="J75" s="64">
        <f t="shared" si="8"/>
        <v>0</v>
      </c>
      <c r="K75" s="16" t="s">
        <v>186</v>
      </c>
      <c r="L75" s="16" t="s">
        <v>186</v>
      </c>
      <c r="M75" s="16" t="s">
        <v>186</v>
      </c>
      <c r="N75" s="6" t="str">
        <f t="shared" si="9"/>
        <v/>
      </c>
      <c r="O75" s="6" t="str">
        <f t="shared" si="10"/>
        <v/>
      </c>
      <c r="P75" s="47"/>
      <c r="Q75" s="6" t="str">
        <f t="shared" si="11"/>
        <v/>
      </c>
    </row>
    <row r="76" spans="1:17" x14ac:dyDescent="0.35">
      <c r="A76" s="16" t="s">
        <v>186</v>
      </c>
      <c r="B76" s="64"/>
      <c r="C76" s="64">
        <v>0</v>
      </c>
      <c r="D76" s="64">
        <v>0</v>
      </c>
      <c r="E76" s="64">
        <v>0</v>
      </c>
      <c r="F76" s="64">
        <v>0</v>
      </c>
      <c r="G76" s="64">
        <v>0</v>
      </c>
      <c r="H76" s="64">
        <v>0</v>
      </c>
      <c r="I76" s="16"/>
      <c r="J76" s="64">
        <f t="shared" si="8"/>
        <v>0</v>
      </c>
      <c r="K76" s="16" t="s">
        <v>186</v>
      </c>
      <c r="L76" s="16" t="s">
        <v>186</v>
      </c>
      <c r="M76" s="16" t="s">
        <v>186</v>
      </c>
      <c r="N76" s="6" t="str">
        <f t="shared" si="9"/>
        <v/>
      </c>
      <c r="O76" s="6" t="str">
        <f t="shared" si="10"/>
        <v/>
      </c>
      <c r="P76" s="47"/>
      <c r="Q76" s="6" t="str">
        <f t="shared" si="11"/>
        <v/>
      </c>
    </row>
    <row r="77" spans="1:17" x14ac:dyDescent="0.35">
      <c r="A77" s="16" t="s">
        <v>186</v>
      </c>
      <c r="B77" s="64"/>
      <c r="C77" s="64">
        <v>0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16"/>
      <c r="J77" s="64">
        <f t="shared" si="8"/>
        <v>0</v>
      </c>
      <c r="K77" s="16" t="s">
        <v>186</v>
      </c>
      <c r="L77" s="16" t="s">
        <v>186</v>
      </c>
      <c r="M77" s="16" t="s">
        <v>186</v>
      </c>
      <c r="N77" s="6" t="str">
        <f t="shared" si="9"/>
        <v/>
      </c>
      <c r="O77" s="6" t="str">
        <f t="shared" si="10"/>
        <v/>
      </c>
      <c r="P77" s="47"/>
      <c r="Q77" s="6" t="str">
        <f t="shared" si="11"/>
        <v/>
      </c>
    </row>
    <row r="78" spans="1:17" x14ac:dyDescent="0.35">
      <c r="A78" s="16" t="s">
        <v>186</v>
      </c>
      <c r="B78" s="64"/>
      <c r="C78" s="64">
        <v>0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  <c r="I78" s="16"/>
      <c r="J78" s="64">
        <f t="shared" si="8"/>
        <v>0</v>
      </c>
      <c r="K78" s="16" t="s">
        <v>186</v>
      </c>
      <c r="L78" s="16" t="s">
        <v>186</v>
      </c>
      <c r="M78" s="16" t="s">
        <v>186</v>
      </c>
      <c r="N78" s="6" t="str">
        <f t="shared" si="9"/>
        <v/>
      </c>
      <c r="O78" s="6" t="str">
        <f t="shared" si="10"/>
        <v/>
      </c>
      <c r="P78" s="47"/>
      <c r="Q78" s="6" t="str">
        <f t="shared" si="11"/>
        <v/>
      </c>
    </row>
    <row r="79" spans="1:17" x14ac:dyDescent="0.35">
      <c r="A79" s="16" t="s">
        <v>186</v>
      </c>
      <c r="B79" s="64"/>
      <c r="C79" s="64">
        <v>0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16"/>
      <c r="J79" s="64">
        <f t="shared" si="8"/>
        <v>0</v>
      </c>
      <c r="K79" s="16" t="s">
        <v>186</v>
      </c>
      <c r="L79" s="16" t="s">
        <v>186</v>
      </c>
      <c r="M79" s="16" t="s">
        <v>186</v>
      </c>
      <c r="N79" s="6" t="str">
        <f t="shared" si="9"/>
        <v/>
      </c>
      <c r="O79" s="6" t="str">
        <f t="shared" si="10"/>
        <v/>
      </c>
      <c r="P79" s="47"/>
      <c r="Q79" s="6" t="str">
        <f t="shared" si="11"/>
        <v/>
      </c>
    </row>
    <row r="80" spans="1:17" x14ac:dyDescent="0.35">
      <c r="A80" s="16" t="s">
        <v>186</v>
      </c>
      <c r="B80" s="64"/>
      <c r="C80" s="64">
        <v>0</v>
      </c>
      <c r="D80" s="64">
        <v>0</v>
      </c>
      <c r="E80" s="64">
        <v>0</v>
      </c>
      <c r="F80" s="64">
        <v>0</v>
      </c>
      <c r="G80" s="64">
        <v>0</v>
      </c>
      <c r="H80" s="64">
        <v>0</v>
      </c>
      <c r="I80" s="16"/>
      <c r="J80" s="64">
        <f t="shared" si="8"/>
        <v>0</v>
      </c>
      <c r="K80" s="16" t="s">
        <v>186</v>
      </c>
      <c r="L80" s="16" t="s">
        <v>186</v>
      </c>
      <c r="M80" s="16" t="s">
        <v>186</v>
      </c>
      <c r="N80" s="6" t="str">
        <f t="shared" si="9"/>
        <v/>
      </c>
      <c r="O80" s="6" t="str">
        <f t="shared" si="10"/>
        <v/>
      </c>
      <c r="P80" s="47"/>
      <c r="Q80" s="6" t="str">
        <f t="shared" si="11"/>
        <v/>
      </c>
    </row>
    <row r="81" spans="1:17" x14ac:dyDescent="0.35">
      <c r="A81" s="16" t="s">
        <v>186</v>
      </c>
      <c r="B81" s="64"/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16"/>
      <c r="J81" s="64">
        <f t="shared" si="8"/>
        <v>0</v>
      </c>
      <c r="K81" s="16" t="s">
        <v>186</v>
      </c>
      <c r="L81" s="16" t="s">
        <v>186</v>
      </c>
      <c r="M81" s="16" t="s">
        <v>186</v>
      </c>
      <c r="N81" s="6" t="str">
        <f t="shared" si="9"/>
        <v/>
      </c>
      <c r="O81" s="6" t="str">
        <f t="shared" si="10"/>
        <v/>
      </c>
      <c r="P81" s="47"/>
      <c r="Q81" s="6" t="str">
        <f t="shared" si="11"/>
        <v/>
      </c>
    </row>
    <row r="82" spans="1:17" x14ac:dyDescent="0.35">
      <c r="A82" s="16" t="s">
        <v>186</v>
      </c>
      <c r="B82" s="64"/>
      <c r="C82" s="64">
        <v>0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16"/>
      <c r="J82" s="64">
        <f t="shared" si="8"/>
        <v>0</v>
      </c>
      <c r="K82" s="16" t="s">
        <v>186</v>
      </c>
      <c r="L82" s="16" t="s">
        <v>186</v>
      </c>
      <c r="M82" s="16" t="s">
        <v>186</v>
      </c>
      <c r="N82" s="6" t="str">
        <f t="shared" si="9"/>
        <v/>
      </c>
      <c r="O82" s="6" t="str">
        <f t="shared" si="10"/>
        <v/>
      </c>
      <c r="P82" s="47"/>
      <c r="Q82" s="6" t="str">
        <f t="shared" si="11"/>
        <v/>
      </c>
    </row>
    <row r="83" spans="1:17" x14ac:dyDescent="0.35">
      <c r="A83" s="16" t="s">
        <v>186</v>
      </c>
      <c r="B83" s="64"/>
      <c r="C83" s="64">
        <v>0</v>
      </c>
      <c r="D83" s="64">
        <v>0</v>
      </c>
      <c r="E83" s="64">
        <v>0</v>
      </c>
      <c r="F83" s="64">
        <v>0</v>
      </c>
      <c r="G83" s="64">
        <v>0</v>
      </c>
      <c r="H83" s="64">
        <v>0</v>
      </c>
      <c r="I83" s="16"/>
      <c r="J83" s="64">
        <f t="shared" si="8"/>
        <v>0</v>
      </c>
      <c r="K83" s="16" t="s">
        <v>186</v>
      </c>
      <c r="L83" s="16" t="s">
        <v>186</v>
      </c>
      <c r="M83" s="16" t="s">
        <v>186</v>
      </c>
      <c r="N83" s="6" t="str">
        <f t="shared" si="9"/>
        <v/>
      </c>
      <c r="O83" s="6" t="str">
        <f t="shared" si="10"/>
        <v/>
      </c>
      <c r="P83" s="47"/>
      <c r="Q83" s="6" t="str">
        <f t="shared" si="11"/>
        <v/>
      </c>
    </row>
    <row r="84" spans="1:17" x14ac:dyDescent="0.35">
      <c r="A84" s="16" t="s">
        <v>186</v>
      </c>
      <c r="B84" s="64"/>
      <c r="C84" s="64">
        <v>0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16"/>
      <c r="J84" s="64">
        <f t="shared" si="8"/>
        <v>0</v>
      </c>
      <c r="K84" s="16" t="s">
        <v>186</v>
      </c>
      <c r="L84" s="16" t="s">
        <v>186</v>
      </c>
      <c r="M84" s="16" t="s">
        <v>186</v>
      </c>
      <c r="N84" s="6" t="str">
        <f t="shared" si="9"/>
        <v/>
      </c>
      <c r="O84" s="6" t="str">
        <f t="shared" si="10"/>
        <v/>
      </c>
      <c r="P84" s="47"/>
      <c r="Q84" s="6" t="str">
        <f t="shared" si="11"/>
        <v/>
      </c>
    </row>
    <row r="85" spans="1:17" x14ac:dyDescent="0.35">
      <c r="A85" s="16" t="s">
        <v>186</v>
      </c>
      <c r="B85" s="64"/>
      <c r="C85" s="64">
        <v>0</v>
      </c>
      <c r="D85" s="64">
        <v>0</v>
      </c>
      <c r="E85" s="64">
        <v>0</v>
      </c>
      <c r="F85" s="64">
        <v>0</v>
      </c>
      <c r="G85" s="64">
        <v>0</v>
      </c>
      <c r="H85" s="64">
        <v>0</v>
      </c>
      <c r="I85" s="16"/>
      <c r="J85" s="64">
        <f t="shared" si="8"/>
        <v>0</v>
      </c>
      <c r="K85" s="16" t="s">
        <v>186</v>
      </c>
      <c r="L85" s="16" t="s">
        <v>186</v>
      </c>
      <c r="M85" s="16" t="s">
        <v>186</v>
      </c>
      <c r="N85" s="6" t="str">
        <f t="shared" si="9"/>
        <v/>
      </c>
      <c r="O85" s="6" t="str">
        <f t="shared" si="10"/>
        <v/>
      </c>
      <c r="P85" s="47"/>
      <c r="Q85" s="6" t="str">
        <f t="shared" si="11"/>
        <v/>
      </c>
    </row>
    <row r="86" spans="1:17" x14ac:dyDescent="0.35">
      <c r="A86" s="16" t="s">
        <v>186</v>
      </c>
      <c r="B86" s="64"/>
      <c r="C86" s="64">
        <v>0</v>
      </c>
      <c r="D86" s="64">
        <v>0</v>
      </c>
      <c r="E86" s="64">
        <v>0</v>
      </c>
      <c r="F86" s="64">
        <v>0</v>
      </c>
      <c r="G86" s="64">
        <v>0</v>
      </c>
      <c r="H86" s="64">
        <v>0</v>
      </c>
      <c r="I86" s="16"/>
      <c r="J86" s="64">
        <f t="shared" si="8"/>
        <v>0</v>
      </c>
      <c r="K86" s="16" t="s">
        <v>186</v>
      </c>
      <c r="L86" s="16" t="s">
        <v>186</v>
      </c>
      <c r="M86" s="16" t="s">
        <v>186</v>
      </c>
      <c r="N86" s="6" t="str">
        <f t="shared" si="9"/>
        <v/>
      </c>
      <c r="O86" s="6" t="str">
        <f t="shared" si="10"/>
        <v/>
      </c>
      <c r="P86" s="47"/>
      <c r="Q86" s="6" t="str">
        <f t="shared" si="11"/>
        <v/>
      </c>
    </row>
    <row r="87" spans="1:17" x14ac:dyDescent="0.35">
      <c r="A87" s="16" t="s">
        <v>186</v>
      </c>
      <c r="B87" s="64"/>
      <c r="C87" s="64">
        <v>0</v>
      </c>
      <c r="D87" s="64">
        <v>0</v>
      </c>
      <c r="E87" s="64">
        <v>0</v>
      </c>
      <c r="F87" s="64">
        <v>0</v>
      </c>
      <c r="G87" s="64">
        <v>0</v>
      </c>
      <c r="H87" s="64">
        <v>0</v>
      </c>
      <c r="I87" s="16"/>
      <c r="J87" s="64">
        <f t="shared" si="8"/>
        <v>0</v>
      </c>
      <c r="K87" s="16" t="s">
        <v>186</v>
      </c>
      <c r="L87" s="16" t="s">
        <v>186</v>
      </c>
      <c r="M87" s="16" t="s">
        <v>186</v>
      </c>
      <c r="N87" s="6" t="str">
        <f t="shared" si="9"/>
        <v/>
      </c>
      <c r="O87" s="6" t="str">
        <f t="shared" si="10"/>
        <v/>
      </c>
      <c r="P87" s="47"/>
      <c r="Q87" s="6" t="str">
        <f t="shared" si="11"/>
        <v/>
      </c>
    </row>
    <row r="88" spans="1:17" x14ac:dyDescent="0.35">
      <c r="A88" s="16" t="s">
        <v>186</v>
      </c>
      <c r="B88" s="64"/>
      <c r="C88" s="64">
        <v>0</v>
      </c>
      <c r="D88" s="64">
        <v>0</v>
      </c>
      <c r="E88" s="64">
        <v>0</v>
      </c>
      <c r="F88" s="64">
        <v>0</v>
      </c>
      <c r="G88" s="64">
        <v>0</v>
      </c>
      <c r="H88" s="64">
        <v>0</v>
      </c>
      <c r="I88" s="16"/>
      <c r="J88" s="64">
        <f t="shared" si="8"/>
        <v>0</v>
      </c>
      <c r="K88" s="16" t="s">
        <v>186</v>
      </c>
      <c r="L88" s="16" t="s">
        <v>186</v>
      </c>
      <c r="M88" s="16" t="s">
        <v>186</v>
      </c>
      <c r="N88" s="6" t="str">
        <f t="shared" si="9"/>
        <v/>
      </c>
      <c r="O88" s="6" t="str">
        <f t="shared" si="10"/>
        <v/>
      </c>
      <c r="P88" s="47"/>
      <c r="Q88" s="6" t="str">
        <f t="shared" si="11"/>
        <v/>
      </c>
    </row>
    <row r="89" spans="1:17" x14ac:dyDescent="0.35">
      <c r="A89" s="16" t="s">
        <v>186</v>
      </c>
      <c r="B89" s="64"/>
      <c r="C89" s="64">
        <v>0</v>
      </c>
      <c r="D89" s="64">
        <v>0</v>
      </c>
      <c r="E89" s="64">
        <v>0</v>
      </c>
      <c r="F89" s="64">
        <v>0</v>
      </c>
      <c r="G89" s="64">
        <v>0</v>
      </c>
      <c r="H89" s="64">
        <v>0</v>
      </c>
      <c r="I89" s="16"/>
      <c r="J89" s="64">
        <f t="shared" si="8"/>
        <v>0</v>
      </c>
      <c r="K89" s="16" t="s">
        <v>186</v>
      </c>
      <c r="L89" s="16" t="s">
        <v>186</v>
      </c>
      <c r="M89" s="16" t="s">
        <v>186</v>
      </c>
      <c r="N89" s="6" t="str">
        <f t="shared" si="9"/>
        <v/>
      </c>
      <c r="O89" s="6" t="str">
        <f t="shared" si="10"/>
        <v/>
      </c>
      <c r="P89" s="47"/>
      <c r="Q89" s="6" t="str">
        <f t="shared" si="11"/>
        <v/>
      </c>
    </row>
    <row r="90" spans="1:17" x14ac:dyDescent="0.35">
      <c r="A90" s="16" t="s">
        <v>186</v>
      </c>
      <c r="B90" s="64"/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16"/>
      <c r="J90" s="64">
        <f t="shared" si="8"/>
        <v>0</v>
      </c>
      <c r="K90" s="16" t="s">
        <v>186</v>
      </c>
      <c r="L90" s="16" t="s">
        <v>186</v>
      </c>
      <c r="M90" s="16" t="s">
        <v>186</v>
      </c>
      <c r="N90" s="6" t="str">
        <f t="shared" si="9"/>
        <v/>
      </c>
      <c r="O90" s="6" t="str">
        <f t="shared" si="10"/>
        <v/>
      </c>
      <c r="P90" s="47"/>
      <c r="Q90" s="6" t="str">
        <f t="shared" si="11"/>
        <v/>
      </c>
    </row>
    <row r="91" spans="1:17" x14ac:dyDescent="0.35">
      <c r="A91" s="16" t="s">
        <v>186</v>
      </c>
      <c r="B91" s="64"/>
      <c r="C91" s="64">
        <v>0</v>
      </c>
      <c r="D91" s="64">
        <v>0</v>
      </c>
      <c r="E91" s="64">
        <v>0</v>
      </c>
      <c r="F91" s="64">
        <v>0</v>
      </c>
      <c r="G91" s="64">
        <v>0</v>
      </c>
      <c r="H91" s="64">
        <v>0</v>
      </c>
      <c r="I91" s="16"/>
      <c r="J91" s="64">
        <f t="shared" si="8"/>
        <v>0</v>
      </c>
      <c r="K91" s="16" t="s">
        <v>186</v>
      </c>
      <c r="L91" s="16" t="s">
        <v>186</v>
      </c>
      <c r="M91" s="16" t="s">
        <v>186</v>
      </c>
      <c r="N91" s="6" t="str">
        <f t="shared" si="9"/>
        <v/>
      </c>
      <c r="O91" s="6" t="str">
        <f t="shared" si="10"/>
        <v/>
      </c>
      <c r="P91" s="47"/>
      <c r="Q91" s="6" t="str">
        <f t="shared" si="11"/>
        <v/>
      </c>
    </row>
    <row r="92" spans="1:17" x14ac:dyDescent="0.35">
      <c r="A92" s="16" t="s">
        <v>186</v>
      </c>
      <c r="B92" s="64"/>
      <c r="C92" s="64">
        <v>0</v>
      </c>
      <c r="D92" s="64">
        <v>0</v>
      </c>
      <c r="E92" s="64">
        <v>0</v>
      </c>
      <c r="F92" s="64">
        <v>0</v>
      </c>
      <c r="G92" s="64">
        <v>0</v>
      </c>
      <c r="H92" s="64">
        <v>0</v>
      </c>
      <c r="I92" s="16"/>
      <c r="J92" s="64">
        <f t="shared" si="8"/>
        <v>0</v>
      </c>
      <c r="K92" s="16" t="s">
        <v>186</v>
      </c>
      <c r="L92" s="16" t="s">
        <v>186</v>
      </c>
      <c r="M92" s="16" t="s">
        <v>186</v>
      </c>
      <c r="N92" s="6" t="str">
        <f t="shared" si="9"/>
        <v/>
      </c>
      <c r="O92" s="6" t="str">
        <f t="shared" si="10"/>
        <v/>
      </c>
      <c r="P92" s="47"/>
      <c r="Q92" s="6" t="str">
        <f t="shared" si="11"/>
        <v/>
      </c>
    </row>
    <row r="93" spans="1:17" x14ac:dyDescent="0.35">
      <c r="A93" s="16" t="s">
        <v>186</v>
      </c>
      <c r="B93" s="64"/>
      <c r="C93" s="64">
        <v>0</v>
      </c>
      <c r="D93" s="64">
        <v>0</v>
      </c>
      <c r="E93" s="64">
        <v>0</v>
      </c>
      <c r="F93" s="64">
        <v>0</v>
      </c>
      <c r="G93" s="64">
        <v>0</v>
      </c>
      <c r="H93" s="64">
        <v>0</v>
      </c>
      <c r="I93" s="16"/>
      <c r="J93" s="64">
        <f t="shared" si="8"/>
        <v>0</v>
      </c>
      <c r="K93" s="16" t="s">
        <v>186</v>
      </c>
      <c r="L93" s="16" t="s">
        <v>186</v>
      </c>
      <c r="M93" s="16" t="s">
        <v>186</v>
      </c>
      <c r="N93" s="6" t="str">
        <f t="shared" si="9"/>
        <v/>
      </c>
      <c r="O93" s="6" t="str">
        <f t="shared" si="10"/>
        <v/>
      </c>
      <c r="P93" s="47"/>
      <c r="Q93" s="6" t="str">
        <f t="shared" si="11"/>
        <v/>
      </c>
    </row>
    <row r="94" spans="1:17" x14ac:dyDescent="0.35">
      <c r="A94" s="16" t="s">
        <v>186</v>
      </c>
      <c r="B94" s="64"/>
      <c r="C94" s="64">
        <v>0</v>
      </c>
      <c r="D94" s="64">
        <v>0</v>
      </c>
      <c r="E94" s="64">
        <v>0</v>
      </c>
      <c r="F94" s="64">
        <v>0</v>
      </c>
      <c r="G94" s="64">
        <v>0</v>
      </c>
      <c r="H94" s="64">
        <v>0</v>
      </c>
      <c r="I94" s="16"/>
      <c r="J94" s="64">
        <f t="shared" si="8"/>
        <v>0</v>
      </c>
      <c r="K94" s="16" t="s">
        <v>186</v>
      </c>
      <c r="L94" s="16" t="s">
        <v>186</v>
      </c>
      <c r="M94" s="16" t="s">
        <v>186</v>
      </c>
      <c r="N94" s="6" t="str">
        <f t="shared" si="9"/>
        <v/>
      </c>
      <c r="O94" s="6" t="str">
        <f t="shared" si="10"/>
        <v/>
      </c>
      <c r="P94" s="47"/>
      <c r="Q94" s="6" t="str">
        <f t="shared" si="11"/>
        <v/>
      </c>
    </row>
    <row r="95" spans="1:17" x14ac:dyDescent="0.35">
      <c r="A95" s="16" t="s">
        <v>186</v>
      </c>
      <c r="B95" s="64"/>
      <c r="C95" s="64">
        <v>0</v>
      </c>
      <c r="D95" s="64">
        <v>0</v>
      </c>
      <c r="E95" s="64">
        <v>0</v>
      </c>
      <c r="F95" s="64">
        <v>0</v>
      </c>
      <c r="G95" s="64">
        <v>0</v>
      </c>
      <c r="H95" s="64">
        <v>0</v>
      </c>
      <c r="I95" s="16"/>
      <c r="J95" s="64">
        <f t="shared" si="8"/>
        <v>0</v>
      </c>
      <c r="K95" s="16" t="s">
        <v>186</v>
      </c>
      <c r="L95" s="16" t="s">
        <v>186</v>
      </c>
      <c r="M95" s="16" t="s">
        <v>186</v>
      </c>
      <c r="N95" s="6" t="str">
        <f t="shared" si="9"/>
        <v/>
      </c>
      <c r="O95" s="6" t="str">
        <f t="shared" si="10"/>
        <v/>
      </c>
      <c r="P95" s="47"/>
      <c r="Q95" s="6" t="str">
        <f t="shared" si="11"/>
        <v/>
      </c>
    </row>
    <row r="96" spans="1:17" x14ac:dyDescent="0.35">
      <c r="A96" s="16" t="s">
        <v>186</v>
      </c>
      <c r="B96" s="64"/>
      <c r="C96" s="64">
        <v>0</v>
      </c>
      <c r="D96" s="64">
        <v>0</v>
      </c>
      <c r="E96" s="64">
        <v>0</v>
      </c>
      <c r="F96" s="64">
        <v>0</v>
      </c>
      <c r="G96" s="64">
        <v>0</v>
      </c>
      <c r="H96" s="64">
        <v>0</v>
      </c>
      <c r="I96" s="16"/>
      <c r="J96" s="64">
        <f t="shared" si="8"/>
        <v>0</v>
      </c>
      <c r="K96" s="16" t="s">
        <v>186</v>
      </c>
      <c r="L96" s="16" t="s">
        <v>186</v>
      </c>
      <c r="M96" s="16" t="s">
        <v>186</v>
      </c>
      <c r="N96" s="6" t="str">
        <f t="shared" si="9"/>
        <v/>
      </c>
      <c r="O96" s="6" t="str">
        <f t="shared" si="10"/>
        <v/>
      </c>
      <c r="P96" s="47"/>
      <c r="Q96" s="6" t="str">
        <f t="shared" si="11"/>
        <v/>
      </c>
    </row>
    <row r="97" spans="1:17" x14ac:dyDescent="0.35">
      <c r="A97" s="16" t="s">
        <v>186</v>
      </c>
      <c r="B97" s="64"/>
      <c r="C97" s="64">
        <v>0</v>
      </c>
      <c r="D97" s="64">
        <v>0</v>
      </c>
      <c r="E97" s="64">
        <v>0</v>
      </c>
      <c r="F97" s="64">
        <v>0</v>
      </c>
      <c r="G97" s="64">
        <v>0</v>
      </c>
      <c r="H97" s="64">
        <v>0</v>
      </c>
      <c r="I97" s="16"/>
      <c r="J97" s="64">
        <f t="shared" si="8"/>
        <v>0</v>
      </c>
      <c r="K97" s="16" t="s">
        <v>186</v>
      </c>
      <c r="L97" s="16" t="s">
        <v>186</v>
      </c>
      <c r="M97" s="16" t="s">
        <v>186</v>
      </c>
      <c r="N97" s="6" t="str">
        <f t="shared" si="9"/>
        <v/>
      </c>
      <c r="O97" s="6" t="str">
        <f t="shared" si="10"/>
        <v/>
      </c>
      <c r="P97" s="47"/>
      <c r="Q97" s="6" t="str">
        <f t="shared" si="11"/>
        <v/>
      </c>
    </row>
    <row r="98" spans="1:17" x14ac:dyDescent="0.35">
      <c r="A98" s="16" t="s">
        <v>186</v>
      </c>
      <c r="B98" s="64"/>
      <c r="C98" s="64">
        <v>0</v>
      </c>
      <c r="D98" s="64">
        <v>0</v>
      </c>
      <c r="E98" s="64">
        <v>0</v>
      </c>
      <c r="F98" s="64">
        <v>0</v>
      </c>
      <c r="G98" s="64">
        <v>0</v>
      </c>
      <c r="H98" s="64">
        <v>0</v>
      </c>
      <c r="I98" s="16"/>
      <c r="J98" s="64">
        <f t="shared" si="8"/>
        <v>0</v>
      </c>
      <c r="K98" s="16" t="s">
        <v>186</v>
      </c>
      <c r="L98" s="16" t="s">
        <v>186</v>
      </c>
      <c r="M98" s="16" t="s">
        <v>186</v>
      </c>
      <c r="N98" s="6" t="str">
        <f t="shared" si="9"/>
        <v/>
      </c>
      <c r="O98" s="6" t="str">
        <f t="shared" si="10"/>
        <v/>
      </c>
      <c r="P98" s="47"/>
      <c r="Q98" s="6" t="str">
        <f t="shared" si="11"/>
        <v/>
      </c>
    </row>
    <row r="99" spans="1:17" x14ac:dyDescent="0.35">
      <c r="A99" s="16" t="s">
        <v>186</v>
      </c>
      <c r="B99" s="64"/>
      <c r="C99" s="64">
        <v>0</v>
      </c>
      <c r="D99" s="64">
        <v>0</v>
      </c>
      <c r="E99" s="64">
        <v>0</v>
      </c>
      <c r="F99" s="64">
        <v>0</v>
      </c>
      <c r="G99" s="64">
        <v>0</v>
      </c>
      <c r="H99" s="64">
        <v>0</v>
      </c>
      <c r="I99" s="16"/>
      <c r="J99" s="64">
        <f t="shared" si="8"/>
        <v>0</v>
      </c>
      <c r="K99" s="16" t="s">
        <v>186</v>
      </c>
      <c r="L99" s="16" t="s">
        <v>186</v>
      </c>
      <c r="M99" s="16" t="s">
        <v>186</v>
      </c>
      <c r="N99" s="6" t="str">
        <f t="shared" si="9"/>
        <v/>
      </c>
      <c r="O99" s="6" t="str">
        <f t="shared" si="10"/>
        <v/>
      </c>
      <c r="P99" s="47"/>
      <c r="Q99" s="6" t="str">
        <f t="shared" si="11"/>
        <v/>
      </c>
    </row>
    <row r="100" spans="1:17" x14ac:dyDescent="0.35">
      <c r="A100" s="16" t="s">
        <v>186</v>
      </c>
      <c r="B100" s="64"/>
      <c r="C100" s="64">
        <v>0</v>
      </c>
      <c r="D100" s="64">
        <v>0</v>
      </c>
      <c r="E100" s="64">
        <v>0</v>
      </c>
      <c r="F100" s="64">
        <v>0</v>
      </c>
      <c r="G100" s="64">
        <v>0</v>
      </c>
      <c r="H100" s="64">
        <v>0</v>
      </c>
      <c r="I100" s="16"/>
      <c r="J100" s="64">
        <f t="shared" si="8"/>
        <v>0</v>
      </c>
      <c r="K100" s="16" t="s">
        <v>186</v>
      </c>
      <c r="L100" s="16" t="s">
        <v>186</v>
      </c>
      <c r="M100" s="16" t="s">
        <v>186</v>
      </c>
      <c r="N100" s="6" t="str">
        <f t="shared" si="9"/>
        <v/>
      </c>
      <c r="O100" s="6" t="str">
        <f t="shared" si="10"/>
        <v/>
      </c>
      <c r="P100" s="47"/>
      <c r="Q100" s="6" t="str">
        <f t="shared" si="11"/>
        <v/>
      </c>
    </row>
  </sheetData>
  <autoFilter ref="A6:Q100"/>
  <mergeCells count="1">
    <mergeCell ref="R1:S1"/>
  </mergeCell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C23"/>
  <sheetViews>
    <sheetView workbookViewId="0"/>
  </sheetViews>
  <sheetFormatPr defaultRowHeight="14.5" x14ac:dyDescent="0.35"/>
  <cols>
    <col min="2" max="2" width="18" bestFit="1" customWidth="1"/>
    <col min="3" max="3" width="13.26953125" bestFit="1" customWidth="1"/>
  </cols>
  <sheetData>
    <row r="1" spans="2:3" ht="15" thickBot="1" x14ac:dyDescent="0.4">
      <c r="B1" t="s">
        <v>16</v>
      </c>
      <c r="C1" s="8">
        <v>44012</v>
      </c>
    </row>
    <row r="2" spans="2:3" ht="15" thickTop="1" x14ac:dyDescent="0.35">
      <c r="B2" s="4" t="str">
        <f>B8</f>
        <v>Converter Stations</v>
      </c>
      <c r="C2" s="10">
        <f>C8*(1+'1. Data'!$B$6)^2</f>
        <v>9.3337069666229535</v>
      </c>
    </row>
    <row r="3" spans="2:3" x14ac:dyDescent="0.35">
      <c r="B3" s="4" t="str">
        <f t="shared" ref="B3:B5" si="0">B9</f>
        <v xml:space="preserve">Transmission lines </v>
      </c>
      <c r="C3" s="10">
        <f>C9*(1+'1. Data'!$B$6)^2</f>
        <v>0.12344031040774017</v>
      </c>
    </row>
    <row r="4" spans="2:3" x14ac:dyDescent="0.35">
      <c r="B4" s="4" t="str">
        <f t="shared" si="0"/>
        <v xml:space="preserve">Easements </v>
      </c>
      <c r="C4" s="10">
        <f>C10*(1+'1. Data'!$B$6)^2</f>
        <v>0</v>
      </c>
    </row>
    <row r="5" spans="2:3" x14ac:dyDescent="0.35">
      <c r="B5" s="4" t="str">
        <f t="shared" si="0"/>
        <v>Total</v>
      </c>
      <c r="C5" s="10">
        <f>SUM(C2:C4)</f>
        <v>9.4571472770306944</v>
      </c>
    </row>
    <row r="6" spans="2:3" x14ac:dyDescent="0.35">
      <c r="B6" s="11"/>
    </row>
    <row r="7" spans="2:3" ht="15" thickBot="1" x14ac:dyDescent="0.4">
      <c r="B7" t="s">
        <v>17</v>
      </c>
      <c r="C7" s="8">
        <f>C1</f>
        <v>44012</v>
      </c>
    </row>
    <row r="8" spans="2:3" ht="15" thickTop="1" x14ac:dyDescent="0.35">
      <c r="B8" s="4" t="str">
        <f>'1. Data'!A2</f>
        <v>Converter Stations</v>
      </c>
      <c r="C8" s="12">
        <f>SUMIF('2 Forecast Capex'!$K$7:$K$100,$B8,'2 Forecast Capex'!C$7:C$100)/1000*(1+'1. Data'!$B$6)^(COLUMN()-2)</f>
        <v>8.9122632092362313</v>
      </c>
    </row>
    <row r="9" spans="2:3" x14ac:dyDescent="0.35">
      <c r="B9" s="4" t="str">
        <f>'1. Data'!A3</f>
        <v xml:space="preserve">Transmission lines </v>
      </c>
      <c r="C9" s="12">
        <f>SUMIF('2 Forecast Capex'!$K$7:$K$100,$B9,'2 Forecast Capex'!C$7:C$100)/1000*(1+'1. Data'!$B$6)^(COLUMN()-2)</f>
        <v>0.11786662479523331</v>
      </c>
    </row>
    <row r="10" spans="2:3" x14ac:dyDescent="0.35">
      <c r="B10" s="4" t="str">
        <f>'1. Data'!A4</f>
        <v xml:space="preserve">Easements </v>
      </c>
      <c r="C10" s="12">
        <f>SUMIF('2 Forecast Capex'!$K$7:$K$100,$B10,'2 Forecast Capex'!C$7:C$100)/1000*(1+'1. Data'!$B$6)^(COLUMN()-2)</f>
        <v>0</v>
      </c>
    </row>
    <row r="11" spans="2:3" x14ac:dyDescent="0.35">
      <c r="B11" s="4" t="s">
        <v>12</v>
      </c>
      <c r="C11" s="12">
        <f>SUM(C8:C10)</f>
        <v>9.0301298340314649</v>
      </c>
    </row>
    <row r="13" spans="2:3" ht="15" thickBot="1" x14ac:dyDescent="0.4">
      <c r="B13" s="47" t="s">
        <v>114</v>
      </c>
      <c r="C13" s="8">
        <v>44012</v>
      </c>
    </row>
    <row r="14" spans="2:3" ht="15" thickTop="1" x14ac:dyDescent="0.35">
      <c r="B14" s="4" t="str">
        <f>B2</f>
        <v>Converter Stations</v>
      </c>
      <c r="C14" s="10">
        <f>C8*(1+'1. Data'!$B$6)^2</f>
        <v>9.3337069666229535</v>
      </c>
    </row>
    <row r="15" spans="2:3" x14ac:dyDescent="0.35">
      <c r="B15" s="4" t="str">
        <f t="shared" ref="B15:B16" si="1">B3</f>
        <v xml:space="preserve">Transmission lines </v>
      </c>
      <c r="C15" s="10">
        <f>C9*(1+'1. Data'!$B$6)^2</f>
        <v>0.12344031040774017</v>
      </c>
    </row>
    <row r="16" spans="2:3" x14ac:dyDescent="0.35">
      <c r="B16" s="4" t="str">
        <f t="shared" si="1"/>
        <v xml:space="preserve">Easements </v>
      </c>
      <c r="C16" s="10">
        <f>C10*(1+'1. Data'!$B$6)^2</f>
        <v>0</v>
      </c>
    </row>
    <row r="17" spans="2:3" x14ac:dyDescent="0.35">
      <c r="B17" s="4" t="str">
        <f>B5</f>
        <v>Total</v>
      </c>
      <c r="C17" s="10">
        <f>SUM(C14:C16)</f>
        <v>9.4571472770306944</v>
      </c>
    </row>
    <row r="18" spans="2:3" ht="15" thickBot="1" x14ac:dyDescent="0.4"/>
    <row r="19" spans="2:3" ht="15.5" thickTop="1" thickBot="1" x14ac:dyDescent="0.4">
      <c r="B19" s="1" t="s">
        <v>18</v>
      </c>
      <c r="C19" s="1"/>
    </row>
    <row r="20" spans="2:3" ht="15.5" thickTop="1" thickBot="1" x14ac:dyDescent="0.4">
      <c r="B20" s="1" t="s">
        <v>19</v>
      </c>
      <c r="C20" s="62">
        <f>'2 Forecast Capex'!C2/1000</f>
        <v>8.8239068678333332</v>
      </c>
    </row>
    <row r="21" spans="2:3" ht="15.5" thickTop="1" thickBot="1" x14ac:dyDescent="0.4">
      <c r="B21" s="1" t="s">
        <v>20</v>
      </c>
      <c r="C21" s="62">
        <f>C20*(1+'1. Data'!$B$6)^(COLUMN()-2)</f>
        <v>9.0301298340314649</v>
      </c>
    </row>
    <row r="22" spans="2:3" ht="15.5" thickTop="1" thickBot="1" x14ac:dyDescent="0.4">
      <c r="B22" s="1" t="s">
        <v>21</v>
      </c>
      <c r="C22" s="63">
        <f>C21-C11</f>
        <v>0</v>
      </c>
    </row>
    <row r="23" spans="2:3" ht="15" thickTop="1" x14ac:dyDescent="0.35"/>
  </sheetData>
  <conditionalFormatting sqref="C2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I22"/>
  <sheetViews>
    <sheetView zoomScaleNormal="100" workbookViewId="0"/>
  </sheetViews>
  <sheetFormatPr defaultRowHeight="14.5" x14ac:dyDescent="0.35"/>
  <cols>
    <col min="2" max="2" width="18" bestFit="1" customWidth="1"/>
    <col min="3" max="3" width="10.81640625" bestFit="1" customWidth="1"/>
    <col min="4" max="5" width="10.54296875" bestFit="1" customWidth="1"/>
    <col min="6" max="7" width="9.54296875" bestFit="1" customWidth="1"/>
  </cols>
  <sheetData>
    <row r="1" spans="2:9" ht="15" thickBot="1" x14ac:dyDescent="0.4">
      <c r="B1" t="s">
        <v>15</v>
      </c>
      <c r="C1" s="8">
        <v>44377</v>
      </c>
      <c r="D1" s="8">
        <v>44742</v>
      </c>
      <c r="E1" s="8">
        <v>45107</v>
      </c>
      <c r="F1" s="8">
        <v>45473</v>
      </c>
      <c r="G1" s="8">
        <v>45838</v>
      </c>
      <c r="I1" t="s">
        <v>12</v>
      </c>
    </row>
    <row r="2" spans="2:9" ht="15" thickTop="1" x14ac:dyDescent="0.35">
      <c r="B2" s="4" t="str">
        <f>B10</f>
        <v>Transmission Assets</v>
      </c>
      <c r="C2" s="65">
        <f>C10*(1+'1. Data'!$B$6)^2</f>
        <v>4.6141395266978389</v>
      </c>
      <c r="D2" s="65">
        <f>D10*(1+'1. Data'!$B$6)^2</f>
        <v>6.1556428420324503</v>
      </c>
      <c r="E2" s="65">
        <f>E10*(1+'1. Data'!$B$6)^2</f>
        <v>5.4033234544581452</v>
      </c>
      <c r="F2" s="65">
        <f>F10*(1+'1. Data'!$B$6)^2</f>
        <v>4.8212407432257409</v>
      </c>
      <c r="G2" s="65">
        <f>G10*(1+'1. Data'!$B$6)^2</f>
        <v>3.7608114718164187</v>
      </c>
      <c r="H2" s="49"/>
      <c r="I2" s="66">
        <f>SUM(C2:G2)</f>
        <v>24.755158038230594</v>
      </c>
    </row>
    <row r="3" spans="2:9" s="47" customFormat="1" x14ac:dyDescent="0.35">
      <c r="B3" s="4" t="str">
        <f>B11</f>
        <v>Transmission Determination</v>
      </c>
      <c r="C3" s="65">
        <f>C11*(1+'1. Data'!$B$6)^2</f>
        <v>3.4036893806287306E-2</v>
      </c>
      <c r="D3" s="65">
        <f>D11*(1+'1. Data'!$B$6)^2</f>
        <v>3.4036893806287306E-2</v>
      </c>
      <c r="E3" s="65">
        <f>E11*(1+'1. Data'!$B$6)^2</f>
        <v>3.4036893806287306E-2</v>
      </c>
      <c r="F3" s="65">
        <f>F11*(1+'1. Data'!$B$6)^2</f>
        <v>0.14532126368603251</v>
      </c>
      <c r="G3" s="65">
        <f>G11*(1+'1. Data'!$B$6)^2</f>
        <v>0.14036383133435459</v>
      </c>
      <c r="H3" s="49"/>
      <c r="I3" s="66">
        <f>SUM(C3:G3)</f>
        <v>0.38779577643924901</v>
      </c>
    </row>
    <row r="4" spans="2:9" s="47" customFormat="1" x14ac:dyDescent="0.35">
      <c r="B4" s="4" t="str">
        <f t="shared" ref="B4:B5" si="0">B12</f>
        <v>Easements</v>
      </c>
      <c r="C4" s="65">
        <f>C12*(1+'1. Data'!$B$6)^2</f>
        <v>0</v>
      </c>
      <c r="D4" s="65">
        <f>D12*(1+'1. Data'!$B$6)^2</f>
        <v>0</v>
      </c>
      <c r="E4" s="65">
        <f>E12*(1+'1. Data'!$B$6)^2</f>
        <v>0</v>
      </c>
      <c r="F4" s="65">
        <f>F12*(1+'1. Data'!$B$6)^2</f>
        <v>0</v>
      </c>
      <c r="G4" s="65">
        <f>G12*(1+'1. Data'!$B$6)^2</f>
        <v>0</v>
      </c>
      <c r="H4" s="49"/>
      <c r="I4" s="66">
        <f t="shared" ref="I4:I6" si="1">SUM(C4:G4)</f>
        <v>0</v>
      </c>
    </row>
    <row r="5" spans="2:9" s="47" customFormat="1" x14ac:dyDescent="0.35">
      <c r="B5" s="4" t="str">
        <f t="shared" si="0"/>
        <v>Land</v>
      </c>
      <c r="C5" s="65">
        <f>C13*(1+'1. Data'!$B$6)^2</f>
        <v>0</v>
      </c>
      <c r="D5" s="65">
        <f>D13*(1+'1. Data'!$B$6)^2</f>
        <v>0</v>
      </c>
      <c r="E5" s="65">
        <f>E13*(1+'1. Data'!$B$6)^2</f>
        <v>0</v>
      </c>
      <c r="F5" s="65">
        <f>F13*(1+'1. Data'!$B$6)^2</f>
        <v>0</v>
      </c>
      <c r="G5" s="65">
        <f>G13*(1+'1. Data'!$B$6)^2</f>
        <v>0</v>
      </c>
      <c r="H5" s="49"/>
      <c r="I5" s="66">
        <f t="shared" si="1"/>
        <v>0</v>
      </c>
    </row>
    <row r="6" spans="2:9" s="59" customFormat="1" x14ac:dyDescent="0.35">
      <c r="B6" s="4" t="str">
        <f>B14</f>
        <v>Buildings</v>
      </c>
      <c r="C6" s="65">
        <f>C14*(1+'1. Data'!$B$6)^2</f>
        <v>0.23040337616252077</v>
      </c>
      <c r="D6" s="65">
        <f>D14*(1+'1. Data'!$B$6)^2</f>
        <v>0.39168573947628532</v>
      </c>
      <c r="E6" s="65">
        <f>E14*(1+'1. Data'!$B$6)^2</f>
        <v>0</v>
      </c>
      <c r="F6" s="65">
        <f>F14*(1+'1. Data'!$B$6)^2</f>
        <v>0</v>
      </c>
      <c r="G6" s="65">
        <f>G14*(1+'1. Data'!$B$6)^2</f>
        <v>0</v>
      </c>
      <c r="H6" s="49"/>
      <c r="I6" s="66">
        <f t="shared" si="1"/>
        <v>0.62208911563880609</v>
      </c>
    </row>
    <row r="7" spans="2:9" x14ac:dyDescent="0.35">
      <c r="B7" s="4" t="str">
        <f>B15</f>
        <v>Total</v>
      </c>
      <c r="C7" s="65">
        <f>SUM(C2:C6)</f>
        <v>4.8785797966666467</v>
      </c>
      <c r="D7" s="65">
        <f>SUM(D2:D6)</f>
        <v>6.5813654753150228</v>
      </c>
      <c r="E7" s="65">
        <f>SUM(E2:E6)</f>
        <v>5.4373603482644324</v>
      </c>
      <c r="F7" s="65">
        <f>SUM(F2:F6)</f>
        <v>4.9665620069117731</v>
      </c>
      <c r="G7" s="65">
        <f>SUM(G2:G6)</f>
        <v>3.9011753031507732</v>
      </c>
      <c r="H7" s="49"/>
      <c r="I7" s="66">
        <f t="shared" ref="I7" si="2">SUM(C7:G7)</f>
        <v>25.765042930308645</v>
      </c>
    </row>
    <row r="9" spans="2:9" x14ac:dyDescent="0.35">
      <c r="B9" t="s">
        <v>13</v>
      </c>
      <c r="I9" s="11" t="s">
        <v>12</v>
      </c>
    </row>
    <row r="10" spans="2:9" x14ac:dyDescent="0.35">
      <c r="B10" s="12" t="str">
        <f>'1. Data'!A8</f>
        <v>Transmission Assets</v>
      </c>
      <c r="C10" s="66">
        <f>SUMIF('2 Forecast Capex'!$L$7:$L$100,$B10,'2 Forecast Capex'!D$7:D$100)/1000</f>
        <v>4.4057978349999996</v>
      </c>
      <c r="D10" s="66">
        <f>SUMIF('2 Forecast Capex'!$L$7:$L$100,$B10,'2 Forecast Capex'!E$7:E$100)/1000</f>
        <v>5.8776978350000002</v>
      </c>
      <c r="E10" s="66">
        <f>SUMIF('2 Forecast Capex'!$L$7:$L$100,$B10,'2 Forecast Capex'!F$7:F$100)/1000</f>
        <v>5.1593478349999993</v>
      </c>
      <c r="F10" s="66">
        <f>SUMIF('2 Forecast Capex'!$L$7:$L$100,$B10,'2 Forecast Capex'!G$7:G$100)/1000</f>
        <v>4.6035478349999996</v>
      </c>
      <c r="G10" s="66">
        <f>SUMIF('2 Forecast Capex'!$L$7:$L$100,$B10,'2 Forecast Capex'!H$7:H$100)/1000</f>
        <v>3.5910000000000002</v>
      </c>
      <c r="I10" s="66">
        <f>SUM(C10:G10)</f>
        <v>23.637391340000001</v>
      </c>
    </row>
    <row r="11" spans="2:9" s="47" customFormat="1" x14ac:dyDescent="0.35">
      <c r="B11" s="12" t="str">
        <f>'1. Data'!A9</f>
        <v>Transmission Determination</v>
      </c>
      <c r="C11" s="66">
        <f>SUMIF('2 Forecast Capex'!$L$7:$L$100,$B11,'2 Forecast Capex'!D$7:D$100)/1000</f>
        <v>3.2500029999999992E-2</v>
      </c>
      <c r="D11" s="66">
        <f>SUMIF('2 Forecast Capex'!$L$7:$L$100,$B11,'2 Forecast Capex'!E$7:E$100)/1000</f>
        <v>3.2500029999999992E-2</v>
      </c>
      <c r="E11" s="66">
        <f>SUMIF('2 Forecast Capex'!$L$7:$L$100,$B11,'2 Forecast Capex'!F$7:F$100)/1000</f>
        <v>3.2500029999999992E-2</v>
      </c>
      <c r="F11" s="66">
        <f>SUMIF('2 Forecast Capex'!$L$7:$L$100,$B11,'2 Forecast Capex'!G$7:G$100)/1000</f>
        <v>0.13875958999999999</v>
      </c>
      <c r="G11" s="66">
        <f>SUMIF('2 Forecast Capex'!$L$7:$L$100,$B11,'2 Forecast Capex'!H$7:H$100)/1000</f>
        <v>0.13402600000000001</v>
      </c>
      <c r="I11" s="66">
        <f>SUM(C11:G11)</f>
        <v>0.37028567999999995</v>
      </c>
    </row>
    <row r="12" spans="2:9" s="47" customFormat="1" x14ac:dyDescent="0.35">
      <c r="B12" s="12" t="str">
        <f>'1. Data'!A10</f>
        <v>Easements</v>
      </c>
      <c r="C12" s="66">
        <f>SUMIF('2 Forecast Capex'!$L$7:$L$100,$B12,'2 Forecast Capex'!D$7:D$100)/1000</f>
        <v>0</v>
      </c>
      <c r="D12" s="66">
        <f>SUMIF('2 Forecast Capex'!$L$7:$L$100,$B12,'2 Forecast Capex'!E$7:E$100)/1000</f>
        <v>0</v>
      </c>
      <c r="E12" s="66">
        <f>SUMIF('2 Forecast Capex'!$L$7:$L$100,$B12,'2 Forecast Capex'!F$7:F$100)/1000</f>
        <v>0</v>
      </c>
      <c r="F12" s="66">
        <f>SUMIF('2 Forecast Capex'!$L$7:$L$100,$B12,'2 Forecast Capex'!G$7:G$100)/1000</f>
        <v>0</v>
      </c>
      <c r="G12" s="66">
        <f>SUMIF('2 Forecast Capex'!$L$7:$L$100,$B12,'2 Forecast Capex'!H$7:H$100)/1000</f>
        <v>0</v>
      </c>
      <c r="I12" s="66">
        <f t="shared" ref="I12:I13" si="3">SUM(C12:G12)</f>
        <v>0</v>
      </c>
    </row>
    <row r="13" spans="2:9" s="47" customFormat="1" x14ac:dyDescent="0.35">
      <c r="B13" s="12" t="str">
        <f>'1. Data'!A11</f>
        <v>Land</v>
      </c>
      <c r="C13" s="66">
        <f>SUMIF('2 Forecast Capex'!$L$7:$L$100,$B13,'2 Forecast Capex'!D$7:D$100)/1000</f>
        <v>0</v>
      </c>
      <c r="D13" s="66">
        <f>SUMIF('2 Forecast Capex'!$L$7:$L$100,$B13,'2 Forecast Capex'!E$7:E$100)/1000</f>
        <v>0</v>
      </c>
      <c r="E13" s="66">
        <f>SUMIF('2 Forecast Capex'!$L$7:$L$100,$B13,'2 Forecast Capex'!F$7:F$100)/1000</f>
        <v>0</v>
      </c>
      <c r="F13" s="66">
        <f>SUMIF('2 Forecast Capex'!$L$7:$L$100,$B13,'2 Forecast Capex'!G$7:G$100)/1000</f>
        <v>0</v>
      </c>
      <c r="G13" s="66">
        <f>SUMIF('2 Forecast Capex'!$L$7:$L$100,$B13,'2 Forecast Capex'!H$7:H$100)/1000</f>
        <v>0</v>
      </c>
      <c r="I13" s="66">
        <f t="shared" si="3"/>
        <v>0</v>
      </c>
    </row>
    <row r="14" spans="2:9" s="59" customFormat="1" x14ac:dyDescent="0.35">
      <c r="B14" s="12" t="str">
        <f>'1. Data'!A12</f>
        <v>Buildings</v>
      </c>
      <c r="C14" s="66">
        <f>SUMIF('2 Forecast Capex'!$L$7:$L$100,$B14,'2 Forecast Capex'!D$7:D$100)/1000</f>
        <v>0.22</v>
      </c>
      <c r="D14" s="66">
        <f>SUMIF('2 Forecast Capex'!$L$7:$L$100,$B14,'2 Forecast Capex'!E$7:E$100)/1000</f>
        <v>0.374</v>
      </c>
      <c r="E14" s="66">
        <f>SUMIF('2 Forecast Capex'!$L$7:$L$100,$B14,'2 Forecast Capex'!F$7:F$100)/1000</f>
        <v>0</v>
      </c>
      <c r="F14" s="66">
        <f>SUMIF('2 Forecast Capex'!$L$7:$L$100,$B14,'2 Forecast Capex'!G$7:G$100)/1000</f>
        <v>0</v>
      </c>
      <c r="G14" s="66">
        <f>SUMIF('2 Forecast Capex'!$L$7:$L$100,$B14,'2 Forecast Capex'!H$7:H$100)/1000</f>
        <v>0</v>
      </c>
      <c r="I14" s="66">
        <f t="shared" ref="I14" si="4">SUM(C14:G14)</f>
        <v>0.59399999999999997</v>
      </c>
    </row>
    <row r="15" spans="2:9" x14ac:dyDescent="0.35">
      <c r="B15" s="4" t="s">
        <v>12</v>
      </c>
      <c r="C15" s="65">
        <f>SUM(C10:C14)</f>
        <v>4.6582978649999989</v>
      </c>
      <c r="D15" s="65">
        <f>SUM(D10:D14)</f>
        <v>6.2841978649999994</v>
      </c>
      <c r="E15" s="65">
        <f>SUM(E10:E14)</f>
        <v>5.1918478649999988</v>
      </c>
      <c r="F15" s="65">
        <f>SUM(F10:F14)</f>
        <v>4.7423074249999999</v>
      </c>
      <c r="G15" s="65">
        <f>SUM(G10:G14)</f>
        <v>3.7250260000000002</v>
      </c>
      <c r="I15" s="66">
        <f t="shared" ref="I15" si="5">SUM(C15:G15)</f>
        <v>24.601677019999997</v>
      </c>
    </row>
    <row r="18" spans="2:7" ht="15" thickBot="1" x14ac:dyDescent="0.4"/>
    <row r="19" spans="2:7" ht="15.5" thickTop="1" thickBot="1" x14ac:dyDescent="0.4">
      <c r="B19" s="1" t="s">
        <v>18</v>
      </c>
      <c r="C19" s="2">
        <f>C15</f>
        <v>4.6582978649999989</v>
      </c>
      <c r="D19" s="2">
        <f t="shared" ref="D19:G19" si="6">D15</f>
        <v>6.2841978649999994</v>
      </c>
      <c r="E19" s="2">
        <f t="shared" si="6"/>
        <v>5.1918478649999988</v>
      </c>
      <c r="F19" s="2">
        <f t="shared" si="6"/>
        <v>4.7423074249999999</v>
      </c>
      <c r="G19" s="2">
        <f t="shared" si="6"/>
        <v>3.7250260000000002</v>
      </c>
    </row>
    <row r="20" spans="2:7" ht="15.5" thickTop="1" thickBot="1" x14ac:dyDescent="0.4">
      <c r="B20" s="1" t="s">
        <v>19</v>
      </c>
      <c r="C20" s="14">
        <f>'2 Forecast Capex'!D2/1000</f>
        <v>4.6582978649999998</v>
      </c>
      <c r="D20" s="14">
        <f>'2 Forecast Capex'!E2/1000</f>
        <v>6.2841978650000003</v>
      </c>
      <c r="E20" s="14">
        <f>'2 Forecast Capex'!F2/1000</f>
        <v>5.1918478649999997</v>
      </c>
      <c r="F20" s="14">
        <f>'2 Forecast Capex'!G2/1000</f>
        <v>4.742307424999999</v>
      </c>
      <c r="G20" s="14">
        <f>'2 Forecast Capex'!H2/1000</f>
        <v>3.7250259999999997</v>
      </c>
    </row>
    <row r="21" spans="2:7" ht="15.5" thickTop="1" thickBot="1" x14ac:dyDescent="0.4">
      <c r="B21" s="1" t="s">
        <v>21</v>
      </c>
      <c r="C21" s="2">
        <f>C15-C20</f>
        <v>0</v>
      </c>
      <c r="D21" s="2">
        <f t="shared" ref="D21:G21" si="7">D15-D20</f>
        <v>0</v>
      </c>
      <c r="E21" s="2">
        <f t="shared" si="7"/>
        <v>0</v>
      </c>
      <c r="F21" s="2">
        <f t="shared" si="7"/>
        <v>0</v>
      </c>
      <c r="G21" s="2">
        <f t="shared" si="7"/>
        <v>0</v>
      </c>
    </row>
    <row r="22" spans="2:7" ht="15" thickTop="1" x14ac:dyDescent="0.35"/>
  </sheetData>
  <pageMargins left="0.7" right="0.7" top="0.75" bottom="0.75" header="0.3" footer="0.3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I18"/>
  <sheetViews>
    <sheetView workbookViewId="0"/>
  </sheetViews>
  <sheetFormatPr defaultColWidth="9.1796875" defaultRowHeight="14.5" x14ac:dyDescent="0.35"/>
  <cols>
    <col min="1" max="1" width="9.1796875" style="47"/>
    <col min="2" max="2" width="18" style="47" bestFit="1" customWidth="1"/>
    <col min="3" max="3" width="10.81640625" style="47" bestFit="1" customWidth="1"/>
    <col min="4" max="5" width="10.54296875" style="47" bestFit="1" customWidth="1"/>
    <col min="6" max="7" width="9.54296875" style="47" bestFit="1" customWidth="1"/>
    <col min="8" max="16384" width="9.1796875" style="47"/>
  </cols>
  <sheetData>
    <row r="1" spans="2:9" ht="15" thickBot="1" x14ac:dyDescent="0.4">
      <c r="B1" s="47" t="s">
        <v>15</v>
      </c>
      <c r="C1" s="8">
        <v>44377</v>
      </c>
      <c r="D1" s="8">
        <v>44742</v>
      </c>
      <c r="E1" s="8">
        <v>45107</v>
      </c>
      <c r="F1" s="8">
        <v>45473</v>
      </c>
      <c r="G1" s="8">
        <v>45838</v>
      </c>
      <c r="I1" s="47" t="s">
        <v>12</v>
      </c>
    </row>
    <row r="2" spans="2:9" ht="15" thickTop="1" x14ac:dyDescent="0.35">
      <c r="B2" s="4" t="str">
        <f>B8</f>
        <v>Declining Value</v>
      </c>
      <c r="C2" s="56">
        <f>C8*(1+'1. Data'!$B$6)^2</f>
        <v>4.8785797966666467</v>
      </c>
      <c r="D2" s="56">
        <f>D8*(1+'1. Data'!$B$6)^2</f>
        <v>6.5813654753150228</v>
      </c>
      <c r="E2" s="56">
        <f>E8*(1+'1. Data'!$B$6)^2</f>
        <v>5.4373603482644333</v>
      </c>
      <c r="F2" s="56">
        <f>F8*(1+'1. Data'!$B$6)^2</f>
        <v>4.9665620069117731</v>
      </c>
      <c r="G2" s="56">
        <f>G8*(1+'1. Data'!$B$6)^2</f>
        <v>3.9011753031507728</v>
      </c>
      <c r="H2" s="49"/>
      <c r="I2" s="57">
        <f>SUM(C2:G2)</f>
        <v>25.765042930308649</v>
      </c>
    </row>
    <row r="3" spans="2:9" x14ac:dyDescent="0.35">
      <c r="B3" s="4" t="str">
        <f t="shared" ref="B3:B4" si="0">B9</f>
        <v>Straight Line</v>
      </c>
      <c r="C3" s="56">
        <f>C9*(1+'1. Data'!$B$6)^2</f>
        <v>0</v>
      </c>
      <c r="D3" s="56">
        <f>D9*(1+'1. Data'!$B$6)^2</f>
        <v>0</v>
      </c>
      <c r="E3" s="56">
        <f>E9*(1+'1. Data'!$B$6)^2</f>
        <v>0</v>
      </c>
      <c r="F3" s="56">
        <f>F9*(1+'1. Data'!$B$6)^2</f>
        <v>0</v>
      </c>
      <c r="G3" s="56">
        <f>G9*(1+'1. Data'!$B$6)^2</f>
        <v>0</v>
      </c>
      <c r="H3" s="49"/>
      <c r="I3" s="57">
        <f>SUM(C3:G3)</f>
        <v>0</v>
      </c>
    </row>
    <row r="4" spans="2:9" x14ac:dyDescent="0.35">
      <c r="B4" s="4" t="str">
        <f t="shared" si="0"/>
        <v>Immediate Expense</v>
      </c>
      <c r="C4" s="56">
        <f>C10*(1+'1. Data'!$B$6)^2</f>
        <v>0</v>
      </c>
      <c r="D4" s="56">
        <f>D10*(1+'1. Data'!$B$6)^2</f>
        <v>0</v>
      </c>
      <c r="E4" s="56">
        <f>E10*(1+'1. Data'!$B$6)^2</f>
        <v>0</v>
      </c>
      <c r="F4" s="56">
        <f>F10*(1+'1. Data'!$B$6)^2</f>
        <v>0</v>
      </c>
      <c r="G4" s="56">
        <f>G10*(1+'1. Data'!$B$6)^2</f>
        <v>0</v>
      </c>
      <c r="H4" s="49"/>
      <c r="I4" s="57">
        <f>SUM(C4:G4)</f>
        <v>0</v>
      </c>
    </row>
    <row r="5" spans="2:9" x14ac:dyDescent="0.35">
      <c r="B5" s="4" t="str">
        <f>B11</f>
        <v>Total</v>
      </c>
      <c r="C5" s="56">
        <f>SUM(C2:C3)</f>
        <v>4.8785797966666467</v>
      </c>
      <c r="D5" s="56">
        <f t="shared" ref="D5:G5" si="1">SUM(D2:D3)</f>
        <v>6.5813654753150228</v>
      </c>
      <c r="E5" s="56">
        <f t="shared" si="1"/>
        <v>5.4373603482644333</v>
      </c>
      <c r="F5" s="56">
        <f t="shared" si="1"/>
        <v>4.9665620069117731</v>
      </c>
      <c r="G5" s="56">
        <f t="shared" si="1"/>
        <v>3.9011753031507728</v>
      </c>
      <c r="H5" s="49"/>
      <c r="I5" s="57">
        <f t="shared" ref="I5" si="2">SUM(C5:G5)</f>
        <v>25.765042930308649</v>
      </c>
    </row>
    <row r="7" spans="2:9" x14ac:dyDescent="0.35">
      <c r="B7" s="47" t="s">
        <v>13</v>
      </c>
      <c r="I7" s="47" t="s">
        <v>12</v>
      </c>
    </row>
    <row r="8" spans="2:9" x14ac:dyDescent="0.35">
      <c r="B8" s="12" t="s">
        <v>116</v>
      </c>
      <c r="C8" s="12">
        <f>SUMIF('2 Forecast Capex'!$Q$7:$Q$100,$B8,'2 Forecast Capex'!D$7:D$100)/1000</f>
        <v>4.6582978649999998</v>
      </c>
      <c r="D8" s="12">
        <f>SUMIF('2 Forecast Capex'!$Q$7:$Q$100,$B8,'2 Forecast Capex'!E$7:E$100)/1000</f>
        <v>6.2841978650000003</v>
      </c>
      <c r="E8" s="12">
        <f>SUMIF('2 Forecast Capex'!$Q$7:$Q$100,$B8,'2 Forecast Capex'!F$7:F$100)/1000</f>
        <v>5.1918478649999997</v>
      </c>
      <c r="F8" s="12">
        <f>SUMIF('2 Forecast Capex'!$Q$7:$Q$100,$B8,'2 Forecast Capex'!G$7:G$100)/1000</f>
        <v>4.742307424999999</v>
      </c>
      <c r="G8" s="12">
        <f>SUMIF('2 Forecast Capex'!$Q$7:$Q$100,$B8,'2 Forecast Capex'!H$7:H$100)/1000</f>
        <v>3.7250259999999997</v>
      </c>
      <c r="I8" s="12">
        <f>SUM(C8:G8)</f>
        <v>24.60167702</v>
      </c>
    </row>
    <row r="9" spans="2:9" x14ac:dyDescent="0.35">
      <c r="B9" s="12" t="s">
        <v>117</v>
      </c>
      <c r="C9" s="12">
        <f>SUMIF('2 Forecast Capex'!$Q$7:$Q$100,$B9,'2 Forecast Capex'!D$7:D$100)/1000</f>
        <v>0</v>
      </c>
      <c r="D9" s="12">
        <f>SUMIF('2 Forecast Capex'!$Q$7:$Q$100,$B9,'2 Forecast Capex'!E$7:E$100)/1000</f>
        <v>0</v>
      </c>
      <c r="E9" s="12">
        <f>SUMIF('2 Forecast Capex'!$Q$7:$Q$100,$B9,'2 Forecast Capex'!F$7:F$100)/1000</f>
        <v>0</v>
      </c>
      <c r="F9" s="12">
        <f>SUMIF('2 Forecast Capex'!$Q$7:$Q$100,$B9,'2 Forecast Capex'!G$7:G$100)/1000</f>
        <v>0</v>
      </c>
      <c r="G9" s="12">
        <f>SUMIF('2 Forecast Capex'!$Q$7:$Q$100,$B9,'2 Forecast Capex'!H$7:H$100)/1000</f>
        <v>0</v>
      </c>
      <c r="I9" s="12">
        <f>SUM(C9:G9)</f>
        <v>0</v>
      </c>
    </row>
    <row r="10" spans="2:9" x14ac:dyDescent="0.35">
      <c r="B10" s="12" t="s">
        <v>118</v>
      </c>
      <c r="C10" s="12">
        <f>SUMIF('2 Forecast Capex'!$Q$7:$Q$100,$B10,'2 Forecast Capex'!D$7:D$100)/1000</f>
        <v>0</v>
      </c>
      <c r="D10" s="12">
        <f>SUMIF('2 Forecast Capex'!$Q$7:$Q$100,$B10,'2 Forecast Capex'!E$7:E$100)/1000</f>
        <v>0</v>
      </c>
      <c r="E10" s="12">
        <f>SUMIF('2 Forecast Capex'!$Q$7:$Q$100,$B10,'2 Forecast Capex'!F$7:F$100)/1000</f>
        <v>0</v>
      </c>
      <c r="F10" s="12">
        <f>SUMIF('2 Forecast Capex'!$Q$7:$Q$100,$B10,'2 Forecast Capex'!G$7:G$100)/1000</f>
        <v>0</v>
      </c>
      <c r="G10" s="12">
        <f>SUMIF('2 Forecast Capex'!$Q$7:$Q$100,$B10,'2 Forecast Capex'!H$7:H$100)/1000</f>
        <v>0</v>
      </c>
      <c r="I10" s="12">
        <f>SUM(C10:G10)</f>
        <v>0</v>
      </c>
    </row>
    <row r="11" spans="2:9" x14ac:dyDescent="0.35">
      <c r="B11" s="4" t="s">
        <v>12</v>
      </c>
      <c r="C11" s="5">
        <f>SUM(C8:C9)</f>
        <v>4.6582978649999998</v>
      </c>
      <c r="D11" s="5">
        <f t="shared" ref="D11:G11" si="3">SUM(D8:D9)</f>
        <v>6.2841978650000003</v>
      </c>
      <c r="E11" s="5">
        <f t="shared" si="3"/>
        <v>5.1918478649999997</v>
      </c>
      <c r="F11" s="5">
        <f t="shared" si="3"/>
        <v>4.742307424999999</v>
      </c>
      <c r="G11" s="5">
        <f t="shared" si="3"/>
        <v>3.7250259999999997</v>
      </c>
      <c r="I11" s="12">
        <f t="shared" ref="I11" si="4">SUM(C11:G11)</f>
        <v>24.60167702</v>
      </c>
    </row>
    <row r="14" spans="2:9" ht="15" thickBot="1" x14ac:dyDescent="0.4"/>
    <row r="15" spans="2:9" ht="15.5" thickTop="1" thickBot="1" x14ac:dyDescent="0.4">
      <c r="B15" s="1" t="s">
        <v>18</v>
      </c>
      <c r="C15" s="2">
        <f>C11</f>
        <v>4.6582978649999998</v>
      </c>
      <c r="D15" s="2">
        <f t="shared" ref="D15:G15" si="5">D11</f>
        <v>6.2841978650000003</v>
      </c>
      <c r="E15" s="2">
        <f t="shared" si="5"/>
        <v>5.1918478649999997</v>
      </c>
      <c r="F15" s="2">
        <f t="shared" si="5"/>
        <v>4.742307424999999</v>
      </c>
      <c r="G15" s="2">
        <f t="shared" si="5"/>
        <v>3.7250259999999997</v>
      </c>
    </row>
    <row r="16" spans="2:9" ht="15.5" thickTop="1" thickBot="1" x14ac:dyDescent="0.4">
      <c r="B16" s="1" t="s">
        <v>19</v>
      </c>
      <c r="C16" s="14">
        <f>'2 Forecast Capex'!D2/1000</f>
        <v>4.6582978649999998</v>
      </c>
      <c r="D16" s="14">
        <f>'2 Forecast Capex'!E2/1000</f>
        <v>6.2841978650000003</v>
      </c>
      <c r="E16" s="14">
        <f>'2 Forecast Capex'!F2/1000</f>
        <v>5.1918478649999997</v>
      </c>
      <c r="F16" s="14">
        <f>'2 Forecast Capex'!G2/1000</f>
        <v>4.742307424999999</v>
      </c>
      <c r="G16" s="14">
        <f>'2 Forecast Capex'!H2/1000</f>
        <v>3.7250259999999997</v>
      </c>
    </row>
    <row r="17" spans="2:7" ht="15.5" thickTop="1" thickBot="1" x14ac:dyDescent="0.4">
      <c r="B17" s="1" t="s">
        <v>21</v>
      </c>
      <c r="C17" s="2">
        <f>C11-C16</f>
        <v>0</v>
      </c>
      <c r="D17" s="2">
        <f t="shared" ref="D17:G17" si="6">D11-D16</f>
        <v>0</v>
      </c>
      <c r="E17" s="2">
        <f t="shared" si="6"/>
        <v>0</v>
      </c>
      <c r="F17" s="2">
        <f t="shared" si="6"/>
        <v>0</v>
      </c>
      <c r="G17" s="2">
        <f t="shared" si="6"/>
        <v>0</v>
      </c>
    </row>
    <row r="18" spans="2:7" ht="15" thickTop="1" x14ac:dyDescent="0.3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78"/>
  <sheetViews>
    <sheetView workbookViewId="0"/>
  </sheetViews>
  <sheetFormatPr defaultRowHeight="14.5" x14ac:dyDescent="0.35"/>
  <cols>
    <col min="2" max="2" width="67.81640625" customWidth="1"/>
    <col min="13" max="13" width="47" customWidth="1"/>
    <col min="14" max="14" width="18.26953125" bestFit="1" customWidth="1"/>
    <col min="16" max="16" width="13.26953125" bestFit="1" customWidth="1"/>
  </cols>
  <sheetData>
    <row r="1" spans="1:20" x14ac:dyDescent="0.35">
      <c r="A1" s="21" t="s">
        <v>24</v>
      </c>
      <c r="B1" s="21"/>
      <c r="C1" s="21"/>
      <c r="D1" s="21"/>
      <c r="E1" s="21"/>
      <c r="F1" s="21"/>
      <c r="G1" s="21"/>
      <c r="H1" s="21"/>
      <c r="I1" s="21"/>
      <c r="J1" s="21"/>
      <c r="M1" s="47"/>
      <c r="N1" s="47"/>
    </row>
    <row r="2" spans="1:20" ht="15" thickBot="1" x14ac:dyDescent="0.4">
      <c r="A2" s="21">
        <v>1</v>
      </c>
      <c r="B2" s="21" t="str">
        <f>"Table 8-"&amp;A2&amp;": Forecast and historic capital expenditure ($m 2019/20)"</f>
        <v>Table 8-1: Forecast and historic capital expenditure ($m 2019/20)</v>
      </c>
      <c r="C2" s="21"/>
      <c r="D2" s="21"/>
      <c r="E2" s="21"/>
      <c r="F2" s="21"/>
      <c r="G2" s="21"/>
      <c r="H2" s="21"/>
      <c r="I2" s="21"/>
      <c r="J2" s="21"/>
      <c r="M2" s="74" t="s">
        <v>82</v>
      </c>
      <c r="N2" s="74"/>
      <c r="O2" s="74"/>
      <c r="P2" s="74"/>
      <c r="Q2" s="74"/>
      <c r="R2" s="74"/>
      <c r="S2" s="74"/>
    </row>
    <row r="3" spans="1:20" ht="15" thickBot="1" x14ac:dyDescent="0.4">
      <c r="A3" s="21"/>
      <c r="B3" s="23"/>
      <c r="C3" s="24" t="s">
        <v>25</v>
      </c>
      <c r="D3" s="24" t="s">
        <v>26</v>
      </c>
      <c r="E3" s="24" t="s">
        <v>27</v>
      </c>
      <c r="F3" s="24" t="s">
        <v>28</v>
      </c>
      <c r="G3" s="24" t="s">
        <v>29</v>
      </c>
      <c r="H3" s="24" t="s">
        <v>12</v>
      </c>
      <c r="I3" s="21"/>
      <c r="J3" s="21"/>
      <c r="M3" s="50"/>
      <c r="N3" s="24" t="s">
        <v>83</v>
      </c>
      <c r="O3" s="24" t="s">
        <v>84</v>
      </c>
      <c r="P3" s="24" t="s">
        <v>85</v>
      </c>
      <c r="Q3" s="24" t="s">
        <v>157</v>
      </c>
      <c r="R3" s="24" t="s">
        <v>158</v>
      </c>
      <c r="S3" s="24" t="s">
        <v>12</v>
      </c>
    </row>
    <row r="4" spans="1:20" ht="15" thickBot="1" x14ac:dyDescent="0.4">
      <c r="A4" s="21"/>
      <c r="B4" s="25" t="s">
        <v>31</v>
      </c>
      <c r="C4" s="52">
        <f>PTRM!C7</f>
        <v>4.8785797966666467</v>
      </c>
      <c r="D4" s="52">
        <f>PTRM!D7</f>
        <v>6.5813654753150228</v>
      </c>
      <c r="E4" s="52">
        <f>PTRM!E7</f>
        <v>5.4373603482644324</v>
      </c>
      <c r="F4" s="52">
        <f>PTRM!F7</f>
        <v>4.9665620069117731</v>
      </c>
      <c r="G4" s="52">
        <f>PTRM!G7</f>
        <v>3.9011753031507732</v>
      </c>
      <c r="H4" s="52">
        <f t="shared" ref="H4" si="0">SUM(C4:G4)</f>
        <v>25.765042930308645</v>
      </c>
      <c r="I4" s="21"/>
      <c r="J4" s="21"/>
      <c r="M4" s="25" t="str">
        <f>'1. Data'!A8</f>
        <v>Transmission Assets</v>
      </c>
      <c r="N4" s="52">
        <f>PTRM!C2</f>
        <v>4.6141395266978389</v>
      </c>
      <c r="O4" s="52">
        <f>PTRM!D2</f>
        <v>6.1556428420324503</v>
      </c>
      <c r="P4" s="52">
        <f>PTRM!E2</f>
        <v>5.4033234544581452</v>
      </c>
      <c r="Q4" s="52">
        <f>PTRM!F2</f>
        <v>4.8212407432257409</v>
      </c>
      <c r="R4" s="52">
        <f>PTRM!G2</f>
        <v>3.7608114718164187</v>
      </c>
      <c r="S4" s="52">
        <f>SUM(N4:R4)</f>
        <v>24.755158038230594</v>
      </c>
    </row>
    <row r="5" spans="1:20" ht="15" thickBot="1" x14ac:dyDescent="0.4">
      <c r="A5" s="21"/>
      <c r="B5" s="25" t="s">
        <v>30</v>
      </c>
      <c r="C5" s="52">
        <v>4.3843544603468168</v>
      </c>
      <c r="D5" s="52">
        <v>3.6563506653452964</v>
      </c>
      <c r="E5" s="52">
        <v>10.706533671920472</v>
      </c>
      <c r="F5" s="52">
        <v>8.2294811617038182</v>
      </c>
      <c r="G5" s="52">
        <v>7.0252666057414759</v>
      </c>
      <c r="H5" s="52">
        <f>SUM(C5:G5)</f>
        <v>34.001986565057884</v>
      </c>
      <c r="I5" s="21"/>
      <c r="J5" s="21"/>
      <c r="M5" s="25" t="str">
        <f>'1. Data'!A9</f>
        <v>Transmission Determination</v>
      </c>
      <c r="N5" s="52">
        <f>PTRM!C3</f>
        <v>3.4036893806287306E-2</v>
      </c>
      <c r="O5" s="52">
        <f>PTRM!D3</f>
        <v>3.4036893806287306E-2</v>
      </c>
      <c r="P5" s="52">
        <f>PTRM!E3</f>
        <v>3.4036893806287306E-2</v>
      </c>
      <c r="Q5" s="52">
        <f>PTRM!F3</f>
        <v>0.14532126368603251</v>
      </c>
      <c r="R5" s="52">
        <f>PTRM!G3</f>
        <v>0.14036383133435459</v>
      </c>
      <c r="S5" s="52">
        <f t="shared" ref="S5:S9" si="1">SUM(N5:R5)</f>
        <v>0.38779577643924901</v>
      </c>
    </row>
    <row r="6" spans="1:20" ht="15" thickBot="1" x14ac:dyDescent="0.4">
      <c r="A6" s="21"/>
      <c r="B6" s="25" t="s">
        <v>21</v>
      </c>
      <c r="C6" s="52">
        <f>C4-C5</f>
        <v>0.4942253363198299</v>
      </c>
      <c r="D6" s="52">
        <f t="shared" ref="D6:H6" si="2">D4-D5</f>
        <v>2.9250148099697264</v>
      </c>
      <c r="E6" s="52">
        <f t="shared" si="2"/>
        <v>-5.2691733236560392</v>
      </c>
      <c r="F6" s="52">
        <f t="shared" si="2"/>
        <v>-3.2629191547920451</v>
      </c>
      <c r="G6" s="52">
        <f t="shared" si="2"/>
        <v>-3.1240913025907027</v>
      </c>
      <c r="H6" s="52">
        <f t="shared" si="2"/>
        <v>-8.2369436347492382</v>
      </c>
      <c r="I6" s="21"/>
      <c r="J6" s="21"/>
      <c r="M6" s="25" t="str">
        <f>'1. Data'!A10</f>
        <v>Easements</v>
      </c>
      <c r="N6" s="52">
        <f>PTRM!C4</f>
        <v>0</v>
      </c>
      <c r="O6" s="52">
        <f>PTRM!D4</f>
        <v>0</v>
      </c>
      <c r="P6" s="52">
        <f>PTRM!E4</f>
        <v>0</v>
      </c>
      <c r="Q6" s="52">
        <f>PTRM!F4</f>
        <v>0</v>
      </c>
      <c r="R6" s="52">
        <f>PTRM!G4</f>
        <v>0</v>
      </c>
      <c r="S6" s="52">
        <f t="shared" ref="S6:S7" si="3">SUM(N6:R6)</f>
        <v>0</v>
      </c>
    </row>
    <row r="7" spans="1:20" ht="15" thickBot="1" x14ac:dyDescent="0.4">
      <c r="A7" s="21"/>
      <c r="B7" s="21"/>
      <c r="C7" s="21"/>
      <c r="D7" s="21"/>
      <c r="E7" s="21"/>
      <c r="F7" s="21"/>
      <c r="G7" s="21"/>
      <c r="H7" s="21"/>
      <c r="I7" s="21"/>
      <c r="J7" s="21"/>
      <c r="M7" s="25" t="str">
        <f>'1. Data'!A11</f>
        <v>Land</v>
      </c>
      <c r="N7" s="52">
        <f>PTRM!C5</f>
        <v>0</v>
      </c>
      <c r="O7" s="52">
        <f>PTRM!D5</f>
        <v>0</v>
      </c>
      <c r="P7" s="52">
        <f>PTRM!E5</f>
        <v>0</v>
      </c>
      <c r="Q7" s="52">
        <f>PTRM!F5</f>
        <v>0</v>
      </c>
      <c r="R7" s="52">
        <f>PTRM!G5</f>
        <v>0</v>
      </c>
      <c r="S7" s="52">
        <f t="shared" si="3"/>
        <v>0</v>
      </c>
    </row>
    <row r="8" spans="1:20" ht="15" thickBot="1" x14ac:dyDescent="0.4">
      <c r="A8" s="21">
        <f>MAX($A$2:A7)+1</f>
        <v>2</v>
      </c>
      <c r="B8" s="21"/>
      <c r="C8" s="49">
        <v>13.19938641548536</v>
      </c>
      <c r="D8" s="49">
        <v>14.441105958313038</v>
      </c>
      <c r="E8" s="49">
        <v>3.9760965788618901</v>
      </c>
      <c r="F8" s="49">
        <v>5.6168851969153062</v>
      </c>
      <c r="G8" s="49">
        <v>1.9900333423840397</v>
      </c>
      <c r="H8" s="49">
        <v>39.22350749195963</v>
      </c>
      <c r="I8" s="21"/>
      <c r="J8" s="21"/>
      <c r="L8" s="59"/>
      <c r="M8" s="25" t="str">
        <f>'1. Data'!A12</f>
        <v>Buildings</v>
      </c>
      <c r="N8" s="52">
        <f>PTRM!C6</f>
        <v>0.23040337616252077</v>
      </c>
      <c r="O8" s="52">
        <f>PTRM!D6</f>
        <v>0.39168573947628532</v>
      </c>
      <c r="P8" s="52">
        <f>PTRM!E6</f>
        <v>0</v>
      </c>
      <c r="Q8" s="52">
        <f>PTRM!F6</f>
        <v>0</v>
      </c>
      <c r="R8" s="52">
        <f>PTRM!G6</f>
        <v>0</v>
      </c>
      <c r="S8" s="52"/>
      <c r="T8" s="59"/>
    </row>
    <row r="9" spans="1:20" ht="17.5" thickBot="1" x14ac:dyDescent="0.45">
      <c r="A9" s="21"/>
      <c r="B9" s="29" t="str">
        <f>J12</f>
        <v>Obsolete IGBTs</v>
      </c>
      <c r="C9" s="21"/>
      <c r="D9" s="21"/>
      <c r="E9" s="21"/>
      <c r="F9" s="21"/>
      <c r="G9" s="21"/>
      <c r="H9" s="21"/>
      <c r="I9" s="21"/>
      <c r="J9" s="21"/>
      <c r="M9" s="25" t="s">
        <v>12</v>
      </c>
      <c r="N9" s="52">
        <f>SUM(N4:N8)</f>
        <v>4.8785797966666467</v>
      </c>
      <c r="O9" s="52">
        <f t="shared" ref="O9:R9" si="4">SUM(O4:O8)</f>
        <v>6.5813654753150228</v>
      </c>
      <c r="P9" s="52">
        <f t="shared" si="4"/>
        <v>5.4373603482644324</v>
      </c>
      <c r="Q9" s="52">
        <f t="shared" si="4"/>
        <v>4.9665620069117731</v>
      </c>
      <c r="R9" s="52">
        <f t="shared" si="4"/>
        <v>3.9011753031507732</v>
      </c>
      <c r="S9" s="52">
        <f t="shared" si="1"/>
        <v>25.765042930308645</v>
      </c>
    </row>
    <row r="10" spans="1:20" ht="15.5" thickTop="1" thickBot="1" x14ac:dyDescent="0.4">
      <c r="A10" s="21">
        <f>MAX($A$2:A9)+1</f>
        <v>3</v>
      </c>
      <c r="B10" s="21" t="str">
        <f>"Table 8-"&amp;A10&amp;": "&amp;B9&amp;" forecast capital expenditure ($m 2019/20)"</f>
        <v>Table 8-3: Obsolete IGBTs forecast capital expenditure ($m 2019/20)</v>
      </c>
      <c r="C10" s="21"/>
      <c r="D10" s="21"/>
      <c r="E10" s="21"/>
      <c r="F10" s="21"/>
      <c r="G10" s="21"/>
      <c r="H10" s="21"/>
      <c r="I10" s="21"/>
      <c r="J10" s="21"/>
      <c r="M10" s="75" t="s">
        <v>159</v>
      </c>
      <c r="N10" s="75"/>
      <c r="O10" s="75"/>
      <c r="P10" s="75"/>
      <c r="Q10" s="75"/>
      <c r="R10" s="75"/>
      <c r="S10" s="75"/>
    </row>
    <row r="11" spans="1:20" ht="15" thickBot="1" x14ac:dyDescent="0.4">
      <c r="A11" s="21"/>
      <c r="B11" s="23"/>
      <c r="C11" s="27" t="s">
        <v>3</v>
      </c>
      <c r="D11" s="27" t="s">
        <v>4</v>
      </c>
      <c r="E11" s="27" t="s">
        <v>5</v>
      </c>
      <c r="F11" s="27" t="s">
        <v>6</v>
      </c>
      <c r="G11" s="27" t="s">
        <v>7</v>
      </c>
      <c r="H11" s="24" t="s">
        <v>12</v>
      </c>
      <c r="I11" s="21"/>
      <c r="J11" s="21"/>
      <c r="M11" s="50"/>
      <c r="N11" s="24" t="str">
        <f>N3</f>
        <v>2020/21</v>
      </c>
      <c r="O11" s="24" t="str">
        <f t="shared" ref="O11:R11" si="5">O3</f>
        <v>2021/22</v>
      </c>
      <c r="P11" s="24" t="str">
        <f t="shared" si="5"/>
        <v>2022/23</v>
      </c>
      <c r="Q11" s="24" t="str">
        <f t="shared" si="5"/>
        <v>2023/24</v>
      </c>
      <c r="R11" s="24" t="str">
        <f t="shared" si="5"/>
        <v>2024/25</v>
      </c>
      <c r="S11" s="24" t="s">
        <v>12</v>
      </c>
    </row>
    <row r="12" spans="1:20" ht="15" thickBot="1" x14ac:dyDescent="0.4">
      <c r="A12" s="21"/>
      <c r="B12" s="25" t="str">
        <f>B9</f>
        <v>Obsolete IGBTs</v>
      </c>
      <c r="C12" s="52">
        <f>SUMIF('2 Forecast Capex'!$O$7:$O$100,$J12,'2 Forecast Capex'!D$7:D$100)/1000*(1+'1. Data'!$B$6)^2</f>
        <v>1.7280253212189056</v>
      </c>
      <c r="D12" s="52">
        <f>SUMIF('2 Forecast Capex'!$O$7:$O$100,$J12,'2 Forecast Capex'!E$7:E$100)/1000*(1+'1. Data'!$B$6)^2</f>
        <v>3.4560506424378112</v>
      </c>
      <c r="E12" s="52">
        <f>SUMIF('2 Forecast Capex'!$O$7:$O$100,$J12,'2 Forecast Capex'!F$7:F$100)/1000*(1+'1. Data'!$B$6)^2</f>
        <v>3.4560506424378112</v>
      </c>
      <c r="F12" s="52">
        <f>SUMIF('2 Forecast Capex'!$O$7:$O$100,$J12,'2 Forecast Capex'!G$7:G$100)/1000*(1+'1. Data'!$B$6)^2</f>
        <v>3.4560506424378112</v>
      </c>
      <c r="G12" s="52">
        <f>SUMIF('2 Forecast Capex'!$O$7:$O$100,$J12,'2 Forecast Capex'!H$7:H$100)/1000*(1+'1. Data'!$B$6)^2</f>
        <v>3.4560506424378112</v>
      </c>
      <c r="H12" s="52">
        <f>SUM(C12:G12)</f>
        <v>15.552227890970149</v>
      </c>
      <c r="I12" s="21"/>
      <c r="J12" s="28" t="s">
        <v>191</v>
      </c>
      <c r="M12" s="25" t="s">
        <v>87</v>
      </c>
      <c r="N12" s="52" t="s">
        <v>113</v>
      </c>
      <c r="O12" s="51" t="s">
        <v>86</v>
      </c>
      <c r="P12" s="51" t="s">
        <v>86</v>
      </c>
      <c r="Q12" s="51" t="s">
        <v>86</v>
      </c>
      <c r="R12" s="51" t="s">
        <v>86</v>
      </c>
      <c r="S12" s="52">
        <f>SUM(N12:R12)</f>
        <v>0</v>
      </c>
    </row>
    <row r="13" spans="1:20" ht="15" thickBot="1" x14ac:dyDescent="0.4">
      <c r="A13" s="21"/>
      <c r="B13" s="21"/>
      <c r="C13" s="21"/>
      <c r="D13" s="21"/>
      <c r="E13" s="21"/>
      <c r="F13" s="21"/>
      <c r="G13" s="21"/>
      <c r="H13" s="21"/>
      <c r="I13" s="21"/>
      <c r="J13" s="21"/>
      <c r="M13" s="25" t="s">
        <v>88</v>
      </c>
      <c r="N13" s="53">
        <f>N15-N14</f>
        <v>4.8445429028603595</v>
      </c>
      <c r="O13" s="53">
        <f>O4</f>
        <v>6.1556428420324503</v>
      </c>
      <c r="P13" s="53">
        <f>P4</f>
        <v>5.4033234544581452</v>
      </c>
      <c r="Q13" s="53">
        <f>Q4</f>
        <v>4.8212407432257409</v>
      </c>
      <c r="R13" s="53">
        <f>R4</f>
        <v>3.7608114718164187</v>
      </c>
      <c r="S13" s="52">
        <f>SUM(N13:R13)</f>
        <v>24.985561414393114</v>
      </c>
    </row>
    <row r="14" spans="1:20" ht="17.5" thickBot="1" x14ac:dyDescent="0.45">
      <c r="A14" s="21"/>
      <c r="B14" s="29" t="str">
        <f>J17</f>
        <v>Corrosion and Environmental Deterioration</v>
      </c>
      <c r="C14" s="21"/>
      <c r="D14" s="21"/>
      <c r="E14" s="21"/>
      <c r="F14" s="21"/>
      <c r="G14" s="21"/>
      <c r="H14" s="21"/>
      <c r="I14" s="21"/>
      <c r="J14" s="21"/>
      <c r="M14" s="25" t="s">
        <v>89</v>
      </c>
      <c r="N14" s="53">
        <f>C57</f>
        <v>3.4036893806287306E-2</v>
      </c>
      <c r="O14" s="53">
        <f t="shared" ref="O14:R14" si="6">D57</f>
        <v>3.4036893806287306E-2</v>
      </c>
      <c r="P14" s="53">
        <f t="shared" si="6"/>
        <v>3.4036893806287306E-2</v>
      </c>
      <c r="Q14" s="53">
        <f t="shared" si="6"/>
        <v>0.14532126368603251</v>
      </c>
      <c r="R14" s="53">
        <f t="shared" si="6"/>
        <v>0.14036383133435459</v>
      </c>
      <c r="S14" s="52">
        <f>SUM(N14:R14)</f>
        <v>0.38779577643924901</v>
      </c>
    </row>
    <row r="15" spans="1:20" ht="15.5" thickTop="1" thickBot="1" x14ac:dyDescent="0.4">
      <c r="A15" s="21">
        <f>MAX($A$2:A14)+1</f>
        <v>4</v>
      </c>
      <c r="B15" s="22" t="str">
        <f>"Table 8-"&amp;A15&amp;": "&amp;B14&amp;" forecast capital expenditure ($m 2019/20)"</f>
        <v>Table 8-4: Corrosion and Environmental Deterioration forecast capital expenditure ($m 2019/20)</v>
      </c>
      <c r="C15" s="21"/>
      <c r="D15" s="21"/>
      <c r="E15" s="21"/>
      <c r="F15" s="21"/>
      <c r="G15" s="21"/>
      <c r="H15" s="21"/>
      <c r="I15" s="21"/>
      <c r="J15" s="21"/>
      <c r="M15" s="25" t="s">
        <v>12</v>
      </c>
      <c r="N15" s="53">
        <f>N9</f>
        <v>4.8785797966666467</v>
      </c>
      <c r="O15" s="53">
        <f t="shared" ref="O15:R15" si="7">O9</f>
        <v>6.5813654753150228</v>
      </c>
      <c r="P15" s="53">
        <f t="shared" si="7"/>
        <v>5.4373603482644324</v>
      </c>
      <c r="Q15" s="53">
        <f t="shared" si="7"/>
        <v>4.9665620069117731</v>
      </c>
      <c r="R15" s="53">
        <f t="shared" si="7"/>
        <v>3.9011753031507732</v>
      </c>
      <c r="S15" s="52">
        <f>SUM(N15:R15)</f>
        <v>25.765042930308645</v>
      </c>
    </row>
    <row r="16" spans="1:20" ht="15" thickBot="1" x14ac:dyDescent="0.4">
      <c r="A16" s="21"/>
      <c r="B16" s="23"/>
      <c r="C16" s="27" t="str">
        <f>C11</f>
        <v>FY 21</v>
      </c>
      <c r="D16" s="27" t="str">
        <f t="shared" ref="D16:H16" si="8">D11</f>
        <v>FY 22</v>
      </c>
      <c r="E16" s="27" t="str">
        <f t="shared" si="8"/>
        <v>FY 23</v>
      </c>
      <c r="F16" s="27" t="str">
        <f t="shared" si="8"/>
        <v>FY 24</v>
      </c>
      <c r="G16" s="27" t="str">
        <f t="shared" si="8"/>
        <v>FY 25</v>
      </c>
      <c r="H16" s="27" t="str">
        <f t="shared" si="8"/>
        <v>Total</v>
      </c>
      <c r="I16" s="21"/>
      <c r="J16" s="21"/>
    </row>
    <row r="17" spans="1:19" ht="15" thickBot="1" x14ac:dyDescent="0.4">
      <c r="A17" s="21"/>
      <c r="B17" s="25" t="str">
        <f>B14</f>
        <v>Corrosion and Environmental Deterioration</v>
      </c>
      <c r="C17" s="52">
        <f>SUMIF('2 Forecast Capex'!$O$7:$O$100,$J17,'2 Forecast Capex'!D$7:D$100)/1000*(1+'1. Data'!$B$6)^2</f>
        <v>0.74849678610615267</v>
      </c>
      <c r="D17" s="52">
        <f>SUMIF('2 Forecast Capex'!$O$7:$O$100,$J17,'2 Forecast Capex'!E$7:E$100)/1000*(1+'1. Data'!$B$6)^2</f>
        <v>0.92664048740271998</v>
      </c>
      <c r="E17" s="52">
        <f>SUMIF('2 Forecast Capex'!$O$7:$O$100,$J17,'2 Forecast Capex'!F$7:F$100)/1000*(1+'1. Data'!$B$6)^2</f>
        <v>0.27826444111991711</v>
      </c>
      <c r="F17" s="52">
        <f>SUMIF('2 Forecast Capex'!$O$7:$O$100,$J17,'2 Forecast Capex'!G$7:G$100)/1000*(1+'1. Data'!$B$6)^2</f>
        <v>0.86160389804048121</v>
      </c>
      <c r="G17" s="52">
        <f>SUMIF('2 Forecast Capex'!$O$7:$O$100,$J17,'2 Forecast Capex'!H$7:H$100)/1000*(1+'1. Data'!$B$6)^2</f>
        <v>0.12672185688938642</v>
      </c>
      <c r="H17" s="52">
        <f>SUM(C17:G17)</f>
        <v>2.9417274695586575</v>
      </c>
      <c r="I17" s="21"/>
      <c r="J17" s="28" t="s">
        <v>187</v>
      </c>
      <c r="M17" s="59" t="s">
        <v>154</v>
      </c>
      <c r="N17" s="59"/>
      <c r="O17" s="59"/>
      <c r="P17" s="59"/>
      <c r="Q17" s="59"/>
      <c r="R17" s="59"/>
      <c r="S17" s="59"/>
    </row>
    <row r="18" spans="1:19" ht="15" thickBot="1" x14ac:dyDescent="0.4">
      <c r="M18" s="23"/>
      <c r="N18" s="24" t="s">
        <v>25</v>
      </c>
      <c r="O18" s="24" t="s">
        <v>26</v>
      </c>
      <c r="P18" s="24" t="s">
        <v>27</v>
      </c>
      <c r="Q18" s="24" t="s">
        <v>28</v>
      </c>
      <c r="R18" s="24" t="s">
        <v>29</v>
      </c>
      <c r="S18" s="24" t="s">
        <v>12</v>
      </c>
    </row>
    <row r="19" spans="1:19" ht="17.5" thickBot="1" x14ac:dyDescent="0.45">
      <c r="A19" s="21"/>
      <c r="B19" s="29" t="str">
        <f>J22</f>
        <v>Reliability</v>
      </c>
      <c r="C19" s="21"/>
      <c r="D19" s="21"/>
      <c r="E19" s="21"/>
      <c r="F19" s="21"/>
      <c r="G19" s="21"/>
      <c r="H19" s="21"/>
      <c r="I19" s="21"/>
      <c r="J19" s="21"/>
      <c r="M19" s="25" t="s">
        <v>155</v>
      </c>
      <c r="N19" s="52">
        <v>10.42428123855608</v>
      </c>
      <c r="O19" s="52">
        <v>6.6721278405438564</v>
      </c>
      <c r="P19" s="52">
        <v>4.8075190415312221</v>
      </c>
      <c r="Q19" s="52">
        <v>4.9023332137838613</v>
      </c>
      <c r="R19" s="52">
        <v>3.7507185994763632</v>
      </c>
      <c r="S19" s="52">
        <f t="shared" ref="S19" si="9">SUM(N19:R19)</f>
        <v>30.556979933891384</v>
      </c>
    </row>
    <row r="20" spans="1:19" ht="15.5" thickTop="1" thickBot="1" x14ac:dyDescent="0.4">
      <c r="A20" s="21">
        <f>MAX($A$2:A19)+1</f>
        <v>5</v>
      </c>
      <c r="B20" s="22" t="str">
        <f>"Table 8-"&amp;A20&amp;": "&amp;B19&amp;" forecast capital expenditure ($m 2019/20)"</f>
        <v>Table 8-5: Reliability forecast capital expenditure ($m 2019/20)</v>
      </c>
      <c r="C20" s="21"/>
      <c r="D20" s="21"/>
      <c r="E20" s="21"/>
      <c r="F20" s="21"/>
      <c r="G20" s="21"/>
      <c r="H20" s="21"/>
      <c r="I20" s="21"/>
      <c r="J20" s="21"/>
      <c r="M20" s="25" t="s">
        <v>156</v>
      </c>
      <c r="N20" s="52">
        <f>C4</f>
        <v>4.8785797966666467</v>
      </c>
      <c r="O20" s="52">
        <f>D4</f>
        <v>6.5813654753150228</v>
      </c>
      <c r="P20" s="52">
        <f>E4</f>
        <v>5.4373603482644324</v>
      </c>
      <c r="Q20" s="52">
        <f>F4</f>
        <v>4.9665620069117731</v>
      </c>
      <c r="R20" s="52">
        <f>G4</f>
        <v>3.9011753031507732</v>
      </c>
      <c r="S20" s="52">
        <f>SUM(N20:R20)</f>
        <v>25.765042930308645</v>
      </c>
    </row>
    <row r="21" spans="1:19" ht="15" thickBot="1" x14ac:dyDescent="0.4">
      <c r="A21" s="21"/>
      <c r="B21" s="23"/>
      <c r="C21" s="27" t="str">
        <f>C16</f>
        <v>FY 21</v>
      </c>
      <c r="D21" s="27" t="str">
        <f t="shared" ref="D21:H21" si="10">D16</f>
        <v>FY 22</v>
      </c>
      <c r="E21" s="27" t="str">
        <f t="shared" si="10"/>
        <v>FY 23</v>
      </c>
      <c r="F21" s="27" t="str">
        <f t="shared" si="10"/>
        <v>FY 24</v>
      </c>
      <c r="G21" s="27" t="str">
        <f t="shared" si="10"/>
        <v>FY 25</v>
      </c>
      <c r="H21" s="27" t="str">
        <f t="shared" si="10"/>
        <v>Total</v>
      </c>
      <c r="I21" s="21"/>
      <c r="J21" s="21"/>
      <c r="M21" s="25" t="s">
        <v>21</v>
      </c>
      <c r="N21" s="52">
        <f>N20-N19</f>
        <v>-5.5457014418894337</v>
      </c>
      <c r="O21" s="52">
        <f t="shared" ref="O21:S21" si="11">O20-O19</f>
        <v>-9.076236522883363E-2</v>
      </c>
      <c r="P21" s="52">
        <f t="shared" si="11"/>
        <v>0.62984130673321026</v>
      </c>
      <c r="Q21" s="52">
        <f t="shared" si="11"/>
        <v>6.4228793127911743E-2</v>
      </c>
      <c r="R21" s="52">
        <f t="shared" si="11"/>
        <v>0.15045670367441</v>
      </c>
      <c r="S21" s="52">
        <f t="shared" si="11"/>
        <v>-4.7919370035827384</v>
      </c>
    </row>
    <row r="22" spans="1:19" ht="15" thickBot="1" x14ac:dyDescent="0.4">
      <c r="A22" s="21"/>
      <c r="B22" s="25" t="str">
        <f>B19</f>
        <v>Reliability</v>
      </c>
      <c r="C22" s="52">
        <f>SUMIF('2 Forecast Capex'!$O$7:$O$100,$J22,'2 Forecast Capex'!D$7:D$100)/1000*(1+'1. Data'!$B$6)^2</f>
        <v>0.57600844040630195</v>
      </c>
      <c r="D22" s="52">
        <f>SUMIF('2 Forecast Capex'!$O$7:$O$100,$J22,'2 Forecast Capex'!E$7:E$100)/1000*(1+'1. Data'!$B$6)^2</f>
        <v>0</v>
      </c>
      <c r="E22" s="52">
        <f>SUMIF('2 Forecast Capex'!$O$7:$O$100,$J22,'2 Forecast Capex'!F$7:F$100)/1000*(1+'1. Data'!$B$6)^2</f>
        <v>0.83783045877280282</v>
      </c>
      <c r="F22" s="52">
        <f>SUMIF('2 Forecast Capex'!$O$7:$O$100,$J22,'2 Forecast Capex'!G$7:G$100)/1000*(1+'1. Data'!$B$6)^2</f>
        <v>0</v>
      </c>
      <c r="G22" s="52">
        <f>SUMIF('2 Forecast Capex'!$O$7:$O$100,$J22,'2 Forecast Capex'!H$7:H$100)/1000*(1+'1. Data'!$B$6)^2</f>
        <v>0</v>
      </c>
      <c r="H22" s="52">
        <f>SUM(C22:G22)</f>
        <v>1.4138388991791047</v>
      </c>
      <c r="I22" s="21"/>
      <c r="J22" s="28" t="s">
        <v>193</v>
      </c>
    </row>
    <row r="24" spans="1:19" ht="17.5" thickBot="1" x14ac:dyDescent="0.45">
      <c r="A24" s="21"/>
      <c r="B24" s="29" t="str">
        <f>J27</f>
        <v>Cable Modification</v>
      </c>
      <c r="C24" s="21"/>
      <c r="D24" s="21"/>
      <c r="E24" s="21"/>
      <c r="F24" s="21"/>
      <c r="G24" s="21"/>
      <c r="H24" s="21"/>
      <c r="I24" s="21"/>
      <c r="J24" s="21"/>
    </row>
    <row r="25" spans="1:19" ht="15.5" thickTop="1" thickBot="1" x14ac:dyDescent="0.4">
      <c r="A25" s="21">
        <f>MAX($A$2:A24)+1</f>
        <v>6</v>
      </c>
      <c r="B25" s="22" t="str">
        <f>"Table 8-"&amp;A25&amp;": "&amp;B24&amp;" forecast capital expenditure ($m 2019/20)"</f>
        <v>Table 8-6: Cable Modification forecast capital expenditure ($m 2019/20)</v>
      </c>
      <c r="C25" s="21"/>
      <c r="D25" s="21"/>
      <c r="E25" s="21"/>
      <c r="F25" s="21"/>
      <c r="G25" s="21"/>
      <c r="H25" s="21"/>
      <c r="I25" s="21"/>
      <c r="J25" s="21"/>
    </row>
    <row r="26" spans="1:19" ht="15" thickBot="1" x14ac:dyDescent="0.4">
      <c r="A26" s="21"/>
      <c r="B26" s="23"/>
      <c r="C26" s="27" t="str">
        <f>C21</f>
        <v>FY 21</v>
      </c>
      <c r="D26" s="27" t="str">
        <f t="shared" ref="D26:H26" si="12">D21</f>
        <v>FY 22</v>
      </c>
      <c r="E26" s="27" t="str">
        <f t="shared" si="12"/>
        <v>FY 23</v>
      </c>
      <c r="F26" s="27" t="str">
        <f t="shared" si="12"/>
        <v>FY 24</v>
      </c>
      <c r="G26" s="27" t="str">
        <f t="shared" si="12"/>
        <v>FY 25</v>
      </c>
      <c r="H26" s="27" t="str">
        <f t="shared" si="12"/>
        <v>Total</v>
      </c>
      <c r="I26" s="21"/>
      <c r="J26" s="21"/>
    </row>
    <row r="27" spans="1:19" ht="15" thickBot="1" x14ac:dyDescent="0.4">
      <c r="A27" s="21"/>
      <c r="B27" s="25" t="str">
        <f>B24</f>
        <v>Cable Modification</v>
      </c>
      <c r="C27" s="52">
        <f>SUMIF('2 Forecast Capex'!$O$7:$O$100,$J27,'2 Forecast Capex'!D$7:D$100)/1000*(1+'1. Data'!$B$6)^2</f>
        <v>0.28533136823713356</v>
      </c>
      <c r="D27" s="52">
        <f>SUMIF('2 Forecast Capex'!$O$7:$O$100,$J27,'2 Forecast Capex'!E$7:E$100)/1000*(1+'1. Data'!$B$6)^2</f>
        <v>0.28533136823713356</v>
      </c>
      <c r="E27" s="52">
        <f>SUMIF('2 Forecast Capex'!$O$7:$O$100,$J27,'2 Forecast Capex'!F$7:F$100)/1000*(1+'1. Data'!$B$6)^2</f>
        <v>0.28533136823713356</v>
      </c>
      <c r="F27" s="52">
        <f>SUMIF('2 Forecast Capex'!$O$7:$O$100,$J27,'2 Forecast Capex'!G$7:G$100)/1000*(1+'1. Data'!$B$6)^2</f>
        <v>0.28533136823713356</v>
      </c>
      <c r="G27" s="52">
        <f>SUMIF('2 Forecast Capex'!$O$7:$O$100,$J27,'2 Forecast Capex'!H$7:H$100)/1000*(1+'1. Data'!$B$6)^2</f>
        <v>0</v>
      </c>
      <c r="H27" s="52">
        <f>SUM(C27:G27)</f>
        <v>1.1413254729485343</v>
      </c>
      <c r="I27" s="21"/>
      <c r="J27" s="28" t="s">
        <v>189</v>
      </c>
    </row>
    <row r="29" spans="1:19" ht="17.5" thickBot="1" x14ac:dyDescent="0.45">
      <c r="A29" s="21"/>
      <c r="B29" s="29" t="str">
        <f>J32</f>
        <v>Refurbishment/Replacement</v>
      </c>
      <c r="C29" s="21"/>
      <c r="D29" s="21"/>
      <c r="E29" s="21"/>
      <c r="F29" s="21"/>
      <c r="G29" s="21"/>
      <c r="H29" s="21"/>
      <c r="I29" s="21"/>
      <c r="J29" s="21"/>
    </row>
    <row r="30" spans="1:19" ht="15.5" thickTop="1" thickBot="1" x14ac:dyDescent="0.4">
      <c r="A30" s="21">
        <f>MAX($A$2:A29)+1</f>
        <v>7</v>
      </c>
      <c r="B30" s="22" t="str">
        <f>"Table 8-"&amp;A30&amp;": "&amp;B29&amp;" forecast capital expenditure ($m 2019/20)"</f>
        <v>Table 8-7: Refurbishment/Replacement forecast capital expenditure ($m 2019/20)</v>
      </c>
      <c r="C30" s="21"/>
      <c r="D30" s="21"/>
      <c r="E30" s="21"/>
      <c r="F30" s="21"/>
      <c r="G30" s="21"/>
      <c r="H30" s="21"/>
      <c r="I30" s="21"/>
      <c r="J30" s="21"/>
    </row>
    <row r="31" spans="1:19" ht="15" thickBot="1" x14ac:dyDescent="0.4">
      <c r="A31" s="21"/>
      <c r="B31" s="23"/>
      <c r="C31" s="27" t="str">
        <f>C26</f>
        <v>FY 21</v>
      </c>
      <c r="D31" s="27" t="str">
        <f t="shared" ref="D31:H31" si="13">D26</f>
        <v>FY 22</v>
      </c>
      <c r="E31" s="27" t="str">
        <f t="shared" si="13"/>
        <v>FY 23</v>
      </c>
      <c r="F31" s="27" t="str">
        <f t="shared" si="13"/>
        <v>FY 24</v>
      </c>
      <c r="G31" s="27" t="str">
        <f t="shared" si="13"/>
        <v>FY 25</v>
      </c>
      <c r="H31" s="27" t="str">
        <f t="shared" si="13"/>
        <v>Total</v>
      </c>
      <c r="I31" s="21"/>
      <c r="J31" s="21"/>
    </row>
    <row r="32" spans="1:19" ht="15" thickBot="1" x14ac:dyDescent="0.4">
      <c r="A32" s="21"/>
      <c r="B32" s="25" t="str">
        <f>B29</f>
        <v>Refurbishment/Replacement</v>
      </c>
      <c r="C32" s="52">
        <f>SUMIF('2 Forecast Capex'!$O$7:$O$100,$J32,'2 Forecast Capex'!D$7:D$100)/1000*(1+'1. Data'!$B$6)^2</f>
        <v>0.42378511892801829</v>
      </c>
      <c r="D32" s="52">
        <f>SUMIF('2 Forecast Capex'!$O$7:$O$100,$J32,'2 Forecast Capex'!E$7:E$100)/1000*(1+'1. Data'!$B$6)^2</f>
        <v>0.43404854204798515</v>
      </c>
      <c r="E32" s="52">
        <f>SUMIF('2 Forecast Capex'!$O$7:$O$100,$J32,'2 Forecast Capex'!F$7:F$100)/1000*(1+'1. Data'!$B$6)^2</f>
        <v>5.3621149361459383E-2</v>
      </c>
      <c r="F32" s="52">
        <f>SUMIF('2 Forecast Capex'!$O$7:$O$100,$J32,'2 Forecast Capex'!G$7:G$100)/1000*(1+'1. Data'!$B$6)^2</f>
        <v>4.0215862021094534E-2</v>
      </c>
      <c r="G32" s="52">
        <f>SUMIF('2 Forecast Capex'!$O$7:$O$100,$J32,'2 Forecast Capex'!H$7:H$100)/1000*(1+'1. Data'!$B$6)^2</f>
        <v>0</v>
      </c>
      <c r="H32" s="52">
        <f>SUM(C32:G32)</f>
        <v>0.95167067235855729</v>
      </c>
      <c r="I32" s="21"/>
      <c r="J32" s="28" t="s">
        <v>160</v>
      </c>
    </row>
    <row r="34" spans="1:10" ht="17.5" thickBot="1" x14ac:dyDescent="0.45">
      <c r="A34" s="21"/>
      <c r="B34" s="29" t="str">
        <f>J37</f>
        <v>Cable Protection</v>
      </c>
      <c r="C34" s="21"/>
      <c r="D34" s="21"/>
      <c r="E34" s="21"/>
      <c r="F34" s="21"/>
      <c r="G34" s="21"/>
      <c r="H34" s="21"/>
      <c r="I34" s="21"/>
      <c r="J34" s="21"/>
    </row>
    <row r="35" spans="1:10" ht="15.5" thickTop="1" thickBot="1" x14ac:dyDescent="0.4">
      <c r="A35" s="21">
        <f>MAX($A$2:A34)+1</f>
        <v>8</v>
      </c>
      <c r="B35" s="22" t="str">
        <f>"Table 8-"&amp;A35&amp;": "&amp;B34&amp;" forecast capital expenditure ($m 2019/20)"</f>
        <v>Table 8-8: Cable Protection forecast capital expenditure ($m 2019/20)</v>
      </c>
      <c r="C35" s="21"/>
      <c r="D35" s="21"/>
      <c r="E35" s="21"/>
      <c r="F35" s="21"/>
      <c r="G35" s="21"/>
      <c r="H35" s="21"/>
      <c r="I35" s="21"/>
      <c r="J35" s="21"/>
    </row>
    <row r="36" spans="1:10" ht="15" thickBot="1" x14ac:dyDescent="0.4">
      <c r="A36" s="21"/>
      <c r="B36" s="23"/>
      <c r="C36" s="27" t="str">
        <f>C31</f>
        <v>FY 21</v>
      </c>
      <c r="D36" s="27" t="str">
        <f t="shared" ref="D36:H36" si="14">D31</f>
        <v>FY 22</v>
      </c>
      <c r="E36" s="27" t="str">
        <f t="shared" si="14"/>
        <v>FY 23</v>
      </c>
      <c r="F36" s="27" t="str">
        <f t="shared" si="14"/>
        <v>FY 24</v>
      </c>
      <c r="G36" s="27" t="str">
        <f t="shared" si="14"/>
        <v>FY 25</v>
      </c>
      <c r="H36" s="27" t="str">
        <f t="shared" si="14"/>
        <v>Total</v>
      </c>
      <c r="I36" s="21"/>
      <c r="J36" s="21"/>
    </row>
    <row r="37" spans="1:10" ht="15" thickBot="1" x14ac:dyDescent="0.4">
      <c r="A37" s="21"/>
      <c r="B37" s="25" t="str">
        <f>B34</f>
        <v>Cable Protection</v>
      </c>
      <c r="C37" s="52">
        <f>SUMIF('2 Forecast Capex'!$O$7:$O$100,$J37,'2 Forecast Capex'!D$7:D$100)/1000*(1+'1. Data'!$B$6)^2</f>
        <v>0.49222539452902164</v>
      </c>
      <c r="D37" s="52">
        <f>SUMIF('2 Forecast Capex'!$O$7:$O$100,$J37,'2 Forecast Capex'!E$7:E$100)/1000*(1+'1. Data'!$B$6)^2</f>
        <v>0.36655082571310121</v>
      </c>
      <c r="E37" s="52">
        <f>SUMIF('2 Forecast Capex'!$O$7:$O$100,$J37,'2 Forecast Capex'!F$7:F$100)/1000*(1+'1. Data'!$B$6)^2</f>
        <v>0</v>
      </c>
      <c r="F37" s="52">
        <f>SUMIF('2 Forecast Capex'!$O$7:$O$100,$J37,'2 Forecast Capex'!G$7:G$100)/1000*(1+'1. Data'!$B$6)^2</f>
        <v>0</v>
      </c>
      <c r="G37" s="52">
        <f>SUMIF('2 Forecast Capex'!$O$7:$O$100,$J37,'2 Forecast Capex'!H$7:H$100)/1000*(1+'1. Data'!$B$6)^2</f>
        <v>0</v>
      </c>
      <c r="H37" s="52">
        <f>SUM(C37:G37)</f>
        <v>0.85877622024212286</v>
      </c>
      <c r="I37" s="21"/>
      <c r="J37" s="28" t="s">
        <v>188</v>
      </c>
    </row>
    <row r="39" spans="1:10" ht="17.5" thickBot="1" x14ac:dyDescent="0.45">
      <c r="A39" s="21"/>
      <c r="B39" s="29" t="str">
        <f>J42</f>
        <v>Stay in Business</v>
      </c>
      <c r="C39" s="21"/>
      <c r="D39" s="21"/>
      <c r="E39" s="21"/>
      <c r="F39" s="21"/>
      <c r="G39" s="21"/>
      <c r="H39" s="21"/>
      <c r="I39" s="21"/>
      <c r="J39" s="21"/>
    </row>
    <row r="40" spans="1:10" ht="15.5" thickTop="1" thickBot="1" x14ac:dyDescent="0.4">
      <c r="A40" s="21">
        <f>MAX($A$2:A39)+1</f>
        <v>9</v>
      </c>
      <c r="B40" s="22" t="str">
        <f>"Table 8-"&amp;A40&amp;": "&amp;B39&amp;" forecast capital expenditure ($m 2019/20)"</f>
        <v>Table 8-9: Stay in Business forecast capital expenditure ($m 2019/20)</v>
      </c>
      <c r="C40" s="21"/>
      <c r="D40" s="21"/>
      <c r="E40" s="21"/>
      <c r="F40" s="21"/>
      <c r="G40" s="21"/>
      <c r="H40" s="21"/>
      <c r="I40" s="21"/>
      <c r="J40" s="21"/>
    </row>
    <row r="41" spans="1:10" ht="15" thickBot="1" x14ac:dyDescent="0.4">
      <c r="A41" s="21"/>
      <c r="B41" s="23"/>
      <c r="C41" s="27" t="str">
        <f>C36</f>
        <v>FY 21</v>
      </c>
      <c r="D41" s="27" t="str">
        <f t="shared" ref="D41:G41" si="15">D36</f>
        <v>FY 22</v>
      </c>
      <c r="E41" s="27" t="str">
        <f t="shared" si="15"/>
        <v>FY 23</v>
      </c>
      <c r="F41" s="27" t="str">
        <f t="shared" si="15"/>
        <v>FY 24</v>
      </c>
      <c r="G41" s="27" t="str">
        <f t="shared" si="15"/>
        <v>FY 25</v>
      </c>
      <c r="H41" s="24" t="s">
        <v>12</v>
      </c>
      <c r="I41" s="21"/>
      <c r="J41" s="21"/>
    </row>
    <row r="42" spans="1:10" ht="15" thickBot="1" x14ac:dyDescent="0.4">
      <c r="A42" s="21"/>
      <c r="B42" s="25" t="str">
        <f>B39</f>
        <v>Stay in Business</v>
      </c>
      <c r="C42" s="52">
        <f>SUMIF('2 Forecast Capex'!$O$7:$O$100,$J42,'2 Forecast Capex'!D$7:D$100)/1000*(1+'1. Data'!$B$6)^2</f>
        <v>0.20317388625240465</v>
      </c>
      <c r="D42" s="52">
        <f>SUMIF('2 Forecast Capex'!$O$7:$O$100,$J42,'2 Forecast Capex'!E$7:E$100)/1000*(1+'1. Data'!$B$6)^2</f>
        <v>0.54668437434925388</v>
      </c>
      <c r="E42" s="52">
        <f>SUMIF('2 Forecast Capex'!$O$7:$O$100,$J42,'2 Forecast Capex'!F$7:F$100)/1000*(1+'1. Data'!$B$6)^2</f>
        <v>2.3040337616252075E-2</v>
      </c>
      <c r="F42" s="52">
        <f>SUMIF('2 Forecast Capex'!$O$7:$O$100,$J42,'2 Forecast Capex'!G$7:G$100)/1000*(1+'1. Data'!$B$6)^2</f>
        <v>2.3040337616252075E-2</v>
      </c>
      <c r="G42" s="52">
        <f>SUMIF('2 Forecast Capex'!$O$7:$O$100,$J42,'2 Forecast Capex'!H$7:H$100)/1000*(1+'1. Data'!$B$6)^2</f>
        <v>2.3040337616252075E-2</v>
      </c>
      <c r="H42" s="52">
        <f>SUM(C42:G42)</f>
        <v>0.81897927345041488</v>
      </c>
      <c r="I42" s="21"/>
      <c r="J42" s="28" t="s">
        <v>194</v>
      </c>
    </row>
    <row r="44" spans="1:10" ht="17.5" thickBot="1" x14ac:dyDescent="0.45">
      <c r="A44" s="21"/>
      <c r="B44" s="29" t="str">
        <f>J47</f>
        <v xml:space="preserve">Essential Spares </v>
      </c>
      <c r="C44" s="21"/>
      <c r="D44" s="21"/>
      <c r="E44" s="21"/>
      <c r="F44" s="21"/>
      <c r="G44" s="21"/>
      <c r="H44" s="21"/>
      <c r="I44" s="21"/>
      <c r="J44" s="21"/>
    </row>
    <row r="45" spans="1:10" ht="15.5" thickTop="1" thickBot="1" x14ac:dyDescent="0.4">
      <c r="A45" s="21">
        <f>MAX($A$2:A44)+1</f>
        <v>10</v>
      </c>
      <c r="B45" s="22" t="str">
        <f>"Table 8-"&amp;A45&amp;": "&amp;B44&amp;" forecast capital expenditure ($m 2019/20)"</f>
        <v>Table 8-10: Essential Spares  forecast capital expenditure ($m 2019/20)</v>
      </c>
      <c r="C45" s="21"/>
      <c r="D45" s="21"/>
      <c r="E45" s="21"/>
      <c r="F45" s="21"/>
      <c r="G45" s="21"/>
      <c r="H45" s="21"/>
      <c r="I45" s="21"/>
      <c r="J45" s="21"/>
    </row>
    <row r="46" spans="1:10" ht="15" thickBot="1" x14ac:dyDescent="0.4">
      <c r="A46" s="21"/>
      <c r="B46" s="23"/>
      <c r="C46" s="27" t="str">
        <f>C41</f>
        <v>FY 21</v>
      </c>
      <c r="D46" s="27" t="str">
        <f t="shared" ref="D46:G46" si="16">D41</f>
        <v>FY 22</v>
      </c>
      <c r="E46" s="27" t="str">
        <f t="shared" si="16"/>
        <v>FY 23</v>
      </c>
      <c r="F46" s="27" t="str">
        <f t="shared" si="16"/>
        <v>FY 24</v>
      </c>
      <c r="G46" s="27" t="str">
        <f t="shared" si="16"/>
        <v>FY 25</v>
      </c>
      <c r="H46" s="27" t="str">
        <f t="shared" ref="H46" si="17">H41</f>
        <v>Total</v>
      </c>
      <c r="I46" s="21"/>
      <c r="J46" s="21"/>
    </row>
    <row r="47" spans="1:10" ht="15" thickBot="1" x14ac:dyDescent="0.4">
      <c r="A47" s="21"/>
      <c r="B47" s="25" t="str">
        <f>B44</f>
        <v xml:space="preserve">Essential Spares </v>
      </c>
      <c r="C47" s="52">
        <f>SUMIF('2 Forecast Capex'!$O$7:$O$100,$J47,'2 Forecast Capex'!D$7:D$100)/1000*(1+'1. Data'!$B$6)^2</f>
        <v>0.1549986348729685</v>
      </c>
      <c r="D47" s="52">
        <f>SUMIF('2 Forecast Capex'!$O$7:$O$100,$J47,'2 Forecast Capex'!E$7:E$100)/1000*(1+'1. Data'!$B$6)^2</f>
        <v>0.1549986348729685</v>
      </c>
      <c r="E47" s="52">
        <f>SUMIF('2 Forecast Capex'!$O$7:$O$100,$J47,'2 Forecast Capex'!F$7:F$100)/1000*(1+'1. Data'!$B$6)^2</f>
        <v>0.1549986348729685</v>
      </c>
      <c r="F47" s="52">
        <f>SUMIF('2 Forecast Capex'!$O$7:$O$100,$J47,'2 Forecast Capex'!G$7:G$100)/1000*(1+'1. Data'!$B$6)^2</f>
        <v>0.1549986348729685</v>
      </c>
      <c r="G47" s="52">
        <f>SUMIF('2 Forecast Capex'!$O$7:$O$100,$J47,'2 Forecast Capex'!H$7:H$100)/1000*(1+'1. Data'!$B$6)^2</f>
        <v>0.1549986348729685</v>
      </c>
      <c r="H47" s="52">
        <f>SUM(C47:G47)</f>
        <v>0.7749931743648425</v>
      </c>
      <c r="I47" s="21"/>
      <c r="J47" s="28" t="s">
        <v>190</v>
      </c>
    </row>
    <row r="49" spans="1:10" ht="17.5" thickBot="1" x14ac:dyDescent="0.45">
      <c r="A49" s="21"/>
      <c r="B49" s="29" t="str">
        <f>J52</f>
        <v>Testing Equipment</v>
      </c>
      <c r="C49" s="21"/>
      <c r="D49" s="21"/>
      <c r="E49" s="21"/>
      <c r="F49" s="21"/>
      <c r="G49" s="21"/>
      <c r="H49" s="21"/>
      <c r="I49" s="21"/>
      <c r="J49" s="21"/>
    </row>
    <row r="50" spans="1:10" ht="15.5" thickTop="1" thickBot="1" x14ac:dyDescent="0.4">
      <c r="A50" s="21">
        <f>MAX($A$2:A49)+1</f>
        <v>11</v>
      </c>
      <c r="B50" s="22" t="str">
        <f>"Table 8-"&amp;A50&amp;": "&amp;B49&amp;" forecast capital expenditure ($m 2019/20)"</f>
        <v>Table 8-11: Testing Equipment forecast capital expenditure ($m 2019/20)</v>
      </c>
      <c r="C50" s="21"/>
      <c r="D50" s="21"/>
      <c r="E50" s="21"/>
      <c r="F50" s="21"/>
      <c r="G50" s="21"/>
      <c r="H50" s="21"/>
      <c r="I50" s="21"/>
      <c r="J50" s="21"/>
    </row>
    <row r="51" spans="1:10" ht="15" thickBot="1" x14ac:dyDescent="0.4">
      <c r="A51" s="21"/>
      <c r="B51" s="23"/>
      <c r="C51" s="27" t="str">
        <f>C46</f>
        <v>FY 21</v>
      </c>
      <c r="D51" s="27" t="str">
        <f>D46</f>
        <v>FY 22</v>
      </c>
      <c r="E51" s="27" t="str">
        <f>E46</f>
        <v>FY 23</v>
      </c>
      <c r="F51" s="27" t="str">
        <f>F46</f>
        <v>FY 24</v>
      </c>
      <c r="G51" s="27" t="str">
        <f>G46</f>
        <v>FY 25</v>
      </c>
      <c r="H51" s="24" t="s">
        <v>12</v>
      </c>
      <c r="I51" s="21"/>
      <c r="J51" s="21"/>
    </row>
    <row r="52" spans="1:10" ht="15" thickBot="1" x14ac:dyDescent="0.4">
      <c r="A52" s="21"/>
      <c r="B52" s="25" t="str">
        <f>B49</f>
        <v>Testing Equipment</v>
      </c>
      <c r="C52" s="52">
        <f>SUMIF('2 Forecast Capex'!$O$7:$O$100,$J52,'2 Forecast Capex'!D$7:D$100)/1000*(1+'1. Data'!$B$6)^2</f>
        <v>7.5404741289552241E-2</v>
      </c>
      <c r="D52" s="52">
        <f>SUMIF('2 Forecast Capex'!$O$7:$O$100,$J52,'2 Forecast Capex'!E$7:E$100)/1000*(1+'1. Data'!$B$6)^2</f>
        <v>0.37702370644776123</v>
      </c>
      <c r="E52" s="52">
        <f>SUMIF('2 Forecast Capex'!$O$7:$O$100,$J52,'2 Forecast Capex'!F$7:F$100)/1000*(1+'1. Data'!$B$6)^2</f>
        <v>0.31418642203980102</v>
      </c>
      <c r="F52" s="52">
        <f>SUMIF('2 Forecast Capex'!$O$7:$O$100,$J52,'2 Forecast Capex'!G$7:G$100)/1000*(1+'1. Data'!$B$6)^2</f>
        <v>0</v>
      </c>
      <c r="G52" s="52">
        <f>SUMIF('2 Forecast Capex'!$O$7:$O$100,$J52,'2 Forecast Capex'!H$7:H$100)/1000*(1+'1. Data'!$B$6)^2</f>
        <v>0</v>
      </c>
      <c r="H52" s="52">
        <f>SUM(C52:G52)</f>
        <v>0.76661486977711446</v>
      </c>
      <c r="I52" s="21"/>
      <c r="J52" s="28" t="s">
        <v>192</v>
      </c>
    </row>
    <row r="54" spans="1:10" ht="17.5" thickBot="1" x14ac:dyDescent="0.45">
      <c r="A54" s="21"/>
      <c r="B54" s="29" t="str">
        <f>J57</f>
        <v>Transmission Determination Costs</v>
      </c>
      <c r="C54" s="21"/>
      <c r="D54" s="21"/>
      <c r="E54" s="21"/>
      <c r="F54" s="21"/>
      <c r="G54" s="21"/>
      <c r="H54" s="21"/>
      <c r="I54" s="21"/>
      <c r="J54" s="21"/>
    </row>
    <row r="55" spans="1:10" ht="15.5" thickTop="1" thickBot="1" x14ac:dyDescent="0.4">
      <c r="A55" s="21">
        <f>MAX($A$2:A54)+1</f>
        <v>12</v>
      </c>
      <c r="B55" s="22" t="str">
        <f>"Table 8-"&amp;A55&amp;": "&amp;B54&amp;" forecast capital expenditure ($m 2019/20)"</f>
        <v>Table 8-12: Transmission Determination Costs forecast capital expenditure ($m 2019/20)</v>
      </c>
      <c r="C55" s="21"/>
      <c r="D55" s="21"/>
      <c r="E55" s="21"/>
      <c r="F55" s="21"/>
      <c r="G55" s="21"/>
      <c r="H55" s="21"/>
      <c r="I55" s="21"/>
      <c r="J55" s="21"/>
    </row>
    <row r="56" spans="1:10" ht="15" thickBot="1" x14ac:dyDescent="0.4">
      <c r="A56" s="21"/>
      <c r="B56" s="23"/>
      <c r="C56" s="27" t="str">
        <f>C51</f>
        <v>FY 21</v>
      </c>
      <c r="D56" s="27" t="str">
        <f t="shared" ref="D56:G56" si="18">D51</f>
        <v>FY 22</v>
      </c>
      <c r="E56" s="27" t="str">
        <f t="shared" si="18"/>
        <v>FY 23</v>
      </c>
      <c r="F56" s="27" t="str">
        <f t="shared" si="18"/>
        <v>FY 24</v>
      </c>
      <c r="G56" s="27" t="str">
        <f t="shared" si="18"/>
        <v>FY 25</v>
      </c>
      <c r="H56" s="24" t="s">
        <v>12</v>
      </c>
      <c r="I56" s="21"/>
      <c r="J56" s="21"/>
    </row>
    <row r="57" spans="1:10" ht="15" thickBot="1" x14ac:dyDescent="0.4">
      <c r="A57" s="21"/>
      <c r="B57" s="25" t="str">
        <f>B54</f>
        <v>Transmission Determination Costs</v>
      </c>
      <c r="C57" s="52">
        <f>SUMIF('2 Forecast Capex'!$O$7:$O$100,$J57,'2 Forecast Capex'!D$7:D$100)/1000*(1+'1. Data'!$B$6)^2</f>
        <v>3.4036893806287306E-2</v>
      </c>
      <c r="D57" s="52">
        <f>SUMIF('2 Forecast Capex'!$O$7:$O$100,$J57,'2 Forecast Capex'!E$7:E$100)/1000*(1+'1. Data'!$B$6)^2</f>
        <v>3.4036893806287306E-2</v>
      </c>
      <c r="E57" s="52">
        <f>SUMIF('2 Forecast Capex'!$O$7:$O$100,$J57,'2 Forecast Capex'!F$7:F$100)/1000*(1+'1. Data'!$B$6)^2</f>
        <v>3.4036893806287306E-2</v>
      </c>
      <c r="F57" s="52">
        <f>SUMIF('2 Forecast Capex'!$O$7:$O$100,$J57,'2 Forecast Capex'!G$7:G$100)/1000*(1+'1. Data'!$B$6)^2</f>
        <v>0.14532126368603251</v>
      </c>
      <c r="G57" s="52">
        <f>SUMIF('2 Forecast Capex'!$O$7:$O$100,$J57,'2 Forecast Capex'!H$7:H$100)/1000*(1+'1. Data'!$B$6)^2</f>
        <v>0.14036383133435459</v>
      </c>
      <c r="H57" s="52">
        <f>SUM(C57:G57)</f>
        <v>0.38779577643924901</v>
      </c>
      <c r="I57" s="21"/>
      <c r="J57" s="28" t="s">
        <v>137</v>
      </c>
    </row>
    <row r="59" spans="1:10" ht="17.5" thickBot="1" x14ac:dyDescent="0.45">
      <c r="A59" s="22"/>
      <c r="B59" s="29" t="str">
        <f>J62</f>
        <v>Noise Monitoring Equipment</v>
      </c>
      <c r="C59" s="22"/>
      <c r="D59" s="22"/>
      <c r="E59" s="22"/>
      <c r="F59" s="22"/>
      <c r="G59" s="22"/>
      <c r="H59" s="22"/>
      <c r="I59" s="22"/>
      <c r="J59" s="22"/>
    </row>
    <row r="60" spans="1:10" ht="15.5" thickTop="1" thickBot="1" x14ac:dyDescent="0.4">
      <c r="A60" s="22">
        <f>MAX($A$2:A59)+1</f>
        <v>13</v>
      </c>
      <c r="B60" s="22" t="str">
        <f>"Table 8-"&amp;A60&amp;": "&amp;B59&amp;" forecast capital expenditure ($m 2019/20)"</f>
        <v>Table 8-13: Noise Monitoring Equipment forecast capital expenditure ($m 2019/20)</v>
      </c>
      <c r="C60" s="22"/>
      <c r="D60" s="22"/>
      <c r="E60" s="22"/>
      <c r="F60" s="22"/>
      <c r="G60" s="22"/>
      <c r="H60" s="22"/>
      <c r="I60" s="22"/>
      <c r="J60" s="22"/>
    </row>
    <row r="61" spans="1:10" ht="15" thickBot="1" x14ac:dyDescent="0.4">
      <c r="A61" s="22"/>
      <c r="B61" s="23"/>
      <c r="C61" s="27" t="str">
        <f>C56</f>
        <v>FY 21</v>
      </c>
      <c r="D61" s="27" t="str">
        <f t="shared" ref="D61:G61" si="19">D56</f>
        <v>FY 22</v>
      </c>
      <c r="E61" s="27" t="str">
        <f t="shared" si="19"/>
        <v>FY 23</v>
      </c>
      <c r="F61" s="27" t="str">
        <f t="shared" si="19"/>
        <v>FY 24</v>
      </c>
      <c r="G61" s="27" t="str">
        <f t="shared" si="19"/>
        <v>FY 25</v>
      </c>
      <c r="H61" s="24" t="s">
        <v>12</v>
      </c>
      <c r="I61" s="22"/>
      <c r="J61" s="22"/>
    </row>
    <row r="62" spans="1:10" ht="15" thickBot="1" x14ac:dyDescent="0.4">
      <c r="A62" s="22"/>
      <c r="B62" s="25" t="str">
        <f>B59</f>
        <v>Noise Monitoring Equipment</v>
      </c>
      <c r="C62" s="52">
        <f>SUMIF('2 Forecast Capex'!$O$7:$O$100,$J62,'2 Forecast Capex'!D$7:D$100)/1000*(1+'1. Data'!$B$6)^2</f>
        <v>0.15709321101990051</v>
      </c>
      <c r="D62" s="52">
        <f>SUMIF('2 Forecast Capex'!$O$7:$O$100,$J62,'2 Forecast Capex'!E$7:E$100)/1000*(1+'1. Data'!$B$6)^2</f>
        <v>0</v>
      </c>
      <c r="E62" s="52">
        <f>SUMIF('2 Forecast Capex'!$O$7:$O$100,$J62,'2 Forecast Capex'!F$7:F$100)/1000*(1+'1. Data'!$B$6)^2</f>
        <v>0</v>
      </c>
      <c r="F62" s="52">
        <f>SUMIF('2 Forecast Capex'!$O$7:$O$100,$J62,'2 Forecast Capex'!G$7:G$100)/1000*(1+'1. Data'!$B$6)^2</f>
        <v>0</v>
      </c>
      <c r="G62" s="52">
        <f>SUMIF('2 Forecast Capex'!$O$7:$O$100,$J62,'2 Forecast Capex'!H$7:H$100)/1000*(1+'1. Data'!$B$6)^2</f>
        <v>0</v>
      </c>
      <c r="H62" s="52">
        <f>SUM(C62:G62)</f>
        <v>0.15709321101990051</v>
      </c>
      <c r="I62" s="22"/>
      <c r="J62" s="28" t="s">
        <v>171</v>
      </c>
    </row>
    <row r="63" spans="1:10" x14ac:dyDescent="0.35">
      <c r="A63" s="22"/>
      <c r="B63" s="22"/>
      <c r="C63" s="22"/>
      <c r="D63" s="22"/>
      <c r="E63" s="22"/>
      <c r="F63" s="22"/>
      <c r="G63" s="22"/>
      <c r="H63" s="22"/>
      <c r="I63" s="22"/>
      <c r="J63" s="22"/>
    </row>
    <row r="64" spans="1:10" ht="17.5" thickBot="1" x14ac:dyDescent="0.45">
      <c r="A64" s="22"/>
      <c r="B64" s="29" t="str">
        <f>J67</f>
        <v/>
      </c>
      <c r="C64" s="22"/>
      <c r="D64" s="22"/>
      <c r="E64" s="22"/>
      <c r="F64" s="22"/>
      <c r="G64" s="22"/>
      <c r="H64" s="22"/>
      <c r="I64" s="22"/>
      <c r="J64" s="22"/>
    </row>
    <row r="65" spans="1:10" ht="15.5" thickTop="1" thickBot="1" x14ac:dyDescent="0.4">
      <c r="A65" s="22">
        <f>MAX($A$2:A64)+1</f>
        <v>14</v>
      </c>
      <c r="B65" s="22" t="str">
        <f>"Table 8-"&amp;A65&amp;": "&amp;B64&amp;" forecast capital expenditure ($m 2019/20)"</f>
        <v>Table 8-14:  forecast capital expenditure ($m 2019/20)</v>
      </c>
      <c r="C65" s="22"/>
      <c r="D65" s="22"/>
      <c r="E65" s="22"/>
      <c r="F65" s="22"/>
      <c r="G65" s="22"/>
      <c r="H65" s="22"/>
      <c r="I65" s="22"/>
      <c r="J65" s="22"/>
    </row>
    <row r="66" spans="1:10" ht="15" thickBot="1" x14ac:dyDescent="0.4">
      <c r="A66" s="22"/>
      <c r="B66" s="23"/>
      <c r="C66" s="27" t="str">
        <f>C61</f>
        <v>FY 21</v>
      </c>
      <c r="D66" s="27" t="str">
        <f t="shared" ref="D66:G66" si="20">D61</f>
        <v>FY 22</v>
      </c>
      <c r="E66" s="27" t="str">
        <f t="shared" si="20"/>
        <v>FY 23</v>
      </c>
      <c r="F66" s="27" t="str">
        <f t="shared" si="20"/>
        <v>FY 24</v>
      </c>
      <c r="G66" s="27" t="str">
        <f t="shared" si="20"/>
        <v>FY 25</v>
      </c>
      <c r="H66" s="24" t="s">
        <v>12</v>
      </c>
      <c r="I66" s="22"/>
      <c r="J66" s="22"/>
    </row>
    <row r="67" spans="1:10" ht="15" thickBot="1" x14ac:dyDescent="0.4">
      <c r="A67" s="22"/>
      <c r="B67" s="25" t="str">
        <f>B64</f>
        <v/>
      </c>
      <c r="C67" s="52">
        <f>SUMIF('2 Forecast Capex'!$O$7:$O$100,$J67,'2 Forecast Capex'!D$7:D$100)/1000*(1+'1. Data'!$B$6)^2</f>
        <v>0</v>
      </c>
      <c r="D67" s="52">
        <f>SUMIF('2 Forecast Capex'!$O$7:$O$100,$J67,'2 Forecast Capex'!E$7:E$100)/1000*(1+'1. Data'!$B$6)^2</f>
        <v>0</v>
      </c>
      <c r="E67" s="52">
        <f>SUMIF('2 Forecast Capex'!$O$7:$O$100,$J67,'2 Forecast Capex'!F$7:F$100)/1000*(1+'1. Data'!$B$6)^2</f>
        <v>0</v>
      </c>
      <c r="F67" s="52">
        <f>SUMIF('2 Forecast Capex'!$O$7:$O$100,$J67,'2 Forecast Capex'!G$7:G$100)/1000*(1+'1. Data'!$B$6)^2</f>
        <v>0</v>
      </c>
      <c r="G67" s="52">
        <f>SUMIF('2 Forecast Capex'!$O$7:$O$100,$J67,'2 Forecast Capex'!H$7:H$100)/1000*(1+'1. Data'!$B$6)^2</f>
        <v>0</v>
      </c>
      <c r="H67" s="52">
        <f>SUM(C67:G67)</f>
        <v>0</v>
      </c>
      <c r="I67" s="22"/>
      <c r="J67" s="28" t="s">
        <v>186</v>
      </c>
    </row>
    <row r="68" spans="1:10" x14ac:dyDescent="0.35">
      <c r="A68" s="22"/>
      <c r="B68" s="22"/>
      <c r="C68" s="22"/>
      <c r="D68" s="22"/>
      <c r="E68" s="22"/>
      <c r="F68" s="22"/>
      <c r="G68" s="22"/>
      <c r="H68" s="22"/>
      <c r="I68" s="22"/>
      <c r="J68" s="22"/>
    </row>
    <row r="69" spans="1:10" ht="17.5" thickBot="1" x14ac:dyDescent="0.45">
      <c r="A69" s="47"/>
      <c r="B69" s="29" t="str">
        <f>J72</f>
        <v/>
      </c>
      <c r="C69" s="47"/>
      <c r="D69" s="47"/>
      <c r="E69" s="47"/>
      <c r="F69" s="47"/>
      <c r="G69" s="47"/>
      <c r="H69" s="47"/>
      <c r="I69" s="47"/>
      <c r="J69" s="47"/>
    </row>
    <row r="70" spans="1:10" ht="15.5" thickTop="1" thickBot="1" x14ac:dyDescent="0.4">
      <c r="A70" s="47">
        <f>MAX($A$2:A69)+1</f>
        <v>15</v>
      </c>
      <c r="B70" s="47" t="str">
        <f>"Table 8-"&amp;A70&amp;": "&amp;B69&amp;" forecast capital expenditure ($m 2019/20)"</f>
        <v>Table 8-15:  forecast capital expenditure ($m 2019/20)</v>
      </c>
      <c r="C70" s="47"/>
      <c r="D70" s="47"/>
      <c r="E70" s="47"/>
      <c r="F70" s="47"/>
      <c r="G70" s="47"/>
      <c r="H70" s="47"/>
      <c r="I70" s="47"/>
      <c r="J70" s="47"/>
    </row>
    <row r="71" spans="1:10" ht="15" thickBot="1" x14ac:dyDescent="0.4">
      <c r="A71" s="47"/>
      <c r="B71" s="23"/>
      <c r="C71" s="27" t="str">
        <f>C66</f>
        <v>FY 21</v>
      </c>
      <c r="D71" s="27" t="str">
        <f t="shared" ref="D71:G71" si="21">D66</f>
        <v>FY 22</v>
      </c>
      <c r="E71" s="27" t="str">
        <f t="shared" si="21"/>
        <v>FY 23</v>
      </c>
      <c r="F71" s="27" t="str">
        <f t="shared" si="21"/>
        <v>FY 24</v>
      </c>
      <c r="G71" s="27" t="str">
        <f t="shared" si="21"/>
        <v>FY 25</v>
      </c>
      <c r="H71" s="24" t="s">
        <v>12</v>
      </c>
      <c r="I71" s="47"/>
      <c r="J71" s="47"/>
    </row>
    <row r="72" spans="1:10" ht="15" thickBot="1" x14ac:dyDescent="0.4">
      <c r="A72" s="47"/>
      <c r="B72" s="25" t="str">
        <f>B69</f>
        <v/>
      </c>
      <c r="C72" s="52">
        <f>SUMIF('2 Forecast Capex'!$O$7:$O$100,$J72,'2 Forecast Capex'!D$7:D$100)/1000*(1+'1. Data'!$B$6)^2</f>
        <v>0</v>
      </c>
      <c r="D72" s="52">
        <f>SUMIF('2 Forecast Capex'!$O$7:$O$100,$J72,'2 Forecast Capex'!E$7:E$100)/1000*(1+'1. Data'!$B$6)^2</f>
        <v>0</v>
      </c>
      <c r="E72" s="52">
        <f>SUMIF('2 Forecast Capex'!$O$7:$O$100,$J72,'2 Forecast Capex'!F$7:F$100)/1000*(1+'1. Data'!$B$6)^2</f>
        <v>0</v>
      </c>
      <c r="F72" s="52">
        <f>SUMIF('2 Forecast Capex'!$O$7:$O$100,$J72,'2 Forecast Capex'!G$7:G$100)/1000*(1+'1. Data'!$B$6)^2</f>
        <v>0</v>
      </c>
      <c r="G72" s="52">
        <f>SUMIF('2 Forecast Capex'!$O$7:$O$100,$J72,'2 Forecast Capex'!H$7:H$100)/1000*(1+'1. Data'!$B$6)^2</f>
        <v>0</v>
      </c>
      <c r="H72" s="52">
        <f>SUM(C72:G72)</f>
        <v>0</v>
      </c>
      <c r="I72" s="47"/>
      <c r="J72" s="28" t="s">
        <v>186</v>
      </c>
    </row>
    <row r="74" spans="1:10" ht="17.5" thickBot="1" x14ac:dyDescent="0.45">
      <c r="A74" s="47"/>
      <c r="B74" s="29" t="str">
        <f>J77</f>
        <v/>
      </c>
      <c r="C74" s="47"/>
      <c r="D74" s="47"/>
      <c r="E74" s="47"/>
      <c r="F74" s="47"/>
      <c r="G74" s="47"/>
      <c r="H74" s="47"/>
      <c r="I74" s="47"/>
      <c r="J74" s="47"/>
    </row>
    <row r="75" spans="1:10" ht="15.5" thickTop="1" thickBot="1" x14ac:dyDescent="0.4">
      <c r="A75" s="47">
        <f>MAX($A$2:A74)+1</f>
        <v>16</v>
      </c>
      <c r="B75" s="47" t="str">
        <f>"Table 8-"&amp;A75&amp;": "&amp;B74&amp;" forecast capital expenditure ($m 2019/20)"</f>
        <v>Table 8-16:  forecast capital expenditure ($m 2019/20)</v>
      </c>
      <c r="C75" s="47"/>
      <c r="D75" s="47"/>
      <c r="E75" s="47"/>
      <c r="F75" s="47"/>
      <c r="G75" s="47"/>
      <c r="H75" s="47"/>
      <c r="I75" s="47"/>
      <c r="J75" s="47"/>
    </row>
    <row r="76" spans="1:10" ht="15" thickBot="1" x14ac:dyDescent="0.4">
      <c r="A76" s="47"/>
      <c r="B76" s="23"/>
      <c r="C76" s="27" t="str">
        <f>C71</f>
        <v>FY 21</v>
      </c>
      <c r="D76" s="27" t="str">
        <f t="shared" ref="D76:G76" si="22">D71</f>
        <v>FY 22</v>
      </c>
      <c r="E76" s="27" t="str">
        <f t="shared" si="22"/>
        <v>FY 23</v>
      </c>
      <c r="F76" s="27" t="str">
        <f t="shared" si="22"/>
        <v>FY 24</v>
      </c>
      <c r="G76" s="27" t="str">
        <f t="shared" si="22"/>
        <v>FY 25</v>
      </c>
      <c r="H76" s="24" t="s">
        <v>12</v>
      </c>
      <c r="I76" s="47"/>
      <c r="J76" s="47"/>
    </row>
    <row r="77" spans="1:10" ht="15" thickBot="1" x14ac:dyDescent="0.4">
      <c r="A77" s="47"/>
      <c r="B77" s="25" t="str">
        <f>B74</f>
        <v/>
      </c>
      <c r="C77" s="26">
        <f>SUMIF('2 Forecast Capex'!$O$7:$O$100,$J77,'2 Forecast Capex'!D$7:D$100)/1000*(1+'1. Data'!$B$6)^2</f>
        <v>0</v>
      </c>
      <c r="D77" s="26">
        <f>SUMIF('2 Forecast Capex'!$O$7:$O$100,$J77,'2 Forecast Capex'!E$7:E$100)/1000*(1+'1. Data'!$B$6)^2</f>
        <v>0</v>
      </c>
      <c r="E77" s="26">
        <f>SUMIF('2 Forecast Capex'!$O$7:$O$100,$J77,'2 Forecast Capex'!F$7:F$100)/1000*(1+'1. Data'!$B$6)^2</f>
        <v>0</v>
      </c>
      <c r="F77" s="26">
        <f>SUMIF('2 Forecast Capex'!$O$7:$O$100,$J77,'2 Forecast Capex'!G$7:G$100)/1000*(1+'1. Data'!$B$6)^2</f>
        <v>0</v>
      </c>
      <c r="G77" s="26">
        <f>SUMIF('2 Forecast Capex'!$O$7:$O$100,$J77,'2 Forecast Capex'!H$7:H$100)/1000*(1+'1. Data'!$B$6)^2</f>
        <v>0</v>
      </c>
      <c r="H77" s="26">
        <f>SUM(C77:G77)</f>
        <v>0</v>
      </c>
      <c r="I77" s="47"/>
      <c r="J77" s="28" t="s">
        <v>186</v>
      </c>
    </row>
    <row r="78" spans="1:10" x14ac:dyDescent="0.35">
      <c r="A78" s="47"/>
      <c r="B78" s="47"/>
      <c r="C78" s="47"/>
      <c r="D78" s="47"/>
      <c r="E78" s="47"/>
      <c r="F78" s="47"/>
      <c r="G78" s="47"/>
      <c r="H78" s="47"/>
      <c r="I78" s="47"/>
      <c r="J78" s="47"/>
    </row>
  </sheetData>
  <mergeCells count="2">
    <mergeCell ref="M2:S2"/>
    <mergeCell ref="M10:S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</sheetPr>
  <dimension ref="A1:AA123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:D2"/>
    </sheetView>
  </sheetViews>
  <sheetFormatPr defaultRowHeight="14.5" x14ac:dyDescent="0.35"/>
  <cols>
    <col min="1" max="1" width="52.81640625" bestFit="1" customWidth="1"/>
    <col min="2" max="2" width="12.7265625" style="30" bestFit="1" customWidth="1"/>
    <col min="3" max="3" width="18.1796875" style="30" bestFit="1" customWidth="1"/>
    <col min="4" max="4" width="14.453125" bestFit="1" customWidth="1"/>
    <col min="5" max="5" width="14.26953125" bestFit="1" customWidth="1"/>
    <col min="6" max="6" width="13.81640625" bestFit="1" customWidth="1"/>
    <col min="7" max="7" width="11.1796875" bestFit="1" customWidth="1"/>
    <col min="8" max="8" width="13.81640625" bestFit="1" customWidth="1"/>
    <col min="9" max="9" width="14.54296875" bestFit="1" customWidth="1"/>
    <col min="10" max="25" width="12.7265625" bestFit="1" customWidth="1"/>
  </cols>
  <sheetData>
    <row r="1" spans="1:25" s="30" customFormat="1" ht="17.5" thickBot="1" x14ac:dyDescent="0.45">
      <c r="B1" s="13" t="s">
        <v>57</v>
      </c>
      <c r="C1" s="13" t="s">
        <v>111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34</v>
      </c>
      <c r="J1" s="13" t="s">
        <v>35</v>
      </c>
      <c r="K1" s="13" t="s">
        <v>36</v>
      </c>
      <c r="L1" s="13" t="s">
        <v>37</v>
      </c>
      <c r="M1" s="13" t="s">
        <v>38</v>
      </c>
      <c r="N1" s="13" t="s">
        <v>39</v>
      </c>
      <c r="O1" s="13" t="s">
        <v>40</v>
      </c>
      <c r="P1" s="13" t="s">
        <v>41</v>
      </c>
      <c r="Q1" s="13" t="s">
        <v>42</v>
      </c>
      <c r="R1" s="13" t="s">
        <v>43</v>
      </c>
      <c r="S1" s="13" t="s">
        <v>44</v>
      </c>
      <c r="T1" s="13" t="s">
        <v>45</v>
      </c>
      <c r="U1" s="13" t="s">
        <v>46</v>
      </c>
      <c r="V1" s="13" t="s">
        <v>47</v>
      </c>
      <c r="W1" s="13" t="s">
        <v>48</v>
      </c>
      <c r="X1" s="13" t="s">
        <v>49</v>
      </c>
      <c r="Y1" s="13" t="s">
        <v>50</v>
      </c>
    </row>
    <row r="2" spans="1:25" s="47" customFormat="1" ht="20.5" thickTop="1" thickBot="1" x14ac:dyDescent="0.5">
      <c r="A2" s="55" t="s">
        <v>99</v>
      </c>
      <c r="B2" s="76" t="str">
        <f>INDEX($A$5:$A$8,MATCH(MAX(H5:H8),$H$5:$H$8,0),0)</f>
        <v>Asset replacement contract</v>
      </c>
      <c r="C2" s="76"/>
      <c r="D2" s="76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5" thickTop="1" x14ac:dyDescent="0.35">
      <c r="J3" s="47"/>
      <c r="K3" s="47"/>
    </row>
    <row r="4" spans="1:25" ht="45" thickBot="1" x14ac:dyDescent="0.5">
      <c r="A4" s="32" t="s">
        <v>60</v>
      </c>
      <c r="D4" s="58" t="s">
        <v>73</v>
      </c>
      <c r="E4" s="58" t="s">
        <v>74</v>
      </c>
      <c r="F4" s="58" t="s">
        <v>75</v>
      </c>
      <c r="G4" s="58" t="s">
        <v>93</v>
      </c>
      <c r="H4" s="58" t="s">
        <v>101</v>
      </c>
      <c r="I4" s="58" t="s">
        <v>112</v>
      </c>
    </row>
    <row r="5" spans="1:25" ht="18" thickTop="1" thickBot="1" x14ac:dyDescent="0.45">
      <c r="A5" s="13" t="str">
        <f>A104</f>
        <v>Replace all GEN1 IGBTs</v>
      </c>
      <c r="D5" s="36">
        <f>SUM(D104:Y104)</f>
        <v>20471170185.759426</v>
      </c>
      <c r="E5" s="6">
        <f>INDEX(VCU!$C$9:$C$35,MATCH(A5,VCU!$A$9:$A$35,0))*1000000</f>
        <v>1957763.5700056651</v>
      </c>
      <c r="F5" s="36">
        <f>D5-E5</f>
        <v>20469212422.189419</v>
      </c>
      <c r="G5" s="6">
        <f>'Replacement k'!$C$7</f>
        <v>11185937.268578742</v>
      </c>
      <c r="H5" s="36">
        <f>F5-G5</f>
        <v>20458026484.920841</v>
      </c>
      <c r="I5" s="36">
        <f>-(MAX($H$5:$H$9)-H5)</f>
        <v>-190382632.31529236</v>
      </c>
    </row>
    <row r="6" spans="1:25" ht="18" thickTop="1" thickBot="1" x14ac:dyDescent="0.45">
      <c r="A6" s="13" t="str">
        <f>A105</f>
        <v>Replace one entire converter building</v>
      </c>
      <c r="D6" s="36">
        <f>SUM(D105:Y105)</f>
        <v>20653254185.666592</v>
      </c>
      <c r="E6" s="6">
        <f>INDEX(VCU!$C$9:$C$35,MATCH(A6,VCU!$A$9:$A$35,0))*1000000</f>
        <v>1957763.5700056651</v>
      </c>
      <c r="F6" s="36">
        <f t="shared" ref="F6:F8" si="0">D6-E6</f>
        <v>20651296422.096584</v>
      </c>
      <c r="G6" s="6">
        <f>'Replacement k'!$C$7</f>
        <v>11185937.268578742</v>
      </c>
      <c r="H6" s="36">
        <f t="shared" ref="H6:H8" si="1">F6-G6</f>
        <v>20640110484.828007</v>
      </c>
      <c r="I6" s="36">
        <f t="shared" ref="I6:I9" si="2">-(MAX($H$5:$H$9)-H6)</f>
        <v>-8298632.4081268311</v>
      </c>
    </row>
    <row r="7" spans="1:25" ht="18" thickTop="1" thickBot="1" x14ac:dyDescent="0.45">
      <c r="A7" s="13" t="str">
        <f>A39</f>
        <v>Asset replacement contract</v>
      </c>
      <c r="D7" s="36">
        <f>SUM(D106:Y106)</f>
        <v>20648409117.236134</v>
      </c>
      <c r="E7" s="6">
        <f>INDEX(VCU!$C$9:$C$35,MATCH(A7,VCU!$A$9:$A$35,0))*1000000</f>
        <v>0</v>
      </c>
      <c r="F7" s="36">
        <f t="shared" si="0"/>
        <v>20648409117.236134</v>
      </c>
      <c r="H7" s="36">
        <f t="shared" si="1"/>
        <v>20648409117.236134</v>
      </c>
      <c r="I7" s="36">
        <f t="shared" si="2"/>
        <v>0</v>
      </c>
    </row>
    <row r="8" spans="1:25" ht="18" thickTop="1" thickBot="1" x14ac:dyDescent="0.45">
      <c r="A8" s="13" t="str">
        <f>A107</f>
        <v>Cannibalise  entire converter building</v>
      </c>
      <c r="D8" s="36">
        <f>SUM(D107:Y107)</f>
        <v>20048917500.653271</v>
      </c>
      <c r="E8" s="6">
        <f>INDEX(VCU!$C$9:$C$35,MATCH(A8,VCU!$A$9:$A$35,0))*1000000</f>
        <v>1761987.2130050985</v>
      </c>
      <c r="F8" s="36">
        <f t="shared" si="0"/>
        <v>20047155513.440266</v>
      </c>
      <c r="G8" s="6">
        <f>'Replacement k'!$C$7</f>
        <v>11185937.268578742</v>
      </c>
      <c r="H8" s="36">
        <f t="shared" si="1"/>
        <v>20035969576.171688</v>
      </c>
      <c r="I8" s="36">
        <f t="shared" si="2"/>
        <v>-612439541.0644455</v>
      </c>
    </row>
    <row r="9" spans="1:25" s="47" customFormat="1" ht="18" thickTop="1" thickBot="1" x14ac:dyDescent="0.45">
      <c r="A9" s="13" t="str">
        <f>A108</f>
        <v>Replace one Valve room</v>
      </c>
      <c r="D9" s="36">
        <f>SUM(D108:Y108)</f>
        <v>20618033457.19524</v>
      </c>
      <c r="E9" s="6">
        <f>INDEX(VCU!$C$9:$C$35,MATCH(A9,VCU!$A$9:$A$35,0))*1000000</f>
        <v>1916419.0980206635</v>
      </c>
      <c r="F9" s="36">
        <f t="shared" ref="F9" si="3">D9-E9</f>
        <v>20616117038.097218</v>
      </c>
      <c r="G9" s="6">
        <f>'Replacement k'!$C$7</f>
        <v>11185937.268578742</v>
      </c>
      <c r="H9" s="36">
        <f t="shared" ref="H9" si="4">F9-G9</f>
        <v>20604931100.82864</v>
      </c>
      <c r="I9" s="36">
        <f t="shared" si="2"/>
        <v>-43478016.407493591</v>
      </c>
    </row>
    <row r="10" spans="1:25" s="47" customFormat="1" ht="15" thickTop="1" x14ac:dyDescent="0.35"/>
    <row r="11" spans="1:25" s="47" customFormat="1" ht="17.5" thickBot="1" x14ac:dyDescent="0.45">
      <c r="A11" s="13" t="s">
        <v>121</v>
      </c>
      <c r="B11" s="16">
        <v>148</v>
      </c>
    </row>
    <row r="12" spans="1:25" s="47" customFormat="1" ht="18" thickTop="1" thickBot="1" x14ac:dyDescent="0.45">
      <c r="A12" s="13" t="s">
        <v>122</v>
      </c>
      <c r="B12" s="16">
        <v>2</v>
      </c>
    </row>
    <row r="13" spans="1:25" s="47" customFormat="1" ht="18" thickTop="1" thickBot="1" x14ac:dyDescent="0.45">
      <c r="A13" s="13" t="s">
        <v>102</v>
      </c>
      <c r="B13" s="7">
        <f>B11*B12</f>
        <v>296</v>
      </c>
    </row>
    <row r="14" spans="1:25" s="47" customFormat="1" ht="15" thickTop="1" x14ac:dyDescent="0.35"/>
    <row r="15" spans="1:25" s="47" customFormat="1" ht="17.5" thickBot="1" x14ac:dyDescent="0.45">
      <c r="A15" s="13" t="s">
        <v>123</v>
      </c>
      <c r="B15" s="16">
        <v>3</v>
      </c>
    </row>
    <row r="16" spans="1:25" ht="18" thickTop="1" thickBot="1" x14ac:dyDescent="0.45">
      <c r="A16" s="31" t="s">
        <v>98</v>
      </c>
      <c r="B16" s="7">
        <f>B11*B12*B15</f>
        <v>888</v>
      </c>
    </row>
    <row r="17" spans="1:4" ht="15" thickTop="1" x14ac:dyDescent="0.35"/>
    <row r="18" spans="1:4" s="47" customFormat="1" ht="17.5" thickBot="1" x14ac:dyDescent="0.45">
      <c r="A18" s="13" t="s">
        <v>105</v>
      </c>
      <c r="B18" s="48">
        <v>6</v>
      </c>
    </row>
    <row r="19" spans="1:4" s="47" customFormat="1" ht="18" thickTop="1" thickBot="1" x14ac:dyDescent="0.45">
      <c r="A19" s="13" t="s">
        <v>106</v>
      </c>
      <c r="B19" s="48">
        <v>1</v>
      </c>
    </row>
    <row r="20" spans="1:4" s="47" customFormat="1" ht="18" thickTop="1" thickBot="1" x14ac:dyDescent="0.45">
      <c r="A20" s="13" t="s">
        <v>107</v>
      </c>
      <c r="B20" s="7">
        <f>B18-B19</f>
        <v>5</v>
      </c>
    </row>
    <row r="21" spans="1:4" s="47" customFormat="1" ht="15" thickTop="1" x14ac:dyDescent="0.35"/>
    <row r="22" spans="1:4" s="47" customFormat="1" ht="17.5" thickBot="1" x14ac:dyDescent="0.45">
      <c r="A22" s="13" t="s">
        <v>97</v>
      </c>
      <c r="B22" s="7">
        <f>B20*B15</f>
        <v>15</v>
      </c>
    </row>
    <row r="23" spans="1:4" s="47" customFormat="1" ht="15" thickTop="1" x14ac:dyDescent="0.35"/>
    <row r="24" spans="1:4" s="47" customFormat="1" x14ac:dyDescent="0.35"/>
    <row r="25" spans="1:4" s="47" customFormat="1" ht="17.5" thickBot="1" x14ac:dyDescent="0.45">
      <c r="A25" s="13" t="s">
        <v>51</v>
      </c>
      <c r="B25" s="48">
        <v>45</v>
      </c>
      <c r="C25" s="30"/>
    </row>
    <row r="26" spans="1:4" s="47" customFormat="1" ht="15" thickTop="1" x14ac:dyDescent="0.35"/>
    <row r="27" spans="1:4" s="47" customFormat="1" ht="17.5" thickBot="1" x14ac:dyDescent="0.45">
      <c r="A27" s="31" t="s">
        <v>200</v>
      </c>
      <c r="B27" s="16">
        <v>-51</v>
      </c>
    </row>
    <row r="28" spans="1:4" s="47" customFormat="1" ht="18" thickTop="1" thickBot="1" x14ac:dyDescent="0.45">
      <c r="A28" s="31" t="s">
        <v>153</v>
      </c>
      <c r="B28" s="16">
        <v>48</v>
      </c>
    </row>
    <row r="29" spans="1:4" s="47" customFormat="1" ht="18" thickTop="1" thickBot="1" x14ac:dyDescent="0.45">
      <c r="A29" s="31" t="s">
        <v>201</v>
      </c>
      <c r="B29" s="7">
        <f>-ROUND((7/12)*$B$25,0)</f>
        <v>-26</v>
      </c>
    </row>
    <row r="30" spans="1:4" s="47" customFormat="1" ht="18" thickTop="1" thickBot="1" x14ac:dyDescent="0.45">
      <c r="A30" s="31" t="s">
        <v>108</v>
      </c>
      <c r="B30" s="7">
        <f>SUM(B27:B29)</f>
        <v>-29</v>
      </c>
    </row>
    <row r="31" spans="1:4" s="47" customFormat="1" ht="15" thickTop="1" x14ac:dyDescent="0.35"/>
    <row r="32" spans="1:4" ht="17.5" thickBot="1" x14ac:dyDescent="0.45">
      <c r="A32" s="13" t="s">
        <v>79</v>
      </c>
      <c r="B32" s="7">
        <f>C32+B30</f>
        <v>4411</v>
      </c>
      <c r="C32" s="7">
        <f>$B$20*B16</f>
        <v>4440</v>
      </c>
      <c r="D32" s="47"/>
    </row>
    <row r="33" spans="1:25" s="30" customFormat="1" ht="18" thickTop="1" thickBot="1" x14ac:dyDescent="0.45">
      <c r="A33" s="13" t="s">
        <v>80</v>
      </c>
      <c r="B33" s="34">
        <v>35200</v>
      </c>
      <c r="D33" s="47"/>
    </row>
    <row r="34" spans="1:25" s="38" customFormat="1" ht="18" thickTop="1" thickBot="1" x14ac:dyDescent="0.45">
      <c r="A34" s="13" t="s">
        <v>63</v>
      </c>
      <c r="B34" s="41">
        <f>2/3</f>
        <v>0.66666666666666663</v>
      </c>
    </row>
    <row r="35" spans="1:25" s="40" customFormat="1" ht="15" thickTop="1" x14ac:dyDescent="0.35">
      <c r="A35" s="47"/>
      <c r="B35" s="47"/>
    </row>
    <row r="36" spans="1:25" s="47" customFormat="1" ht="20" thickBot="1" x14ac:dyDescent="0.5">
      <c r="A36" s="45" t="s">
        <v>109</v>
      </c>
    </row>
    <row r="37" spans="1:25" s="47" customFormat="1" ht="18" thickTop="1" thickBot="1" x14ac:dyDescent="0.45">
      <c r="A37" s="13" t="s">
        <v>151</v>
      </c>
      <c r="B37" s="60">
        <f>200000000*1.1</f>
        <v>220000000.00000003</v>
      </c>
      <c r="D37" s="7">
        <f>IF(D74&lt;C74,$B37,0)</f>
        <v>220000000.00000003</v>
      </c>
      <c r="E37" s="7">
        <f t="shared" ref="E37:Y38" si="5">IF(E74&lt;D74,$B37,0)</f>
        <v>0</v>
      </c>
      <c r="F37" s="7">
        <f t="shared" si="5"/>
        <v>0</v>
      </c>
      <c r="G37" s="7">
        <f t="shared" si="5"/>
        <v>0</v>
      </c>
      <c r="H37" s="7">
        <f t="shared" si="5"/>
        <v>0</v>
      </c>
      <c r="I37" s="7">
        <f t="shared" si="5"/>
        <v>0</v>
      </c>
      <c r="J37" s="7">
        <f t="shared" si="5"/>
        <v>0</v>
      </c>
      <c r="K37" s="7">
        <f t="shared" si="5"/>
        <v>0</v>
      </c>
      <c r="L37" s="7">
        <f t="shared" si="5"/>
        <v>0</v>
      </c>
      <c r="M37" s="7">
        <f t="shared" si="5"/>
        <v>0</v>
      </c>
      <c r="N37" s="7">
        <f t="shared" si="5"/>
        <v>0</v>
      </c>
      <c r="O37" s="7">
        <f t="shared" si="5"/>
        <v>0</v>
      </c>
      <c r="P37" s="7">
        <f t="shared" si="5"/>
        <v>0</v>
      </c>
      <c r="Q37" s="7">
        <f t="shared" si="5"/>
        <v>0</v>
      </c>
      <c r="R37" s="7">
        <f t="shared" si="5"/>
        <v>0</v>
      </c>
      <c r="S37" s="7">
        <f t="shared" si="5"/>
        <v>0</v>
      </c>
      <c r="T37" s="7">
        <f t="shared" si="5"/>
        <v>0</v>
      </c>
      <c r="U37" s="7">
        <f t="shared" si="5"/>
        <v>0</v>
      </c>
      <c r="V37" s="7">
        <f t="shared" si="5"/>
        <v>0</v>
      </c>
      <c r="W37" s="7">
        <f t="shared" si="5"/>
        <v>0</v>
      </c>
      <c r="X37" s="7">
        <f t="shared" si="5"/>
        <v>0</v>
      </c>
      <c r="Y37" s="7">
        <f t="shared" si="5"/>
        <v>0</v>
      </c>
    </row>
    <row r="38" spans="1:25" s="47" customFormat="1" ht="18" thickTop="1" thickBot="1" x14ac:dyDescent="0.45">
      <c r="A38" s="13" t="s">
        <v>120</v>
      </c>
      <c r="B38" s="9">
        <f>20000000*1.1</f>
        <v>22000000</v>
      </c>
      <c r="D38" s="7">
        <f t="shared" ref="D38:S38" si="6">IF(D75&lt;C75,$B38,0)</f>
        <v>22000000</v>
      </c>
      <c r="E38" s="7">
        <f t="shared" si="6"/>
        <v>0</v>
      </c>
      <c r="F38" s="7">
        <f t="shared" si="6"/>
        <v>0</v>
      </c>
      <c r="G38" s="7">
        <f t="shared" si="6"/>
        <v>0</v>
      </c>
      <c r="H38" s="7">
        <f t="shared" si="6"/>
        <v>0</v>
      </c>
      <c r="I38" s="7">
        <f t="shared" si="6"/>
        <v>0</v>
      </c>
      <c r="J38" s="7">
        <f t="shared" si="6"/>
        <v>0</v>
      </c>
      <c r="K38" s="7">
        <f t="shared" si="6"/>
        <v>0</v>
      </c>
      <c r="L38" s="7">
        <f t="shared" si="6"/>
        <v>0</v>
      </c>
      <c r="M38" s="7">
        <f t="shared" si="6"/>
        <v>0</v>
      </c>
      <c r="N38" s="7">
        <f t="shared" si="6"/>
        <v>0</v>
      </c>
      <c r="O38" s="7">
        <f t="shared" si="6"/>
        <v>0</v>
      </c>
      <c r="P38" s="7">
        <f t="shared" si="6"/>
        <v>22000000</v>
      </c>
      <c r="Q38" s="7">
        <f t="shared" si="6"/>
        <v>0</v>
      </c>
      <c r="R38" s="7">
        <f t="shared" si="6"/>
        <v>0</v>
      </c>
      <c r="S38" s="7">
        <f t="shared" si="6"/>
        <v>0</v>
      </c>
      <c r="T38" s="7">
        <f t="shared" si="5"/>
        <v>0</v>
      </c>
      <c r="U38" s="7">
        <f t="shared" si="5"/>
        <v>0</v>
      </c>
      <c r="V38" s="7">
        <f t="shared" si="5"/>
        <v>0</v>
      </c>
      <c r="W38" s="7">
        <f t="shared" si="5"/>
        <v>0</v>
      </c>
      <c r="X38" s="7">
        <f t="shared" si="5"/>
        <v>0</v>
      </c>
      <c r="Y38" s="7">
        <f t="shared" si="5"/>
        <v>0</v>
      </c>
    </row>
    <row r="39" spans="1:25" s="47" customFormat="1" ht="18" thickTop="1" thickBot="1" x14ac:dyDescent="0.45">
      <c r="A39" s="13" t="s">
        <v>142</v>
      </c>
      <c r="B39" s="9">
        <f>3000000*1.1</f>
        <v>3300000.0000000005</v>
      </c>
      <c r="C39" s="9">
        <f>1500000*1.1</f>
        <v>1650000.0000000002</v>
      </c>
      <c r="D39" s="9">
        <f>$B$39/2</f>
        <v>1650000.0000000002</v>
      </c>
      <c r="E39" s="9">
        <f>$B$39</f>
        <v>3300000.0000000005</v>
      </c>
      <c r="F39" s="7">
        <f t="shared" ref="F39:N39" si="7">$B$39</f>
        <v>3300000.0000000005</v>
      </c>
      <c r="G39" s="7">
        <f t="shared" si="7"/>
        <v>3300000.0000000005</v>
      </c>
      <c r="H39" s="7">
        <f t="shared" si="7"/>
        <v>3300000.0000000005</v>
      </c>
      <c r="I39" s="7">
        <f t="shared" si="7"/>
        <v>3300000.0000000005</v>
      </c>
      <c r="J39" s="7">
        <f t="shared" si="7"/>
        <v>3300000.0000000005</v>
      </c>
      <c r="K39" s="7">
        <f t="shared" si="7"/>
        <v>3300000.0000000005</v>
      </c>
      <c r="L39" s="7">
        <f t="shared" si="7"/>
        <v>3300000.0000000005</v>
      </c>
      <c r="M39" s="7">
        <f t="shared" si="7"/>
        <v>3300000.0000000005</v>
      </c>
      <c r="N39" s="7">
        <f t="shared" si="7"/>
        <v>3300000.0000000005</v>
      </c>
      <c r="O39" s="9">
        <f>C39</f>
        <v>1650000.0000000002</v>
      </c>
      <c r="P39" s="7">
        <f>O39</f>
        <v>1650000.0000000002</v>
      </c>
      <c r="Q39" s="7">
        <f t="shared" ref="Q39:Y39" si="8">P39</f>
        <v>1650000.0000000002</v>
      </c>
      <c r="R39" s="7">
        <f t="shared" si="8"/>
        <v>1650000.0000000002</v>
      </c>
      <c r="S39" s="7">
        <f t="shared" si="8"/>
        <v>1650000.0000000002</v>
      </c>
      <c r="T39" s="7">
        <f t="shared" si="8"/>
        <v>1650000.0000000002</v>
      </c>
      <c r="U39" s="7">
        <f t="shared" si="8"/>
        <v>1650000.0000000002</v>
      </c>
      <c r="V39" s="7">
        <f t="shared" si="8"/>
        <v>1650000.0000000002</v>
      </c>
      <c r="W39" s="7">
        <f t="shared" si="8"/>
        <v>1650000.0000000002</v>
      </c>
      <c r="X39" s="7">
        <f t="shared" si="8"/>
        <v>1650000.0000000002</v>
      </c>
      <c r="Y39" s="7">
        <f t="shared" si="8"/>
        <v>1650000.0000000002</v>
      </c>
    </row>
    <row r="40" spans="1:25" s="47" customFormat="1" ht="18" thickTop="1" thickBot="1" x14ac:dyDescent="0.45">
      <c r="A40" s="13" t="s">
        <v>150</v>
      </c>
      <c r="B40" s="19">
        <f>250000*1.1</f>
        <v>275000</v>
      </c>
      <c r="D40" s="7">
        <f>IF(D76&lt;C76,$B40,0)</f>
        <v>275000</v>
      </c>
      <c r="E40" s="7">
        <f t="shared" ref="E40:Y40" si="9">IF(E76&lt;D76,$B40,0)</f>
        <v>0</v>
      </c>
      <c r="F40" s="7">
        <f t="shared" si="9"/>
        <v>0</v>
      </c>
      <c r="G40" s="7">
        <f t="shared" si="9"/>
        <v>0</v>
      </c>
      <c r="H40" s="7">
        <f t="shared" si="9"/>
        <v>0</v>
      </c>
      <c r="I40" s="7">
        <f t="shared" si="9"/>
        <v>0</v>
      </c>
      <c r="J40" s="7">
        <f t="shared" si="9"/>
        <v>0</v>
      </c>
      <c r="K40" s="7">
        <f t="shared" si="9"/>
        <v>0</v>
      </c>
      <c r="L40" s="7">
        <f t="shared" si="9"/>
        <v>0</v>
      </c>
      <c r="M40" s="7">
        <f t="shared" si="9"/>
        <v>0</v>
      </c>
      <c r="N40" s="7">
        <f t="shared" si="9"/>
        <v>0</v>
      </c>
      <c r="O40" s="7">
        <f t="shared" si="9"/>
        <v>0</v>
      </c>
      <c r="P40" s="7">
        <f t="shared" si="9"/>
        <v>0</v>
      </c>
      <c r="Q40" s="7">
        <f t="shared" si="9"/>
        <v>0</v>
      </c>
      <c r="R40" s="7">
        <f t="shared" si="9"/>
        <v>0</v>
      </c>
      <c r="S40" s="7">
        <f t="shared" si="9"/>
        <v>0</v>
      </c>
      <c r="T40" s="7">
        <f t="shared" si="9"/>
        <v>0</v>
      </c>
      <c r="U40" s="7">
        <f t="shared" si="9"/>
        <v>0</v>
      </c>
      <c r="V40" s="7">
        <f t="shared" si="9"/>
        <v>0</v>
      </c>
      <c r="W40" s="7">
        <f t="shared" si="9"/>
        <v>0</v>
      </c>
      <c r="X40" s="7">
        <f t="shared" si="9"/>
        <v>0</v>
      </c>
      <c r="Y40" s="7">
        <f t="shared" si="9"/>
        <v>0</v>
      </c>
    </row>
    <row r="41" spans="1:25" s="47" customFormat="1" ht="18" thickTop="1" thickBot="1" x14ac:dyDescent="0.45">
      <c r="A41" s="13" t="s">
        <v>119</v>
      </c>
      <c r="B41" s="9">
        <f>14000000*1.1</f>
        <v>15400000.000000002</v>
      </c>
      <c r="D41" s="7">
        <f>IF(D77&lt;C77,$B41,0)</f>
        <v>15400000.000000002</v>
      </c>
      <c r="E41" s="7">
        <f t="shared" ref="E41:Y41" si="10">IF(E77&lt;D77,$B41,0)</f>
        <v>0</v>
      </c>
      <c r="F41" s="7">
        <f t="shared" si="10"/>
        <v>0</v>
      </c>
      <c r="G41" s="7">
        <f t="shared" si="10"/>
        <v>15400000.000000002</v>
      </c>
      <c r="H41" s="7">
        <f t="shared" si="10"/>
        <v>0</v>
      </c>
      <c r="I41" s="7">
        <f t="shared" si="10"/>
        <v>0</v>
      </c>
      <c r="J41" s="7">
        <f t="shared" si="10"/>
        <v>0</v>
      </c>
      <c r="K41" s="7">
        <f t="shared" si="10"/>
        <v>0</v>
      </c>
      <c r="L41" s="7">
        <f t="shared" si="10"/>
        <v>15400000.000000002</v>
      </c>
      <c r="M41" s="7">
        <f t="shared" si="10"/>
        <v>0</v>
      </c>
      <c r="N41" s="7">
        <f t="shared" si="10"/>
        <v>0</v>
      </c>
      <c r="O41" s="7">
        <f t="shared" si="10"/>
        <v>0</v>
      </c>
      <c r="P41" s="7">
        <f t="shared" si="10"/>
        <v>15400000.000000002</v>
      </c>
      <c r="Q41" s="7">
        <f t="shared" si="10"/>
        <v>0</v>
      </c>
      <c r="R41" s="7">
        <f t="shared" si="10"/>
        <v>0</v>
      </c>
      <c r="S41" s="7">
        <f t="shared" si="10"/>
        <v>0</v>
      </c>
      <c r="T41" s="7">
        <f t="shared" si="10"/>
        <v>15400000.000000002</v>
      </c>
      <c r="U41" s="7">
        <f t="shared" si="10"/>
        <v>0</v>
      </c>
      <c r="V41" s="7">
        <f t="shared" si="10"/>
        <v>0</v>
      </c>
      <c r="W41" s="7">
        <f t="shared" si="10"/>
        <v>0</v>
      </c>
      <c r="X41" s="7">
        <f t="shared" si="10"/>
        <v>0</v>
      </c>
      <c r="Y41" s="7">
        <f t="shared" si="10"/>
        <v>15400000.000000002</v>
      </c>
    </row>
    <row r="42" spans="1:25" s="47" customFormat="1" ht="15" thickTop="1" x14ac:dyDescent="0.35"/>
    <row r="43" spans="1:25" ht="20" thickBot="1" x14ac:dyDescent="0.5">
      <c r="A43" s="45" t="s">
        <v>110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ht="18" thickTop="1" thickBot="1" x14ac:dyDescent="0.45">
      <c r="A44" s="13" t="str">
        <f>A37</f>
        <v>Replace all GEN1 IGBTs</v>
      </c>
      <c r="C44" s="16">
        <f>B25</f>
        <v>45</v>
      </c>
      <c r="D44" s="7">
        <f t="shared" ref="D44:Y44" si="11">$B$33*($B$22-D74)</f>
        <v>528000</v>
      </c>
      <c r="E44" s="7">
        <f t="shared" si="11"/>
        <v>528000</v>
      </c>
      <c r="F44" s="7">
        <f t="shared" si="11"/>
        <v>528000</v>
      </c>
      <c r="G44" s="7">
        <f t="shared" si="11"/>
        <v>528000</v>
      </c>
      <c r="H44" s="7">
        <f t="shared" si="11"/>
        <v>528000</v>
      </c>
      <c r="I44" s="7">
        <f t="shared" si="11"/>
        <v>528000</v>
      </c>
      <c r="J44" s="7">
        <f t="shared" si="11"/>
        <v>528000</v>
      </c>
      <c r="K44" s="7">
        <f t="shared" si="11"/>
        <v>528000</v>
      </c>
      <c r="L44" s="7">
        <f t="shared" si="11"/>
        <v>528000</v>
      </c>
      <c r="M44" s="7">
        <f t="shared" si="11"/>
        <v>528000</v>
      </c>
      <c r="N44" s="7">
        <f t="shared" si="11"/>
        <v>528000</v>
      </c>
      <c r="O44" s="7">
        <f t="shared" si="11"/>
        <v>528000</v>
      </c>
      <c r="P44" s="7">
        <f t="shared" si="11"/>
        <v>528000</v>
      </c>
      <c r="Q44" s="7">
        <f t="shared" si="11"/>
        <v>528000</v>
      </c>
      <c r="R44" s="7">
        <f t="shared" si="11"/>
        <v>528000</v>
      </c>
      <c r="S44" s="7">
        <f t="shared" si="11"/>
        <v>528000</v>
      </c>
      <c r="T44" s="7">
        <f t="shared" si="11"/>
        <v>528000</v>
      </c>
      <c r="U44" s="7">
        <f t="shared" si="11"/>
        <v>528000</v>
      </c>
      <c r="V44" s="7">
        <f t="shared" si="11"/>
        <v>528000</v>
      </c>
      <c r="W44" s="7">
        <f t="shared" si="11"/>
        <v>528000</v>
      </c>
      <c r="X44" s="7">
        <f t="shared" si="11"/>
        <v>528000</v>
      </c>
      <c r="Y44" s="7">
        <f t="shared" si="11"/>
        <v>528000</v>
      </c>
    </row>
    <row r="45" spans="1:25" ht="18" thickTop="1" thickBot="1" x14ac:dyDescent="0.45">
      <c r="A45" s="13" t="str">
        <f t="shared" ref="A45:A48" si="12">A38</f>
        <v>Replace one entire converter building</v>
      </c>
      <c r="C45" s="16">
        <f>C44</f>
        <v>45</v>
      </c>
      <c r="D45" s="7">
        <f t="shared" ref="D45:Y45" si="13">$B$33*($B$22-D75)</f>
        <v>105600</v>
      </c>
      <c r="E45" s="7">
        <f t="shared" si="13"/>
        <v>105600</v>
      </c>
      <c r="F45" s="7">
        <f t="shared" si="13"/>
        <v>105600</v>
      </c>
      <c r="G45" s="7">
        <f t="shared" si="13"/>
        <v>105600</v>
      </c>
      <c r="H45" s="7">
        <f t="shared" si="13"/>
        <v>105600</v>
      </c>
      <c r="I45" s="7">
        <f t="shared" si="13"/>
        <v>105600</v>
      </c>
      <c r="J45" s="7">
        <f t="shared" si="13"/>
        <v>105600</v>
      </c>
      <c r="K45" s="7">
        <f t="shared" si="13"/>
        <v>105600</v>
      </c>
      <c r="L45" s="7">
        <f t="shared" si="13"/>
        <v>105600</v>
      </c>
      <c r="M45" s="7">
        <f t="shared" si="13"/>
        <v>105600</v>
      </c>
      <c r="N45" s="7">
        <f t="shared" si="13"/>
        <v>105600</v>
      </c>
      <c r="O45" s="7">
        <f t="shared" si="13"/>
        <v>105600</v>
      </c>
      <c r="P45" s="7">
        <f t="shared" si="13"/>
        <v>211200</v>
      </c>
      <c r="Q45" s="7">
        <f t="shared" si="13"/>
        <v>211200</v>
      </c>
      <c r="R45" s="7">
        <f t="shared" si="13"/>
        <v>211200</v>
      </c>
      <c r="S45" s="7">
        <f t="shared" si="13"/>
        <v>211200</v>
      </c>
      <c r="T45" s="7">
        <f t="shared" si="13"/>
        <v>211200</v>
      </c>
      <c r="U45" s="7">
        <f t="shared" si="13"/>
        <v>211200</v>
      </c>
      <c r="V45" s="7">
        <f t="shared" si="13"/>
        <v>211200</v>
      </c>
      <c r="W45" s="7">
        <f t="shared" si="13"/>
        <v>211200</v>
      </c>
      <c r="X45" s="7">
        <f t="shared" si="13"/>
        <v>211200</v>
      </c>
      <c r="Y45" s="7">
        <f t="shared" si="13"/>
        <v>211200</v>
      </c>
    </row>
    <row r="46" spans="1:25" ht="18" thickTop="1" thickBot="1" x14ac:dyDescent="0.45">
      <c r="A46" s="13" t="str">
        <f t="shared" si="12"/>
        <v>Asset replacement contract</v>
      </c>
      <c r="D46" s="7">
        <f>D45</f>
        <v>105600</v>
      </c>
      <c r="E46" s="7">
        <f t="shared" ref="E46:Y46" si="14">E45</f>
        <v>105600</v>
      </c>
      <c r="F46" s="7">
        <f t="shared" si="14"/>
        <v>105600</v>
      </c>
      <c r="G46" s="7">
        <f t="shared" si="14"/>
        <v>105600</v>
      </c>
      <c r="H46" s="7">
        <f t="shared" si="14"/>
        <v>105600</v>
      </c>
      <c r="I46" s="7">
        <f t="shared" si="14"/>
        <v>105600</v>
      </c>
      <c r="J46" s="7">
        <f t="shared" si="14"/>
        <v>105600</v>
      </c>
      <c r="K46" s="7">
        <f t="shared" si="14"/>
        <v>105600</v>
      </c>
      <c r="L46" s="7">
        <f t="shared" si="14"/>
        <v>105600</v>
      </c>
      <c r="M46" s="7">
        <f t="shared" si="14"/>
        <v>105600</v>
      </c>
      <c r="N46" s="7">
        <f t="shared" si="14"/>
        <v>105600</v>
      </c>
      <c r="O46" s="7">
        <f t="shared" si="14"/>
        <v>105600</v>
      </c>
      <c r="P46" s="7">
        <f t="shared" si="14"/>
        <v>211200</v>
      </c>
      <c r="Q46" s="7">
        <f t="shared" si="14"/>
        <v>211200</v>
      </c>
      <c r="R46" s="7">
        <f t="shared" si="14"/>
        <v>211200</v>
      </c>
      <c r="S46" s="7">
        <f t="shared" si="14"/>
        <v>211200</v>
      </c>
      <c r="T46" s="7">
        <f t="shared" si="14"/>
        <v>211200</v>
      </c>
      <c r="U46" s="7">
        <f t="shared" si="14"/>
        <v>211200</v>
      </c>
      <c r="V46" s="7">
        <f t="shared" si="14"/>
        <v>211200</v>
      </c>
      <c r="W46" s="7">
        <f t="shared" si="14"/>
        <v>211200</v>
      </c>
      <c r="X46" s="7">
        <f t="shared" si="14"/>
        <v>211200</v>
      </c>
      <c r="Y46" s="7">
        <f t="shared" si="14"/>
        <v>211200</v>
      </c>
    </row>
    <row r="47" spans="1:25" ht="18" thickTop="1" thickBot="1" x14ac:dyDescent="0.45">
      <c r="A47" s="13" t="str">
        <f t="shared" si="12"/>
        <v>Cannibalise  entire converter building</v>
      </c>
      <c r="B47" s="9">
        <v>0</v>
      </c>
      <c r="C47" s="16">
        <f>C45</f>
        <v>45</v>
      </c>
      <c r="D47" s="7">
        <f>$B$47</f>
        <v>0</v>
      </c>
      <c r="E47" s="7">
        <f t="shared" ref="E47:Y47" si="15">$B$47</f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7">
        <f t="shared" si="15"/>
        <v>0</v>
      </c>
      <c r="R47" s="7">
        <f t="shared" si="15"/>
        <v>0</v>
      </c>
      <c r="S47" s="7">
        <f t="shared" si="15"/>
        <v>0</v>
      </c>
      <c r="T47" s="7">
        <f t="shared" si="15"/>
        <v>0</v>
      </c>
      <c r="U47" s="7">
        <f t="shared" si="15"/>
        <v>0</v>
      </c>
      <c r="V47" s="7">
        <f t="shared" si="15"/>
        <v>0</v>
      </c>
      <c r="W47" s="7">
        <f t="shared" si="15"/>
        <v>0</v>
      </c>
      <c r="X47" s="7">
        <f t="shared" si="15"/>
        <v>0</v>
      </c>
      <c r="Y47" s="7">
        <f t="shared" si="15"/>
        <v>0</v>
      </c>
    </row>
    <row r="48" spans="1:25" s="47" customFormat="1" ht="18" thickTop="1" thickBot="1" x14ac:dyDescent="0.45">
      <c r="A48" s="13" t="str">
        <f t="shared" si="12"/>
        <v>Replace one Valve room</v>
      </c>
      <c r="C48" s="16">
        <f>C45</f>
        <v>45</v>
      </c>
      <c r="D48" s="7">
        <f t="shared" ref="D48:Y48" si="16">$B$33*($B$22-D77)</f>
        <v>35200</v>
      </c>
      <c r="E48" s="7">
        <f t="shared" si="16"/>
        <v>35200</v>
      </c>
      <c r="F48" s="7">
        <f t="shared" si="16"/>
        <v>35200</v>
      </c>
      <c r="G48" s="7">
        <f t="shared" si="16"/>
        <v>70400</v>
      </c>
      <c r="H48" s="7">
        <f t="shared" si="16"/>
        <v>70400</v>
      </c>
      <c r="I48" s="7">
        <f t="shared" si="16"/>
        <v>70400</v>
      </c>
      <c r="J48" s="7">
        <f t="shared" si="16"/>
        <v>70400</v>
      </c>
      <c r="K48" s="7">
        <f t="shared" si="16"/>
        <v>70400</v>
      </c>
      <c r="L48" s="7">
        <f t="shared" si="16"/>
        <v>105600</v>
      </c>
      <c r="M48" s="7">
        <f t="shared" si="16"/>
        <v>105600</v>
      </c>
      <c r="N48" s="7">
        <f t="shared" si="16"/>
        <v>105600</v>
      </c>
      <c r="O48" s="7">
        <f t="shared" si="16"/>
        <v>105600</v>
      </c>
      <c r="P48" s="7">
        <f t="shared" si="16"/>
        <v>140800</v>
      </c>
      <c r="Q48" s="7">
        <f t="shared" si="16"/>
        <v>140800</v>
      </c>
      <c r="R48" s="7">
        <f t="shared" si="16"/>
        <v>140800</v>
      </c>
      <c r="S48" s="7">
        <f t="shared" si="16"/>
        <v>140800</v>
      </c>
      <c r="T48" s="7">
        <f t="shared" si="16"/>
        <v>176000</v>
      </c>
      <c r="U48" s="7">
        <f t="shared" si="16"/>
        <v>176000</v>
      </c>
      <c r="V48" s="7">
        <f t="shared" si="16"/>
        <v>176000</v>
      </c>
      <c r="W48" s="7">
        <f t="shared" si="16"/>
        <v>176000</v>
      </c>
      <c r="X48" s="7">
        <f t="shared" si="16"/>
        <v>176000</v>
      </c>
      <c r="Y48" s="7">
        <f t="shared" si="16"/>
        <v>211200</v>
      </c>
    </row>
    <row r="49" spans="1:27" s="40" customFormat="1" ht="15" thickTop="1" x14ac:dyDescent="0.35"/>
    <row r="50" spans="1:27" ht="20" thickBot="1" x14ac:dyDescent="0.5">
      <c r="A50" s="45" t="s">
        <v>76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0"/>
    </row>
    <row r="51" spans="1:27" ht="18" thickTop="1" thickBot="1" x14ac:dyDescent="0.45">
      <c r="A51" s="13" t="s">
        <v>53</v>
      </c>
      <c r="B51" s="7">
        <f>B54-232760000</f>
        <v>959250000</v>
      </c>
      <c r="D51" s="6">
        <f>B51</f>
        <v>959250000</v>
      </c>
      <c r="E51" s="6">
        <f>D51</f>
        <v>959250000</v>
      </c>
      <c r="F51" s="6">
        <f t="shared" ref="F51:I51" si="17">E51</f>
        <v>959250000</v>
      </c>
      <c r="G51" s="6">
        <f t="shared" si="17"/>
        <v>959250000</v>
      </c>
      <c r="H51" s="6">
        <f t="shared" si="17"/>
        <v>959250000</v>
      </c>
      <c r="I51" s="6">
        <f t="shared" si="17"/>
        <v>959250000</v>
      </c>
      <c r="J51" s="6">
        <f t="shared" ref="J51:Y51" si="18">I51</f>
        <v>959250000</v>
      </c>
      <c r="K51" s="6">
        <f t="shared" si="18"/>
        <v>959250000</v>
      </c>
      <c r="L51" s="6">
        <f t="shared" si="18"/>
        <v>959250000</v>
      </c>
      <c r="M51" s="6">
        <f t="shared" si="18"/>
        <v>959250000</v>
      </c>
      <c r="N51" s="6">
        <f t="shared" si="18"/>
        <v>959250000</v>
      </c>
      <c r="O51" s="6">
        <f t="shared" si="18"/>
        <v>959250000</v>
      </c>
      <c r="P51" s="6">
        <f t="shared" si="18"/>
        <v>959250000</v>
      </c>
      <c r="Q51" s="6">
        <f t="shared" si="18"/>
        <v>959250000</v>
      </c>
      <c r="R51" s="6">
        <f t="shared" si="18"/>
        <v>959250000</v>
      </c>
      <c r="S51" s="6">
        <f t="shared" si="18"/>
        <v>959250000</v>
      </c>
      <c r="T51" s="6">
        <f t="shared" si="18"/>
        <v>959250000</v>
      </c>
      <c r="U51" s="6">
        <f t="shared" si="18"/>
        <v>959250000</v>
      </c>
      <c r="V51" s="6">
        <f t="shared" si="18"/>
        <v>959250000</v>
      </c>
      <c r="W51" s="6">
        <f t="shared" si="18"/>
        <v>959250000</v>
      </c>
      <c r="X51" s="6">
        <f t="shared" si="18"/>
        <v>959250000</v>
      </c>
      <c r="Y51" s="6">
        <f t="shared" si="18"/>
        <v>959250000</v>
      </c>
      <c r="Z51" s="40"/>
    </row>
    <row r="52" spans="1:27" s="30" customFormat="1" ht="18" thickTop="1" thickBot="1" x14ac:dyDescent="0.45">
      <c r="A52" s="13" t="s">
        <v>54</v>
      </c>
      <c r="B52" s="7">
        <f>232760000-37140000</f>
        <v>195620000</v>
      </c>
      <c r="D52" s="6">
        <f>B52</f>
        <v>195620000</v>
      </c>
      <c r="E52" s="6">
        <f t="shared" ref="E52:I53" si="19">D52</f>
        <v>195620000</v>
      </c>
      <c r="F52" s="6">
        <f t="shared" si="19"/>
        <v>195620000</v>
      </c>
      <c r="G52" s="6">
        <f t="shared" si="19"/>
        <v>195620000</v>
      </c>
      <c r="H52" s="6">
        <f t="shared" si="19"/>
        <v>195620000</v>
      </c>
      <c r="I52" s="6">
        <f t="shared" si="19"/>
        <v>195620000</v>
      </c>
      <c r="J52" s="6">
        <f t="shared" ref="J52:Y52" si="20">I52</f>
        <v>195620000</v>
      </c>
      <c r="K52" s="6">
        <f t="shared" si="20"/>
        <v>195620000</v>
      </c>
      <c r="L52" s="6">
        <f t="shared" si="20"/>
        <v>195620000</v>
      </c>
      <c r="M52" s="6">
        <f t="shared" si="20"/>
        <v>195620000</v>
      </c>
      <c r="N52" s="6">
        <f t="shared" si="20"/>
        <v>195620000</v>
      </c>
      <c r="O52" s="6">
        <f t="shared" si="20"/>
        <v>195620000</v>
      </c>
      <c r="P52" s="6">
        <f t="shared" si="20"/>
        <v>195620000</v>
      </c>
      <c r="Q52" s="6">
        <f t="shared" si="20"/>
        <v>195620000</v>
      </c>
      <c r="R52" s="6">
        <f t="shared" si="20"/>
        <v>195620000</v>
      </c>
      <c r="S52" s="6">
        <f t="shared" si="20"/>
        <v>195620000</v>
      </c>
      <c r="T52" s="6">
        <f t="shared" si="20"/>
        <v>195620000</v>
      </c>
      <c r="U52" s="6">
        <f t="shared" si="20"/>
        <v>195620000</v>
      </c>
      <c r="V52" s="6">
        <f t="shared" si="20"/>
        <v>195620000</v>
      </c>
      <c r="W52" s="6">
        <f t="shared" si="20"/>
        <v>195620000</v>
      </c>
      <c r="X52" s="6">
        <f t="shared" si="20"/>
        <v>195620000</v>
      </c>
      <c r="Y52" s="6">
        <f t="shared" si="20"/>
        <v>195620000</v>
      </c>
      <c r="Z52" s="40"/>
    </row>
    <row r="53" spans="1:27" s="30" customFormat="1" ht="18" thickTop="1" thickBot="1" x14ac:dyDescent="0.45">
      <c r="A53" s="13" t="s">
        <v>55</v>
      </c>
      <c r="B53" s="7">
        <v>37140000</v>
      </c>
      <c r="D53" s="6">
        <f>B53</f>
        <v>37140000</v>
      </c>
      <c r="E53" s="6">
        <f t="shared" si="19"/>
        <v>37140000</v>
      </c>
      <c r="F53" s="6">
        <f t="shared" si="19"/>
        <v>37140000</v>
      </c>
      <c r="G53" s="6">
        <f t="shared" si="19"/>
        <v>37140000</v>
      </c>
      <c r="H53" s="6">
        <f t="shared" si="19"/>
        <v>37140000</v>
      </c>
      <c r="I53" s="6">
        <f t="shared" si="19"/>
        <v>37140000</v>
      </c>
      <c r="J53" s="6">
        <f t="shared" ref="J53:Y53" si="21">I53</f>
        <v>37140000</v>
      </c>
      <c r="K53" s="6">
        <f t="shared" si="21"/>
        <v>37140000</v>
      </c>
      <c r="L53" s="6">
        <f t="shared" si="21"/>
        <v>37140000</v>
      </c>
      <c r="M53" s="6">
        <f t="shared" si="21"/>
        <v>37140000</v>
      </c>
      <c r="N53" s="6">
        <f t="shared" si="21"/>
        <v>37140000</v>
      </c>
      <c r="O53" s="6">
        <f t="shared" si="21"/>
        <v>37140000</v>
      </c>
      <c r="P53" s="6">
        <f t="shared" si="21"/>
        <v>37140000</v>
      </c>
      <c r="Q53" s="6">
        <f t="shared" si="21"/>
        <v>37140000</v>
      </c>
      <c r="R53" s="6">
        <f t="shared" si="21"/>
        <v>37140000</v>
      </c>
      <c r="S53" s="6">
        <f t="shared" si="21"/>
        <v>37140000</v>
      </c>
      <c r="T53" s="6">
        <f t="shared" si="21"/>
        <v>37140000</v>
      </c>
      <c r="U53" s="6">
        <f t="shared" si="21"/>
        <v>37140000</v>
      </c>
      <c r="V53" s="6">
        <f t="shared" si="21"/>
        <v>37140000</v>
      </c>
      <c r="W53" s="6">
        <f t="shared" si="21"/>
        <v>37140000</v>
      </c>
      <c r="X53" s="6">
        <f t="shared" si="21"/>
        <v>37140000</v>
      </c>
      <c r="Y53" s="6">
        <f t="shared" si="21"/>
        <v>37140000</v>
      </c>
      <c r="Z53" s="40"/>
    </row>
    <row r="54" spans="1:27" s="40" customFormat="1" ht="15" thickTop="1" x14ac:dyDescent="0.35">
      <c r="A54" s="47"/>
      <c r="B54" s="9">
        <v>1192010000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7" ht="20" thickBot="1" x14ac:dyDescent="0.5">
      <c r="A55" s="45" t="s">
        <v>77</v>
      </c>
      <c r="C55" s="32"/>
      <c r="D55" s="46"/>
      <c r="E55" s="46"/>
      <c r="F55" s="46"/>
      <c r="G55" s="46"/>
      <c r="H55" s="46"/>
      <c r="I55" s="46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</row>
    <row r="56" spans="1:27" s="37" customFormat="1" ht="18" thickTop="1" thickBot="1" x14ac:dyDescent="0.45">
      <c r="A56" s="13" t="str">
        <f>A44</f>
        <v>Replace all GEN1 IGBTs</v>
      </c>
      <c r="D56" s="7">
        <f>IF(D74&lt;C74,1000000,0)</f>
        <v>1000000</v>
      </c>
      <c r="E56" s="7">
        <f>IF(E74&lt;D74,1000000,0)</f>
        <v>0</v>
      </c>
      <c r="F56" s="7">
        <f>IF(F74&lt;E74,1000000,0)</f>
        <v>0</v>
      </c>
      <c r="G56" s="7">
        <f t="shared" ref="G56:Y56" si="22">IF(G74&lt;F74,1000000,0)</f>
        <v>0</v>
      </c>
      <c r="H56" s="7">
        <f t="shared" si="22"/>
        <v>0</v>
      </c>
      <c r="I56" s="7">
        <f t="shared" si="22"/>
        <v>0</v>
      </c>
      <c r="J56" s="7">
        <f t="shared" si="22"/>
        <v>0</v>
      </c>
      <c r="K56" s="7">
        <f t="shared" si="22"/>
        <v>0</v>
      </c>
      <c r="L56" s="7">
        <f t="shared" si="22"/>
        <v>0</v>
      </c>
      <c r="M56" s="7">
        <f t="shared" si="22"/>
        <v>0</v>
      </c>
      <c r="N56" s="7">
        <f t="shared" si="22"/>
        <v>0</v>
      </c>
      <c r="O56" s="7">
        <f t="shared" si="22"/>
        <v>0</v>
      </c>
      <c r="P56" s="7">
        <f t="shared" si="22"/>
        <v>0</v>
      </c>
      <c r="Q56" s="7">
        <f t="shared" si="22"/>
        <v>0</v>
      </c>
      <c r="R56" s="7">
        <f t="shared" si="22"/>
        <v>0</v>
      </c>
      <c r="S56" s="7">
        <f t="shared" si="22"/>
        <v>0</v>
      </c>
      <c r="T56" s="7">
        <f t="shared" si="22"/>
        <v>0</v>
      </c>
      <c r="U56" s="7">
        <f t="shared" si="22"/>
        <v>0</v>
      </c>
      <c r="V56" s="7">
        <f t="shared" si="22"/>
        <v>0</v>
      </c>
      <c r="W56" s="7">
        <f t="shared" si="22"/>
        <v>0</v>
      </c>
      <c r="X56" s="7">
        <f t="shared" si="22"/>
        <v>0</v>
      </c>
      <c r="Y56" s="7">
        <f t="shared" si="22"/>
        <v>0</v>
      </c>
    </row>
    <row r="57" spans="1:27" ht="18" thickTop="1" thickBot="1" x14ac:dyDescent="0.45">
      <c r="A57" s="13" t="str">
        <f>A45</f>
        <v>Replace one entire converter building</v>
      </c>
      <c r="D57" s="7">
        <f t="shared" ref="D57:Y57" si="23">IF(D75&lt;C75,$B$16*$B$34,0)</f>
        <v>592</v>
      </c>
      <c r="E57" s="7">
        <f t="shared" si="23"/>
        <v>0</v>
      </c>
      <c r="F57" s="7">
        <f t="shared" si="23"/>
        <v>0</v>
      </c>
      <c r="G57" s="7">
        <f t="shared" si="23"/>
        <v>0</v>
      </c>
      <c r="H57" s="7">
        <f t="shared" si="23"/>
        <v>0</v>
      </c>
      <c r="I57" s="7">
        <f t="shared" si="23"/>
        <v>0</v>
      </c>
      <c r="J57" s="7">
        <f t="shared" si="23"/>
        <v>0</v>
      </c>
      <c r="K57" s="7">
        <f t="shared" si="23"/>
        <v>0</v>
      </c>
      <c r="L57" s="7">
        <f t="shared" si="23"/>
        <v>0</v>
      </c>
      <c r="M57" s="7">
        <f t="shared" si="23"/>
        <v>0</v>
      </c>
      <c r="N57" s="7">
        <f t="shared" si="23"/>
        <v>0</v>
      </c>
      <c r="O57" s="7">
        <f t="shared" si="23"/>
        <v>0</v>
      </c>
      <c r="P57" s="7">
        <f t="shared" si="23"/>
        <v>592</v>
      </c>
      <c r="Q57" s="7">
        <f t="shared" si="23"/>
        <v>0</v>
      </c>
      <c r="R57" s="7">
        <f t="shared" si="23"/>
        <v>0</v>
      </c>
      <c r="S57" s="7">
        <f t="shared" si="23"/>
        <v>0</v>
      </c>
      <c r="T57" s="7">
        <f t="shared" si="23"/>
        <v>0</v>
      </c>
      <c r="U57" s="7">
        <f t="shared" si="23"/>
        <v>0</v>
      </c>
      <c r="V57" s="7">
        <f t="shared" si="23"/>
        <v>0</v>
      </c>
      <c r="W57" s="7">
        <f t="shared" si="23"/>
        <v>0</v>
      </c>
      <c r="X57" s="7">
        <f t="shared" si="23"/>
        <v>0</v>
      </c>
      <c r="Y57" s="7">
        <f t="shared" si="23"/>
        <v>0</v>
      </c>
    </row>
    <row r="58" spans="1:27" ht="18" thickTop="1" thickBot="1" x14ac:dyDescent="0.45">
      <c r="A58" s="13" t="str">
        <f>A47</f>
        <v>Cannibalise  entire converter building</v>
      </c>
      <c r="D58" s="7">
        <f t="shared" ref="D58:Y58" si="24">IF(D76&lt;C76,$B$16*$B$34*2,0)</f>
        <v>1184</v>
      </c>
      <c r="E58" s="7">
        <f t="shared" si="24"/>
        <v>0</v>
      </c>
      <c r="F58" s="7">
        <f t="shared" si="24"/>
        <v>0</v>
      </c>
      <c r="G58" s="7">
        <f t="shared" si="24"/>
        <v>0</v>
      </c>
      <c r="H58" s="7">
        <f t="shared" si="24"/>
        <v>0</v>
      </c>
      <c r="I58" s="7">
        <f t="shared" si="24"/>
        <v>0</v>
      </c>
      <c r="J58" s="7">
        <f t="shared" si="24"/>
        <v>0</v>
      </c>
      <c r="K58" s="7">
        <f t="shared" si="24"/>
        <v>0</v>
      </c>
      <c r="L58" s="7">
        <f t="shared" si="24"/>
        <v>0</v>
      </c>
      <c r="M58" s="7">
        <f t="shared" si="24"/>
        <v>0</v>
      </c>
      <c r="N58" s="7">
        <f t="shared" si="24"/>
        <v>0</v>
      </c>
      <c r="O58" s="7">
        <f t="shared" si="24"/>
        <v>0</v>
      </c>
      <c r="P58" s="7">
        <f t="shared" si="24"/>
        <v>0</v>
      </c>
      <c r="Q58" s="7">
        <f t="shared" si="24"/>
        <v>0</v>
      </c>
      <c r="R58" s="7">
        <f t="shared" si="24"/>
        <v>0</v>
      </c>
      <c r="S58" s="7">
        <f t="shared" si="24"/>
        <v>0</v>
      </c>
      <c r="T58" s="7">
        <f t="shared" si="24"/>
        <v>0</v>
      </c>
      <c r="U58" s="7">
        <f t="shared" si="24"/>
        <v>0</v>
      </c>
      <c r="V58" s="7">
        <f t="shared" si="24"/>
        <v>0</v>
      </c>
      <c r="W58" s="7">
        <f t="shared" si="24"/>
        <v>0</v>
      </c>
      <c r="X58" s="7">
        <f t="shared" si="24"/>
        <v>0</v>
      </c>
      <c r="Y58" s="7">
        <f t="shared" si="24"/>
        <v>0</v>
      </c>
    </row>
    <row r="59" spans="1:27" s="47" customFormat="1" ht="18" thickTop="1" thickBot="1" x14ac:dyDescent="0.45">
      <c r="A59" s="13" t="str">
        <f>A48</f>
        <v>Replace one Valve room</v>
      </c>
      <c r="D59" s="7">
        <f t="shared" ref="D59:Y59" si="25">IF(D77&lt;C77,$B$13*$B$34,0)</f>
        <v>197.33333333333331</v>
      </c>
      <c r="E59" s="7">
        <f t="shared" si="25"/>
        <v>0</v>
      </c>
      <c r="F59" s="7">
        <f t="shared" si="25"/>
        <v>0</v>
      </c>
      <c r="G59" s="7">
        <f t="shared" si="25"/>
        <v>197.33333333333331</v>
      </c>
      <c r="H59" s="7">
        <f t="shared" si="25"/>
        <v>0</v>
      </c>
      <c r="I59" s="7">
        <f t="shared" si="25"/>
        <v>0</v>
      </c>
      <c r="J59" s="7">
        <f t="shared" si="25"/>
        <v>0</v>
      </c>
      <c r="K59" s="7">
        <f t="shared" si="25"/>
        <v>0</v>
      </c>
      <c r="L59" s="7">
        <f t="shared" si="25"/>
        <v>197.33333333333331</v>
      </c>
      <c r="M59" s="7">
        <f t="shared" si="25"/>
        <v>0</v>
      </c>
      <c r="N59" s="7">
        <f t="shared" si="25"/>
        <v>0</v>
      </c>
      <c r="O59" s="7">
        <f t="shared" si="25"/>
        <v>0</v>
      </c>
      <c r="P59" s="7">
        <f t="shared" si="25"/>
        <v>197.33333333333331</v>
      </c>
      <c r="Q59" s="7">
        <f t="shared" si="25"/>
        <v>0</v>
      </c>
      <c r="R59" s="7">
        <f t="shared" si="25"/>
        <v>0</v>
      </c>
      <c r="S59" s="7">
        <f t="shared" si="25"/>
        <v>0</v>
      </c>
      <c r="T59" s="7">
        <f t="shared" si="25"/>
        <v>197.33333333333331</v>
      </c>
      <c r="U59" s="7">
        <f t="shared" si="25"/>
        <v>0</v>
      </c>
      <c r="V59" s="7">
        <f t="shared" si="25"/>
        <v>0</v>
      </c>
      <c r="W59" s="7">
        <f t="shared" si="25"/>
        <v>0</v>
      </c>
      <c r="X59" s="7">
        <f t="shared" si="25"/>
        <v>0</v>
      </c>
      <c r="Y59" s="7">
        <f t="shared" si="25"/>
        <v>197.33333333333331</v>
      </c>
    </row>
    <row r="60" spans="1:27" s="40" customFormat="1" ht="15" thickTop="1" x14ac:dyDescent="0.35">
      <c r="A60" s="47"/>
      <c r="B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</row>
    <row r="61" spans="1:27" s="40" customFormat="1" ht="20" thickBot="1" x14ac:dyDescent="0.5">
      <c r="A61" s="32" t="s">
        <v>78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</row>
    <row r="62" spans="1:27" s="30" customFormat="1" ht="18" thickTop="1" thickBot="1" x14ac:dyDescent="0.45">
      <c r="A62" s="13" t="str">
        <f>A56</f>
        <v>Replace all GEN1 IGBTs</v>
      </c>
      <c r="C62" s="7">
        <f>$B$32</f>
        <v>4411</v>
      </c>
      <c r="D62" s="7">
        <f t="shared" ref="D62:Y62" si="26">C62-$B$25-(C74-D74)*$B$13+D56</f>
        <v>999926</v>
      </c>
      <c r="E62" s="7">
        <f t="shared" si="26"/>
        <v>999881</v>
      </c>
      <c r="F62" s="7">
        <f t="shared" si="26"/>
        <v>999836</v>
      </c>
      <c r="G62" s="7">
        <f t="shared" si="26"/>
        <v>999791</v>
      </c>
      <c r="H62" s="7">
        <f t="shared" si="26"/>
        <v>999746</v>
      </c>
      <c r="I62" s="7">
        <f t="shared" si="26"/>
        <v>999701</v>
      </c>
      <c r="J62" s="7">
        <f t="shared" si="26"/>
        <v>999656</v>
      </c>
      <c r="K62" s="7">
        <f t="shared" si="26"/>
        <v>999611</v>
      </c>
      <c r="L62" s="7">
        <f t="shared" si="26"/>
        <v>999566</v>
      </c>
      <c r="M62" s="7">
        <f t="shared" si="26"/>
        <v>999521</v>
      </c>
      <c r="N62" s="7">
        <f t="shared" si="26"/>
        <v>999476</v>
      </c>
      <c r="O62" s="7">
        <f t="shared" si="26"/>
        <v>999431</v>
      </c>
      <c r="P62" s="7">
        <f t="shared" si="26"/>
        <v>999386</v>
      </c>
      <c r="Q62" s="7">
        <f t="shared" si="26"/>
        <v>999341</v>
      </c>
      <c r="R62" s="7">
        <f t="shared" si="26"/>
        <v>999296</v>
      </c>
      <c r="S62" s="7">
        <f t="shared" si="26"/>
        <v>999251</v>
      </c>
      <c r="T62" s="7">
        <f t="shared" si="26"/>
        <v>999206</v>
      </c>
      <c r="U62" s="7">
        <f t="shared" si="26"/>
        <v>999161</v>
      </c>
      <c r="V62" s="7">
        <f t="shared" si="26"/>
        <v>999116</v>
      </c>
      <c r="W62" s="7">
        <f t="shared" si="26"/>
        <v>999071</v>
      </c>
      <c r="X62" s="7">
        <f t="shared" si="26"/>
        <v>999026</v>
      </c>
      <c r="Y62" s="7">
        <f t="shared" si="26"/>
        <v>998981</v>
      </c>
    </row>
    <row r="63" spans="1:27" ht="18" thickTop="1" thickBot="1" x14ac:dyDescent="0.45">
      <c r="A63" s="13" t="str">
        <f>A57</f>
        <v>Replace one entire converter building</v>
      </c>
      <c r="C63" s="7">
        <f t="shared" ref="C63:C65" si="27">$B$32</f>
        <v>4411</v>
      </c>
      <c r="D63" s="7">
        <f t="shared" ref="D63:Y63" si="28">C63-$B$25-(C75-D75)*$B$13+D57</f>
        <v>4070</v>
      </c>
      <c r="E63" s="7">
        <f t="shared" si="28"/>
        <v>4025</v>
      </c>
      <c r="F63" s="7">
        <f t="shared" si="28"/>
        <v>3980</v>
      </c>
      <c r="G63" s="7">
        <f t="shared" si="28"/>
        <v>3935</v>
      </c>
      <c r="H63" s="7">
        <f t="shared" si="28"/>
        <v>3890</v>
      </c>
      <c r="I63" s="7">
        <f t="shared" si="28"/>
        <v>3845</v>
      </c>
      <c r="J63" s="7">
        <f t="shared" si="28"/>
        <v>3800</v>
      </c>
      <c r="K63" s="7">
        <f t="shared" si="28"/>
        <v>3755</v>
      </c>
      <c r="L63" s="7">
        <f t="shared" si="28"/>
        <v>3710</v>
      </c>
      <c r="M63" s="7">
        <f t="shared" si="28"/>
        <v>3665</v>
      </c>
      <c r="N63" s="7">
        <f t="shared" si="28"/>
        <v>3620</v>
      </c>
      <c r="O63" s="7">
        <f t="shared" si="28"/>
        <v>3575</v>
      </c>
      <c r="P63" s="7">
        <f t="shared" si="28"/>
        <v>3234</v>
      </c>
      <c r="Q63" s="7">
        <f t="shared" si="28"/>
        <v>3189</v>
      </c>
      <c r="R63" s="7">
        <f t="shared" si="28"/>
        <v>3144</v>
      </c>
      <c r="S63" s="7">
        <f t="shared" si="28"/>
        <v>3099</v>
      </c>
      <c r="T63" s="7">
        <f t="shared" si="28"/>
        <v>3054</v>
      </c>
      <c r="U63" s="7">
        <f t="shared" si="28"/>
        <v>3009</v>
      </c>
      <c r="V63" s="7">
        <f t="shared" si="28"/>
        <v>2964</v>
      </c>
      <c r="W63" s="7">
        <f t="shared" si="28"/>
        <v>2919</v>
      </c>
      <c r="X63" s="7">
        <f t="shared" si="28"/>
        <v>2874</v>
      </c>
      <c r="Y63" s="7">
        <f t="shared" si="28"/>
        <v>2829</v>
      </c>
    </row>
    <row r="64" spans="1:27" ht="18" thickTop="1" thickBot="1" x14ac:dyDescent="0.45">
      <c r="A64" s="13" t="str">
        <f>A58</f>
        <v>Cannibalise  entire converter building</v>
      </c>
      <c r="C64" s="7">
        <f t="shared" si="27"/>
        <v>4411</v>
      </c>
      <c r="D64" s="7">
        <f t="shared" ref="D64:Y64" si="29">C64-$B$25-(C76-D76)*$B$13+D58</f>
        <v>3774</v>
      </c>
      <c r="E64" s="7">
        <f t="shared" si="29"/>
        <v>3729</v>
      </c>
      <c r="F64" s="7">
        <f t="shared" si="29"/>
        <v>3684</v>
      </c>
      <c r="G64" s="7">
        <f t="shared" si="29"/>
        <v>3639</v>
      </c>
      <c r="H64" s="7">
        <f t="shared" si="29"/>
        <v>3594</v>
      </c>
      <c r="I64" s="7">
        <f t="shared" si="29"/>
        <v>3549</v>
      </c>
      <c r="J64" s="7">
        <f t="shared" si="29"/>
        <v>3504</v>
      </c>
      <c r="K64" s="7">
        <f t="shared" si="29"/>
        <v>3459</v>
      </c>
      <c r="L64" s="7">
        <f t="shared" si="29"/>
        <v>3414</v>
      </c>
      <c r="M64" s="7">
        <f t="shared" si="29"/>
        <v>3369</v>
      </c>
      <c r="N64" s="7">
        <f t="shared" si="29"/>
        <v>3324</v>
      </c>
      <c r="O64" s="7">
        <f t="shared" si="29"/>
        <v>3279</v>
      </c>
      <c r="P64" s="7">
        <f t="shared" si="29"/>
        <v>3234</v>
      </c>
      <c r="Q64" s="7">
        <f t="shared" si="29"/>
        <v>3189</v>
      </c>
      <c r="R64" s="7">
        <f t="shared" si="29"/>
        <v>3144</v>
      </c>
      <c r="S64" s="7">
        <f t="shared" si="29"/>
        <v>3099</v>
      </c>
      <c r="T64" s="7">
        <f t="shared" si="29"/>
        <v>3054</v>
      </c>
      <c r="U64" s="7">
        <f t="shared" si="29"/>
        <v>3009</v>
      </c>
      <c r="V64" s="7">
        <f t="shared" si="29"/>
        <v>2964</v>
      </c>
      <c r="W64" s="7">
        <f t="shared" si="29"/>
        <v>2919</v>
      </c>
      <c r="X64" s="7">
        <f t="shared" si="29"/>
        <v>2874</v>
      </c>
      <c r="Y64" s="7">
        <f t="shared" si="29"/>
        <v>2829</v>
      </c>
    </row>
    <row r="65" spans="1:25" s="47" customFormat="1" ht="18" thickTop="1" thickBot="1" x14ac:dyDescent="0.45">
      <c r="A65" s="13" t="str">
        <f>A59</f>
        <v>Replace one Valve room</v>
      </c>
      <c r="C65" s="7">
        <f t="shared" si="27"/>
        <v>4411</v>
      </c>
      <c r="D65" s="7">
        <f t="shared" ref="D65:Y65" si="30">C65-$B$25-(C77-D77)*$B$13+D59</f>
        <v>4267.333333333333</v>
      </c>
      <c r="E65" s="7">
        <f t="shared" si="30"/>
        <v>4222.333333333333</v>
      </c>
      <c r="F65" s="7">
        <f t="shared" si="30"/>
        <v>4177.333333333333</v>
      </c>
      <c r="G65" s="7">
        <f t="shared" si="30"/>
        <v>4033.6666666666665</v>
      </c>
      <c r="H65" s="7">
        <f t="shared" si="30"/>
        <v>3988.6666666666665</v>
      </c>
      <c r="I65" s="7">
        <f t="shared" si="30"/>
        <v>3943.6666666666665</v>
      </c>
      <c r="J65" s="7">
        <f t="shared" si="30"/>
        <v>3898.6666666666665</v>
      </c>
      <c r="K65" s="7">
        <f t="shared" si="30"/>
        <v>3853.6666666666665</v>
      </c>
      <c r="L65" s="7">
        <f t="shared" si="30"/>
        <v>3710</v>
      </c>
      <c r="M65" s="7">
        <f t="shared" si="30"/>
        <v>3665</v>
      </c>
      <c r="N65" s="7">
        <f t="shared" si="30"/>
        <v>3620</v>
      </c>
      <c r="O65" s="7">
        <f t="shared" si="30"/>
        <v>3575</v>
      </c>
      <c r="P65" s="7">
        <f t="shared" si="30"/>
        <v>3431.3333333333335</v>
      </c>
      <c r="Q65" s="7">
        <f t="shared" si="30"/>
        <v>3386.3333333333335</v>
      </c>
      <c r="R65" s="7">
        <f t="shared" si="30"/>
        <v>3341.3333333333335</v>
      </c>
      <c r="S65" s="7">
        <f t="shared" si="30"/>
        <v>3296.3333333333335</v>
      </c>
      <c r="T65" s="7">
        <f t="shared" si="30"/>
        <v>3152.666666666667</v>
      </c>
      <c r="U65" s="7">
        <f t="shared" si="30"/>
        <v>3107.666666666667</v>
      </c>
      <c r="V65" s="7">
        <f t="shared" si="30"/>
        <v>3062.666666666667</v>
      </c>
      <c r="W65" s="7">
        <f t="shared" si="30"/>
        <v>3017.666666666667</v>
      </c>
      <c r="X65" s="7">
        <f t="shared" si="30"/>
        <v>2972.666666666667</v>
      </c>
      <c r="Y65" s="7">
        <f t="shared" si="30"/>
        <v>2829.0000000000005</v>
      </c>
    </row>
    <row r="66" spans="1:25" s="40" customFormat="1" ht="15" thickTop="1" x14ac:dyDescent="0.35"/>
    <row r="67" spans="1:25" s="47" customFormat="1" ht="20" thickBot="1" x14ac:dyDescent="0.5">
      <c r="A67" s="32" t="s">
        <v>100</v>
      </c>
    </row>
    <row r="68" spans="1:25" s="47" customFormat="1" ht="18" thickTop="1" thickBot="1" x14ac:dyDescent="0.45">
      <c r="A68" s="13" t="str">
        <f>A62</f>
        <v>Replace all GEN1 IGBTs</v>
      </c>
      <c r="C68" s="7">
        <f t="shared" ref="C68:Y68" si="31">C74*$B$13+$C$44</f>
        <v>4485</v>
      </c>
      <c r="D68" s="7">
        <f t="shared" si="31"/>
        <v>45</v>
      </c>
      <c r="E68" s="7">
        <f t="shared" si="31"/>
        <v>45</v>
      </c>
      <c r="F68" s="7">
        <f t="shared" si="31"/>
        <v>45</v>
      </c>
      <c r="G68" s="7">
        <f t="shared" si="31"/>
        <v>45</v>
      </c>
      <c r="H68" s="7">
        <f t="shared" si="31"/>
        <v>45</v>
      </c>
      <c r="I68" s="7">
        <f t="shared" si="31"/>
        <v>45</v>
      </c>
      <c r="J68" s="7">
        <f t="shared" si="31"/>
        <v>45</v>
      </c>
      <c r="K68" s="7">
        <f t="shared" si="31"/>
        <v>45</v>
      </c>
      <c r="L68" s="7">
        <f t="shared" si="31"/>
        <v>45</v>
      </c>
      <c r="M68" s="7">
        <f t="shared" si="31"/>
        <v>45</v>
      </c>
      <c r="N68" s="7">
        <f t="shared" si="31"/>
        <v>45</v>
      </c>
      <c r="O68" s="7">
        <f t="shared" si="31"/>
        <v>45</v>
      </c>
      <c r="P68" s="7">
        <f t="shared" si="31"/>
        <v>45</v>
      </c>
      <c r="Q68" s="7">
        <f t="shared" si="31"/>
        <v>45</v>
      </c>
      <c r="R68" s="7">
        <f t="shared" si="31"/>
        <v>45</v>
      </c>
      <c r="S68" s="7">
        <f t="shared" si="31"/>
        <v>45</v>
      </c>
      <c r="T68" s="7">
        <f t="shared" si="31"/>
        <v>45</v>
      </c>
      <c r="U68" s="7">
        <f t="shared" si="31"/>
        <v>45</v>
      </c>
      <c r="V68" s="7">
        <f t="shared" si="31"/>
        <v>45</v>
      </c>
      <c r="W68" s="7">
        <f t="shared" si="31"/>
        <v>45</v>
      </c>
      <c r="X68" s="7">
        <f t="shared" si="31"/>
        <v>45</v>
      </c>
      <c r="Y68" s="7">
        <f t="shared" si="31"/>
        <v>45</v>
      </c>
    </row>
    <row r="69" spans="1:25" s="47" customFormat="1" ht="18" thickTop="1" thickBot="1" x14ac:dyDescent="0.45">
      <c r="A69" s="13" t="str">
        <f>A63</f>
        <v>Replace one entire converter building</v>
      </c>
      <c r="C69" s="7">
        <f t="shared" ref="C69:Y69" si="32">C75*$B$13+$C$45</f>
        <v>4485</v>
      </c>
      <c r="D69" s="7">
        <f t="shared" si="32"/>
        <v>3597</v>
      </c>
      <c r="E69" s="7">
        <f t="shared" si="32"/>
        <v>3597</v>
      </c>
      <c r="F69" s="7">
        <f t="shared" si="32"/>
        <v>3597</v>
      </c>
      <c r="G69" s="7">
        <f t="shared" si="32"/>
        <v>3597</v>
      </c>
      <c r="H69" s="7">
        <f t="shared" si="32"/>
        <v>3597</v>
      </c>
      <c r="I69" s="7">
        <f t="shared" si="32"/>
        <v>3597</v>
      </c>
      <c r="J69" s="7">
        <f t="shared" si="32"/>
        <v>3597</v>
      </c>
      <c r="K69" s="7">
        <f t="shared" si="32"/>
        <v>3597</v>
      </c>
      <c r="L69" s="7">
        <f t="shared" si="32"/>
        <v>3597</v>
      </c>
      <c r="M69" s="7">
        <f t="shared" si="32"/>
        <v>3597</v>
      </c>
      <c r="N69" s="7">
        <f t="shared" si="32"/>
        <v>3597</v>
      </c>
      <c r="O69" s="7">
        <f t="shared" si="32"/>
        <v>3597</v>
      </c>
      <c r="P69" s="7">
        <f t="shared" si="32"/>
        <v>2709</v>
      </c>
      <c r="Q69" s="7">
        <f t="shared" si="32"/>
        <v>2709</v>
      </c>
      <c r="R69" s="7">
        <f t="shared" si="32"/>
        <v>2709</v>
      </c>
      <c r="S69" s="7">
        <f t="shared" si="32"/>
        <v>2709</v>
      </c>
      <c r="T69" s="7">
        <f t="shared" si="32"/>
        <v>2709</v>
      </c>
      <c r="U69" s="7">
        <f t="shared" si="32"/>
        <v>2709</v>
      </c>
      <c r="V69" s="7">
        <f t="shared" si="32"/>
        <v>2709</v>
      </c>
      <c r="W69" s="7">
        <f t="shared" si="32"/>
        <v>2709</v>
      </c>
      <c r="X69" s="7">
        <f t="shared" si="32"/>
        <v>2709</v>
      </c>
      <c r="Y69" s="7">
        <f t="shared" si="32"/>
        <v>2709</v>
      </c>
    </row>
    <row r="70" spans="1:25" s="47" customFormat="1" ht="18" thickTop="1" thickBot="1" x14ac:dyDescent="0.45">
      <c r="A70" s="13" t="str">
        <f>A64</f>
        <v>Cannibalise  entire converter building</v>
      </c>
      <c r="C70" s="7">
        <f>C76*$B$13+$C$47</f>
        <v>4485</v>
      </c>
      <c r="D70" s="7">
        <f>D76*$B$13+$C$47</f>
        <v>2709</v>
      </c>
      <c r="E70" s="7">
        <f t="shared" ref="E70:Y70" si="33">E76*$B$13+$C$45</f>
        <v>2709</v>
      </c>
      <c r="F70" s="7">
        <f t="shared" si="33"/>
        <v>2709</v>
      </c>
      <c r="G70" s="7">
        <f t="shared" si="33"/>
        <v>2709</v>
      </c>
      <c r="H70" s="7">
        <f t="shared" si="33"/>
        <v>2709</v>
      </c>
      <c r="I70" s="7">
        <f t="shared" si="33"/>
        <v>2709</v>
      </c>
      <c r="J70" s="7">
        <f t="shared" si="33"/>
        <v>2709</v>
      </c>
      <c r="K70" s="7">
        <f t="shared" si="33"/>
        <v>2709</v>
      </c>
      <c r="L70" s="7">
        <f t="shared" si="33"/>
        <v>2709</v>
      </c>
      <c r="M70" s="7">
        <f t="shared" si="33"/>
        <v>2709</v>
      </c>
      <c r="N70" s="7">
        <f t="shared" si="33"/>
        <v>2709</v>
      </c>
      <c r="O70" s="7">
        <f t="shared" si="33"/>
        <v>2709</v>
      </c>
      <c r="P70" s="7">
        <f t="shared" si="33"/>
        <v>2709</v>
      </c>
      <c r="Q70" s="7">
        <f t="shared" si="33"/>
        <v>2709</v>
      </c>
      <c r="R70" s="7">
        <f t="shared" si="33"/>
        <v>2709</v>
      </c>
      <c r="S70" s="7">
        <f t="shared" si="33"/>
        <v>2709</v>
      </c>
      <c r="T70" s="7">
        <f t="shared" si="33"/>
        <v>2709</v>
      </c>
      <c r="U70" s="7">
        <f t="shared" si="33"/>
        <v>2709</v>
      </c>
      <c r="V70" s="7">
        <f t="shared" si="33"/>
        <v>2709</v>
      </c>
      <c r="W70" s="7">
        <f t="shared" si="33"/>
        <v>2709</v>
      </c>
      <c r="X70" s="7">
        <f t="shared" si="33"/>
        <v>2709</v>
      </c>
      <c r="Y70" s="7">
        <f t="shared" si="33"/>
        <v>2709</v>
      </c>
    </row>
    <row r="71" spans="1:25" s="47" customFormat="1" ht="18" thickTop="1" thickBot="1" x14ac:dyDescent="0.45">
      <c r="A71" s="13" t="str">
        <f>A65</f>
        <v>Replace one Valve room</v>
      </c>
      <c r="C71" s="7">
        <f>C77*$B$13+$C$48</f>
        <v>4485</v>
      </c>
      <c r="D71" s="7">
        <f>D77*$B$13+$C$48</f>
        <v>4189</v>
      </c>
      <c r="E71" s="7">
        <f t="shared" ref="E71:Y71" si="34">E77*$B$13+$C$45</f>
        <v>4189</v>
      </c>
      <c r="F71" s="7">
        <f t="shared" si="34"/>
        <v>4189</v>
      </c>
      <c r="G71" s="7">
        <f t="shared" si="34"/>
        <v>3893</v>
      </c>
      <c r="H71" s="7">
        <f t="shared" si="34"/>
        <v>3893</v>
      </c>
      <c r="I71" s="7">
        <f t="shared" si="34"/>
        <v>3893</v>
      </c>
      <c r="J71" s="7">
        <f t="shared" si="34"/>
        <v>3893</v>
      </c>
      <c r="K71" s="7">
        <f t="shared" si="34"/>
        <v>3893</v>
      </c>
      <c r="L71" s="7">
        <f t="shared" si="34"/>
        <v>3597</v>
      </c>
      <c r="M71" s="7">
        <f t="shared" si="34"/>
        <v>3597</v>
      </c>
      <c r="N71" s="7">
        <f t="shared" si="34"/>
        <v>3597</v>
      </c>
      <c r="O71" s="7">
        <f t="shared" si="34"/>
        <v>3597</v>
      </c>
      <c r="P71" s="7">
        <f t="shared" si="34"/>
        <v>3301</v>
      </c>
      <c r="Q71" s="7">
        <f t="shared" si="34"/>
        <v>3301</v>
      </c>
      <c r="R71" s="7">
        <f t="shared" si="34"/>
        <v>3301</v>
      </c>
      <c r="S71" s="7">
        <f t="shared" si="34"/>
        <v>3301</v>
      </c>
      <c r="T71" s="7">
        <f t="shared" si="34"/>
        <v>3005</v>
      </c>
      <c r="U71" s="7">
        <f t="shared" si="34"/>
        <v>3005</v>
      </c>
      <c r="V71" s="7">
        <f t="shared" si="34"/>
        <v>3005</v>
      </c>
      <c r="W71" s="7">
        <f t="shared" si="34"/>
        <v>3005</v>
      </c>
      <c r="X71" s="7">
        <f t="shared" si="34"/>
        <v>3005</v>
      </c>
      <c r="Y71" s="7">
        <f t="shared" si="34"/>
        <v>2709</v>
      </c>
    </row>
    <row r="72" spans="1:25" s="47" customFormat="1" ht="15" thickTop="1" x14ac:dyDescent="0.35"/>
    <row r="73" spans="1:25" s="40" customFormat="1" ht="20" thickBot="1" x14ac:dyDescent="0.5">
      <c r="A73" s="32" t="s">
        <v>104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</row>
    <row r="74" spans="1:25" s="30" customFormat="1" ht="18" thickTop="1" thickBot="1" x14ac:dyDescent="0.45">
      <c r="A74" s="13" t="str">
        <f>"Operating Gen One phases under "&amp;A44</f>
        <v>Operating Gen One phases under Replace all GEN1 IGBTs</v>
      </c>
      <c r="C74" s="9">
        <v>15</v>
      </c>
      <c r="D74" s="7">
        <f t="shared" ref="D74:Y74" si="35">IF(C62&gt;(C74*$B$16+$C$45),C74,0)</f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7">
        <f t="shared" si="35"/>
        <v>0</v>
      </c>
      <c r="R74" s="7">
        <f t="shared" si="35"/>
        <v>0</v>
      </c>
      <c r="S74" s="7">
        <f t="shared" si="35"/>
        <v>0</v>
      </c>
      <c r="T74" s="7">
        <f t="shared" si="35"/>
        <v>0</v>
      </c>
      <c r="U74" s="7">
        <f t="shared" si="35"/>
        <v>0</v>
      </c>
      <c r="V74" s="7">
        <f t="shared" si="35"/>
        <v>0</v>
      </c>
      <c r="W74" s="7">
        <f t="shared" si="35"/>
        <v>0</v>
      </c>
      <c r="X74" s="7">
        <f t="shared" si="35"/>
        <v>0</v>
      </c>
      <c r="Y74" s="7">
        <f t="shared" si="35"/>
        <v>0</v>
      </c>
    </row>
    <row r="75" spans="1:25" s="30" customFormat="1" ht="18" thickTop="1" thickBot="1" x14ac:dyDescent="0.45">
      <c r="A75" s="13" t="str">
        <f>"Operating Gen One phases under "&amp;A45</f>
        <v>Operating Gen One phases under Replace one entire converter building</v>
      </c>
      <c r="C75" s="9">
        <v>15</v>
      </c>
      <c r="D75" s="7">
        <f>IF(C63&gt;C69,C75,C75-3)</f>
        <v>12</v>
      </c>
      <c r="E75" s="7">
        <f t="shared" ref="E75:Y75" si="36">IF(D63&gt;D69,D75,D75-3)</f>
        <v>12</v>
      </c>
      <c r="F75" s="7">
        <f t="shared" si="36"/>
        <v>12</v>
      </c>
      <c r="G75" s="7">
        <f t="shared" si="36"/>
        <v>12</v>
      </c>
      <c r="H75" s="7">
        <f t="shared" si="36"/>
        <v>12</v>
      </c>
      <c r="I75" s="7">
        <f t="shared" si="36"/>
        <v>12</v>
      </c>
      <c r="J75" s="7">
        <f t="shared" si="36"/>
        <v>12</v>
      </c>
      <c r="K75" s="7">
        <f t="shared" si="36"/>
        <v>12</v>
      </c>
      <c r="L75" s="7">
        <f t="shared" si="36"/>
        <v>12</v>
      </c>
      <c r="M75" s="7">
        <f t="shared" si="36"/>
        <v>12</v>
      </c>
      <c r="N75" s="7">
        <f t="shared" si="36"/>
        <v>12</v>
      </c>
      <c r="O75" s="7">
        <f t="shared" si="36"/>
        <v>12</v>
      </c>
      <c r="P75" s="7">
        <f t="shared" si="36"/>
        <v>9</v>
      </c>
      <c r="Q75" s="7">
        <f t="shared" si="36"/>
        <v>9</v>
      </c>
      <c r="R75" s="7">
        <f t="shared" si="36"/>
        <v>9</v>
      </c>
      <c r="S75" s="7">
        <f t="shared" si="36"/>
        <v>9</v>
      </c>
      <c r="T75" s="7">
        <f t="shared" si="36"/>
        <v>9</v>
      </c>
      <c r="U75" s="7">
        <f t="shared" si="36"/>
        <v>9</v>
      </c>
      <c r="V75" s="7">
        <f t="shared" si="36"/>
        <v>9</v>
      </c>
      <c r="W75" s="7">
        <f t="shared" si="36"/>
        <v>9</v>
      </c>
      <c r="X75" s="7">
        <f t="shared" si="36"/>
        <v>9</v>
      </c>
      <c r="Y75" s="7">
        <f t="shared" si="36"/>
        <v>9</v>
      </c>
    </row>
    <row r="76" spans="1:25" s="30" customFormat="1" ht="18" thickTop="1" thickBot="1" x14ac:dyDescent="0.45">
      <c r="A76" s="13" t="str">
        <f>"Operating Gen One phases under "&amp;A47</f>
        <v>Operating Gen One phases under Cannibalise  entire converter building</v>
      </c>
      <c r="C76" s="9">
        <v>15</v>
      </c>
      <c r="D76" s="7">
        <f>IF(C64&gt;C70,C76,C76-6)</f>
        <v>9</v>
      </c>
      <c r="E76" s="7">
        <f t="shared" ref="E76:Y76" si="37">IF(D64&gt;D70,D76,D76-6)</f>
        <v>9</v>
      </c>
      <c r="F76" s="7">
        <f t="shared" si="37"/>
        <v>9</v>
      </c>
      <c r="G76" s="7">
        <f t="shared" si="37"/>
        <v>9</v>
      </c>
      <c r="H76" s="7">
        <f t="shared" si="37"/>
        <v>9</v>
      </c>
      <c r="I76" s="7">
        <f t="shared" si="37"/>
        <v>9</v>
      </c>
      <c r="J76" s="7">
        <f t="shared" si="37"/>
        <v>9</v>
      </c>
      <c r="K76" s="7">
        <f t="shared" si="37"/>
        <v>9</v>
      </c>
      <c r="L76" s="7">
        <f t="shared" si="37"/>
        <v>9</v>
      </c>
      <c r="M76" s="7">
        <f t="shared" si="37"/>
        <v>9</v>
      </c>
      <c r="N76" s="7">
        <f t="shared" si="37"/>
        <v>9</v>
      </c>
      <c r="O76" s="7">
        <f t="shared" si="37"/>
        <v>9</v>
      </c>
      <c r="P76" s="7">
        <f t="shared" si="37"/>
        <v>9</v>
      </c>
      <c r="Q76" s="7">
        <f t="shared" si="37"/>
        <v>9</v>
      </c>
      <c r="R76" s="7">
        <f t="shared" si="37"/>
        <v>9</v>
      </c>
      <c r="S76" s="7">
        <f t="shared" si="37"/>
        <v>9</v>
      </c>
      <c r="T76" s="7">
        <f t="shared" si="37"/>
        <v>9</v>
      </c>
      <c r="U76" s="7">
        <f t="shared" si="37"/>
        <v>9</v>
      </c>
      <c r="V76" s="7">
        <f t="shared" si="37"/>
        <v>9</v>
      </c>
      <c r="W76" s="7">
        <f t="shared" si="37"/>
        <v>9</v>
      </c>
      <c r="X76" s="7">
        <f t="shared" si="37"/>
        <v>9</v>
      </c>
      <c r="Y76" s="7">
        <f t="shared" si="37"/>
        <v>9</v>
      </c>
    </row>
    <row r="77" spans="1:25" s="47" customFormat="1" ht="18" thickTop="1" thickBot="1" x14ac:dyDescent="0.45">
      <c r="A77" s="13" t="str">
        <f>"Operating Gen One phases under "&amp;A48</f>
        <v>Operating Gen One phases under Replace one Valve room</v>
      </c>
      <c r="C77" s="9">
        <v>15</v>
      </c>
      <c r="D77" s="7">
        <f>IF(C65&gt;C71,C77,C77-1)</f>
        <v>14</v>
      </c>
      <c r="E77" s="7">
        <f t="shared" ref="E77:Y77" si="38">IF(D65&gt;D71,D77,D77-1)</f>
        <v>14</v>
      </c>
      <c r="F77" s="7">
        <f t="shared" si="38"/>
        <v>14</v>
      </c>
      <c r="G77" s="7">
        <f t="shared" si="38"/>
        <v>13</v>
      </c>
      <c r="H77" s="7">
        <f t="shared" si="38"/>
        <v>13</v>
      </c>
      <c r="I77" s="7">
        <f t="shared" si="38"/>
        <v>13</v>
      </c>
      <c r="J77" s="7">
        <f t="shared" si="38"/>
        <v>13</v>
      </c>
      <c r="K77" s="7">
        <f t="shared" si="38"/>
        <v>13</v>
      </c>
      <c r="L77" s="7">
        <f t="shared" si="38"/>
        <v>12</v>
      </c>
      <c r="M77" s="7">
        <f t="shared" si="38"/>
        <v>12</v>
      </c>
      <c r="N77" s="7">
        <f t="shared" si="38"/>
        <v>12</v>
      </c>
      <c r="O77" s="7">
        <f t="shared" si="38"/>
        <v>12</v>
      </c>
      <c r="P77" s="7">
        <f t="shared" si="38"/>
        <v>11</v>
      </c>
      <c r="Q77" s="7">
        <f t="shared" si="38"/>
        <v>11</v>
      </c>
      <c r="R77" s="7">
        <f t="shared" si="38"/>
        <v>11</v>
      </c>
      <c r="S77" s="7">
        <f t="shared" si="38"/>
        <v>11</v>
      </c>
      <c r="T77" s="7">
        <f t="shared" si="38"/>
        <v>10</v>
      </c>
      <c r="U77" s="7">
        <f t="shared" si="38"/>
        <v>10</v>
      </c>
      <c r="V77" s="7">
        <f t="shared" si="38"/>
        <v>10</v>
      </c>
      <c r="W77" s="7">
        <f t="shared" si="38"/>
        <v>10</v>
      </c>
      <c r="X77" s="7">
        <f t="shared" si="38"/>
        <v>10</v>
      </c>
      <c r="Y77" s="7">
        <f t="shared" si="38"/>
        <v>9</v>
      </c>
    </row>
    <row r="78" spans="1:25" ht="15" thickTop="1" x14ac:dyDescent="0.35"/>
    <row r="79" spans="1:25" ht="17.5" thickBot="1" x14ac:dyDescent="0.45">
      <c r="A79" s="13" t="str">
        <f>"Value "&amp;A44</f>
        <v>Value Replace all GEN1 IGBTs</v>
      </c>
      <c r="D79" s="7">
        <f>SUM(D$51:D$53)</f>
        <v>1192010000</v>
      </c>
      <c r="E79" s="7">
        <f t="shared" ref="E79:Y79" si="39">SUM(E$51:E$53)</f>
        <v>1192010000</v>
      </c>
      <c r="F79" s="7">
        <f t="shared" si="39"/>
        <v>1192010000</v>
      </c>
      <c r="G79" s="7">
        <f t="shared" si="39"/>
        <v>1192010000</v>
      </c>
      <c r="H79" s="7">
        <f t="shared" si="39"/>
        <v>1192010000</v>
      </c>
      <c r="I79" s="7">
        <f t="shared" si="39"/>
        <v>1192010000</v>
      </c>
      <c r="J79" s="7">
        <f t="shared" si="39"/>
        <v>1192010000</v>
      </c>
      <c r="K79" s="7">
        <f t="shared" si="39"/>
        <v>1192010000</v>
      </c>
      <c r="L79" s="7">
        <f t="shared" si="39"/>
        <v>1192010000</v>
      </c>
      <c r="M79" s="7">
        <f t="shared" si="39"/>
        <v>1192010000</v>
      </c>
      <c r="N79" s="7">
        <f t="shared" si="39"/>
        <v>1192010000</v>
      </c>
      <c r="O79" s="7">
        <f t="shared" si="39"/>
        <v>1192010000</v>
      </c>
      <c r="P79" s="7">
        <f t="shared" si="39"/>
        <v>1192010000</v>
      </c>
      <c r="Q79" s="7">
        <f t="shared" si="39"/>
        <v>1192010000</v>
      </c>
      <c r="R79" s="7">
        <f t="shared" si="39"/>
        <v>1192010000</v>
      </c>
      <c r="S79" s="7">
        <f t="shared" si="39"/>
        <v>1192010000</v>
      </c>
      <c r="T79" s="7">
        <f t="shared" si="39"/>
        <v>1192010000</v>
      </c>
      <c r="U79" s="7">
        <f t="shared" si="39"/>
        <v>1192010000</v>
      </c>
      <c r="V79" s="7">
        <f t="shared" si="39"/>
        <v>1192010000</v>
      </c>
      <c r="W79" s="7">
        <f t="shared" si="39"/>
        <v>1192010000</v>
      </c>
      <c r="X79" s="7">
        <f t="shared" si="39"/>
        <v>1192010000</v>
      </c>
      <c r="Y79" s="7">
        <f t="shared" si="39"/>
        <v>1192010000</v>
      </c>
    </row>
    <row r="80" spans="1:25" ht="18" thickTop="1" thickBot="1" x14ac:dyDescent="0.45">
      <c r="A80" s="13" t="str">
        <f>"Value "&amp;A45</f>
        <v>Value Replace one entire converter building</v>
      </c>
      <c r="D80" s="7">
        <f t="shared" ref="D80:S83" si="40">SUM(D$51:D$53)</f>
        <v>1192010000</v>
      </c>
      <c r="E80" s="7">
        <f t="shared" si="40"/>
        <v>1192010000</v>
      </c>
      <c r="F80" s="7">
        <f t="shared" si="40"/>
        <v>1192010000</v>
      </c>
      <c r="G80" s="7">
        <f t="shared" si="40"/>
        <v>1192010000</v>
      </c>
      <c r="H80" s="7">
        <f t="shared" si="40"/>
        <v>1192010000</v>
      </c>
      <c r="I80" s="7">
        <f t="shared" si="40"/>
        <v>1192010000</v>
      </c>
      <c r="J80" s="7">
        <f t="shared" si="40"/>
        <v>1192010000</v>
      </c>
      <c r="K80" s="7">
        <f t="shared" si="40"/>
        <v>1192010000</v>
      </c>
      <c r="L80" s="7">
        <f t="shared" si="40"/>
        <v>1192010000</v>
      </c>
      <c r="M80" s="7">
        <f t="shared" si="40"/>
        <v>1192010000</v>
      </c>
      <c r="N80" s="7">
        <f t="shared" si="40"/>
        <v>1192010000</v>
      </c>
      <c r="O80" s="7">
        <f t="shared" si="40"/>
        <v>1192010000</v>
      </c>
      <c r="P80" s="7">
        <f t="shared" si="40"/>
        <v>1192010000</v>
      </c>
      <c r="Q80" s="7">
        <f t="shared" si="40"/>
        <v>1192010000</v>
      </c>
      <c r="R80" s="7">
        <f t="shared" si="40"/>
        <v>1192010000</v>
      </c>
      <c r="S80" s="7">
        <f t="shared" si="40"/>
        <v>1192010000</v>
      </c>
      <c r="T80" s="7">
        <f t="shared" ref="T80:Y80" si="41">SUM(T$51:T$53)</f>
        <v>1192010000</v>
      </c>
      <c r="U80" s="7">
        <f t="shared" si="41"/>
        <v>1192010000</v>
      </c>
      <c r="V80" s="7">
        <f t="shared" si="41"/>
        <v>1192010000</v>
      </c>
      <c r="W80" s="7">
        <f t="shared" si="41"/>
        <v>1192010000</v>
      </c>
      <c r="X80" s="7">
        <f t="shared" si="41"/>
        <v>1192010000</v>
      </c>
      <c r="Y80" s="7">
        <f t="shared" si="41"/>
        <v>1192010000</v>
      </c>
    </row>
    <row r="81" spans="1:25" ht="18" thickTop="1" thickBot="1" x14ac:dyDescent="0.45">
      <c r="A81" s="13" t="str">
        <f>"Value "&amp;A46</f>
        <v>Value Asset replacement contract</v>
      </c>
      <c r="D81" s="7">
        <f t="shared" si="40"/>
        <v>1192010000</v>
      </c>
      <c r="E81" s="7">
        <f t="shared" ref="E81:Y81" si="42">SUM(E$51:E$53)</f>
        <v>1192010000</v>
      </c>
      <c r="F81" s="7">
        <f t="shared" si="42"/>
        <v>1192010000</v>
      </c>
      <c r="G81" s="7">
        <f t="shared" si="42"/>
        <v>1192010000</v>
      </c>
      <c r="H81" s="7">
        <f t="shared" si="42"/>
        <v>1192010000</v>
      </c>
      <c r="I81" s="7">
        <f t="shared" si="42"/>
        <v>1192010000</v>
      </c>
      <c r="J81" s="7">
        <f t="shared" si="42"/>
        <v>1192010000</v>
      </c>
      <c r="K81" s="7">
        <f t="shared" si="42"/>
        <v>1192010000</v>
      </c>
      <c r="L81" s="7">
        <f t="shared" si="42"/>
        <v>1192010000</v>
      </c>
      <c r="M81" s="7">
        <f t="shared" si="42"/>
        <v>1192010000</v>
      </c>
      <c r="N81" s="7">
        <f t="shared" si="42"/>
        <v>1192010000</v>
      </c>
      <c r="O81" s="7">
        <f t="shared" si="42"/>
        <v>1192010000</v>
      </c>
      <c r="P81" s="7">
        <f t="shared" si="42"/>
        <v>1192010000</v>
      </c>
      <c r="Q81" s="7">
        <f t="shared" si="42"/>
        <v>1192010000</v>
      </c>
      <c r="R81" s="7">
        <f t="shared" si="42"/>
        <v>1192010000</v>
      </c>
      <c r="S81" s="7">
        <f t="shared" si="42"/>
        <v>1192010000</v>
      </c>
      <c r="T81" s="7">
        <f t="shared" si="42"/>
        <v>1192010000</v>
      </c>
      <c r="U81" s="7">
        <f t="shared" si="42"/>
        <v>1192010000</v>
      </c>
      <c r="V81" s="7">
        <f t="shared" si="42"/>
        <v>1192010000</v>
      </c>
      <c r="W81" s="7">
        <f t="shared" si="42"/>
        <v>1192010000</v>
      </c>
      <c r="X81" s="7">
        <f t="shared" si="42"/>
        <v>1192010000</v>
      </c>
      <c r="Y81" s="7">
        <f t="shared" si="42"/>
        <v>1192010000</v>
      </c>
    </row>
    <row r="82" spans="1:25" ht="18" thickTop="1" thickBot="1" x14ac:dyDescent="0.45">
      <c r="A82" s="13" t="str">
        <f>"Value "&amp;A47</f>
        <v>Value Cannibalise  entire converter building</v>
      </c>
      <c r="D82" s="7">
        <f t="shared" ref="D82:Y82" si="43">IF(D76=15,SUM(D51:D53),IF(D76&gt;=9,SUM(D51:D52),IF(D76&gt;=3,D51,0)))</f>
        <v>1154870000</v>
      </c>
      <c r="E82" s="7">
        <f t="shared" si="43"/>
        <v>1154870000</v>
      </c>
      <c r="F82" s="7">
        <f t="shared" si="43"/>
        <v>1154870000</v>
      </c>
      <c r="G82" s="7">
        <f t="shared" si="43"/>
        <v>1154870000</v>
      </c>
      <c r="H82" s="7">
        <f t="shared" si="43"/>
        <v>1154870000</v>
      </c>
      <c r="I82" s="7">
        <f t="shared" si="43"/>
        <v>1154870000</v>
      </c>
      <c r="J82" s="7">
        <f t="shared" si="43"/>
        <v>1154870000</v>
      </c>
      <c r="K82" s="7">
        <f t="shared" si="43"/>
        <v>1154870000</v>
      </c>
      <c r="L82" s="7">
        <f t="shared" si="43"/>
        <v>1154870000</v>
      </c>
      <c r="M82" s="7">
        <f t="shared" si="43"/>
        <v>1154870000</v>
      </c>
      <c r="N82" s="7">
        <f t="shared" si="43"/>
        <v>1154870000</v>
      </c>
      <c r="O82" s="7">
        <f t="shared" si="43"/>
        <v>1154870000</v>
      </c>
      <c r="P82" s="7">
        <f t="shared" si="43"/>
        <v>1154870000</v>
      </c>
      <c r="Q82" s="7">
        <f t="shared" si="43"/>
        <v>1154870000</v>
      </c>
      <c r="R82" s="7">
        <f t="shared" si="43"/>
        <v>1154870000</v>
      </c>
      <c r="S82" s="7">
        <f t="shared" si="43"/>
        <v>1154870000</v>
      </c>
      <c r="T82" s="7">
        <f t="shared" si="43"/>
        <v>1154870000</v>
      </c>
      <c r="U82" s="7">
        <f t="shared" si="43"/>
        <v>1154870000</v>
      </c>
      <c r="V82" s="7">
        <f t="shared" si="43"/>
        <v>1154870000</v>
      </c>
      <c r="W82" s="7">
        <f t="shared" si="43"/>
        <v>1154870000</v>
      </c>
      <c r="X82" s="7">
        <f t="shared" si="43"/>
        <v>1154870000</v>
      </c>
      <c r="Y82" s="7">
        <f t="shared" si="43"/>
        <v>1154870000</v>
      </c>
    </row>
    <row r="83" spans="1:25" s="47" customFormat="1" ht="18" thickTop="1" thickBot="1" x14ac:dyDescent="0.45">
      <c r="A83" s="13" t="str">
        <f>"Value "&amp;A48</f>
        <v>Value Replace one Valve room</v>
      </c>
      <c r="D83" s="7">
        <f t="shared" si="40"/>
        <v>1192010000</v>
      </c>
      <c r="E83" s="7">
        <f t="shared" si="40"/>
        <v>1192010000</v>
      </c>
      <c r="F83" s="7">
        <f t="shared" si="40"/>
        <v>1192010000</v>
      </c>
      <c r="G83" s="7">
        <f t="shared" si="40"/>
        <v>1192010000</v>
      </c>
      <c r="H83" s="7">
        <f t="shared" si="40"/>
        <v>1192010000</v>
      </c>
      <c r="I83" s="7">
        <f t="shared" si="40"/>
        <v>1192010000</v>
      </c>
      <c r="J83" s="7">
        <f t="shared" si="40"/>
        <v>1192010000</v>
      </c>
      <c r="K83" s="7">
        <f t="shared" si="40"/>
        <v>1192010000</v>
      </c>
      <c r="L83" s="7">
        <f t="shared" si="40"/>
        <v>1192010000</v>
      </c>
      <c r="M83" s="7">
        <f t="shared" si="40"/>
        <v>1192010000</v>
      </c>
      <c r="N83" s="7">
        <f t="shared" si="40"/>
        <v>1192010000</v>
      </c>
      <c r="O83" s="7">
        <f t="shared" si="40"/>
        <v>1192010000</v>
      </c>
      <c r="P83" s="7">
        <f t="shared" si="40"/>
        <v>1192010000</v>
      </c>
      <c r="Q83" s="7">
        <f t="shared" si="40"/>
        <v>1192010000</v>
      </c>
      <c r="R83" s="7">
        <f t="shared" si="40"/>
        <v>1192010000</v>
      </c>
      <c r="S83" s="7">
        <f t="shared" si="40"/>
        <v>1192010000</v>
      </c>
      <c r="T83" s="7">
        <f t="shared" ref="T83:Y83" si="44">SUM(T$51:T$53)</f>
        <v>1192010000</v>
      </c>
      <c r="U83" s="7">
        <f t="shared" si="44"/>
        <v>1192010000</v>
      </c>
      <c r="V83" s="7">
        <f t="shared" si="44"/>
        <v>1192010000</v>
      </c>
      <c r="W83" s="7">
        <f t="shared" si="44"/>
        <v>1192010000</v>
      </c>
      <c r="X83" s="7">
        <f t="shared" si="44"/>
        <v>1192010000</v>
      </c>
      <c r="Y83" s="7">
        <f t="shared" si="44"/>
        <v>1192010000</v>
      </c>
    </row>
    <row r="84" spans="1:25" ht="15" thickTop="1" x14ac:dyDescent="0.35"/>
    <row r="85" spans="1:25" ht="17.5" thickBot="1" x14ac:dyDescent="0.45">
      <c r="A85" s="13" t="s">
        <v>52</v>
      </c>
      <c r="B85" s="33">
        <f>'1. Data'!C15</f>
        <v>2.1573815470584456E-2</v>
      </c>
      <c r="C85" s="39"/>
    </row>
    <row r="86" spans="1:25" s="30" customFormat="1" ht="15" thickTop="1" x14ac:dyDescent="0.35">
      <c r="A86" s="3"/>
      <c r="B86" s="3"/>
    </row>
    <row r="87" spans="1:25" s="30" customFormat="1" ht="17.5" thickBot="1" x14ac:dyDescent="0.45">
      <c r="A87" s="35" t="s">
        <v>103</v>
      </c>
      <c r="B87" s="9">
        <v>44584.432558909321</v>
      </c>
    </row>
    <row r="88" spans="1:25" s="30" customFormat="1" ht="18" thickTop="1" thickBot="1" x14ac:dyDescent="0.45">
      <c r="A88" s="35" t="s">
        <v>56</v>
      </c>
      <c r="B88" s="9">
        <f>B87/1.25</f>
        <v>35667.546047127456</v>
      </c>
    </row>
    <row r="89" spans="1:25" ht="15" thickTop="1" x14ac:dyDescent="0.35"/>
    <row r="90" spans="1:25" ht="17.5" thickBot="1" x14ac:dyDescent="0.45">
      <c r="A90" s="13" t="str">
        <f>"Maintenance opex for "&amp;A44</f>
        <v>Maintenance opex for Replace all GEN1 IGBTs</v>
      </c>
      <c r="D90" s="7">
        <f>D74*$B$87+(15-D74)*$B$88</f>
        <v>535013.19070691185</v>
      </c>
      <c r="E90" s="7">
        <f t="shared" ref="E90:Y90" si="45">E74*$B$87+(15-E74)*$B$88</f>
        <v>535013.19070691185</v>
      </c>
      <c r="F90" s="7">
        <f t="shared" si="45"/>
        <v>535013.19070691185</v>
      </c>
      <c r="G90" s="7">
        <f t="shared" si="45"/>
        <v>535013.19070691185</v>
      </c>
      <c r="H90" s="7">
        <f t="shared" si="45"/>
        <v>535013.19070691185</v>
      </c>
      <c r="I90" s="7">
        <f t="shared" si="45"/>
        <v>535013.19070691185</v>
      </c>
      <c r="J90" s="7">
        <f t="shared" si="45"/>
        <v>535013.19070691185</v>
      </c>
      <c r="K90" s="7">
        <f t="shared" si="45"/>
        <v>535013.19070691185</v>
      </c>
      <c r="L90" s="7">
        <f t="shared" si="45"/>
        <v>535013.19070691185</v>
      </c>
      <c r="M90" s="7">
        <f t="shared" si="45"/>
        <v>535013.19070691185</v>
      </c>
      <c r="N90" s="7">
        <f t="shared" si="45"/>
        <v>535013.19070691185</v>
      </c>
      <c r="O90" s="7">
        <f t="shared" si="45"/>
        <v>535013.19070691185</v>
      </c>
      <c r="P90" s="7">
        <f t="shared" si="45"/>
        <v>535013.19070691185</v>
      </c>
      <c r="Q90" s="7">
        <f t="shared" si="45"/>
        <v>535013.19070691185</v>
      </c>
      <c r="R90" s="7">
        <f t="shared" si="45"/>
        <v>535013.19070691185</v>
      </c>
      <c r="S90" s="7">
        <f t="shared" si="45"/>
        <v>535013.19070691185</v>
      </c>
      <c r="T90" s="7">
        <f t="shared" si="45"/>
        <v>535013.19070691185</v>
      </c>
      <c r="U90" s="7">
        <f t="shared" si="45"/>
        <v>535013.19070691185</v>
      </c>
      <c r="V90" s="7">
        <f t="shared" si="45"/>
        <v>535013.19070691185</v>
      </c>
      <c r="W90" s="7">
        <f t="shared" si="45"/>
        <v>535013.19070691185</v>
      </c>
      <c r="X90" s="7">
        <f t="shared" si="45"/>
        <v>535013.19070691185</v>
      </c>
      <c r="Y90" s="7">
        <f t="shared" si="45"/>
        <v>535013.19070691185</v>
      </c>
    </row>
    <row r="91" spans="1:25" ht="18" thickTop="1" thickBot="1" x14ac:dyDescent="0.45">
      <c r="A91" s="13" t="str">
        <f>"Maintenance opex for "&amp;A45</f>
        <v>Maintenance opex for Replace one entire converter building</v>
      </c>
      <c r="D91" s="7">
        <f>D75*$B$87+(15-D75)*$B$88</f>
        <v>642015.82884829422</v>
      </c>
      <c r="E91" s="7">
        <f t="shared" ref="E91:Y91" si="46">E75*$B$87+(15-E75)*$B$88</f>
        <v>642015.82884829422</v>
      </c>
      <c r="F91" s="7">
        <f t="shared" si="46"/>
        <v>642015.82884829422</v>
      </c>
      <c r="G91" s="7">
        <f t="shared" si="46"/>
        <v>642015.82884829422</v>
      </c>
      <c r="H91" s="7">
        <f t="shared" si="46"/>
        <v>642015.82884829422</v>
      </c>
      <c r="I91" s="7">
        <f t="shared" si="46"/>
        <v>642015.82884829422</v>
      </c>
      <c r="J91" s="7">
        <f t="shared" si="46"/>
        <v>642015.82884829422</v>
      </c>
      <c r="K91" s="7">
        <f t="shared" si="46"/>
        <v>642015.82884829422</v>
      </c>
      <c r="L91" s="7">
        <f t="shared" si="46"/>
        <v>642015.82884829422</v>
      </c>
      <c r="M91" s="7">
        <f t="shared" si="46"/>
        <v>642015.82884829422</v>
      </c>
      <c r="N91" s="7">
        <f t="shared" si="46"/>
        <v>642015.82884829422</v>
      </c>
      <c r="O91" s="7">
        <f t="shared" si="46"/>
        <v>642015.82884829422</v>
      </c>
      <c r="P91" s="7">
        <f t="shared" si="46"/>
        <v>615265.16931294859</v>
      </c>
      <c r="Q91" s="7">
        <f t="shared" si="46"/>
        <v>615265.16931294859</v>
      </c>
      <c r="R91" s="7">
        <f t="shared" si="46"/>
        <v>615265.16931294859</v>
      </c>
      <c r="S91" s="7">
        <f t="shared" si="46"/>
        <v>615265.16931294859</v>
      </c>
      <c r="T91" s="7">
        <f t="shared" si="46"/>
        <v>615265.16931294859</v>
      </c>
      <c r="U91" s="7">
        <f t="shared" si="46"/>
        <v>615265.16931294859</v>
      </c>
      <c r="V91" s="7">
        <f t="shared" si="46"/>
        <v>615265.16931294859</v>
      </c>
      <c r="W91" s="7">
        <f t="shared" si="46"/>
        <v>615265.16931294859</v>
      </c>
      <c r="X91" s="7">
        <f t="shared" si="46"/>
        <v>615265.16931294859</v>
      </c>
      <c r="Y91" s="7">
        <f t="shared" si="46"/>
        <v>615265.16931294859</v>
      </c>
    </row>
    <row r="92" spans="1:25" s="47" customFormat="1" ht="18" thickTop="1" thickBot="1" x14ac:dyDescent="0.45">
      <c r="A92" s="13" t="str">
        <f>"Maintenance opex for "&amp;A46</f>
        <v>Maintenance opex for Asset replacement contract</v>
      </c>
      <c r="D92" s="7">
        <f>D91</f>
        <v>642015.82884829422</v>
      </c>
      <c r="E92" s="7">
        <f t="shared" ref="E92:Y92" si="47">E91</f>
        <v>642015.82884829422</v>
      </c>
      <c r="F92" s="7">
        <f t="shared" si="47"/>
        <v>642015.82884829422</v>
      </c>
      <c r="G92" s="7">
        <f t="shared" si="47"/>
        <v>642015.82884829422</v>
      </c>
      <c r="H92" s="7">
        <f t="shared" si="47"/>
        <v>642015.82884829422</v>
      </c>
      <c r="I92" s="7">
        <f t="shared" si="47"/>
        <v>642015.82884829422</v>
      </c>
      <c r="J92" s="7">
        <f t="shared" si="47"/>
        <v>642015.82884829422</v>
      </c>
      <c r="K92" s="7">
        <f t="shared" si="47"/>
        <v>642015.82884829422</v>
      </c>
      <c r="L92" s="7">
        <f t="shared" si="47"/>
        <v>642015.82884829422</v>
      </c>
      <c r="M92" s="7">
        <f t="shared" si="47"/>
        <v>642015.82884829422</v>
      </c>
      <c r="N92" s="7">
        <f t="shared" si="47"/>
        <v>642015.82884829422</v>
      </c>
      <c r="O92" s="7">
        <f t="shared" si="47"/>
        <v>642015.82884829422</v>
      </c>
      <c r="P92" s="7">
        <f t="shared" si="47"/>
        <v>615265.16931294859</v>
      </c>
      <c r="Q92" s="7">
        <f t="shared" si="47"/>
        <v>615265.16931294859</v>
      </c>
      <c r="R92" s="7">
        <f t="shared" si="47"/>
        <v>615265.16931294859</v>
      </c>
      <c r="S92" s="7">
        <f t="shared" si="47"/>
        <v>615265.16931294859</v>
      </c>
      <c r="T92" s="7">
        <f t="shared" si="47"/>
        <v>615265.16931294859</v>
      </c>
      <c r="U92" s="7">
        <f t="shared" si="47"/>
        <v>615265.16931294859</v>
      </c>
      <c r="V92" s="7">
        <f t="shared" si="47"/>
        <v>615265.16931294859</v>
      </c>
      <c r="W92" s="7">
        <f t="shared" si="47"/>
        <v>615265.16931294859</v>
      </c>
      <c r="X92" s="7">
        <f t="shared" si="47"/>
        <v>615265.16931294859</v>
      </c>
      <c r="Y92" s="7">
        <f t="shared" si="47"/>
        <v>615265.16931294859</v>
      </c>
    </row>
    <row r="93" spans="1:25" ht="18" thickTop="1" thickBot="1" x14ac:dyDescent="0.45">
      <c r="A93" s="13" t="str">
        <f>"Maintenance opex for "&amp;A47</f>
        <v>Maintenance opex for Cannibalise  entire converter building</v>
      </c>
      <c r="D93" s="7">
        <f>D76*$B$87+(15-D76)*$B$88</f>
        <v>615265.16931294859</v>
      </c>
      <c r="E93" s="7">
        <f t="shared" ref="E93:Y93" si="48">E76*$B$87+(15-E76)*$B$88</f>
        <v>615265.16931294859</v>
      </c>
      <c r="F93" s="7">
        <f t="shared" si="48"/>
        <v>615265.16931294859</v>
      </c>
      <c r="G93" s="7">
        <f t="shared" si="48"/>
        <v>615265.16931294859</v>
      </c>
      <c r="H93" s="7">
        <f t="shared" si="48"/>
        <v>615265.16931294859</v>
      </c>
      <c r="I93" s="7">
        <f t="shared" si="48"/>
        <v>615265.16931294859</v>
      </c>
      <c r="J93" s="7">
        <f t="shared" si="48"/>
        <v>615265.16931294859</v>
      </c>
      <c r="K93" s="7">
        <f t="shared" si="48"/>
        <v>615265.16931294859</v>
      </c>
      <c r="L93" s="7">
        <f t="shared" si="48"/>
        <v>615265.16931294859</v>
      </c>
      <c r="M93" s="7">
        <f t="shared" si="48"/>
        <v>615265.16931294859</v>
      </c>
      <c r="N93" s="7">
        <f t="shared" si="48"/>
        <v>615265.16931294859</v>
      </c>
      <c r="O93" s="7">
        <f t="shared" si="48"/>
        <v>615265.16931294859</v>
      </c>
      <c r="P93" s="7">
        <f t="shared" si="48"/>
        <v>615265.16931294859</v>
      </c>
      <c r="Q93" s="7">
        <f t="shared" si="48"/>
        <v>615265.16931294859</v>
      </c>
      <c r="R93" s="7">
        <f t="shared" si="48"/>
        <v>615265.16931294859</v>
      </c>
      <c r="S93" s="7">
        <f t="shared" si="48"/>
        <v>615265.16931294859</v>
      </c>
      <c r="T93" s="7">
        <f t="shared" si="48"/>
        <v>615265.16931294859</v>
      </c>
      <c r="U93" s="7">
        <f t="shared" si="48"/>
        <v>615265.16931294859</v>
      </c>
      <c r="V93" s="7">
        <f t="shared" si="48"/>
        <v>615265.16931294859</v>
      </c>
      <c r="W93" s="7">
        <f t="shared" si="48"/>
        <v>615265.16931294859</v>
      </c>
      <c r="X93" s="7">
        <f t="shared" si="48"/>
        <v>615265.16931294859</v>
      </c>
      <c r="Y93" s="7">
        <f t="shared" si="48"/>
        <v>615265.16931294859</v>
      </c>
    </row>
    <row r="94" spans="1:25" s="47" customFormat="1" ht="18" thickTop="1" thickBot="1" x14ac:dyDescent="0.45">
      <c r="A94" s="13" t="str">
        <f>"Maintenance opex for "&amp;A48</f>
        <v>Maintenance opex for Replace one Valve room</v>
      </c>
      <c r="D94" s="7">
        <f t="shared" ref="D94:Y94" si="49">D77*$B$87+($B$22-D77)*$B$88</f>
        <v>659849.601871858</v>
      </c>
      <c r="E94" s="7">
        <f t="shared" si="49"/>
        <v>659849.601871858</v>
      </c>
      <c r="F94" s="7">
        <f t="shared" si="49"/>
        <v>659849.601871858</v>
      </c>
      <c r="G94" s="7">
        <f t="shared" si="49"/>
        <v>650932.71536007605</v>
      </c>
      <c r="H94" s="7">
        <f t="shared" si="49"/>
        <v>650932.71536007605</v>
      </c>
      <c r="I94" s="7">
        <f t="shared" si="49"/>
        <v>650932.71536007605</v>
      </c>
      <c r="J94" s="7">
        <f t="shared" si="49"/>
        <v>650932.71536007605</v>
      </c>
      <c r="K94" s="7">
        <f t="shared" si="49"/>
        <v>650932.71536007605</v>
      </c>
      <c r="L94" s="7">
        <f t="shared" si="49"/>
        <v>642015.82884829422</v>
      </c>
      <c r="M94" s="7">
        <f t="shared" si="49"/>
        <v>642015.82884829422</v>
      </c>
      <c r="N94" s="7">
        <f t="shared" si="49"/>
        <v>642015.82884829422</v>
      </c>
      <c r="O94" s="7">
        <f t="shared" si="49"/>
        <v>642015.82884829422</v>
      </c>
      <c r="P94" s="7">
        <f t="shared" si="49"/>
        <v>633098.94233651238</v>
      </c>
      <c r="Q94" s="7">
        <f t="shared" si="49"/>
        <v>633098.94233651238</v>
      </c>
      <c r="R94" s="7">
        <f t="shared" si="49"/>
        <v>633098.94233651238</v>
      </c>
      <c r="S94" s="7">
        <f t="shared" si="49"/>
        <v>633098.94233651238</v>
      </c>
      <c r="T94" s="7">
        <f t="shared" si="49"/>
        <v>624182.05582473055</v>
      </c>
      <c r="U94" s="7">
        <f t="shared" si="49"/>
        <v>624182.05582473055</v>
      </c>
      <c r="V94" s="7">
        <f t="shared" si="49"/>
        <v>624182.05582473055</v>
      </c>
      <c r="W94" s="7">
        <f t="shared" si="49"/>
        <v>624182.05582473055</v>
      </c>
      <c r="X94" s="7">
        <f t="shared" si="49"/>
        <v>624182.05582473055</v>
      </c>
      <c r="Y94" s="7">
        <f t="shared" si="49"/>
        <v>615265.16931294859</v>
      </c>
    </row>
    <row r="95" spans="1:25" ht="15" thickTop="1" x14ac:dyDescent="0.35"/>
    <row r="96" spans="1:25" ht="20" thickBot="1" x14ac:dyDescent="0.5">
      <c r="A96" s="32" t="s">
        <v>58</v>
      </c>
    </row>
    <row r="97" spans="1:25" ht="18" thickTop="1" thickBot="1" x14ac:dyDescent="0.45">
      <c r="A97" s="13" t="str">
        <f>A44</f>
        <v>Replace all GEN1 IGBTs</v>
      </c>
      <c r="D97" s="7">
        <f>D90+D44+D37</f>
        <v>221063013.19070694</v>
      </c>
      <c r="E97" s="7">
        <f t="shared" ref="E97:Y101" si="50">E90+E44+E37</f>
        <v>1063013.190706912</v>
      </c>
      <c r="F97" s="7">
        <f t="shared" si="50"/>
        <v>1063013.190706912</v>
      </c>
      <c r="G97" s="7">
        <f t="shared" si="50"/>
        <v>1063013.190706912</v>
      </c>
      <c r="H97" s="7">
        <f t="shared" si="50"/>
        <v>1063013.190706912</v>
      </c>
      <c r="I97" s="7">
        <f t="shared" si="50"/>
        <v>1063013.190706912</v>
      </c>
      <c r="J97" s="7">
        <f t="shared" si="50"/>
        <v>1063013.190706912</v>
      </c>
      <c r="K97" s="7">
        <f t="shared" si="50"/>
        <v>1063013.190706912</v>
      </c>
      <c r="L97" s="7">
        <f t="shared" si="50"/>
        <v>1063013.190706912</v>
      </c>
      <c r="M97" s="7">
        <f t="shared" si="50"/>
        <v>1063013.190706912</v>
      </c>
      <c r="N97" s="7">
        <f t="shared" si="50"/>
        <v>1063013.190706912</v>
      </c>
      <c r="O97" s="7">
        <f t="shared" si="50"/>
        <v>1063013.190706912</v>
      </c>
      <c r="P97" s="7">
        <f t="shared" si="50"/>
        <v>1063013.190706912</v>
      </c>
      <c r="Q97" s="7">
        <f t="shared" si="50"/>
        <v>1063013.190706912</v>
      </c>
      <c r="R97" s="7">
        <f t="shared" si="50"/>
        <v>1063013.190706912</v>
      </c>
      <c r="S97" s="7">
        <f t="shared" si="50"/>
        <v>1063013.190706912</v>
      </c>
      <c r="T97" s="7">
        <f t="shared" si="50"/>
        <v>1063013.190706912</v>
      </c>
      <c r="U97" s="7">
        <f t="shared" si="50"/>
        <v>1063013.190706912</v>
      </c>
      <c r="V97" s="7">
        <f t="shared" si="50"/>
        <v>1063013.190706912</v>
      </c>
      <c r="W97" s="7">
        <f t="shared" si="50"/>
        <v>1063013.190706912</v>
      </c>
      <c r="X97" s="7">
        <f t="shared" si="50"/>
        <v>1063013.190706912</v>
      </c>
      <c r="Y97" s="7">
        <f t="shared" si="50"/>
        <v>1063013.190706912</v>
      </c>
    </row>
    <row r="98" spans="1:25" ht="18" thickTop="1" thickBot="1" x14ac:dyDescent="0.45">
      <c r="A98" s="13" t="str">
        <f>A45</f>
        <v>Replace one entire converter building</v>
      </c>
      <c r="D98" s="7">
        <f t="shared" ref="D98:S101" si="51">D91+D45+D38</f>
        <v>22747615.828848295</v>
      </c>
      <c r="E98" s="7">
        <f t="shared" si="51"/>
        <v>747615.82884829422</v>
      </c>
      <c r="F98" s="7">
        <f t="shared" si="51"/>
        <v>747615.82884829422</v>
      </c>
      <c r="G98" s="7">
        <f t="shared" si="51"/>
        <v>747615.82884829422</v>
      </c>
      <c r="H98" s="7">
        <f t="shared" si="51"/>
        <v>747615.82884829422</v>
      </c>
      <c r="I98" s="7">
        <f t="shared" si="51"/>
        <v>747615.82884829422</v>
      </c>
      <c r="J98" s="7">
        <f t="shared" si="51"/>
        <v>747615.82884829422</v>
      </c>
      <c r="K98" s="7">
        <f t="shared" si="51"/>
        <v>747615.82884829422</v>
      </c>
      <c r="L98" s="7">
        <f t="shared" si="51"/>
        <v>747615.82884829422</v>
      </c>
      <c r="M98" s="7">
        <f t="shared" si="51"/>
        <v>747615.82884829422</v>
      </c>
      <c r="N98" s="7">
        <f t="shared" si="51"/>
        <v>747615.82884829422</v>
      </c>
      <c r="O98" s="7">
        <f t="shared" si="51"/>
        <v>747615.82884829422</v>
      </c>
      <c r="P98" s="7">
        <f t="shared" si="51"/>
        <v>22826465.16931295</v>
      </c>
      <c r="Q98" s="7">
        <f t="shared" si="51"/>
        <v>826465.16931294859</v>
      </c>
      <c r="R98" s="7">
        <f t="shared" si="51"/>
        <v>826465.16931294859</v>
      </c>
      <c r="S98" s="7">
        <f t="shared" si="51"/>
        <v>826465.16931294859</v>
      </c>
      <c r="T98" s="7">
        <f t="shared" si="50"/>
        <v>826465.16931294859</v>
      </c>
      <c r="U98" s="7">
        <f t="shared" si="50"/>
        <v>826465.16931294859</v>
      </c>
      <c r="V98" s="7">
        <f t="shared" si="50"/>
        <v>826465.16931294859</v>
      </c>
      <c r="W98" s="7">
        <f t="shared" si="50"/>
        <v>826465.16931294859</v>
      </c>
      <c r="X98" s="7">
        <f t="shared" si="50"/>
        <v>826465.16931294859</v>
      </c>
      <c r="Y98" s="7">
        <f t="shared" si="50"/>
        <v>826465.16931294859</v>
      </c>
    </row>
    <row r="99" spans="1:25" ht="18" thickTop="1" thickBot="1" x14ac:dyDescent="0.45">
      <c r="A99" s="13" t="str">
        <f>A46</f>
        <v>Asset replacement contract</v>
      </c>
      <c r="D99" s="7">
        <f t="shared" si="51"/>
        <v>2397615.8288482944</v>
      </c>
      <c r="E99" s="7">
        <f t="shared" si="50"/>
        <v>4047615.8288482949</v>
      </c>
      <c r="F99" s="7">
        <f t="shared" si="50"/>
        <v>4047615.8288482949</v>
      </c>
      <c r="G99" s="7">
        <f t="shared" si="50"/>
        <v>4047615.8288482949</v>
      </c>
      <c r="H99" s="7">
        <f t="shared" si="50"/>
        <v>4047615.8288482949</v>
      </c>
      <c r="I99" s="7">
        <f t="shared" si="50"/>
        <v>4047615.8288482949</v>
      </c>
      <c r="J99" s="7">
        <f t="shared" si="50"/>
        <v>4047615.8288482949</v>
      </c>
      <c r="K99" s="7">
        <f t="shared" si="50"/>
        <v>4047615.8288482949</v>
      </c>
      <c r="L99" s="7">
        <f t="shared" si="50"/>
        <v>4047615.8288482949</v>
      </c>
      <c r="M99" s="7">
        <f t="shared" si="50"/>
        <v>4047615.8288482949</v>
      </c>
      <c r="N99" s="7">
        <f t="shared" si="50"/>
        <v>4047615.8288482949</v>
      </c>
      <c r="O99" s="7">
        <f t="shared" si="50"/>
        <v>2397615.8288482944</v>
      </c>
      <c r="P99" s="7">
        <f t="shared" si="50"/>
        <v>2476465.1693129488</v>
      </c>
      <c r="Q99" s="7">
        <f t="shared" si="50"/>
        <v>2476465.1693129488</v>
      </c>
      <c r="R99" s="7">
        <f t="shared" si="50"/>
        <v>2476465.1693129488</v>
      </c>
      <c r="S99" s="7">
        <f t="shared" si="50"/>
        <v>2476465.1693129488</v>
      </c>
      <c r="T99" s="7">
        <f t="shared" si="50"/>
        <v>2476465.1693129488</v>
      </c>
      <c r="U99" s="7">
        <f t="shared" si="50"/>
        <v>2476465.1693129488</v>
      </c>
      <c r="V99" s="7">
        <f t="shared" si="50"/>
        <v>2476465.1693129488</v>
      </c>
      <c r="W99" s="7">
        <f t="shared" si="50"/>
        <v>2476465.1693129488</v>
      </c>
      <c r="X99" s="7">
        <f t="shared" si="50"/>
        <v>2476465.1693129488</v>
      </c>
      <c r="Y99" s="7">
        <f t="shared" si="50"/>
        <v>2476465.1693129488</v>
      </c>
    </row>
    <row r="100" spans="1:25" ht="18" thickTop="1" thickBot="1" x14ac:dyDescent="0.45">
      <c r="A100" s="13" t="str">
        <f>A47</f>
        <v>Cannibalise  entire converter building</v>
      </c>
      <c r="D100" s="7">
        <f t="shared" si="51"/>
        <v>890265.16931294859</v>
      </c>
      <c r="E100" s="7">
        <f t="shared" si="50"/>
        <v>615265.16931294859</v>
      </c>
      <c r="F100" s="7">
        <f t="shared" si="50"/>
        <v>615265.16931294859</v>
      </c>
      <c r="G100" s="7">
        <f t="shared" si="50"/>
        <v>615265.16931294859</v>
      </c>
      <c r="H100" s="7">
        <f t="shared" si="50"/>
        <v>615265.16931294859</v>
      </c>
      <c r="I100" s="7">
        <f t="shared" si="50"/>
        <v>615265.16931294859</v>
      </c>
      <c r="J100" s="7">
        <f t="shared" si="50"/>
        <v>615265.16931294859</v>
      </c>
      <c r="K100" s="7">
        <f t="shared" si="50"/>
        <v>615265.16931294859</v>
      </c>
      <c r="L100" s="7">
        <f t="shared" si="50"/>
        <v>615265.16931294859</v>
      </c>
      <c r="M100" s="7">
        <f t="shared" si="50"/>
        <v>615265.16931294859</v>
      </c>
      <c r="N100" s="7">
        <f t="shared" si="50"/>
        <v>615265.16931294859</v>
      </c>
      <c r="O100" s="7">
        <f t="shared" si="50"/>
        <v>615265.16931294859</v>
      </c>
      <c r="P100" s="7">
        <f t="shared" si="50"/>
        <v>615265.16931294859</v>
      </c>
      <c r="Q100" s="7">
        <f t="shared" si="50"/>
        <v>615265.16931294859</v>
      </c>
      <c r="R100" s="7">
        <f t="shared" si="50"/>
        <v>615265.16931294859</v>
      </c>
      <c r="S100" s="7">
        <f t="shared" si="50"/>
        <v>615265.16931294859</v>
      </c>
      <c r="T100" s="7">
        <f t="shared" si="50"/>
        <v>615265.16931294859</v>
      </c>
      <c r="U100" s="7">
        <f t="shared" si="50"/>
        <v>615265.16931294859</v>
      </c>
      <c r="V100" s="7">
        <f t="shared" si="50"/>
        <v>615265.16931294859</v>
      </c>
      <c r="W100" s="7">
        <f t="shared" si="50"/>
        <v>615265.16931294859</v>
      </c>
      <c r="X100" s="7">
        <f t="shared" si="50"/>
        <v>615265.16931294859</v>
      </c>
      <c r="Y100" s="7">
        <f t="shared" si="50"/>
        <v>615265.16931294859</v>
      </c>
    </row>
    <row r="101" spans="1:25" s="47" customFormat="1" ht="18" thickTop="1" thickBot="1" x14ac:dyDescent="0.45">
      <c r="A101" s="13" t="str">
        <f>A48</f>
        <v>Replace one Valve room</v>
      </c>
      <c r="D101" s="7">
        <f t="shared" si="51"/>
        <v>16095049.601871859</v>
      </c>
      <c r="E101" s="7">
        <f t="shared" si="50"/>
        <v>695049.601871858</v>
      </c>
      <c r="F101" s="7">
        <f t="shared" si="50"/>
        <v>695049.601871858</v>
      </c>
      <c r="G101" s="7">
        <f t="shared" si="50"/>
        <v>16121332.715360077</v>
      </c>
      <c r="H101" s="7">
        <f t="shared" si="50"/>
        <v>721332.71536007605</v>
      </c>
      <c r="I101" s="7">
        <f t="shared" si="50"/>
        <v>721332.71536007605</v>
      </c>
      <c r="J101" s="7">
        <f t="shared" si="50"/>
        <v>721332.71536007605</v>
      </c>
      <c r="K101" s="7">
        <f t="shared" si="50"/>
        <v>721332.71536007605</v>
      </c>
      <c r="L101" s="7">
        <f t="shared" si="50"/>
        <v>16147615.828848297</v>
      </c>
      <c r="M101" s="7">
        <f t="shared" si="50"/>
        <v>747615.82884829422</v>
      </c>
      <c r="N101" s="7">
        <f t="shared" si="50"/>
        <v>747615.82884829422</v>
      </c>
      <c r="O101" s="7">
        <f t="shared" si="50"/>
        <v>747615.82884829422</v>
      </c>
      <c r="P101" s="7">
        <f t="shared" si="50"/>
        <v>16173898.942336515</v>
      </c>
      <c r="Q101" s="7">
        <f t="shared" si="50"/>
        <v>773898.94233651238</v>
      </c>
      <c r="R101" s="7">
        <f t="shared" si="50"/>
        <v>773898.94233651238</v>
      </c>
      <c r="S101" s="7">
        <f t="shared" si="50"/>
        <v>773898.94233651238</v>
      </c>
      <c r="T101" s="7">
        <f t="shared" si="50"/>
        <v>16200182.055824732</v>
      </c>
      <c r="U101" s="7">
        <f t="shared" si="50"/>
        <v>800182.05582473055</v>
      </c>
      <c r="V101" s="7">
        <f t="shared" si="50"/>
        <v>800182.05582473055</v>
      </c>
      <c r="W101" s="7">
        <f t="shared" si="50"/>
        <v>800182.05582473055</v>
      </c>
      <c r="X101" s="7">
        <f t="shared" si="50"/>
        <v>800182.05582473055</v>
      </c>
      <c r="Y101" s="7">
        <f t="shared" si="50"/>
        <v>16226465.16931295</v>
      </c>
    </row>
    <row r="102" spans="1:25" ht="15" thickTop="1" x14ac:dyDescent="0.35"/>
    <row r="103" spans="1:25" ht="20" thickBot="1" x14ac:dyDescent="0.5">
      <c r="A103" s="32" t="s">
        <v>59</v>
      </c>
      <c r="D103">
        <v>1</v>
      </c>
      <c r="E103">
        <v>2</v>
      </c>
      <c r="F103" s="30">
        <v>3</v>
      </c>
      <c r="G103" s="30">
        <v>4</v>
      </c>
      <c r="H103" s="30">
        <v>5</v>
      </c>
      <c r="I103" s="30">
        <v>6</v>
      </c>
      <c r="J103" s="30">
        <v>7</v>
      </c>
      <c r="K103" s="30">
        <v>8</v>
      </c>
      <c r="L103" s="30">
        <v>9</v>
      </c>
      <c r="M103" s="30">
        <v>10</v>
      </c>
      <c r="N103" s="30">
        <v>11</v>
      </c>
      <c r="O103" s="30">
        <v>12</v>
      </c>
      <c r="P103" s="30">
        <v>13</v>
      </c>
      <c r="Q103" s="30">
        <v>14</v>
      </c>
      <c r="R103" s="30">
        <v>15</v>
      </c>
      <c r="S103" s="30">
        <v>16</v>
      </c>
      <c r="T103" s="30">
        <v>17</v>
      </c>
      <c r="U103" s="30">
        <v>18</v>
      </c>
      <c r="V103" s="30">
        <v>19</v>
      </c>
      <c r="W103" s="30">
        <v>20</v>
      </c>
      <c r="X103" s="30">
        <v>21</v>
      </c>
      <c r="Y103" s="30">
        <v>22</v>
      </c>
    </row>
    <row r="104" spans="1:25" ht="18" thickTop="1" thickBot="1" x14ac:dyDescent="0.45">
      <c r="A104" s="13" t="str">
        <f>A97</f>
        <v>Replace all GEN1 IGBTs</v>
      </c>
      <c r="D104" s="7">
        <f t="shared" ref="D104:Y104" si="52">(D79-D97)/(1+$B$85)^D$103</f>
        <v>950442319.59100246</v>
      </c>
      <c r="E104" s="7">
        <f t="shared" si="52"/>
        <v>1141176775.1257463</v>
      </c>
      <c r="F104" s="7">
        <f t="shared" si="52"/>
        <v>1117077158.6388664</v>
      </c>
      <c r="G104" s="7">
        <f t="shared" si="52"/>
        <v>1093486483.034306</v>
      </c>
      <c r="H104" s="7">
        <f t="shared" si="52"/>
        <v>1070394000.389091</v>
      </c>
      <c r="I104" s="7">
        <f t="shared" si="52"/>
        <v>1047789189.7571961</v>
      </c>
      <c r="J104" s="7">
        <f t="shared" si="52"/>
        <v>1025661752.3761957</v>
      </c>
      <c r="K104" s="7">
        <f t="shared" si="52"/>
        <v>1004001606.9751438</v>
      </c>
      <c r="L104" s="7">
        <f t="shared" si="52"/>
        <v>982798885.18154109</v>
      </c>
      <c r="M104" s="7">
        <f t="shared" si="52"/>
        <v>962043927.02530086</v>
      </c>
      <c r="N104" s="7">
        <f t="shared" si="52"/>
        <v>941727276.53766131</v>
      </c>
      <c r="O104" s="7">
        <f t="shared" si="52"/>
        <v>921839677.44304192</v>
      </c>
      <c r="P104" s="7">
        <f t="shared" si="52"/>
        <v>902372068.94188035</v>
      </c>
      <c r="Q104" s="7">
        <f t="shared" si="52"/>
        <v>883315581.58252692</v>
      </c>
      <c r="R104" s="7">
        <f t="shared" si="52"/>
        <v>864661533.22031903</v>
      </c>
      <c r="S104" s="7">
        <f t="shared" si="52"/>
        <v>846401425.06199205</v>
      </c>
      <c r="T104" s="7">
        <f t="shared" si="52"/>
        <v>828526937.79362392</v>
      </c>
      <c r="U104" s="7">
        <f t="shared" si="52"/>
        <v>811029927.79035342</v>
      </c>
      <c r="V104" s="7">
        <f t="shared" si="52"/>
        <v>793902423.40613961</v>
      </c>
      <c r="W104" s="7">
        <f t="shared" si="52"/>
        <v>777136621.34187651</v>
      </c>
      <c r="X104" s="7">
        <f t="shared" si="52"/>
        <v>760724883.09020638</v>
      </c>
      <c r="Y104" s="7">
        <f t="shared" si="52"/>
        <v>744659731.45541239</v>
      </c>
    </row>
    <row r="105" spans="1:25" ht="18" thickTop="1" thickBot="1" x14ac:dyDescent="0.45">
      <c r="A105" s="13" t="str">
        <f>A98</f>
        <v>Replace one entire converter building</v>
      </c>
      <c r="D105" s="7">
        <f t="shared" ref="D105:Y105" si="53">(D80-D98)/(1+$B$85)^D$103</f>
        <v>1144569649.7541246</v>
      </c>
      <c r="E105" s="7">
        <f t="shared" si="53"/>
        <v>1141478991.8896117</v>
      </c>
      <c r="F105" s="7">
        <f t="shared" si="53"/>
        <v>1117372993.1241369</v>
      </c>
      <c r="G105" s="7">
        <f t="shared" si="53"/>
        <v>1093776070.023313</v>
      </c>
      <c r="H105" s="7">
        <f t="shared" si="53"/>
        <v>1070677471.8178039</v>
      </c>
      <c r="I105" s="7">
        <f t="shared" si="53"/>
        <v>1048066674.7753317</v>
      </c>
      <c r="J105" s="7">
        <f t="shared" si="53"/>
        <v>1025933377.4060599</v>
      </c>
      <c r="K105" s="7">
        <f t="shared" si="53"/>
        <v>1004267495.7692286</v>
      </c>
      <c r="L105" s="7">
        <f t="shared" si="53"/>
        <v>983059158.8789072</v>
      </c>
      <c r="M105" s="7">
        <f t="shared" si="53"/>
        <v>962298704.2067678</v>
      </c>
      <c r="N105" s="7">
        <f t="shared" si="53"/>
        <v>941976673.27983367</v>
      </c>
      <c r="O105" s="7">
        <f t="shared" si="53"/>
        <v>922083807.37119353</v>
      </c>
      <c r="P105" s="7">
        <f t="shared" si="53"/>
        <v>885882056.03050232</v>
      </c>
      <c r="Q105" s="7">
        <f t="shared" si="53"/>
        <v>883491027.30379248</v>
      </c>
      <c r="R105" s="7">
        <f t="shared" si="53"/>
        <v>864833273.84112263</v>
      </c>
      <c r="S105" s="7">
        <f t="shared" si="53"/>
        <v>846569538.82744169</v>
      </c>
      <c r="T105" s="7">
        <f t="shared" si="53"/>
        <v>828691501.29643083</v>
      </c>
      <c r="U105" s="7">
        <f t="shared" si="53"/>
        <v>811191016.00572741</v>
      </c>
      <c r="V105" s="7">
        <f t="shared" si="53"/>
        <v>794060109.72594786</v>
      </c>
      <c r="W105" s="7">
        <f t="shared" si="53"/>
        <v>777290977.60808086</v>
      </c>
      <c r="X105" s="7">
        <f t="shared" si="53"/>
        <v>760875979.62759495</v>
      </c>
      <c r="Y105" s="7">
        <f t="shared" si="53"/>
        <v>744807637.10363901</v>
      </c>
    </row>
    <row r="106" spans="1:25" ht="18" thickTop="1" thickBot="1" x14ac:dyDescent="0.45">
      <c r="A106" s="13" t="str">
        <f>A99</f>
        <v>Asset replacement contract</v>
      </c>
      <c r="D106" s="7">
        <f t="shared" ref="D106:Y106" si="54">(D81-D99)/(1+$B$85)^D$103</f>
        <v>1164489894.0789323</v>
      </c>
      <c r="E106" s="7">
        <f t="shared" si="54"/>
        <v>1138316900.3778777</v>
      </c>
      <c r="F106" s="7">
        <f t="shared" si="54"/>
        <v>1114277679.3407884</v>
      </c>
      <c r="G106" s="7">
        <f t="shared" si="54"/>
        <v>1090746123.7419248</v>
      </c>
      <c r="H106" s="7">
        <f t="shared" si="54"/>
        <v>1067711512.593416</v>
      </c>
      <c r="I106" s="7">
        <f t="shared" si="54"/>
        <v>1045163351.3155173</v>
      </c>
      <c r="J106" s="7">
        <f t="shared" si="54"/>
        <v>1023091366.955276</v>
      </c>
      <c r="K106" s="7">
        <f t="shared" si="54"/>
        <v>1001485503.5061687</v>
      </c>
      <c r="L106" s="7">
        <f t="shared" si="54"/>
        <v>980335917.32657897</v>
      </c>
      <c r="M106" s="7">
        <f t="shared" si="54"/>
        <v>959632972.65503097</v>
      </c>
      <c r="N106" s="7">
        <f t="shared" si="54"/>
        <v>939367237.22013104</v>
      </c>
      <c r="O106" s="7">
        <f t="shared" si="54"/>
        <v>920806642.65720737</v>
      </c>
      <c r="P106" s="7">
        <f t="shared" si="54"/>
        <v>901301106.42179215</v>
      </c>
      <c r="Q106" s="7">
        <f t="shared" si="54"/>
        <v>882267235.87919188</v>
      </c>
      <c r="R106" s="7">
        <f t="shared" si="54"/>
        <v>863635326.70693839</v>
      </c>
      <c r="S106" s="7">
        <f t="shared" si="54"/>
        <v>845396890.19839239</v>
      </c>
      <c r="T106" s="7">
        <f t="shared" si="54"/>
        <v>827543616.91324604</v>
      </c>
      <c r="U106" s="7">
        <f t="shared" si="54"/>
        <v>810067372.89173853</v>
      </c>
      <c r="V106" s="7">
        <f t="shared" si="54"/>
        <v>792960195.94882023</v>
      </c>
      <c r="W106" s="7">
        <f t="shared" si="54"/>
        <v>776214292.04657698</v>
      </c>
      <c r="X106" s="7">
        <f t="shared" si="54"/>
        <v>759822031.74326324</v>
      </c>
      <c r="Y106" s="7">
        <f t="shared" si="54"/>
        <v>743775946.71732438</v>
      </c>
    </row>
    <row r="107" spans="1:25" ht="18" thickTop="1" thickBot="1" x14ac:dyDescent="0.45">
      <c r="A107" s="13" t="str">
        <f>A100</f>
        <v>Cannibalise  entire converter building</v>
      </c>
      <c r="D107" s="7">
        <f t="shared" ref="D107:Y107" si="55">(D82-D100)/(1+$B$85)^D$103</f>
        <v>1129609742.6881583</v>
      </c>
      <c r="E107" s="7">
        <f t="shared" si="55"/>
        <v>1106017908.9051528</v>
      </c>
      <c r="F107" s="7">
        <f t="shared" si="55"/>
        <v>1082660784.914176</v>
      </c>
      <c r="G107" s="7">
        <f t="shared" si="55"/>
        <v>1059796921.6893566</v>
      </c>
      <c r="H107" s="7">
        <f t="shared" si="55"/>
        <v>1037415902.4437845</v>
      </c>
      <c r="I107" s="7">
        <f t="shared" si="55"/>
        <v>1015507530.3744961</v>
      </c>
      <c r="J107" s="7">
        <f t="shared" si="55"/>
        <v>994061824.01680481</v>
      </c>
      <c r="K107" s="7">
        <f t="shared" si="55"/>
        <v>973069012.6967417</v>
      </c>
      <c r="L107" s="7">
        <f t="shared" si="55"/>
        <v>952519532.07953048</v>
      </c>
      <c r="M107" s="7">
        <f t="shared" si="55"/>
        <v>932404019.81207359</v>
      </c>
      <c r="N107" s="7">
        <f t="shared" si="55"/>
        <v>912713311.25745904</v>
      </c>
      <c r="O107" s="7">
        <f t="shared" si="55"/>
        <v>893438435.31954741</v>
      </c>
      <c r="P107" s="7">
        <f t="shared" si="55"/>
        <v>874570610.35573637</v>
      </c>
      <c r="Q107" s="7">
        <f t="shared" si="55"/>
        <v>856101240.17603993</v>
      </c>
      <c r="R107" s="7">
        <f t="shared" si="55"/>
        <v>838021910.12666059</v>
      </c>
      <c r="S107" s="7">
        <f t="shared" si="55"/>
        <v>820324383.25626898</v>
      </c>
      <c r="T107" s="7">
        <f t="shared" si="55"/>
        <v>803000596.56324422</v>
      </c>
      <c r="U107" s="7">
        <f t="shared" si="55"/>
        <v>786042657.32216799</v>
      </c>
      <c r="V107" s="7">
        <f t="shared" si="55"/>
        <v>769442839.4878937</v>
      </c>
      <c r="W107" s="7">
        <f t="shared" si="55"/>
        <v>753193580.17555737</v>
      </c>
      <c r="X107" s="7">
        <f t="shared" si="55"/>
        <v>737287476.21492362</v>
      </c>
      <c r="Y107" s="7">
        <f t="shared" si="55"/>
        <v>721717280.77749789</v>
      </c>
    </row>
    <row r="108" spans="1:25" s="47" customFormat="1" ht="18" thickTop="1" thickBot="1" x14ac:dyDescent="0.45">
      <c r="A108" s="13" t="str">
        <f>A101</f>
        <v>Replace one Valve room</v>
      </c>
      <c r="D108" s="7">
        <f t="shared" ref="D108:Y108" si="56">(D83-D101)/(1+$B$85)^D$103</f>
        <v>1151081725.6572368</v>
      </c>
      <c r="E108" s="7">
        <f t="shared" si="56"/>
        <v>1141529361.350256</v>
      </c>
      <c r="F108" s="7">
        <f t="shared" si="56"/>
        <v>1117422298.8716819</v>
      </c>
      <c r="G108" s="7">
        <f t="shared" si="56"/>
        <v>1079660452.9592524</v>
      </c>
      <c r="H108" s="7">
        <f t="shared" si="56"/>
        <v>1070701094.4368632</v>
      </c>
      <c r="I108" s="7">
        <f t="shared" si="56"/>
        <v>1048089798.526843</v>
      </c>
      <c r="J108" s="7">
        <f t="shared" si="56"/>
        <v>1025956012.8252151</v>
      </c>
      <c r="K108" s="7">
        <f t="shared" si="56"/>
        <v>1004289653.1687357</v>
      </c>
      <c r="L108" s="7">
        <f t="shared" si="56"/>
        <v>970350698.30137575</v>
      </c>
      <c r="M108" s="7">
        <f t="shared" si="56"/>
        <v>962298704.2067678</v>
      </c>
      <c r="N108" s="7">
        <f t="shared" si="56"/>
        <v>941976673.27983367</v>
      </c>
      <c r="O108" s="7">
        <f t="shared" si="56"/>
        <v>922083807.37119353</v>
      </c>
      <c r="P108" s="7">
        <f t="shared" si="56"/>
        <v>890922658.18702042</v>
      </c>
      <c r="Q108" s="7">
        <f t="shared" si="56"/>
        <v>883530015.24185145</v>
      </c>
      <c r="R108" s="7">
        <f t="shared" si="56"/>
        <v>864871438.42352331</v>
      </c>
      <c r="S108" s="7">
        <f t="shared" si="56"/>
        <v>846606897.44198608</v>
      </c>
      <c r="T108" s="7">
        <f t="shared" si="56"/>
        <v>817996198.55368388</v>
      </c>
      <c r="U108" s="7">
        <f t="shared" si="56"/>
        <v>811208914.69632459</v>
      </c>
      <c r="V108" s="7">
        <f t="shared" si="56"/>
        <v>794077630.42814875</v>
      </c>
      <c r="W108" s="7">
        <f t="shared" si="56"/>
        <v>777308128.30432582</v>
      </c>
      <c r="X108" s="7">
        <f t="shared" si="56"/>
        <v>760892768.13174927</v>
      </c>
      <c r="Y108" s="7">
        <f t="shared" si="56"/>
        <v>735178526.83136976</v>
      </c>
    </row>
    <row r="109" spans="1:25" ht="15" thickTop="1" x14ac:dyDescent="0.35"/>
    <row r="110" spans="1:25" ht="20" thickBot="1" x14ac:dyDescent="0.5">
      <c r="A110" s="32" t="s">
        <v>61</v>
      </c>
    </row>
    <row r="111" spans="1:25" ht="18" thickTop="1" thickBot="1" x14ac:dyDescent="0.45">
      <c r="A111" s="13" t="str">
        <f>A44</f>
        <v>Replace all GEN1 IGBTs</v>
      </c>
      <c r="D111" s="7">
        <f>B37*$B$85</f>
        <v>4746239.4035285814</v>
      </c>
    </row>
    <row r="112" spans="1:25" ht="18" thickTop="1" thickBot="1" x14ac:dyDescent="0.45">
      <c r="A112" s="13" t="str">
        <f>A45</f>
        <v>Replace one entire converter building</v>
      </c>
      <c r="D112" s="7">
        <f>B38*$B$85</f>
        <v>474623.94035285804</v>
      </c>
    </row>
    <row r="113" spans="1:8" ht="18" thickTop="1" thickBot="1" x14ac:dyDescent="0.45">
      <c r="A113" s="13" t="str">
        <f>A46</f>
        <v>Asset replacement contract</v>
      </c>
      <c r="D113" s="7">
        <f>B39*$B$85</f>
        <v>71193.591052928721</v>
      </c>
    </row>
    <row r="114" spans="1:8" ht="18" thickTop="1" thickBot="1" x14ac:dyDescent="0.45">
      <c r="A114" s="13" t="str">
        <f>A47</f>
        <v>Cannibalise  entire converter building</v>
      </c>
      <c r="D114" s="7">
        <f>B40*$B$85</f>
        <v>5932.7992544107256</v>
      </c>
    </row>
    <row r="115" spans="1:8" s="47" customFormat="1" ht="18" thickTop="1" thickBot="1" x14ac:dyDescent="0.45">
      <c r="A115" s="13" t="str">
        <f>A48</f>
        <v>Replace one Valve room</v>
      </c>
      <c r="D115" s="7">
        <f>B41*$B$85</f>
        <v>332236.75824700069</v>
      </c>
    </row>
    <row r="116" spans="1:8" ht="15" thickTop="1" x14ac:dyDescent="0.35"/>
    <row r="117" spans="1:8" ht="20" thickBot="1" x14ac:dyDescent="0.5">
      <c r="A117" s="32" t="s">
        <v>62</v>
      </c>
      <c r="E117" t="s">
        <v>94</v>
      </c>
      <c r="G117" t="s">
        <v>91</v>
      </c>
    </row>
    <row r="118" spans="1:8" ht="18" thickTop="1" thickBot="1" x14ac:dyDescent="0.45">
      <c r="A118" s="13" t="str">
        <f>A111</f>
        <v>Replace all GEN1 IGBTs</v>
      </c>
      <c r="D118" s="7">
        <f>NPV($B$85,$D97:$Y97)</f>
        <v>233818331.00882515</v>
      </c>
      <c r="E118" s="6">
        <f>INDEX(VCU!$C$9:$C$35,MATCH(A5,VCU!$A$9:$A$35,0))*1000000</f>
        <v>1957763.5700056651</v>
      </c>
      <c r="F118" s="7">
        <f>D118+E118</f>
        <v>235776094.57883081</v>
      </c>
      <c r="G118" s="6">
        <f>'Replacement k'!$C$7</f>
        <v>11185937.268578742</v>
      </c>
      <c r="H118" s="7">
        <f>F118+G118</f>
        <v>246962031.84740955</v>
      </c>
    </row>
    <row r="119" spans="1:8" ht="18" thickTop="1" thickBot="1" x14ac:dyDescent="0.45">
      <c r="A119" s="13" t="str">
        <f>A112</f>
        <v>Replace one entire converter building</v>
      </c>
      <c r="D119" s="7">
        <f>NPV($B$85,$D98:$Y98)</f>
        <v>51734331.101655886</v>
      </c>
      <c r="E119" s="6">
        <f>INDEX(VCU!$C$9:$C$35,MATCH(A6,VCU!$A$9:$A$35,0))*1000000</f>
        <v>1957763.5700056651</v>
      </c>
      <c r="F119" s="7">
        <f t="shared" ref="F119:F121" si="57">D119+E119</f>
        <v>53692094.671661548</v>
      </c>
      <c r="G119" s="6">
        <f>'Replacement k'!$C$7</f>
        <v>11185937.268578742</v>
      </c>
      <c r="H119" s="7">
        <f>F119+G119</f>
        <v>64878031.940240294</v>
      </c>
    </row>
    <row r="120" spans="1:8" ht="18" thickTop="1" thickBot="1" x14ac:dyDescent="0.45">
      <c r="A120" s="13" t="str">
        <f>A113</f>
        <v>Asset replacement contract</v>
      </c>
      <c r="D120" s="7">
        <f>NPV($B$85,$D99:$Y99)</f>
        <v>56579399.532114632</v>
      </c>
      <c r="E120" s="6">
        <f>INDEX(VCU!$C$9:$C$35,MATCH(A7,VCU!$A$9:$A$35,0))*1000000</f>
        <v>0</v>
      </c>
      <c r="F120" s="7">
        <f t="shared" si="57"/>
        <v>56579399.532114632</v>
      </c>
      <c r="H120" s="7">
        <f>F120+G120</f>
        <v>56579399.532114632</v>
      </c>
    </row>
    <row r="121" spans="1:8" ht="18" thickTop="1" thickBot="1" x14ac:dyDescent="0.45">
      <c r="A121" s="13" t="str">
        <f>A114</f>
        <v>Cannibalise  entire converter building</v>
      </c>
      <c r="D121" s="7">
        <f>NPV($B$85,$D100:$Y100)</f>
        <v>10956232.251777174</v>
      </c>
      <c r="E121" s="6">
        <f>INDEX(VCU!$C$9:$C$35,MATCH(A8,VCU!$A$9:$A$35,0))*1000000</f>
        <v>1761987.2130050985</v>
      </c>
      <c r="F121" s="7">
        <f t="shared" si="57"/>
        <v>12718219.464782272</v>
      </c>
      <c r="G121" s="6">
        <f>'Replacement k'!$C$7</f>
        <v>11185937.268578742</v>
      </c>
      <c r="H121" s="7">
        <f>F121+G121</f>
        <v>23904156.733361013</v>
      </c>
    </row>
    <row r="122" spans="1:8" s="47" customFormat="1" ht="18" thickTop="1" thickBot="1" x14ac:dyDescent="0.45">
      <c r="A122" s="13" t="str">
        <f>A115</f>
        <v>Replace one Valve room</v>
      </c>
      <c r="D122" s="7">
        <f>NPV($B$85,$D101:$Y101)</f>
        <v>86955059.573009938</v>
      </c>
      <c r="E122" s="6">
        <f>INDEX(VCU!$C$9:$C$35,MATCH(A9,VCU!$A$9:$A$35,0))*1000000</f>
        <v>1916419.0980206635</v>
      </c>
      <c r="F122" s="7">
        <f t="shared" ref="F122" si="58">D122+E122</f>
        <v>88871478.671030596</v>
      </c>
      <c r="G122" s="6">
        <f>'Replacement k'!$C$7</f>
        <v>11185937.268578742</v>
      </c>
      <c r="H122" s="7">
        <f>F122+G122</f>
        <v>100057415.93960933</v>
      </c>
    </row>
    <row r="123" spans="1:8" ht="15" thickTop="1" x14ac:dyDescent="0.35"/>
  </sheetData>
  <scenarios current="2" show="2">
    <scenario name="Higher failure" locked="1" count="2" user="Allen, Mark" comment="Created by Allen, Mark on 23/01/2019_x000a_Modified by Allen, Mark on 23/01/2019">
      <inputCells r="B25" val="67"/>
      <inputCells r="B34" val="0.606060606060606" numFmtId="9"/>
    </scenario>
    <scenario name="Lower Failure" locked="1" count="2" user="Allen, Mark" comment="Created by Allen, Mark on 23/01/2019_x000a_Modified by Allen, Mark on 23/01/2019">
      <inputCells r="B25" val="22"/>
      <inputCells r="B34" val="0.733333333333333" numFmtId="9"/>
    </scenario>
    <scenario name="Default" locked="1" count="2" user="Allen, Mark" comment="Created by Allen, Mark on 23/01/2019_x000a_Modified by Allen, Mark on 23/01/2019">
      <inputCells r="B25" val="44"/>
      <inputCells r="B34" val="0.666666666666667" numFmtId="9"/>
    </scenario>
    <scenario name="ABB recovery ratio" locked="1" count="1" user="Allen, Mark" comment="Created by Allen, Mark on 23/01/2019_x000a_Modified by Allen, Mark on 23/01/2019">
      <inputCells r="B34" val="0.4" numFmtId="9"/>
    </scenario>
  </scenarios>
  <mergeCells count="1">
    <mergeCell ref="B2:D2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BI35"/>
  <sheetViews>
    <sheetView workbookViewId="0"/>
  </sheetViews>
  <sheetFormatPr defaultRowHeight="14.5" x14ac:dyDescent="0.35"/>
  <cols>
    <col min="1" max="1" width="42" bestFit="1" customWidth="1"/>
  </cols>
  <sheetData>
    <row r="1" spans="1:61" x14ac:dyDescent="0.35">
      <c r="D1" t="str">
        <f>IGBTs!D1</f>
        <v>FY 21</v>
      </c>
      <c r="E1" s="40" t="str">
        <f>IGBTs!E1</f>
        <v>FY 22</v>
      </c>
      <c r="F1" s="40" t="str">
        <f>IGBTs!F1</f>
        <v>FY 23</v>
      </c>
      <c r="G1" s="40" t="str">
        <f>IGBTs!G1</f>
        <v>FY 24</v>
      </c>
      <c r="H1" s="40" t="str">
        <f>IGBTs!H1</f>
        <v>FY 25</v>
      </c>
      <c r="I1" s="40" t="str">
        <f>IGBTs!I1</f>
        <v>FY 26</v>
      </c>
      <c r="J1" s="40" t="str">
        <f>IGBTs!J1</f>
        <v>FY 27</v>
      </c>
      <c r="K1" s="40" t="str">
        <f>IGBTs!K1</f>
        <v>FY 28</v>
      </c>
      <c r="L1" s="40" t="str">
        <f>IGBTs!L1</f>
        <v>FY 29</v>
      </c>
      <c r="M1" s="40" t="str">
        <f>IGBTs!M1</f>
        <v>FY 30</v>
      </c>
      <c r="N1" s="40" t="str">
        <f>IGBTs!N1</f>
        <v>FY 31</v>
      </c>
      <c r="O1" s="40" t="str">
        <f>IGBTs!O1</f>
        <v>FY 32</v>
      </c>
      <c r="P1" s="40" t="str">
        <f>IGBTs!P1</f>
        <v>FY 33</v>
      </c>
      <c r="Q1" s="40" t="str">
        <f>IGBTs!Q1</f>
        <v>FY 34</v>
      </c>
      <c r="R1" s="40" t="str">
        <f>IGBTs!R1</f>
        <v>FY 35</v>
      </c>
      <c r="S1" s="40" t="str">
        <f>IGBTs!S1</f>
        <v>FY 36</v>
      </c>
      <c r="T1" s="40" t="str">
        <f>IGBTs!T1</f>
        <v>FY 37</v>
      </c>
      <c r="U1" s="40" t="str">
        <f>IGBTs!U1</f>
        <v>FY 38</v>
      </c>
      <c r="V1" s="40" t="str">
        <f>IGBTs!V1</f>
        <v>FY 39</v>
      </c>
      <c r="W1" s="40" t="str">
        <f>IGBTs!W1</f>
        <v>FY 40</v>
      </c>
      <c r="X1" s="40" t="str">
        <f>IGBTs!X1</f>
        <v>FY 41</v>
      </c>
      <c r="Y1" s="40" t="str">
        <f>IGBTs!Y1</f>
        <v>FY 42</v>
      </c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</row>
    <row r="2" spans="1:61" x14ac:dyDescent="0.35">
      <c r="D2">
        <v>1</v>
      </c>
      <c r="E2">
        <v>2</v>
      </c>
      <c r="F2" s="40">
        <v>3</v>
      </c>
      <c r="G2" s="40">
        <v>4</v>
      </c>
      <c r="H2" s="40">
        <v>5</v>
      </c>
      <c r="I2" s="40">
        <v>6</v>
      </c>
      <c r="J2" s="40">
        <v>7</v>
      </c>
      <c r="K2" s="40">
        <v>8</v>
      </c>
      <c r="L2" s="40">
        <v>9</v>
      </c>
      <c r="M2" s="40">
        <v>10</v>
      </c>
      <c r="N2" s="40">
        <v>11</v>
      </c>
      <c r="O2" s="40">
        <v>12</v>
      </c>
      <c r="P2" s="40">
        <v>13</v>
      </c>
      <c r="Q2" s="40">
        <v>14</v>
      </c>
      <c r="R2" s="40">
        <v>15</v>
      </c>
      <c r="S2" s="40">
        <v>16</v>
      </c>
      <c r="T2" s="40">
        <v>17</v>
      </c>
      <c r="U2" s="40">
        <v>18</v>
      </c>
      <c r="V2" s="40">
        <v>19</v>
      </c>
      <c r="W2" s="40">
        <v>20</v>
      </c>
      <c r="X2" s="40">
        <v>21</v>
      </c>
      <c r="Y2" s="40">
        <v>22</v>
      </c>
    </row>
    <row r="3" spans="1:61" x14ac:dyDescent="0.35">
      <c r="A3" s="16" t="s">
        <v>65</v>
      </c>
      <c r="B3" s="9">
        <v>1</v>
      </c>
    </row>
    <row r="4" spans="1:61" s="40" customFormat="1" x14ac:dyDescent="0.35">
      <c r="A4" s="16" t="s">
        <v>69</v>
      </c>
      <c r="B4" s="9">
        <v>15</v>
      </c>
    </row>
    <row r="5" spans="1:61" x14ac:dyDescent="0.35">
      <c r="A5" s="16" t="s">
        <v>66</v>
      </c>
      <c r="B5" s="9">
        <f>B3*B4</f>
        <v>15</v>
      </c>
    </row>
    <row r="6" spans="1:61" x14ac:dyDescent="0.35">
      <c r="A6" s="16" t="s">
        <v>64</v>
      </c>
      <c r="B6" s="42">
        <v>0.6</v>
      </c>
    </row>
    <row r="7" spans="1:61" x14ac:dyDescent="0.35">
      <c r="A7" s="16" t="s">
        <v>67</v>
      </c>
      <c r="B7" s="42">
        <v>2</v>
      </c>
    </row>
    <row r="9" spans="1:61" s="40" customFormat="1" ht="20" thickBot="1" x14ac:dyDescent="0.5">
      <c r="A9" s="32" t="str">
        <f>IGBTs!A5</f>
        <v>Replace all GEN1 IGBTs</v>
      </c>
      <c r="B9" s="32"/>
      <c r="C9" s="44">
        <f>C11</f>
        <v>1.957763570005665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61" ht="18" thickTop="1" thickBot="1" x14ac:dyDescent="0.45">
      <c r="A10" s="13" t="s">
        <v>68</v>
      </c>
      <c r="C10" s="43"/>
      <c r="D10" s="39">
        <f>IF(IGBTs!D74&lt;IGBTs!C74,VCU!$B$7,0)</f>
        <v>2</v>
      </c>
      <c r="E10" s="39">
        <f>IF(IGBTs!E74&lt;IGBTs!D74,VCU!$B$7,0)</f>
        <v>0</v>
      </c>
      <c r="F10" s="39">
        <f>IF(IGBTs!F74&lt;IGBTs!E74,VCU!$B$7,0)</f>
        <v>0</v>
      </c>
      <c r="G10" s="39">
        <f>IF(IGBTs!G74&lt;IGBTs!F74,VCU!$B$7,0)</f>
        <v>0</v>
      </c>
      <c r="H10" s="39">
        <f>IF(IGBTs!H74&lt;IGBTs!G74,VCU!$B$7,0)</f>
        <v>0</v>
      </c>
      <c r="I10" s="39">
        <f>IF(IGBTs!I74&lt;IGBTs!H74,VCU!$B$7,0)</f>
        <v>0</v>
      </c>
      <c r="J10" s="39">
        <f>IF(IGBTs!J74&lt;IGBTs!I74,VCU!$B$7,0)</f>
        <v>0</v>
      </c>
      <c r="K10" s="39">
        <f>IF(IGBTs!K74&lt;IGBTs!J74,VCU!$B$7,0)</f>
        <v>0</v>
      </c>
      <c r="L10" s="39">
        <f>IF(IGBTs!L74&lt;IGBTs!K74,VCU!$B$7,0)</f>
        <v>0</v>
      </c>
      <c r="M10" s="39">
        <f>IF(IGBTs!M74&lt;IGBTs!L74,VCU!$B$7,0)</f>
        <v>0</v>
      </c>
      <c r="N10" s="39">
        <f>IF(IGBTs!N74&lt;IGBTs!M74,VCU!$B$7,0)</f>
        <v>0</v>
      </c>
      <c r="O10" s="39">
        <f>IF(IGBTs!O74&lt;IGBTs!N74,VCU!$B$7,0)</f>
        <v>0</v>
      </c>
      <c r="P10" s="39">
        <f>IF(IGBTs!P74&lt;IGBTs!O74,VCU!$B$7,0)</f>
        <v>0</v>
      </c>
      <c r="Q10" s="39">
        <f>IF(IGBTs!Q74&lt;IGBTs!P74,VCU!$B$7,0)</f>
        <v>0</v>
      </c>
      <c r="R10" s="39">
        <f>IF(IGBTs!R74&lt;IGBTs!Q74,VCU!$B$7,0)</f>
        <v>0</v>
      </c>
      <c r="S10" s="39">
        <f>IF(IGBTs!S74&lt;IGBTs!R74,VCU!$B$7,0)</f>
        <v>0</v>
      </c>
      <c r="T10" s="39">
        <f>IF(IGBTs!T74&lt;IGBTs!S74,VCU!$B$7,0)</f>
        <v>0</v>
      </c>
      <c r="U10" s="39">
        <f>IF(IGBTs!U74&lt;IGBTs!T74,VCU!$B$7,0)</f>
        <v>0</v>
      </c>
      <c r="V10" s="39">
        <f>IF(IGBTs!V74&lt;IGBTs!U74,VCU!$B$7,0)</f>
        <v>0</v>
      </c>
      <c r="W10" s="39">
        <f>IF(IGBTs!W74&lt;IGBTs!V74,VCU!$B$7,0)</f>
        <v>0</v>
      </c>
      <c r="X10" s="39">
        <f>IF(IGBTs!X74&lt;IGBTs!W74,VCU!$B$7,0)</f>
        <v>0</v>
      </c>
      <c r="Y10" s="39">
        <f>IF(IGBTs!Y74&lt;IGBTs!X74,VCU!$B$7,0)</f>
        <v>0</v>
      </c>
    </row>
    <row r="11" spans="1:61" ht="15" thickTop="1" x14ac:dyDescent="0.35">
      <c r="A11" t="s">
        <v>72</v>
      </c>
      <c r="C11" s="43">
        <f>SUM(D11:Y11)</f>
        <v>1.957763570005665</v>
      </c>
      <c r="D11" s="39">
        <f>D10/(1+IGBTs!$B$85)^D$2</f>
        <v>1.957763570005665</v>
      </c>
      <c r="E11" s="39">
        <f>E10/(1+IGBTs!$B$85)^E$2</f>
        <v>0</v>
      </c>
      <c r="F11" s="39">
        <f>F10/(1+IGBTs!$B$85)^F$2</f>
        <v>0</v>
      </c>
      <c r="G11" s="39">
        <f>G10/(1+IGBTs!$B$85)^G$2</f>
        <v>0</v>
      </c>
      <c r="H11" s="39">
        <f>H10/(1+IGBTs!$B$85)^H$2</f>
        <v>0</v>
      </c>
      <c r="I11" s="39">
        <f>I10/(1+IGBTs!$B$85)^I$2</f>
        <v>0</v>
      </c>
      <c r="J11" s="39">
        <f>J10/(1+IGBTs!$B$85)^J$2</f>
        <v>0</v>
      </c>
      <c r="K11" s="39">
        <f>K10/(1+IGBTs!$B$85)^K$2</f>
        <v>0</v>
      </c>
      <c r="L11" s="39">
        <f>L10/(1+IGBTs!$B$85)^L$2</f>
        <v>0</v>
      </c>
      <c r="M11" s="39">
        <f>M10/(1+IGBTs!$B$85)^M$2</f>
        <v>0</v>
      </c>
      <c r="N11" s="39">
        <f>N10/(1+IGBTs!$B$85)^N$2</f>
        <v>0</v>
      </c>
      <c r="O11" s="39">
        <f>O10/(1+IGBTs!$B$85)^O$2</f>
        <v>0</v>
      </c>
      <c r="P11" s="39">
        <f>P10/(1+IGBTs!$B$85)^P$2</f>
        <v>0</v>
      </c>
      <c r="Q11" s="39">
        <f>Q10/(1+IGBTs!$B$85)^Q$2</f>
        <v>0</v>
      </c>
      <c r="R11" s="39">
        <f>R10/(1+IGBTs!$B$85)^R$2</f>
        <v>0</v>
      </c>
      <c r="S11" s="39">
        <f>S10/(1+IGBTs!$B$85)^S$2</f>
        <v>0</v>
      </c>
      <c r="T11" s="39">
        <f>T10/(1+IGBTs!$B$85)^T$2</f>
        <v>0</v>
      </c>
      <c r="U11" s="39">
        <f>U10/(1+IGBTs!$B$85)^U$2</f>
        <v>0</v>
      </c>
      <c r="V11" s="39">
        <f>V10/(1+IGBTs!$B$85)^V$2</f>
        <v>0</v>
      </c>
      <c r="W11" s="39">
        <f>W10/(1+IGBTs!$B$85)^W$2</f>
        <v>0</v>
      </c>
      <c r="X11" s="39">
        <f>X10/(1+IGBTs!$B$85)^X$2</f>
        <v>0</v>
      </c>
      <c r="Y11" s="39">
        <f>Y10/(1+IGBTs!$B$85)^Y$2</f>
        <v>0</v>
      </c>
    </row>
    <row r="12" spans="1:61" s="40" customFormat="1" x14ac:dyDescent="0.35"/>
    <row r="13" spans="1:61" ht="20" thickBot="1" x14ac:dyDescent="0.5">
      <c r="A13" s="32" t="str">
        <f>IGBTs!A6</f>
        <v>Replace one entire converter building</v>
      </c>
      <c r="B13" s="32"/>
      <c r="C13" s="44">
        <f>MIN(C14:C17)</f>
        <v>1.957763570005665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61" ht="18" thickTop="1" thickBot="1" x14ac:dyDescent="0.45">
      <c r="A14" s="13" t="s">
        <v>70</v>
      </c>
      <c r="C14" s="43"/>
      <c r="D14" s="39">
        <f>IF(IGBTs!D75&lt;IGBTs!C75,3*$B$6,0)</f>
        <v>1.7999999999999998</v>
      </c>
      <c r="E14" s="39">
        <f>IF(IGBTs!E75&lt;IGBTs!D75,3*$B$6,0)</f>
        <v>0</v>
      </c>
      <c r="F14" s="39">
        <f>IF(IGBTs!F75&lt;IGBTs!E75,3*$B$6,0)</f>
        <v>0</v>
      </c>
      <c r="G14" s="39">
        <f>IF(IGBTs!G75&lt;IGBTs!F75,3*$B$6,0)</f>
        <v>0</v>
      </c>
      <c r="H14" s="39">
        <f>IF(IGBTs!H75&lt;IGBTs!G75,3*$B$6,0)</f>
        <v>0</v>
      </c>
      <c r="I14" s="39">
        <f>IF(IGBTs!I75&lt;IGBTs!H75,3*$B$6,0)</f>
        <v>0</v>
      </c>
      <c r="J14" s="39">
        <f>IF(IGBTs!J75&lt;IGBTs!I75,3*$B$6,0)</f>
        <v>0</v>
      </c>
      <c r="K14" s="39">
        <f>IF(IGBTs!K75&lt;IGBTs!J75,3*$B$6,0)</f>
        <v>0</v>
      </c>
      <c r="L14" s="39">
        <f>IF(IGBTs!L75&lt;IGBTs!K75,3*$B$6,0)</f>
        <v>0</v>
      </c>
      <c r="M14" s="39">
        <f>IF(IGBTs!M75&lt;IGBTs!L75,3*$B$6,0)</f>
        <v>0</v>
      </c>
      <c r="N14" s="39">
        <f>IF(IGBTs!N75&lt;IGBTs!M75,3*$B$6,0)</f>
        <v>0</v>
      </c>
      <c r="O14" s="39">
        <f>IF(IGBTs!O75&lt;IGBTs!N75,3*$B$6,0)</f>
        <v>0</v>
      </c>
      <c r="P14" s="39">
        <f>IF(IGBTs!P75&lt;IGBTs!O75,3*$B$6,0)</f>
        <v>1.7999999999999998</v>
      </c>
      <c r="Q14" s="39">
        <f>IF(IGBTs!Q75&lt;IGBTs!P75,3*$B$6,0)</f>
        <v>0</v>
      </c>
      <c r="R14" s="39">
        <f>IF(IGBTs!R75&lt;IGBTs!Q75,3*$B$6,0)</f>
        <v>0</v>
      </c>
      <c r="S14" s="39">
        <f>IF(IGBTs!S75&lt;IGBTs!R75,3*$B$6,0)</f>
        <v>0</v>
      </c>
      <c r="T14" s="39">
        <f>IF(IGBTs!T75&lt;IGBTs!S75,3*$B$6,0)</f>
        <v>0</v>
      </c>
      <c r="U14" s="39">
        <f>IF(IGBTs!U75&lt;IGBTs!T75,3*$B$6,0)</f>
        <v>0</v>
      </c>
      <c r="V14" s="39">
        <f>IF(IGBTs!V75&lt;IGBTs!U75,3*$B$6,0)</f>
        <v>0</v>
      </c>
      <c r="W14" s="39">
        <f>IF(IGBTs!W75&lt;IGBTs!V75,3*$B$6,0)</f>
        <v>0</v>
      </c>
      <c r="X14" s="39">
        <f>IF(IGBTs!X75&lt;IGBTs!W75,3*$B$6,0)</f>
        <v>0</v>
      </c>
      <c r="Y14" s="39">
        <f>IF(IGBTs!Y75&lt;IGBTs!X75,3*$B$6,0)</f>
        <v>0</v>
      </c>
    </row>
    <row r="15" spans="1:61" ht="15" thickTop="1" x14ac:dyDescent="0.35">
      <c r="A15" s="40" t="s">
        <v>72</v>
      </c>
      <c r="B15" s="40"/>
      <c r="C15" s="43">
        <f>SUM(D15:Y15)</f>
        <v>3.1258344220626748</v>
      </c>
      <c r="D15" s="39">
        <f>D14/(1+IGBTs!$B$85)^D$2</f>
        <v>1.7619872130050984</v>
      </c>
      <c r="E15" s="39">
        <f>E14/(1+IGBTs!$B$85)^E$2</f>
        <v>0</v>
      </c>
      <c r="F15" s="39">
        <f>F14/(1+IGBTs!$B$85)^F$2</f>
        <v>0</v>
      </c>
      <c r="G15" s="39">
        <f>G14/(1+IGBTs!$B$85)^G$2</f>
        <v>0</v>
      </c>
      <c r="H15" s="39">
        <f>H14/(1+IGBTs!$B$85)^H$2</f>
        <v>0</v>
      </c>
      <c r="I15" s="39">
        <f>I14/(1+IGBTs!$B$85)^I$2</f>
        <v>0</v>
      </c>
      <c r="J15" s="39">
        <f>J14/(1+IGBTs!$B$85)^J$2</f>
        <v>0</v>
      </c>
      <c r="K15" s="39">
        <f>K14/(1+IGBTs!$B$85)^K$2</f>
        <v>0</v>
      </c>
      <c r="L15" s="39">
        <f>L14/(1+IGBTs!$B$85)^L$2</f>
        <v>0</v>
      </c>
      <c r="M15" s="39">
        <f>M14/(1+IGBTs!$B$85)^M$2</f>
        <v>0</v>
      </c>
      <c r="N15" s="39">
        <f>N14/(1+IGBTs!$B$85)^N$2</f>
        <v>0</v>
      </c>
      <c r="O15" s="39">
        <f>O14/(1+IGBTs!$B$85)^O$2</f>
        <v>0</v>
      </c>
      <c r="P15" s="39">
        <f>P14/(1+IGBTs!$B$85)^P$2</f>
        <v>1.3638472090575764</v>
      </c>
      <c r="Q15" s="39">
        <f>Q14/(1+IGBTs!$B$85)^Q$2</f>
        <v>0</v>
      </c>
      <c r="R15" s="39">
        <f>R14/(1+IGBTs!$B$85)^R$2</f>
        <v>0</v>
      </c>
      <c r="S15" s="39">
        <f>S14/(1+IGBTs!$B$85)^S$2</f>
        <v>0</v>
      </c>
      <c r="T15" s="39">
        <f>T14/(1+IGBTs!$B$85)^T$2</f>
        <v>0</v>
      </c>
      <c r="U15" s="39">
        <f>U14/(1+IGBTs!$B$85)^U$2</f>
        <v>0</v>
      </c>
      <c r="V15" s="39">
        <f>V14/(1+IGBTs!$B$85)^V$2</f>
        <v>0</v>
      </c>
      <c r="W15" s="39">
        <f>W14/(1+IGBTs!$B$85)^W$2</f>
        <v>0</v>
      </c>
      <c r="X15" s="39">
        <f>X14/(1+IGBTs!$B$85)^X$2</f>
        <v>0</v>
      </c>
      <c r="Y15" s="39">
        <f>Y14/(1+IGBTs!$B$85)^Y$2</f>
        <v>0</v>
      </c>
    </row>
    <row r="16" spans="1:61" ht="17.5" thickBot="1" x14ac:dyDescent="0.45">
      <c r="A16" s="13" t="s">
        <v>71</v>
      </c>
      <c r="D16" s="39">
        <f>IF(SUM($C$16:C16)=0,IF(IGBTs!C75&lt;IGBTs!D75,0,$B$7),0)</f>
        <v>2</v>
      </c>
      <c r="E16" s="39">
        <f>IF(SUM($C$16:D16)=0,IF(IGBTs!D75&lt;IGBTs!E75,0,$B$7),0)</f>
        <v>0</v>
      </c>
      <c r="F16" s="39">
        <f>IF(SUM($C$16:E16)=0,IF(IGBTs!E75&lt;IGBTs!F75,0,$B$7),0)</f>
        <v>0</v>
      </c>
      <c r="G16" s="39">
        <f>IF(SUM($C$16:F16)=0,IF(IGBTs!F75&lt;IGBTs!G75,0,$B$7),0)</f>
        <v>0</v>
      </c>
      <c r="H16" s="39">
        <f>IF(SUM($C$16:G16)=0,IF(IGBTs!G75&lt;IGBTs!H75,0,$B$7),0)</f>
        <v>0</v>
      </c>
      <c r="I16" s="39">
        <f>IF(SUM($C$16:H16)=0,IF(IGBTs!H75&lt;IGBTs!I75,0,$B$7),0)</f>
        <v>0</v>
      </c>
      <c r="J16" s="39">
        <f>IF(SUM($C$16:I16)=0,IF(IGBTs!I75&lt;IGBTs!J75,0,$B$7),0)</f>
        <v>0</v>
      </c>
      <c r="K16" s="39">
        <f>IF(SUM($C$16:J16)=0,IF(IGBTs!J75&lt;IGBTs!K75,0,$B$7),0)</f>
        <v>0</v>
      </c>
      <c r="L16" s="39">
        <f>IF(SUM($C$16:K16)=0,IF(IGBTs!K75&lt;IGBTs!L75,0,$B$7),0)</f>
        <v>0</v>
      </c>
      <c r="M16" s="39">
        <f>IF(SUM($C$16:L16)=0,IF(IGBTs!L75&lt;IGBTs!M75,0,$B$7),0)</f>
        <v>0</v>
      </c>
      <c r="N16" s="39">
        <f>IF(SUM($C$16:M16)=0,IF(IGBTs!M75&lt;IGBTs!N75,0,$B$7),0)</f>
        <v>0</v>
      </c>
      <c r="O16" s="39">
        <f>IF(SUM($C$16:N16)=0,IF(IGBTs!N75&lt;IGBTs!O75,0,$B$7),0)</f>
        <v>0</v>
      </c>
      <c r="P16" s="39">
        <f>IF(SUM($C$16:O16)=0,IF(IGBTs!O75&lt;IGBTs!P75,0,$B$7),0)</f>
        <v>0</v>
      </c>
      <c r="Q16" s="39">
        <f>IF(SUM($C$16:P16)=0,IF(IGBTs!P75&lt;IGBTs!Q75,0,$B$7),0)</f>
        <v>0</v>
      </c>
      <c r="R16" s="39">
        <f>IF(SUM($C$16:Q16)=0,IF(IGBTs!Q75&lt;IGBTs!R75,0,$B$7),0)</f>
        <v>0</v>
      </c>
      <c r="S16" s="39">
        <f>IF(SUM($C$16:R16)=0,IF(IGBTs!R75&lt;IGBTs!S75,0,$B$7),0)</f>
        <v>0</v>
      </c>
      <c r="T16" s="39">
        <f>IF(SUM($C$16:S16)=0,IF(IGBTs!S75&lt;IGBTs!T75,0,$B$7),0)</f>
        <v>0</v>
      </c>
      <c r="U16" s="39">
        <f>IF(SUM($C$16:T16)=0,IF(IGBTs!T75&lt;IGBTs!U75,0,$B$7),0)</f>
        <v>0</v>
      </c>
      <c r="V16" s="39">
        <f>IF(SUM($C$16:U16)=0,IF(IGBTs!U75&lt;IGBTs!V75,0,$B$7),0)</f>
        <v>0</v>
      </c>
      <c r="W16" s="39">
        <f>IF(SUM($C$16:V16)=0,IF(IGBTs!V75&lt;IGBTs!W75,0,$B$7),0)</f>
        <v>0</v>
      </c>
      <c r="X16" s="39">
        <f>IF(SUM($C$16:W16)=0,IF(IGBTs!W75&lt;IGBTs!X75,0,$B$7),0)</f>
        <v>0</v>
      </c>
      <c r="Y16" s="39">
        <f>IF(SUM($C$16:X16)=0,IF(IGBTs!X75&lt;IGBTs!Y75,0,$B$7),0)</f>
        <v>0</v>
      </c>
    </row>
    <row r="17" spans="1:25" s="40" customFormat="1" ht="15" thickTop="1" x14ac:dyDescent="0.35">
      <c r="A17" s="40" t="s">
        <v>72</v>
      </c>
      <c r="C17" s="43">
        <f>SUM(D17:Y17)</f>
        <v>1.957763570005665</v>
      </c>
      <c r="D17" s="39">
        <f>D16/(1+IGBTs!$B$85)^D$2</f>
        <v>1.957763570005665</v>
      </c>
      <c r="E17" s="39">
        <f>E16/(1+IGBTs!$B$85)^E$2</f>
        <v>0</v>
      </c>
      <c r="F17" s="39">
        <f>F16/(1+IGBTs!$B$85)^F$2</f>
        <v>0</v>
      </c>
      <c r="G17" s="39">
        <f>G16/(1+IGBTs!$B$85)^G$2</f>
        <v>0</v>
      </c>
      <c r="H17" s="39">
        <f>H16/(1+IGBTs!$B$85)^H$2</f>
        <v>0</v>
      </c>
      <c r="I17" s="39">
        <f>I16/(1+IGBTs!$B$85)^I$2</f>
        <v>0</v>
      </c>
      <c r="J17" s="39">
        <f>J16/(1+IGBTs!$B$85)^J$2</f>
        <v>0</v>
      </c>
      <c r="K17" s="39">
        <f>K16/(1+IGBTs!$B$85)^K$2</f>
        <v>0</v>
      </c>
      <c r="L17" s="39">
        <f>L16/(1+IGBTs!$B$85)^L$2</f>
        <v>0</v>
      </c>
      <c r="M17" s="39">
        <f>M16/(1+IGBTs!$B$85)^M$2</f>
        <v>0</v>
      </c>
      <c r="N17" s="39">
        <f>N16/(1+IGBTs!$B$85)^N$2</f>
        <v>0</v>
      </c>
      <c r="O17" s="39">
        <f>O16/(1+IGBTs!$B$85)^O$2</f>
        <v>0</v>
      </c>
      <c r="P17" s="39">
        <f>P16/(1+IGBTs!$B$85)^P$2</f>
        <v>0</v>
      </c>
      <c r="Q17" s="39">
        <f>Q16/(1+IGBTs!$B$85)^Q$2</f>
        <v>0</v>
      </c>
      <c r="R17" s="39">
        <f>R16/(1+IGBTs!$B$85)^R$2</f>
        <v>0</v>
      </c>
      <c r="S17" s="39">
        <f>S16/(1+IGBTs!$B$85)^S$2</f>
        <v>0</v>
      </c>
      <c r="T17" s="39">
        <f>T16/(1+IGBTs!$B$85)^T$2</f>
        <v>0</v>
      </c>
      <c r="U17" s="39">
        <f>U16/(1+IGBTs!$B$85)^U$2</f>
        <v>0</v>
      </c>
      <c r="V17" s="39">
        <f>V16/(1+IGBTs!$B$85)^V$2</f>
        <v>0</v>
      </c>
      <c r="W17" s="39">
        <f>W16/(1+IGBTs!$B$85)^W$2</f>
        <v>0</v>
      </c>
      <c r="X17" s="39">
        <f>X16/(1+IGBTs!$B$85)^X$2</f>
        <v>0</v>
      </c>
      <c r="Y17" s="39">
        <f>Y16/(1+IGBTs!$B$85)^Y$2</f>
        <v>0</v>
      </c>
    </row>
    <row r="18" spans="1:25" s="40" customFormat="1" x14ac:dyDescent="0.35">
      <c r="C18" s="43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</row>
    <row r="19" spans="1:25" ht="20" thickBot="1" x14ac:dyDescent="0.5">
      <c r="A19" s="32" t="str">
        <f>IGBTs!A7</f>
        <v>Asset replacement contract</v>
      </c>
      <c r="B19" s="32"/>
      <c r="C19" s="44">
        <f>MIN(C20:C23)</f>
        <v>0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ht="18" thickTop="1" thickBot="1" x14ac:dyDescent="0.45">
      <c r="A20" s="13" t="s">
        <v>33</v>
      </c>
      <c r="C20" s="43"/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</row>
    <row r="21" spans="1:25" ht="15" thickTop="1" x14ac:dyDescent="0.35">
      <c r="A21" s="40" t="s">
        <v>72</v>
      </c>
      <c r="B21" s="40"/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</row>
    <row r="22" spans="1:25" ht="17.5" thickBot="1" x14ac:dyDescent="0.45">
      <c r="A22" s="13" t="s">
        <v>71</v>
      </c>
      <c r="C22" s="43"/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3">
        <v>0</v>
      </c>
    </row>
    <row r="23" spans="1:25" s="40" customFormat="1" ht="15" thickTop="1" x14ac:dyDescent="0.35">
      <c r="A23" s="40" t="s">
        <v>72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</row>
    <row r="24" spans="1:25" s="40" customFormat="1" x14ac:dyDescent="0.35"/>
    <row r="25" spans="1:25" ht="20" thickBot="1" x14ac:dyDescent="0.5">
      <c r="A25" s="32" t="str">
        <f>IGBTs!A8</f>
        <v>Cannibalise  entire converter building</v>
      </c>
      <c r="B25" s="32"/>
      <c r="C25" s="44">
        <f>MIN(C27:C29)</f>
        <v>1.7619872130050984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ht="18" thickTop="1" thickBot="1" x14ac:dyDescent="0.45">
      <c r="A26" s="13" t="s">
        <v>33</v>
      </c>
      <c r="D26" s="39">
        <f>IF(IGBTs!D76&lt;IGBTs!C76,3*$B$6,0)</f>
        <v>1.7999999999999998</v>
      </c>
      <c r="E26" s="39">
        <f>IF(IGBTs!E76&lt;IGBTs!D76,3*$B$6,0)</f>
        <v>0</v>
      </c>
      <c r="F26" s="39">
        <f>IF(IGBTs!F76&lt;IGBTs!E76,3*$B$6,0)</f>
        <v>0</v>
      </c>
      <c r="G26" s="39">
        <f>IF(IGBTs!G76&lt;IGBTs!F76,3*$B$6,0)</f>
        <v>0</v>
      </c>
      <c r="H26" s="39">
        <f>IF(IGBTs!H76&lt;IGBTs!G76,3*$B$6,0)</f>
        <v>0</v>
      </c>
      <c r="I26" s="39">
        <f>IF(IGBTs!I76&lt;IGBTs!H76,3*$B$6,0)</f>
        <v>0</v>
      </c>
      <c r="J26" s="39">
        <f>IF(IGBTs!J76&lt;IGBTs!I76,3*$B$6,0)</f>
        <v>0</v>
      </c>
      <c r="K26" s="39">
        <f>IF(IGBTs!K76&lt;IGBTs!J76,3*$B$6,0)</f>
        <v>0</v>
      </c>
      <c r="L26" s="39">
        <f>IF(IGBTs!L76&lt;IGBTs!K76,3*$B$6,0)</f>
        <v>0</v>
      </c>
      <c r="M26" s="39">
        <f>IF(IGBTs!M76&lt;IGBTs!L76,3*$B$6,0)</f>
        <v>0</v>
      </c>
      <c r="N26" s="39">
        <f>IF(IGBTs!N76&lt;IGBTs!M76,3*$B$6,0)</f>
        <v>0</v>
      </c>
      <c r="O26" s="39">
        <f>IF(IGBTs!O76&lt;IGBTs!N76,3*$B$6,0)</f>
        <v>0</v>
      </c>
      <c r="P26" s="39">
        <f>IF(IGBTs!P76&lt;IGBTs!O76,3*$B$6,0)</f>
        <v>0</v>
      </c>
      <c r="Q26" s="39">
        <f>IF(IGBTs!Q76&lt;IGBTs!P76,3*$B$6,0)</f>
        <v>0</v>
      </c>
      <c r="R26" s="39">
        <f>IF(IGBTs!R76&lt;IGBTs!Q76,3*$B$6,0)</f>
        <v>0</v>
      </c>
      <c r="S26" s="39">
        <f>IF(IGBTs!S76&lt;IGBTs!R76,3*$B$6,0)</f>
        <v>0</v>
      </c>
      <c r="T26" s="39">
        <f>IF(IGBTs!T76&lt;IGBTs!S76,3*$B$6,0)</f>
        <v>0</v>
      </c>
      <c r="U26" s="39">
        <f>IF(IGBTs!U76&lt;IGBTs!T76,3*$B$6,0)</f>
        <v>0</v>
      </c>
      <c r="V26" s="39">
        <f>IF(IGBTs!V76&lt;IGBTs!U76,3*$B$6,0)</f>
        <v>0</v>
      </c>
      <c r="W26" s="39">
        <f>IF(IGBTs!W76&lt;IGBTs!V76,3*$B$6,0)</f>
        <v>0</v>
      </c>
      <c r="X26" s="39">
        <f>IF(IGBTs!X76&lt;IGBTs!W76,3*$B$6,0)</f>
        <v>0</v>
      </c>
      <c r="Y26" s="39">
        <f>IF(IGBTs!Y76&lt;IGBTs!X76,3*$B$6,0)</f>
        <v>0</v>
      </c>
    </row>
    <row r="27" spans="1:25" ht="15" thickTop="1" x14ac:dyDescent="0.35">
      <c r="A27" s="40" t="s">
        <v>72</v>
      </c>
      <c r="B27" s="40"/>
      <c r="C27" s="43">
        <f>SUM(D27:Y27)</f>
        <v>1.7619872130050984</v>
      </c>
      <c r="D27" s="39">
        <f>D26/(1+IGBTs!$B$85)^D$2</f>
        <v>1.7619872130050984</v>
      </c>
      <c r="E27" s="39">
        <f>E26/(1+IGBTs!$B$85)^E$2</f>
        <v>0</v>
      </c>
      <c r="F27" s="39">
        <f>F26/(1+IGBTs!$B$85)^F$2</f>
        <v>0</v>
      </c>
      <c r="G27" s="39">
        <f>G26/(1+IGBTs!$B$85)^G$2</f>
        <v>0</v>
      </c>
      <c r="H27" s="39">
        <f>H26/(1+IGBTs!$B$85)^H$2</f>
        <v>0</v>
      </c>
      <c r="I27" s="39">
        <f>I26/(1+IGBTs!$B$85)^I$2</f>
        <v>0</v>
      </c>
      <c r="J27" s="39">
        <f>J26/(1+IGBTs!$B$85)^J$2</f>
        <v>0</v>
      </c>
      <c r="K27" s="39">
        <f>K26/(1+IGBTs!$B$85)^K$2</f>
        <v>0</v>
      </c>
      <c r="L27" s="39">
        <f>L26/(1+IGBTs!$B$85)^L$2</f>
        <v>0</v>
      </c>
      <c r="M27" s="39">
        <f>M26/(1+IGBTs!$B$85)^M$2</f>
        <v>0</v>
      </c>
      <c r="N27" s="39">
        <f>N26/(1+IGBTs!$B$85)^N$2</f>
        <v>0</v>
      </c>
      <c r="O27" s="39">
        <f>O26/(1+IGBTs!$B$85)^O$2</f>
        <v>0</v>
      </c>
      <c r="P27" s="39">
        <f>P26/(1+IGBTs!$B$85)^P$2</f>
        <v>0</v>
      </c>
      <c r="Q27" s="39">
        <f>Q26/(1+IGBTs!$B$85)^Q$2</f>
        <v>0</v>
      </c>
      <c r="R27" s="39">
        <f>R26/(1+IGBTs!$B$85)^R$2</f>
        <v>0</v>
      </c>
      <c r="S27" s="39">
        <f>S26/(1+IGBTs!$B$85)^S$2</f>
        <v>0</v>
      </c>
      <c r="T27" s="39">
        <f>T26/(1+IGBTs!$B$85)^T$2</f>
        <v>0</v>
      </c>
      <c r="U27" s="39">
        <f>U26/(1+IGBTs!$B$85)^U$2</f>
        <v>0</v>
      </c>
      <c r="V27" s="39">
        <f>V26/(1+IGBTs!$B$85)^V$2</f>
        <v>0</v>
      </c>
      <c r="W27" s="39">
        <f>W26/(1+IGBTs!$B$85)^W$2</f>
        <v>0</v>
      </c>
      <c r="X27" s="39">
        <f>X26/(1+IGBTs!$B$85)^X$2</f>
        <v>0</v>
      </c>
      <c r="Y27" s="39">
        <f>Y26/(1+IGBTs!$B$85)^Y$2</f>
        <v>0</v>
      </c>
    </row>
    <row r="28" spans="1:25" s="40" customFormat="1" ht="17.5" thickBot="1" x14ac:dyDescent="0.45">
      <c r="A28" s="13" t="s">
        <v>71</v>
      </c>
      <c r="D28" s="39">
        <f>IF(SUM($C$28:C28)=0,IF(IGBTs!C76&lt;IGBTs!D76,0,$B$7),0)</f>
        <v>2</v>
      </c>
      <c r="E28" s="39">
        <f>IF(SUM($C$28:D28)=0,IF(IGBTs!D76&lt;IGBTs!E76,0,$B$7),0)</f>
        <v>0</v>
      </c>
      <c r="F28" s="39">
        <f>IF(SUM($C$28:E28)=0,IF(IGBTs!E76&lt;IGBTs!F76,0,$B$7),0)</f>
        <v>0</v>
      </c>
      <c r="G28" s="39">
        <f>IF(SUM($C$28:F28)=0,IF(IGBTs!F76&lt;IGBTs!G76,0,$B$7),0)</f>
        <v>0</v>
      </c>
      <c r="H28" s="39">
        <f>IF(SUM($C$28:G28)=0,IF(IGBTs!G76&lt;IGBTs!H76,0,$B$7),0)</f>
        <v>0</v>
      </c>
      <c r="I28" s="39">
        <f>IF(SUM($C$28:H28)=0,IF(IGBTs!H76&lt;IGBTs!I76,0,$B$7),0)</f>
        <v>0</v>
      </c>
      <c r="J28" s="39">
        <f>IF(SUM($C$28:I28)=0,IF(IGBTs!I76&lt;IGBTs!J76,0,$B$7),0)</f>
        <v>0</v>
      </c>
      <c r="K28" s="39">
        <f>IF(SUM($C$28:J28)=0,IF(IGBTs!J76&lt;IGBTs!K76,0,$B$7),0)</f>
        <v>0</v>
      </c>
      <c r="L28" s="39">
        <f>IF(SUM($C$28:K28)=0,IF(IGBTs!K76&lt;IGBTs!L76,0,$B$7),0)</f>
        <v>0</v>
      </c>
      <c r="M28" s="39">
        <f>IF(SUM($C$28:L28)=0,IF(IGBTs!L76&lt;IGBTs!M76,0,$B$7),0)</f>
        <v>0</v>
      </c>
      <c r="N28" s="39">
        <f>IF(SUM($C$28:M28)=0,IF(IGBTs!M76&lt;IGBTs!N76,0,$B$7),0)</f>
        <v>0</v>
      </c>
      <c r="O28" s="39">
        <f>IF(SUM($C$28:N28)=0,IF(IGBTs!N76&lt;IGBTs!O76,0,$B$7),0)</f>
        <v>0</v>
      </c>
      <c r="P28" s="39">
        <f>IF(SUM($C$28:O28)=0,IF(IGBTs!O76&lt;IGBTs!P76,0,$B$7),0)</f>
        <v>0</v>
      </c>
      <c r="Q28" s="39">
        <f>IF(SUM($C$28:P28)=0,IF(IGBTs!P76&lt;IGBTs!Q76,0,$B$7),0)</f>
        <v>0</v>
      </c>
      <c r="R28" s="39">
        <f>IF(SUM($C$28:Q28)=0,IF(IGBTs!Q76&lt;IGBTs!R76,0,$B$7),0)</f>
        <v>0</v>
      </c>
      <c r="S28" s="39">
        <f>IF(SUM($C$28:R28)=0,IF(IGBTs!R76&lt;IGBTs!S76,0,$B$7),0)</f>
        <v>0</v>
      </c>
      <c r="T28" s="39">
        <f>IF(SUM($C$28:S28)=0,IF(IGBTs!S76&lt;IGBTs!T76,0,$B$7),0)</f>
        <v>0</v>
      </c>
      <c r="U28" s="39">
        <f>IF(SUM($C$28:T28)=0,IF(IGBTs!T76&lt;IGBTs!U76,0,$B$7),0)</f>
        <v>0</v>
      </c>
      <c r="V28" s="39">
        <f>IF(SUM($C$28:U28)=0,IF(IGBTs!U76&lt;IGBTs!V76,0,$B$7),0)</f>
        <v>0</v>
      </c>
      <c r="W28" s="39">
        <f>IF(SUM($C$28:V28)=0,IF(IGBTs!V76&lt;IGBTs!W76,0,$B$7),0)</f>
        <v>0</v>
      </c>
      <c r="X28" s="39">
        <f>IF(SUM($C$28:W28)=0,IF(IGBTs!W76&lt;IGBTs!X76,0,$B$7),0)</f>
        <v>0</v>
      </c>
      <c r="Y28" s="39">
        <f>IF(SUM($C$28:X28)=0,IF(IGBTs!X76&lt;IGBTs!Y76,0,$B$7),0)</f>
        <v>0</v>
      </c>
    </row>
    <row r="29" spans="1:25" s="40" customFormat="1" ht="15" thickTop="1" x14ac:dyDescent="0.35">
      <c r="A29" s="40" t="s">
        <v>72</v>
      </c>
      <c r="C29" s="43">
        <f>SUM(D29:Y29)</f>
        <v>1.957763570005665</v>
      </c>
      <c r="D29" s="39">
        <f>D28/(1+IGBTs!$B$85)^D$2</f>
        <v>1.957763570005665</v>
      </c>
      <c r="E29" s="39">
        <f>E28/(1+IGBTs!$B$85)^E$2</f>
        <v>0</v>
      </c>
      <c r="F29" s="39">
        <f>F28/(1+IGBTs!$B$85)^F$2</f>
        <v>0</v>
      </c>
      <c r="G29" s="39">
        <f>G28/(1+IGBTs!$B$85)^G$2</f>
        <v>0</v>
      </c>
      <c r="H29" s="39">
        <f>H28/(1+IGBTs!$B$85)^H$2</f>
        <v>0</v>
      </c>
      <c r="I29" s="39">
        <f>I28/(1+IGBTs!$B$85)^I$2</f>
        <v>0</v>
      </c>
      <c r="J29" s="39">
        <f>J28/(1+IGBTs!$B$85)^J$2</f>
        <v>0</v>
      </c>
      <c r="K29" s="39">
        <f>K28/(1+IGBTs!$B$85)^K$2</f>
        <v>0</v>
      </c>
      <c r="L29" s="39">
        <f>L28/(1+IGBTs!$B$85)^L$2</f>
        <v>0</v>
      </c>
      <c r="M29" s="39">
        <f>M28/(1+IGBTs!$B$85)^M$2</f>
        <v>0</v>
      </c>
      <c r="N29" s="39">
        <f>N28/(1+IGBTs!$B$85)^N$2</f>
        <v>0</v>
      </c>
      <c r="O29" s="39">
        <f>O28/(1+IGBTs!$B$85)^O$2</f>
        <v>0</v>
      </c>
      <c r="P29" s="39">
        <f>P28/(1+IGBTs!$B$85)^P$2</f>
        <v>0</v>
      </c>
      <c r="Q29" s="39">
        <f>Q28/(1+IGBTs!$B$85)^Q$2</f>
        <v>0</v>
      </c>
      <c r="R29" s="39">
        <f>R28/(1+IGBTs!$B$85)^R$2</f>
        <v>0</v>
      </c>
      <c r="S29" s="39">
        <f>S28/(1+IGBTs!$B$85)^S$2</f>
        <v>0</v>
      </c>
      <c r="T29" s="39">
        <f>T28/(1+IGBTs!$B$85)^T$2</f>
        <v>0</v>
      </c>
      <c r="U29" s="39">
        <f>U28/(1+IGBTs!$B$85)^U$2</f>
        <v>0</v>
      </c>
      <c r="V29" s="39">
        <f>V28/(1+IGBTs!$B$85)^V$2</f>
        <v>0</v>
      </c>
      <c r="W29" s="39">
        <f>W28/(1+IGBTs!$B$85)^W$2</f>
        <v>0</v>
      </c>
      <c r="X29" s="39">
        <f>X28/(1+IGBTs!$B$85)^X$2</f>
        <v>0</v>
      </c>
      <c r="Y29" s="39">
        <f>Y28/(1+IGBTs!$B$85)^Y$2</f>
        <v>0</v>
      </c>
    </row>
    <row r="31" spans="1:25" ht="20" thickBot="1" x14ac:dyDescent="0.5">
      <c r="A31" s="32" t="str">
        <f>IGBTs!A9</f>
        <v>Replace one Valve room</v>
      </c>
      <c r="C31" s="44">
        <f>MIN(C33:C35)</f>
        <v>1.9164190980206635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ht="18" thickTop="1" thickBot="1" x14ac:dyDescent="0.45">
      <c r="A32" s="13" t="s">
        <v>33</v>
      </c>
      <c r="C32" s="47"/>
      <c r="D32" s="39">
        <f>IF(IGBTs!D77&lt;IGBTs!C77,$B$6,0)</f>
        <v>0.6</v>
      </c>
      <c r="E32" s="39">
        <f>IF(IGBTs!E77&lt;IGBTs!D77,$B$6,0)</f>
        <v>0</v>
      </c>
      <c r="F32" s="39">
        <f>IF(IGBTs!F77&lt;IGBTs!E77,$B$6,0)</f>
        <v>0</v>
      </c>
      <c r="G32" s="39">
        <f>IF(IGBTs!G77&lt;IGBTs!F77,$B$6,0)</f>
        <v>0.6</v>
      </c>
      <c r="H32" s="39">
        <f>IF(IGBTs!H77&lt;IGBTs!G77,$B$6,0)</f>
        <v>0</v>
      </c>
      <c r="I32" s="39">
        <f>IF(IGBTs!I77&lt;IGBTs!H77,$B$6,0)</f>
        <v>0</v>
      </c>
      <c r="J32" s="39">
        <f>IF(IGBTs!J77&lt;IGBTs!I77,$B$6,0)</f>
        <v>0</v>
      </c>
      <c r="K32" s="39">
        <f>IF(IGBTs!K77&lt;IGBTs!J77,$B$6,0)</f>
        <v>0</v>
      </c>
      <c r="L32" s="39">
        <f>IF(IGBTs!L77&lt;IGBTs!K77,$B$6,0)</f>
        <v>0.6</v>
      </c>
      <c r="M32" s="39">
        <f>IF(IGBTs!M77&lt;IGBTs!L77,$B$6,0)</f>
        <v>0</v>
      </c>
      <c r="N32" s="39">
        <f>IF(IGBTs!N77&lt;IGBTs!M77,$B$6,0)</f>
        <v>0</v>
      </c>
      <c r="O32" s="39">
        <f>IF(IGBTs!O77&lt;IGBTs!N77,$B$6,0)</f>
        <v>0</v>
      </c>
      <c r="P32" s="39">
        <f>IF(IGBTs!P77&lt;IGBTs!O77,$B$6,0)</f>
        <v>0.6</v>
      </c>
      <c r="Q32" s="39">
        <f>IF(IGBTs!Q77&lt;IGBTs!P77,$B$6,0)</f>
        <v>0</v>
      </c>
      <c r="R32" s="39">
        <f>IF(IGBTs!R77&lt;IGBTs!Q77,$B$6,0)</f>
        <v>0</v>
      </c>
      <c r="S32" s="39">
        <f>IF(IGBTs!S77&lt;IGBTs!R77,$B$6,0)</f>
        <v>0</v>
      </c>
      <c r="T32" s="39">
        <f>IF(IGBTs!T77&lt;IGBTs!S77,$B$6,0)</f>
        <v>0.6</v>
      </c>
      <c r="U32" s="39">
        <f>IF(IGBTs!U77&lt;IGBTs!T77,$B$6,0)</f>
        <v>0</v>
      </c>
      <c r="V32" s="39">
        <f>IF(IGBTs!V77&lt;IGBTs!U77,$B$6,0)</f>
        <v>0</v>
      </c>
      <c r="W32" s="39">
        <f>IF(IGBTs!W77&lt;IGBTs!V77,$B$6,0)</f>
        <v>0</v>
      </c>
      <c r="X32" s="39">
        <f>IF(IGBTs!X77&lt;IGBTs!W77,$B$6,0)</f>
        <v>0</v>
      </c>
      <c r="Y32" s="39">
        <f>IF(IGBTs!Y77&lt;IGBTs!X77,$B$6,0)</f>
        <v>0.6</v>
      </c>
    </row>
    <row r="33" spans="1:25" ht="15" thickTop="1" x14ac:dyDescent="0.35">
      <c r="A33" s="47" t="s">
        <v>72</v>
      </c>
      <c r="C33" s="43">
        <f>SUM(D33:Y33)</f>
        <v>2.8805516023933437</v>
      </c>
      <c r="D33" s="39">
        <f>D32/(1+IGBTs!$B$85)^D$2</f>
        <v>0.58732907100169951</v>
      </c>
      <c r="E33" s="39">
        <f>E32/(1+IGBTs!$B$85)^E$2</f>
        <v>0</v>
      </c>
      <c r="F33" s="39">
        <f>F32/(1+IGBTs!$B$85)^F$2</f>
        <v>0</v>
      </c>
      <c r="G33" s="39">
        <f>G32/(1+IGBTs!$B$85)^G$2</f>
        <v>0.55089932388874996</v>
      </c>
      <c r="H33" s="39">
        <f>H32/(1+IGBTs!$B$85)^H$2</f>
        <v>0</v>
      </c>
      <c r="I33" s="39">
        <f>I32/(1+IGBTs!$B$85)^I$2</f>
        <v>0</v>
      </c>
      <c r="J33" s="39">
        <f>J32/(1+IGBTs!$B$85)^J$2</f>
        <v>0</v>
      </c>
      <c r="K33" s="39">
        <f>K32/(1+IGBTs!$B$85)^K$2</f>
        <v>0</v>
      </c>
      <c r="L33" s="39">
        <f>L32/(1+IGBTs!$B$85)^L$2</f>
        <v>0.49513482769602934</v>
      </c>
      <c r="M33" s="39">
        <f>M32/(1+IGBTs!$B$85)^M$2</f>
        <v>0</v>
      </c>
      <c r="N33" s="39">
        <f>N32/(1+IGBTs!$B$85)^N$2</f>
        <v>0</v>
      </c>
      <c r="O33" s="39">
        <f>O32/(1+IGBTs!$B$85)^O$2</f>
        <v>0</v>
      </c>
      <c r="P33" s="39">
        <f>P32/(1+IGBTs!$B$85)^P$2</f>
        <v>0.45461573635252545</v>
      </c>
      <c r="Q33" s="39">
        <f>Q32/(1+IGBTs!$B$85)^Q$2</f>
        <v>0</v>
      </c>
      <c r="R33" s="39">
        <f>R32/(1+IGBTs!$B$85)^R$2</f>
        <v>0</v>
      </c>
      <c r="S33" s="39">
        <f>S32/(1+IGBTs!$B$85)^S$2</f>
        <v>0</v>
      </c>
      <c r="T33" s="39">
        <f>T32/(1+IGBTs!$B$85)^T$2</f>
        <v>0.41741250297632082</v>
      </c>
      <c r="U33" s="39">
        <f>U32/(1+IGBTs!$B$85)^U$2</f>
        <v>0</v>
      </c>
      <c r="V33" s="39">
        <f>V32/(1+IGBTs!$B$85)^V$2</f>
        <v>0</v>
      </c>
      <c r="W33" s="39">
        <f>W32/(1+IGBTs!$B$85)^W$2</f>
        <v>0</v>
      </c>
      <c r="X33" s="39">
        <f>X32/(1+IGBTs!$B$85)^X$2</f>
        <v>0</v>
      </c>
      <c r="Y33" s="39">
        <f>Y32/(1+IGBTs!$B$85)^Y$2</f>
        <v>0.37516014047801866</v>
      </c>
    </row>
    <row r="34" spans="1:25" ht="17.5" thickBot="1" x14ac:dyDescent="0.45">
      <c r="A34" s="13" t="s">
        <v>71</v>
      </c>
      <c r="C34" s="47"/>
      <c r="D34" s="39">
        <f>IF(SUM($C$34:C34)=0,IF(IGBTs!C81&lt;IGBTs!D81,0,$B$7),0)</f>
        <v>0</v>
      </c>
      <c r="E34" s="39">
        <f>IF(SUM($C$34:D34)=0,IF(IGBTs!D81&lt;IGBTs!E81,0,$B$7),0)</f>
        <v>2</v>
      </c>
      <c r="F34" s="39">
        <f>IF(SUM($C$34:E34)=0,IF(IGBTs!E81&lt;IGBTs!F81,0,$B$7),0)</f>
        <v>0</v>
      </c>
      <c r="G34" s="39">
        <f>IF(SUM($C$34:F34)=0,IF(IGBTs!F81&lt;IGBTs!G81,0,$B$7),0)</f>
        <v>0</v>
      </c>
      <c r="H34" s="39">
        <f>IF(SUM($C$34:G34)=0,IF(IGBTs!G81&lt;IGBTs!H81,0,$B$7),0)</f>
        <v>0</v>
      </c>
      <c r="I34" s="39">
        <f>IF(SUM($C$34:H34)=0,IF(IGBTs!H81&lt;IGBTs!I81,0,$B$7),0)</f>
        <v>0</v>
      </c>
      <c r="J34" s="39">
        <f>IF(SUM($C$34:I34)=0,IF(IGBTs!I81&lt;IGBTs!J81,0,$B$7),0)</f>
        <v>0</v>
      </c>
      <c r="K34" s="39">
        <f>IF(SUM($C$34:J34)=0,IF(IGBTs!J81&lt;IGBTs!K81,0,$B$7),0)</f>
        <v>0</v>
      </c>
      <c r="L34" s="39">
        <f>IF(SUM($C$34:K34)=0,IF(IGBTs!K81&lt;IGBTs!L81,0,$B$7),0)</f>
        <v>0</v>
      </c>
      <c r="M34" s="39">
        <f>IF(SUM($C$34:L34)=0,IF(IGBTs!L81&lt;IGBTs!M81,0,$B$7),0)</f>
        <v>0</v>
      </c>
      <c r="N34" s="39">
        <f>IF(SUM($C$34:M34)=0,IF(IGBTs!M81&lt;IGBTs!N81,0,$B$7),0)</f>
        <v>0</v>
      </c>
      <c r="O34" s="39">
        <f>IF(SUM($C$34:N34)=0,IF(IGBTs!N81&lt;IGBTs!O81,0,$B$7),0)</f>
        <v>0</v>
      </c>
      <c r="P34" s="39">
        <f>IF(SUM($C$34:O34)=0,IF(IGBTs!O81&lt;IGBTs!P81,0,$B$7),0)</f>
        <v>0</v>
      </c>
      <c r="Q34" s="39">
        <f>IF(SUM($C$34:P34)=0,IF(IGBTs!P81&lt;IGBTs!Q81,0,$B$7),0)</f>
        <v>0</v>
      </c>
      <c r="R34" s="39">
        <f>IF(SUM($C$34:Q34)=0,IF(IGBTs!Q81&lt;IGBTs!R81,0,$B$7),0)</f>
        <v>0</v>
      </c>
      <c r="S34" s="39">
        <f>IF(SUM($C$34:R34)=0,IF(IGBTs!R81&lt;IGBTs!S81,0,$B$7),0)</f>
        <v>0</v>
      </c>
      <c r="T34" s="39">
        <f>IF(SUM($C$34:S34)=0,IF(IGBTs!S81&lt;IGBTs!T81,0,$B$7),0)</f>
        <v>0</v>
      </c>
      <c r="U34" s="39">
        <f>IF(SUM($C$34:T34)=0,IF(IGBTs!T81&lt;IGBTs!U81,0,$B$7),0)</f>
        <v>0</v>
      </c>
      <c r="V34" s="39">
        <f>IF(SUM($C$34:U34)=0,IF(IGBTs!U81&lt;IGBTs!V81,0,$B$7),0)</f>
        <v>0</v>
      </c>
      <c r="W34" s="39">
        <f>IF(SUM($C$34:V34)=0,IF(IGBTs!V81&lt;IGBTs!W81,0,$B$7),0)</f>
        <v>0</v>
      </c>
      <c r="X34" s="39">
        <f>IF(SUM($C$34:W34)=0,IF(IGBTs!W81&lt;IGBTs!X81,0,$B$7),0)</f>
        <v>0</v>
      </c>
      <c r="Y34" s="39">
        <f>IF(SUM($C$34:X34)=0,IF(IGBTs!X81&lt;IGBTs!Y81,0,$B$7),0)</f>
        <v>0</v>
      </c>
    </row>
    <row r="35" spans="1:25" ht="15" thickTop="1" x14ac:dyDescent="0.35">
      <c r="A35" s="47" t="s">
        <v>72</v>
      </c>
      <c r="C35" s="43">
        <f>SUM(D35:Y35)</f>
        <v>1.9164190980206635</v>
      </c>
      <c r="D35" s="39">
        <f>D34/(1+IGBTs!$B$85)^D$2</f>
        <v>0</v>
      </c>
      <c r="E35" s="39">
        <f>E34/(1+IGBTs!$B$85)^E$2</f>
        <v>1.9164190980206635</v>
      </c>
      <c r="F35" s="39">
        <f>F34/(1+IGBTs!$B$85)^F$2</f>
        <v>0</v>
      </c>
      <c r="G35" s="39">
        <f>G34/(1+IGBTs!$B$85)^G$2</f>
        <v>0</v>
      </c>
      <c r="H35" s="39">
        <f>H34/(1+IGBTs!$B$85)^H$2</f>
        <v>0</v>
      </c>
      <c r="I35" s="39">
        <f>I34/(1+IGBTs!$B$85)^I$2</f>
        <v>0</v>
      </c>
      <c r="J35" s="39">
        <f>J34/(1+IGBTs!$B$85)^J$2</f>
        <v>0</v>
      </c>
      <c r="K35" s="39">
        <f>K34/(1+IGBTs!$B$85)^K$2</f>
        <v>0</v>
      </c>
      <c r="L35" s="39">
        <f>L34/(1+IGBTs!$B$85)^L$2</f>
        <v>0</v>
      </c>
      <c r="M35" s="39">
        <f>M34/(1+IGBTs!$B$85)^M$2</f>
        <v>0</v>
      </c>
      <c r="N35" s="39">
        <f>N34/(1+IGBTs!$B$85)^N$2</f>
        <v>0</v>
      </c>
      <c r="O35" s="39">
        <f>O34/(1+IGBTs!$B$85)^O$2</f>
        <v>0</v>
      </c>
      <c r="P35" s="39">
        <f>P34/(1+IGBTs!$B$85)^P$2</f>
        <v>0</v>
      </c>
      <c r="Q35" s="39">
        <f>Q34/(1+IGBTs!$B$85)^Q$2</f>
        <v>0</v>
      </c>
      <c r="R35" s="39">
        <f>R34/(1+IGBTs!$B$85)^R$2</f>
        <v>0</v>
      </c>
      <c r="S35" s="39">
        <f>S34/(1+IGBTs!$B$85)^S$2</f>
        <v>0</v>
      </c>
      <c r="T35" s="39">
        <f>T34/(1+IGBTs!$B$85)^T$2</f>
        <v>0</v>
      </c>
      <c r="U35" s="39">
        <f>U34/(1+IGBTs!$B$85)^U$2</f>
        <v>0</v>
      </c>
      <c r="V35" s="39">
        <f>V34/(1+IGBTs!$B$85)^V$2</f>
        <v>0</v>
      </c>
      <c r="W35" s="39">
        <f>W34/(1+IGBTs!$B$85)^W$2</f>
        <v>0</v>
      </c>
      <c r="X35" s="39">
        <f>X34/(1+IGBTs!$B$85)^X$2</f>
        <v>0</v>
      </c>
      <c r="Y35" s="39">
        <f>Y34/(1+IGBTs!$B$85)^Y$2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</sheetPr>
  <dimension ref="A1:AB7"/>
  <sheetViews>
    <sheetView workbookViewId="0"/>
  </sheetViews>
  <sheetFormatPr defaultRowHeight="14.5" x14ac:dyDescent="0.35"/>
  <cols>
    <col min="1" max="1" width="28.26953125" bestFit="1" customWidth="1"/>
    <col min="3" max="3" width="13.26953125" bestFit="1" customWidth="1"/>
    <col min="4" max="4" width="10.54296875" bestFit="1" customWidth="1"/>
    <col min="5" max="18" width="12" bestFit="1" customWidth="1"/>
    <col min="19" max="21" width="13.26953125" bestFit="1" customWidth="1"/>
    <col min="22" max="25" width="12" bestFit="1" customWidth="1"/>
  </cols>
  <sheetData>
    <row r="1" spans="1:28" ht="15" thickBot="1" x14ac:dyDescent="0.4">
      <c r="A1" s="54" t="s">
        <v>92</v>
      </c>
      <c r="B1" s="54" t="str">
        <f>IGBTs!B1</f>
        <v>Inputs</v>
      </c>
      <c r="C1" s="54" t="str">
        <f>IGBTs!C1</f>
        <v>Required/starting</v>
      </c>
      <c r="D1" s="54" t="str">
        <f>IGBTs!D1</f>
        <v>FY 21</v>
      </c>
      <c r="E1" s="54" t="str">
        <f>IGBTs!E1</f>
        <v>FY 22</v>
      </c>
      <c r="F1" s="54" t="str">
        <f>IGBTs!F1</f>
        <v>FY 23</v>
      </c>
      <c r="G1" s="54" t="str">
        <f>IGBTs!G1</f>
        <v>FY 24</v>
      </c>
      <c r="H1" s="54" t="str">
        <f>IGBTs!H1</f>
        <v>FY 25</v>
      </c>
      <c r="I1" s="54" t="str">
        <f>IGBTs!I1</f>
        <v>FY 26</v>
      </c>
      <c r="J1" s="54" t="str">
        <f>IGBTs!J1</f>
        <v>FY 27</v>
      </c>
      <c r="K1" s="54" t="str">
        <f>IGBTs!K1</f>
        <v>FY 28</v>
      </c>
      <c r="L1" s="54" t="str">
        <f>IGBTs!L1</f>
        <v>FY 29</v>
      </c>
      <c r="M1" s="54" t="str">
        <f>IGBTs!M1</f>
        <v>FY 30</v>
      </c>
      <c r="N1" s="54" t="str">
        <f>IGBTs!N1</f>
        <v>FY 31</v>
      </c>
      <c r="O1" s="54" t="str">
        <f>IGBTs!O1</f>
        <v>FY 32</v>
      </c>
      <c r="P1" s="54" t="str">
        <f>IGBTs!P1</f>
        <v>FY 33</v>
      </c>
      <c r="Q1" s="54" t="str">
        <f>IGBTs!Q1</f>
        <v>FY 34</v>
      </c>
      <c r="R1" s="54" t="str">
        <f>IGBTs!R1</f>
        <v>FY 35</v>
      </c>
      <c r="S1" s="54" t="str">
        <f>IGBTs!S1</f>
        <v>FY 36</v>
      </c>
      <c r="T1" s="54" t="str">
        <f>IGBTs!T1</f>
        <v>FY 37</v>
      </c>
      <c r="U1" s="54" t="str">
        <f>IGBTs!U1</f>
        <v>FY 38</v>
      </c>
      <c r="V1" s="54" t="str">
        <f>IGBTs!V1</f>
        <v>FY 39</v>
      </c>
      <c r="W1" s="54" t="str">
        <f>IGBTs!W1</f>
        <v>FY 40</v>
      </c>
      <c r="X1" s="54" t="str">
        <f>IGBTs!X1</f>
        <v>FY 41</v>
      </c>
      <c r="Y1" s="54" t="str">
        <f>IGBTs!Y1</f>
        <v>FY 42</v>
      </c>
      <c r="Z1" s="47"/>
      <c r="AA1" s="47"/>
      <c r="AB1" s="47"/>
    </row>
    <row r="2" spans="1:28" x14ac:dyDescent="0.35">
      <c r="D2">
        <v>1</v>
      </c>
      <c r="E2">
        <f>D2+1</f>
        <v>2</v>
      </c>
      <c r="F2" s="47">
        <f t="shared" ref="F2:Y2" si="0">E2+1</f>
        <v>3</v>
      </c>
      <c r="G2" s="47">
        <f t="shared" si="0"/>
        <v>4</v>
      </c>
      <c r="H2" s="47">
        <f t="shared" si="0"/>
        <v>5</v>
      </c>
      <c r="I2" s="47">
        <f t="shared" si="0"/>
        <v>6</v>
      </c>
      <c r="J2" s="47">
        <f t="shared" si="0"/>
        <v>7</v>
      </c>
      <c r="K2" s="47">
        <f t="shared" si="0"/>
        <v>8</v>
      </c>
      <c r="L2" s="47">
        <f t="shared" si="0"/>
        <v>9</v>
      </c>
      <c r="M2" s="47">
        <f t="shared" si="0"/>
        <v>10</v>
      </c>
      <c r="N2" s="47">
        <f t="shared" si="0"/>
        <v>11</v>
      </c>
      <c r="O2" s="47">
        <f t="shared" si="0"/>
        <v>12</v>
      </c>
      <c r="P2" s="47">
        <f t="shared" si="0"/>
        <v>13</v>
      </c>
      <c r="Q2" s="47">
        <f t="shared" si="0"/>
        <v>14</v>
      </c>
      <c r="R2" s="47">
        <f t="shared" si="0"/>
        <v>15</v>
      </c>
      <c r="S2" s="47">
        <f t="shared" si="0"/>
        <v>16</v>
      </c>
      <c r="T2" s="47">
        <f t="shared" si="0"/>
        <v>17</v>
      </c>
      <c r="U2" s="47">
        <f t="shared" si="0"/>
        <v>18</v>
      </c>
      <c r="V2" s="47">
        <f t="shared" si="0"/>
        <v>19</v>
      </c>
      <c r="W2" s="47">
        <f t="shared" si="0"/>
        <v>20</v>
      </c>
      <c r="X2" s="47">
        <f t="shared" si="0"/>
        <v>21</v>
      </c>
      <c r="Y2" s="47">
        <f t="shared" si="0"/>
        <v>22</v>
      </c>
    </row>
    <row r="3" spans="1:28" x14ac:dyDescent="0.35">
      <c r="A3" t="s">
        <v>90</v>
      </c>
      <c r="S3" s="6">
        <v>6728738.2200000007</v>
      </c>
      <c r="T3" s="6">
        <v>4331955.100000008</v>
      </c>
      <c r="U3" s="6">
        <v>3973563.7679239619</v>
      </c>
    </row>
    <row r="4" spans="1:28" x14ac:dyDescent="0.35">
      <c r="A4" t="s">
        <v>95</v>
      </c>
      <c r="B4" s="61">
        <v>0.02</v>
      </c>
      <c r="C4" s="19">
        <v>21434.286779469414</v>
      </c>
      <c r="D4" s="7">
        <f>C4</f>
        <v>21434.286779469414</v>
      </c>
      <c r="E4" s="7">
        <f t="shared" ref="E4:Y4" si="1">D4</f>
        <v>21434.286779469414</v>
      </c>
      <c r="F4" s="7">
        <f t="shared" si="1"/>
        <v>21434.286779469414</v>
      </c>
      <c r="G4" s="7">
        <f t="shared" si="1"/>
        <v>21434.286779469414</v>
      </c>
      <c r="H4" s="7">
        <f t="shared" si="1"/>
        <v>21434.286779469414</v>
      </c>
      <c r="I4" s="7">
        <f t="shared" si="1"/>
        <v>21434.286779469414</v>
      </c>
      <c r="J4" s="7">
        <f t="shared" si="1"/>
        <v>21434.286779469414</v>
      </c>
      <c r="K4" s="7">
        <f t="shared" si="1"/>
        <v>21434.286779469414</v>
      </c>
      <c r="L4" s="7">
        <f t="shared" si="1"/>
        <v>21434.286779469414</v>
      </c>
      <c r="M4" s="7">
        <f t="shared" si="1"/>
        <v>21434.286779469414</v>
      </c>
      <c r="N4" s="7">
        <f t="shared" si="1"/>
        <v>21434.286779469414</v>
      </c>
      <c r="O4" s="7">
        <f t="shared" si="1"/>
        <v>21434.286779469414</v>
      </c>
      <c r="P4" s="7">
        <f t="shared" si="1"/>
        <v>21434.286779469414</v>
      </c>
      <c r="Q4" s="7">
        <f t="shared" si="1"/>
        <v>21434.286779469414</v>
      </c>
      <c r="R4" s="7">
        <f t="shared" si="1"/>
        <v>21434.286779469414</v>
      </c>
      <c r="S4" s="7">
        <f t="shared" si="1"/>
        <v>21434.286779469414</v>
      </c>
      <c r="T4" s="7">
        <f t="shared" si="1"/>
        <v>21434.286779469414</v>
      </c>
      <c r="U4" s="7">
        <f t="shared" si="1"/>
        <v>21434.286779469414</v>
      </c>
      <c r="V4" s="7">
        <f t="shared" si="1"/>
        <v>21434.286779469414</v>
      </c>
      <c r="W4" s="7">
        <f t="shared" si="1"/>
        <v>21434.286779469414</v>
      </c>
      <c r="X4" s="7">
        <f t="shared" si="1"/>
        <v>21434.286779469414</v>
      </c>
      <c r="Y4" s="7">
        <f t="shared" si="1"/>
        <v>21434.286779469414</v>
      </c>
    </row>
    <row r="5" spans="1:28" x14ac:dyDescent="0.35">
      <c r="A5" t="s">
        <v>96</v>
      </c>
      <c r="B5" s="61">
        <v>0.02</v>
      </c>
      <c r="C5" s="19">
        <v>17954.835816136077</v>
      </c>
      <c r="D5" s="7">
        <f>C5</f>
        <v>17954.835816136077</v>
      </c>
      <c r="E5" s="7">
        <f t="shared" ref="E5:Y5" si="2">D5</f>
        <v>17954.835816136077</v>
      </c>
      <c r="F5" s="7">
        <f t="shared" si="2"/>
        <v>17954.835816136077</v>
      </c>
      <c r="G5" s="7">
        <f t="shared" si="2"/>
        <v>17954.835816136077</v>
      </c>
      <c r="H5" s="7">
        <f t="shared" si="2"/>
        <v>17954.835816136077</v>
      </c>
      <c r="I5" s="7">
        <f t="shared" si="2"/>
        <v>17954.835816136077</v>
      </c>
      <c r="J5" s="7">
        <f t="shared" si="2"/>
        <v>17954.835816136077</v>
      </c>
      <c r="K5" s="7">
        <f t="shared" si="2"/>
        <v>17954.835816136077</v>
      </c>
      <c r="L5" s="7">
        <f t="shared" si="2"/>
        <v>17954.835816136077</v>
      </c>
      <c r="M5" s="7">
        <f t="shared" si="2"/>
        <v>17954.835816136077</v>
      </c>
      <c r="N5" s="7">
        <f t="shared" si="2"/>
        <v>17954.835816136077</v>
      </c>
      <c r="O5" s="7">
        <f t="shared" si="2"/>
        <v>17954.835816136077</v>
      </c>
      <c r="P5" s="7">
        <f t="shared" si="2"/>
        <v>17954.835816136077</v>
      </c>
      <c r="Q5" s="7">
        <f t="shared" si="2"/>
        <v>17954.835816136077</v>
      </c>
      <c r="R5" s="7">
        <f t="shared" si="2"/>
        <v>17954.835816136077</v>
      </c>
      <c r="S5" s="7">
        <f t="shared" si="2"/>
        <v>17954.835816136077</v>
      </c>
      <c r="T5" s="7">
        <f t="shared" si="2"/>
        <v>17954.835816136077</v>
      </c>
      <c r="U5" s="7">
        <f t="shared" si="2"/>
        <v>17954.835816136077</v>
      </c>
      <c r="V5" s="7">
        <f t="shared" si="2"/>
        <v>17954.835816136077</v>
      </c>
      <c r="W5" s="7">
        <f t="shared" si="2"/>
        <v>17954.835816136077</v>
      </c>
      <c r="X5" s="7">
        <f t="shared" si="2"/>
        <v>17954.835816136077</v>
      </c>
      <c r="Y5" s="7">
        <f t="shared" si="2"/>
        <v>17954.835816136077</v>
      </c>
    </row>
    <row r="6" spans="1:28" x14ac:dyDescent="0.35">
      <c r="D6" s="7">
        <f>SUM(D3:D5)/(1+IGBTs!$B$85)^D$2</f>
        <v>38557.294636081708</v>
      </c>
      <c r="E6" s="7">
        <f>SUM(E3:E5)/(1+IGBTs!$B$85)^E$2</f>
        <v>37743.033398247804</v>
      </c>
      <c r="F6" s="7">
        <f>SUM(F3:F5)/(1+IGBTs!$B$85)^F$2</f>
        <v>36945.967904298333</v>
      </c>
      <c r="G6" s="7">
        <f>SUM(G3:G5)/(1+IGBTs!$B$85)^G$2</f>
        <v>36165.735010816919</v>
      </c>
      <c r="H6" s="7">
        <f>SUM(H3:H5)/(1+IGBTs!$B$85)^H$2</f>
        <v>35401.9792433279</v>
      </c>
      <c r="I6" s="7">
        <f>SUM(I3:I5)/(1+IGBTs!$B$85)^I$2</f>
        <v>34654.352634342045</v>
      </c>
      <c r="J6" s="7">
        <f>SUM(J3:J5)/(1+IGBTs!$B$85)^J$2</f>
        <v>33922.514564822348</v>
      </c>
      <c r="K6" s="7">
        <f>SUM(K3:K5)/(1+IGBTs!$B$85)^K$2</f>
        <v>33206.131608997886</v>
      </c>
      <c r="L6" s="7">
        <f>SUM(L3:L5)/(1+IGBTs!$B$85)^L$2</f>
        <v>32504.877382454837</v>
      </c>
      <c r="M6" s="7">
        <f>SUM(M3:M5)/(1+IGBTs!$B$85)^M$2</f>
        <v>31818.432393435589</v>
      </c>
      <c r="N6" s="7">
        <f>SUM(N3:N5)/(1+IGBTs!$B$85)^N$2</f>
        <v>31146.48389727818</v>
      </c>
      <c r="O6" s="7">
        <f>SUM(O3:O5)/(1+IGBTs!$B$85)^O$2</f>
        <v>30488.725753929644</v>
      </c>
      <c r="P6" s="7">
        <f>SUM(P3:P5)/(1+IGBTs!$B$85)^P$2</f>
        <v>29844.858288468484</v>
      </c>
      <c r="Q6" s="7">
        <f>SUM(Q3:Q5)/(1+IGBTs!$B$85)^Q$2</f>
        <v>29214.588154572612</v>
      </c>
      <c r="R6" s="7">
        <f>SUM(R3:R5)/(1+IGBTs!$B$85)^R$2</f>
        <v>28597.628200870644</v>
      </c>
      <c r="S6" s="7">
        <f>SUM(S3:S5)/(1+IGBTs!$B$85)^S$2</f>
        <v>4810081.9694095002</v>
      </c>
      <c r="T6" s="7">
        <f>SUM(T3:T5)/(1+IGBTs!$B$85)^T$2</f>
        <v>3041089.5555411908</v>
      </c>
      <c r="U6" s="7">
        <f>SUM(U3:U5)/(1+IGBTs!$B$85)^U$2</f>
        <v>2732804.1710267491</v>
      </c>
      <c r="V6" s="7">
        <f>SUM(V3:V5)/(1+IGBTs!$B$85)^V$2</f>
        <v>26257.356734469147</v>
      </c>
      <c r="W6" s="7">
        <f>SUM(W3:W5)/(1+IGBTs!$B$85)^W$2</f>
        <v>25702.848229693307</v>
      </c>
      <c r="X6" s="7">
        <f>SUM(X3:X5)/(1+IGBTs!$B$85)^X$2</f>
        <v>25160.049954739079</v>
      </c>
      <c r="Y6" s="7">
        <f>SUM(Y3:Y5)/(1+IGBTs!$B$85)^Y$2</f>
        <v>24628.714610455423</v>
      </c>
    </row>
    <row r="7" spans="1:28" x14ac:dyDescent="0.35">
      <c r="A7" t="s">
        <v>12</v>
      </c>
      <c r="C7" s="7">
        <f>SUM(D6:Y6)</f>
        <v>11185937.268578742</v>
      </c>
    </row>
  </sheetData>
  <scenarios current="0" show="0">
    <scenario name="Early replacement" locked="1" count="6" user="Allen, Mark" comment="Created by Allen, Mark on 23/01/2019">
      <inputCells r="U3" val="0"/>
      <inputCells r="T3" val="0"/>
      <inputCells r="S3" val="0"/>
      <inputCells r="N3" val="3973564"/>
      <inputCells r="O3" val="2999284"/>
      <inputCells r="P3" val="6728738"/>
    </scenario>
  </scenario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62742F5CF51D45B811E29E0478FBC6" ma:contentTypeVersion="0" ma:contentTypeDescription="Create a new document." ma:contentTypeScope="" ma:versionID="52baacfb7867dde9fed9afbe2062af3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0355F2-CB82-4A13-8969-555B411D45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851B11-745D-4060-9B6B-35C1AB24D7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02EADCC-178A-412D-AF2B-0A3E7256586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1. Data</vt:lpstr>
      <vt:lpstr>2 Forecast Capex</vt:lpstr>
      <vt:lpstr>RAB</vt:lpstr>
      <vt:lpstr>PTRM</vt:lpstr>
      <vt:lpstr>TAB</vt:lpstr>
      <vt:lpstr>Tables</vt:lpstr>
      <vt:lpstr>IGBTs</vt:lpstr>
      <vt:lpstr>VCU</vt:lpstr>
      <vt:lpstr>Replacement k</vt:lpstr>
      <vt:lpstr>Tables!_Ref345583960</vt:lpstr>
      <vt:lpstr>Tables!_Toc535872142</vt:lpstr>
      <vt:lpstr>Asset1</vt:lpstr>
      <vt:lpstr>Asset2</vt:lpstr>
      <vt:lpstr>Asset3</vt:lpstr>
      <vt:lpstr>'2 Forecast Capex'!Print_Area</vt:lpstr>
    </vt:vector>
  </TitlesOfParts>
  <Company>APA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Allen, Mark</dc:creator>
  <cp:lastModifiedBy>Jane Kelly</cp:lastModifiedBy>
  <cp:lastPrinted>2019-10-30T03:47:54Z</cp:lastPrinted>
  <dcterms:created xsi:type="dcterms:W3CDTF">2018-10-25T05:17:52Z</dcterms:created>
  <dcterms:modified xsi:type="dcterms:W3CDTF">2019-12-11T01:34:25Z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0x010100DF62742F5CF51D45B811E29E0478FBC6</vt:lpwstr>
  </property>
  <property fmtid="{D5CDD505-2E9C-101B-9397-08002B2CF9AE}" pid="3" name="_MarkAsFinal">
    <vt:bool>true</vt:bool>
  </property>
</Properties>
</file>