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Directlink 2020 reset\4 Revised proposal\WEB\"/>
    </mc:Choice>
  </mc:AlternateContent>
  <bookViews>
    <workbookView xWindow="0" yWindow="0" windowWidth="28800" windowHeight="11700"/>
  </bookViews>
  <sheets>
    <sheet name="Input│ Historic Opex" sheetId="1" r:id="rId1"/>
    <sheet name="Input│ Other" sheetId="2" r:id="rId2"/>
    <sheet name="Input│ End of life" sheetId="14" r:id="rId3"/>
    <sheet name="Input│ Forecast" sheetId="10" r:id="rId4"/>
    <sheet name="Input│ Insurance" sheetId="11" r:id="rId5"/>
    <sheet name="Calc│Forecast" sheetId="4" r:id="rId6"/>
    <sheet name="Outputs│PTRM" sheetId="6" r:id="rId7"/>
    <sheet name="Outputs│Tables" sheetId="7" r:id="rId8"/>
    <sheet name="Outputs│Graphs" sheetId="8" r:id="rId9"/>
  </sheets>
  <externalReferences>
    <externalReference r:id="rId10"/>
  </externalReferences>
  <definedNames>
    <definedName name="_Toc26534795" localSheetId="7">Outputs│Tables!$E$67</definedName>
    <definedName name="CRCP_y1">'[1]Business &amp; other details'!$C$39</definedName>
    <definedName name="CRCP_y2">'[1]Business &amp; other details'!$D$39</definedName>
    <definedName name="CRCP_y3">'[1]Business &amp; other details'!$E$39</definedName>
    <definedName name="CRCP_y4">'[1]Business &amp; other details'!$F$39</definedName>
    <definedName name="CRCP_y5">'[1]Business &amp; other details'!$G$39</definedName>
    <definedName name="dms_DollarReal">'[1]Business &amp; other details'!$C$74</definedName>
    <definedName name="dms_EBSS_status">'[1]Business &amp; other details'!$C$62</definedName>
    <definedName name="dms_PRCP_BaseYear">'[1]7.5 EBSS'!$C$24</definedName>
    <definedName name="dms_RPT">'[1]Business &amp; other details'!$C$66</definedName>
    <definedName name="dms_RPTMonth">'[1]Business &amp; other details'!$C$73</definedName>
    <definedName name="dms_TradingName">'[1]Business &amp; other details'!$C$14</definedName>
    <definedName name="FRCP_y1">'[1]Business &amp; other details'!$C$35</definedName>
    <definedName name="FRCP_y2">'[1]Business &amp; other details'!$D$35</definedName>
    <definedName name="FRCP_y3">'[1]Business &amp; other details'!$E$35</definedName>
    <definedName name="FRCP_y4">'[1]Business &amp; other details'!$F$35</definedName>
    <definedName name="FRCP_y5">'[1]Business &amp; other details'!$G$35</definedName>
    <definedName name="PRCP_y1">'[1]Business &amp; other details'!$C$44</definedName>
    <definedName name="PRCP_y2">'[1]Business &amp; other details'!$D$44</definedName>
    <definedName name="PRCP_y3">'[1]Business &amp; other details'!$E$44</definedName>
    <definedName name="PRCP_y4">'[1]Business &amp; other details'!$F$44</definedName>
    <definedName name="PRCP_y5">'[1]Business &amp; other details'!$G$44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1" i="7" l="1"/>
  <c r="H71" i="7"/>
  <c r="I71" i="7"/>
  <c r="J71" i="7"/>
  <c r="F71" i="7"/>
  <c r="B64" i="4" l="1"/>
  <c r="B75" i="4"/>
  <c r="B87" i="4"/>
  <c r="A70" i="4"/>
  <c r="A71" i="4"/>
  <c r="A72" i="4"/>
  <c r="A73" i="4"/>
  <c r="A74" i="4"/>
  <c r="A75" i="4"/>
  <c r="A87" i="4" s="1"/>
  <c r="A69" i="4"/>
  <c r="G62" i="7" l="1"/>
  <c r="H62" i="7"/>
  <c r="I62" i="7"/>
  <c r="J62" i="7"/>
  <c r="F62" i="7"/>
  <c r="E49" i="7"/>
  <c r="O3" i="14"/>
  <c r="O4" i="14" s="1"/>
  <c r="M13" i="14" l="1"/>
  <c r="G12" i="14" s="1"/>
  <c r="M12" i="14"/>
  <c r="N9" i="14"/>
  <c r="O5" i="14"/>
  <c r="M11" i="14" s="1"/>
  <c r="G36" i="14"/>
  <c r="A17" i="14"/>
  <c r="A25" i="14" s="1"/>
  <c r="A33" i="14" s="1"/>
  <c r="A41" i="14" s="1"/>
  <c r="F11" i="14"/>
  <c r="J10" i="14"/>
  <c r="D35" i="14" l="1"/>
  <c r="D43" i="14"/>
  <c r="I27" i="14"/>
  <c r="I35" i="14"/>
  <c r="I43" i="14"/>
  <c r="D46" i="14"/>
  <c r="D38" i="14"/>
  <c r="F45" i="14"/>
  <c r="F37" i="14"/>
  <c r="J34" i="14"/>
  <c r="D14" i="14"/>
  <c r="D22" i="14"/>
  <c r="F29" i="14"/>
  <c r="I19" i="14"/>
  <c r="F13" i="14"/>
  <c r="D27" i="14"/>
  <c r="J18" i="14"/>
  <c r="I11" i="14"/>
  <c r="F21" i="14"/>
  <c r="D30" i="14"/>
  <c r="D11" i="14"/>
  <c r="D19" i="14"/>
  <c r="G28" i="14"/>
  <c r="J26" i="14"/>
  <c r="G20" i="14"/>
  <c r="L19" i="7"/>
  <c r="L17" i="7"/>
  <c r="L16" i="7"/>
  <c r="L20" i="7" l="1"/>
  <c r="L18" i="7"/>
  <c r="J42" i="14"/>
  <c r="G44" i="14"/>
  <c r="B12" i="14"/>
  <c r="L15" i="7"/>
  <c r="L21" i="7" s="1"/>
  <c r="I23" i="1"/>
  <c r="F19" i="14" l="1"/>
  <c r="B20" i="14" s="1"/>
  <c r="F27" i="14" s="1"/>
  <c r="B28" i="14" s="1"/>
  <c r="F35" i="14" s="1"/>
  <c r="B36" i="14" s="1"/>
  <c r="E22" i="10"/>
  <c r="K51" i="7"/>
  <c r="F22" i="10" l="1"/>
  <c r="F43" i="14"/>
  <c r="B44" i="14" s="1"/>
  <c r="G22" i="10" l="1"/>
  <c r="H42" i="7"/>
  <c r="I42" i="7"/>
  <c r="J42" i="7"/>
  <c r="K42" i="7"/>
  <c r="H43" i="7"/>
  <c r="I43" i="7"/>
  <c r="J43" i="7"/>
  <c r="K43" i="7"/>
  <c r="G43" i="7"/>
  <c r="G42" i="7"/>
  <c r="H22" i="10" l="1"/>
  <c r="I22" i="10" l="1"/>
  <c r="E26" i="1" l="1"/>
  <c r="F26" i="1"/>
  <c r="G26" i="1"/>
  <c r="H26" i="1"/>
  <c r="D26" i="1"/>
  <c r="J3" i="11" l="1"/>
  <c r="J4" i="11"/>
  <c r="J5" i="11"/>
  <c r="J6" i="11"/>
  <c r="J7" i="11"/>
  <c r="J2" i="11"/>
  <c r="M3" i="11"/>
  <c r="C4" i="11" l="1"/>
  <c r="C5" i="11"/>
  <c r="C6" i="11" s="1"/>
  <c r="C7" i="11" s="1"/>
  <c r="C3" i="11"/>
  <c r="F3" i="11"/>
  <c r="G3" i="11" s="1"/>
  <c r="F2" i="11"/>
  <c r="G2" i="11" s="1"/>
  <c r="E3" i="11"/>
  <c r="E2" i="11"/>
  <c r="D4" i="11"/>
  <c r="D5" i="11"/>
  <c r="D6" i="11" s="1"/>
  <c r="D7" i="11" s="1"/>
  <c r="D3" i="11"/>
  <c r="E5" i="11" l="1"/>
  <c r="E4" i="11"/>
  <c r="F4" i="11" s="1"/>
  <c r="G4" i="11" s="1"/>
  <c r="H2" i="11"/>
  <c r="I2" i="11" s="1"/>
  <c r="H4" i="11"/>
  <c r="H3" i="11"/>
  <c r="F5" i="11" l="1"/>
  <c r="G5" i="11"/>
  <c r="E7" i="11"/>
  <c r="F7" i="11" s="1"/>
  <c r="G7" i="11" s="1"/>
  <c r="E6" i="11"/>
  <c r="F6" i="11" s="1"/>
  <c r="G6" i="11" s="1"/>
  <c r="I3" i="11"/>
  <c r="K3" i="11" s="1"/>
  <c r="E17" i="10" s="1"/>
  <c r="E19" i="10" s="1"/>
  <c r="F31" i="4" s="1"/>
  <c r="I4" i="11"/>
  <c r="K4" i="11" s="1"/>
  <c r="F17" i="10" s="1"/>
  <c r="F19" i="10" s="1"/>
  <c r="G31" i="4" s="1"/>
  <c r="K2" i="11"/>
  <c r="D17" i="10" s="1"/>
  <c r="D19" i="10" s="1"/>
  <c r="E31" i="4" s="1"/>
  <c r="J80" i="1"/>
  <c r="L42" i="7" l="1"/>
  <c r="H5" i="11"/>
  <c r="H6" i="11"/>
  <c r="I6" i="11"/>
  <c r="K6" i="11" s="1"/>
  <c r="H17" i="10" s="1"/>
  <c r="H19" i="10" s="1"/>
  <c r="I31" i="4" s="1"/>
  <c r="H7" i="11"/>
  <c r="I7" i="11" s="1"/>
  <c r="K7" i="11" s="1"/>
  <c r="I17" i="10" s="1"/>
  <c r="I19" i="10" s="1"/>
  <c r="J31" i="4" s="1"/>
  <c r="L43" i="7"/>
  <c r="I5" i="11" l="1"/>
  <c r="K5" i="11" s="1"/>
  <c r="G17" i="10" s="1"/>
  <c r="G19" i="10" s="1"/>
  <c r="H31" i="4" s="1"/>
  <c r="F36" i="7" l="1"/>
  <c r="F37" i="7" s="1"/>
  <c r="C19" i="10" l="1"/>
  <c r="P14" i="8"/>
  <c r="Q14" i="8"/>
  <c r="F51" i="7"/>
  <c r="H51" i="7"/>
  <c r="I51" i="7"/>
  <c r="J51" i="7"/>
  <c r="C24" i="4"/>
  <c r="D38" i="4"/>
  <c r="D39" i="4" s="1"/>
  <c r="G16" i="7"/>
  <c r="G18" i="7"/>
  <c r="E32" i="4"/>
  <c r="E38" i="4"/>
  <c r="E39" i="4" s="1"/>
  <c r="G52" i="4"/>
  <c r="J32" i="4"/>
  <c r="I22" i="8"/>
  <c r="I21" i="8"/>
  <c r="I20" i="8"/>
  <c r="B53" i="4"/>
  <c r="A38" i="4"/>
  <c r="C38" i="4"/>
  <c r="C53" i="4" s="1"/>
  <c r="C13" i="10"/>
  <c r="D80" i="4"/>
  <c r="E80" i="4"/>
  <c r="F80" i="4"/>
  <c r="G80" i="4"/>
  <c r="H80" i="4"/>
  <c r="I80" i="4"/>
  <c r="J80" i="4"/>
  <c r="C80" i="4"/>
  <c r="D68" i="4"/>
  <c r="E68" i="4"/>
  <c r="F68" i="4"/>
  <c r="G68" i="4"/>
  <c r="H68" i="4"/>
  <c r="I68" i="4"/>
  <c r="J68" i="4"/>
  <c r="C68" i="4"/>
  <c r="A82" i="4"/>
  <c r="A83" i="4"/>
  <c r="A84" i="4"/>
  <c r="A85" i="4"/>
  <c r="A86" i="4"/>
  <c r="A88" i="4"/>
  <c r="A81" i="4"/>
  <c r="B66" i="4"/>
  <c r="B69" i="4"/>
  <c r="B63" i="4"/>
  <c r="B65" i="4"/>
  <c r="A59" i="4"/>
  <c r="B81" i="4"/>
  <c r="B82" i="4"/>
  <c r="B83" i="4"/>
  <c r="B84" i="4" s="1"/>
  <c r="B85" i="4" s="1"/>
  <c r="B86" i="4" s="1"/>
  <c r="B88" i="4" s="1"/>
  <c r="F15" i="7"/>
  <c r="B27" i="1"/>
  <c r="A15" i="2"/>
  <c r="E12" i="6"/>
  <c r="B71" i="1"/>
  <c r="B70" i="1"/>
  <c r="B69" i="1"/>
  <c r="B68" i="1"/>
  <c r="B67" i="1"/>
  <c r="B66" i="1"/>
  <c r="C28" i="10"/>
  <c r="D47" i="4"/>
  <c r="I27" i="10"/>
  <c r="A10" i="2"/>
  <c r="A10" i="10"/>
  <c r="I24" i="10"/>
  <c r="H24" i="10"/>
  <c r="G24" i="10"/>
  <c r="F24" i="10"/>
  <c r="E24" i="10"/>
  <c r="D24" i="10"/>
  <c r="C24" i="10"/>
  <c r="D28" i="10"/>
  <c r="E47" i="4"/>
  <c r="E28" i="10"/>
  <c r="F28" i="10"/>
  <c r="F47" i="4"/>
  <c r="G28" i="10"/>
  <c r="G47" i="4"/>
  <c r="H28" i="10"/>
  <c r="H47" i="4"/>
  <c r="I28" i="10"/>
  <c r="J47" i="4"/>
  <c r="I47" i="4"/>
  <c r="A30" i="1"/>
  <c r="H19" i="7"/>
  <c r="H18" i="7"/>
  <c r="H16" i="7"/>
  <c r="G15" i="7"/>
  <c r="I15" i="7"/>
  <c r="A27" i="1"/>
  <c r="A10" i="8"/>
  <c r="M34" i="7"/>
  <c r="F16" i="7"/>
  <c r="F17" i="7" s="1"/>
  <c r="F18" i="7" s="1"/>
  <c r="F19" i="7" s="1"/>
  <c r="A10" i="7"/>
  <c r="A10" i="6"/>
  <c r="C39" i="4"/>
  <c r="B23" i="4"/>
  <c r="C17" i="4"/>
  <c r="B17" i="4"/>
  <c r="B20" i="4"/>
  <c r="B24" i="4"/>
  <c r="B27" i="4"/>
  <c r="B31" i="4"/>
  <c r="B32" i="4"/>
  <c r="B35" i="4"/>
  <c r="B38" i="4"/>
  <c r="A10" i="4"/>
  <c r="F18" i="2"/>
  <c r="A16" i="2"/>
  <c r="D12" i="2"/>
  <c r="B64" i="1"/>
  <c r="A64" i="1"/>
  <c r="A71" i="1" s="1"/>
  <c r="B63" i="1"/>
  <c r="A63" i="1"/>
  <c r="A70" i="1" s="1"/>
  <c r="B62" i="1"/>
  <c r="A62" i="1"/>
  <c r="A69" i="1"/>
  <c r="B61" i="1"/>
  <c r="A61" i="1"/>
  <c r="A68" i="1" s="1"/>
  <c r="B60" i="1"/>
  <c r="A60" i="1"/>
  <c r="B59" i="1"/>
  <c r="A59" i="1"/>
  <c r="A67" i="1"/>
  <c r="A58" i="1"/>
  <c r="A66" i="1" s="1"/>
  <c r="B49" i="1"/>
  <c r="B51" i="1"/>
  <c r="B52" i="1" s="1"/>
  <c r="B54" i="1" s="1"/>
  <c r="B40" i="1"/>
  <c r="H34" i="1"/>
  <c r="G34" i="1"/>
  <c r="F34" i="1"/>
  <c r="E34" i="1"/>
  <c r="D34" i="1"/>
  <c r="B28" i="1"/>
  <c r="B29" i="1" s="1"/>
  <c r="B30" i="1" s="1"/>
  <c r="A10" i="1"/>
  <c r="H15" i="7" s="1"/>
  <c r="B39" i="4"/>
  <c r="B41" i="4"/>
  <c r="E12" i="2"/>
  <c r="B70" i="4"/>
  <c r="B71" i="4"/>
  <c r="B72" i="4"/>
  <c r="B73" i="4" s="1"/>
  <c r="B74" i="4" s="1"/>
  <c r="B76" i="4" s="1"/>
  <c r="B46" i="4"/>
  <c r="F12" i="2"/>
  <c r="B51" i="4"/>
  <c r="B55" i="4"/>
  <c r="B48" i="4"/>
  <c r="B54" i="4"/>
  <c r="B52" i="4"/>
  <c r="G12" i="2"/>
  <c r="H12" i="2"/>
  <c r="I12" i="2"/>
  <c r="J12" i="2"/>
  <c r="K12" i="2"/>
  <c r="L12" i="2"/>
  <c r="M12" i="2"/>
  <c r="N12" i="2"/>
  <c r="O12" i="2"/>
  <c r="I54" i="1" l="1"/>
  <c r="J20" i="7"/>
  <c r="I19" i="7"/>
  <c r="C31" i="4"/>
  <c r="K16" i="7"/>
  <c r="J16" i="7"/>
  <c r="I16" i="7"/>
  <c r="K18" i="7"/>
  <c r="J18" i="7"/>
  <c r="I18" i="7"/>
  <c r="K20" i="7"/>
  <c r="E53" i="4"/>
  <c r="A53" i="4"/>
  <c r="E52" i="7"/>
  <c r="G56" i="7"/>
  <c r="G51" i="7"/>
  <c r="D16" i="2"/>
  <c r="J15" i="7"/>
  <c r="I49" i="1"/>
  <c r="K17" i="7"/>
  <c r="I52" i="1"/>
  <c r="I51" i="1"/>
  <c r="G20" i="7"/>
  <c r="I20" i="7"/>
  <c r="F16" i="2"/>
  <c r="U14" i="8"/>
  <c r="T14" i="8"/>
  <c r="S14" i="8"/>
  <c r="V14" i="8"/>
  <c r="R14" i="8"/>
  <c r="I52" i="4"/>
  <c r="F32" i="4"/>
  <c r="E52" i="4"/>
  <c r="G32" i="4"/>
  <c r="D32" i="4"/>
  <c r="D53" i="4"/>
  <c r="I44" i="7"/>
  <c r="I45" i="7" s="1"/>
  <c r="G44" i="7"/>
  <c r="J52" i="4"/>
  <c r="I32" i="4"/>
  <c r="D52" i="4"/>
  <c r="H20" i="7"/>
  <c r="J19" i="7"/>
  <c r="J44" i="7"/>
  <c r="J45" i="7" s="1"/>
  <c r="H52" i="4"/>
  <c r="G17" i="7"/>
  <c r="G19" i="7"/>
  <c r="H32" i="4"/>
  <c r="F52" i="4"/>
  <c r="H44" i="7"/>
  <c r="H45" i="7" s="1"/>
  <c r="L14" i="8"/>
  <c r="H41" i="7"/>
  <c r="K14" i="8"/>
  <c r="G41" i="7"/>
  <c r="F56" i="7"/>
  <c r="M14" i="8"/>
  <c r="I41" i="7"/>
  <c r="O14" i="8"/>
  <c r="K41" i="7"/>
  <c r="N14" i="8"/>
  <c r="J41" i="7"/>
  <c r="K34" i="7"/>
  <c r="L34" i="7"/>
  <c r="I34" i="7"/>
  <c r="J34" i="7"/>
  <c r="H17" i="7"/>
  <c r="G81" i="1"/>
  <c r="G82" i="1" s="1"/>
  <c r="H16" i="2"/>
  <c r="C16" i="2"/>
  <c r="G16" i="2"/>
  <c r="F81" i="1"/>
  <c r="F82" i="1" s="1"/>
  <c r="J17" i="7"/>
  <c r="I17" i="7"/>
  <c r="D23" i="1"/>
  <c r="D83" i="1" s="1"/>
  <c r="G46" i="7" s="1"/>
  <c r="J79" i="1"/>
  <c r="G18" i="2"/>
  <c r="H18" i="2" s="1"/>
  <c r="I18" i="2" s="1"/>
  <c r="J18" i="2" s="1"/>
  <c r="D12" i="10"/>
  <c r="E12" i="10" s="1"/>
  <c r="F12" i="10" s="1"/>
  <c r="G12" i="10" s="1"/>
  <c r="H12" i="10" s="1"/>
  <c r="I12" i="10" s="1"/>
  <c r="I40" i="1"/>
  <c r="G40" i="1"/>
  <c r="H56" i="7"/>
  <c r="E23" i="1"/>
  <c r="E83" i="1" s="1"/>
  <c r="H46" i="7" s="1"/>
  <c r="J40" i="1"/>
  <c r="B53" i="1"/>
  <c r="E81" i="1"/>
  <c r="E82" i="1" s="1"/>
  <c r="F40" i="1"/>
  <c r="H40" i="1"/>
  <c r="D81" i="1"/>
  <c r="F21" i="7"/>
  <c r="F27" i="7" s="1"/>
  <c r="F28" i="7" s="1"/>
  <c r="F29" i="7" s="1"/>
  <c r="F20" i="7"/>
  <c r="J56" i="7"/>
  <c r="I56" i="7"/>
  <c r="I53" i="1"/>
  <c r="K44" i="7" l="1"/>
  <c r="K45" i="7" s="1"/>
  <c r="K19" i="7"/>
  <c r="H81" i="1"/>
  <c r="H82" i="1" s="1"/>
  <c r="F23" i="1"/>
  <c r="F83" i="1" s="1"/>
  <c r="I46" i="7" s="1"/>
  <c r="I47" i="7" s="1"/>
  <c r="I21" i="7"/>
  <c r="I28" i="7" s="1"/>
  <c r="G23" i="1"/>
  <c r="G83" i="1" s="1"/>
  <c r="J46" i="7" s="1"/>
  <c r="J47" i="7" s="1"/>
  <c r="H21" i="7"/>
  <c r="L15" i="8" s="1"/>
  <c r="H23" i="1"/>
  <c r="C13" i="4" s="1"/>
  <c r="K15" i="7"/>
  <c r="K21" i="7" s="1"/>
  <c r="I48" i="1"/>
  <c r="I55" i="1" s="1"/>
  <c r="J81" i="1"/>
  <c r="J82" i="1" s="1"/>
  <c r="F43" i="1"/>
  <c r="I27" i="7" s="1"/>
  <c r="E84" i="1"/>
  <c r="H47" i="7"/>
  <c r="G21" i="7"/>
  <c r="K15" i="8" s="1"/>
  <c r="G45" i="7"/>
  <c r="L44" i="7"/>
  <c r="H43" i="1"/>
  <c r="O16" i="8" s="1"/>
  <c r="D82" i="1"/>
  <c r="D84" i="1" s="1"/>
  <c r="J21" i="7"/>
  <c r="J28" i="7" s="1"/>
  <c r="G43" i="1"/>
  <c r="N16" i="8" s="1"/>
  <c r="D13" i="10"/>
  <c r="M15" i="8"/>
  <c r="J13" i="2"/>
  <c r="I15" i="2" s="1"/>
  <c r="I16" i="2"/>
  <c r="I43" i="1" s="1"/>
  <c r="L27" i="7" s="1"/>
  <c r="C87" i="4" l="1"/>
  <c r="D87" i="4"/>
  <c r="E87" i="4"/>
  <c r="F84" i="1"/>
  <c r="G84" i="1"/>
  <c r="I29" i="1"/>
  <c r="I28" i="1"/>
  <c r="I27" i="1"/>
  <c r="H83" i="1"/>
  <c r="K46" i="7" s="1"/>
  <c r="M16" i="8"/>
  <c r="I60" i="1"/>
  <c r="I61" i="1"/>
  <c r="I68" i="1" s="1"/>
  <c r="I63" i="1"/>
  <c r="I62" i="1"/>
  <c r="I59" i="1"/>
  <c r="I58" i="1"/>
  <c r="K28" i="7"/>
  <c r="O15" i="8"/>
  <c r="N15" i="8"/>
  <c r="G47" i="7"/>
  <c r="L45" i="7"/>
  <c r="K27" i="7"/>
  <c r="L46" i="7"/>
  <c r="K47" i="7"/>
  <c r="J27" i="7"/>
  <c r="E13" i="10"/>
  <c r="G63" i="4"/>
  <c r="D63" i="4"/>
  <c r="D71" i="4" s="1"/>
  <c r="H63" i="4"/>
  <c r="E63" i="4"/>
  <c r="I63" i="4"/>
  <c r="F63" i="4"/>
  <c r="J63" i="4"/>
  <c r="I29" i="7"/>
  <c r="H84" i="1"/>
  <c r="J83" i="1"/>
  <c r="J84" i="1" s="1"/>
  <c r="F15" i="2"/>
  <c r="E15" i="2"/>
  <c r="K13" i="2"/>
  <c r="J15" i="2"/>
  <c r="D15" i="2"/>
  <c r="J16" i="2"/>
  <c r="J43" i="1" s="1"/>
  <c r="M27" i="7" s="1"/>
  <c r="C15" i="2"/>
  <c r="G15" i="2"/>
  <c r="H15" i="2"/>
  <c r="F13" i="10" l="1"/>
  <c r="E23" i="10"/>
  <c r="F38" i="4" s="1"/>
  <c r="I67" i="1"/>
  <c r="I66" i="1"/>
  <c r="I30" i="1"/>
  <c r="K29" i="7"/>
  <c r="I64" i="1"/>
  <c r="I69" i="1"/>
  <c r="I70" i="1"/>
  <c r="K36" i="7"/>
  <c r="N20" i="8"/>
  <c r="L47" i="7"/>
  <c r="N27" i="7"/>
  <c r="D83" i="4"/>
  <c r="J29" i="7"/>
  <c r="I35" i="7"/>
  <c r="J36" i="7"/>
  <c r="K35" i="7"/>
  <c r="K37" i="7" s="1"/>
  <c r="J35" i="7"/>
  <c r="M35" i="7"/>
  <c r="I36" i="7"/>
  <c r="L35" i="7"/>
  <c r="E45" i="4"/>
  <c r="I45" i="4"/>
  <c r="J45" i="4"/>
  <c r="H45" i="4"/>
  <c r="F45" i="4"/>
  <c r="C45" i="4"/>
  <c r="G45" i="4"/>
  <c r="D45" i="4"/>
  <c r="M20" i="8"/>
  <c r="M21" i="8"/>
  <c r="E29" i="1"/>
  <c r="E27" i="1"/>
  <c r="E28" i="1"/>
  <c r="O20" i="8"/>
  <c r="O21" i="8"/>
  <c r="L13" i="2"/>
  <c r="K15" i="2"/>
  <c r="K16" i="2"/>
  <c r="H28" i="1"/>
  <c r="H29" i="1"/>
  <c r="H27" i="1"/>
  <c r="D29" i="1"/>
  <c r="D27" i="1"/>
  <c r="D28" i="1"/>
  <c r="F27" i="1"/>
  <c r="F28" i="1"/>
  <c r="F29" i="1"/>
  <c r="P21" i="8"/>
  <c r="G28" i="1"/>
  <c r="G27" i="1"/>
  <c r="G29" i="1"/>
  <c r="Q21" i="8"/>
  <c r="E71" i="4"/>
  <c r="N21" i="8"/>
  <c r="F52" i="7" l="1"/>
  <c r="F39" i="4"/>
  <c r="F53" i="4"/>
  <c r="F64" i="4" s="1"/>
  <c r="F75" i="4" s="1"/>
  <c r="F87" i="4" s="1"/>
  <c r="F75" i="7" s="1"/>
  <c r="G13" i="10"/>
  <c r="F23" i="10"/>
  <c r="G38" i="4" s="1"/>
  <c r="I71" i="1"/>
  <c r="E83" i="4"/>
  <c r="I37" i="7"/>
  <c r="J37" i="7"/>
  <c r="N35" i="7"/>
  <c r="F30" i="1"/>
  <c r="H30" i="1"/>
  <c r="C20" i="4" s="1"/>
  <c r="C27" i="4" s="1"/>
  <c r="D27" i="4" s="1"/>
  <c r="M13" i="2"/>
  <c r="L15" i="2"/>
  <c r="L16" i="2"/>
  <c r="E30" i="1"/>
  <c r="D30" i="1"/>
  <c r="C32" i="4"/>
  <c r="C52" i="4"/>
  <c r="C63" i="4" s="1"/>
  <c r="G30" i="1"/>
  <c r="F71" i="4"/>
  <c r="H13" i="10" l="1"/>
  <c r="G23" i="10"/>
  <c r="H38" i="4" s="1"/>
  <c r="M17" i="7"/>
  <c r="G52" i="7"/>
  <c r="G64" i="7" s="1"/>
  <c r="G39" i="4"/>
  <c r="G53" i="4"/>
  <c r="G64" i="4" s="1"/>
  <c r="G75" i="4" s="1"/>
  <c r="G87" i="4" s="1"/>
  <c r="G75" i="7" s="1"/>
  <c r="F64" i="7"/>
  <c r="F83" i="4"/>
  <c r="C35" i="4"/>
  <c r="C41" i="4" s="1"/>
  <c r="D35" i="4"/>
  <c r="D41" i="4" s="1"/>
  <c r="D46" i="4" s="1"/>
  <c r="E27" i="4"/>
  <c r="G71" i="4"/>
  <c r="M15" i="2"/>
  <c r="N13" i="2"/>
  <c r="M16" i="2"/>
  <c r="C71" i="4"/>
  <c r="C83" i="4" s="1"/>
  <c r="C46" i="4" l="1"/>
  <c r="C48" i="4" s="1"/>
  <c r="C54" i="4" s="1"/>
  <c r="N17" i="7"/>
  <c r="H52" i="7"/>
  <c r="H39" i="4"/>
  <c r="H53" i="4"/>
  <c r="H64" i="4" s="1"/>
  <c r="H75" i="4" s="1"/>
  <c r="H87" i="4" s="1"/>
  <c r="H75" i="7" s="1"/>
  <c r="I13" i="10"/>
  <c r="I23" i="10" s="1"/>
  <c r="J38" i="4" s="1"/>
  <c r="H23" i="10"/>
  <c r="I38" i="4" s="1"/>
  <c r="G83" i="4"/>
  <c r="E35" i="4"/>
  <c r="E41" i="4" s="1"/>
  <c r="E46" i="4" s="1"/>
  <c r="F27" i="4"/>
  <c r="D48" i="4"/>
  <c r="C51" i="4"/>
  <c r="N15" i="2"/>
  <c r="O13" i="2"/>
  <c r="N16" i="2"/>
  <c r="H71" i="4"/>
  <c r="J52" i="7" l="1"/>
  <c r="J64" i="7" s="1"/>
  <c r="J53" i="4"/>
  <c r="J64" i="4" s="1"/>
  <c r="J75" i="4" s="1"/>
  <c r="J87" i="4" s="1"/>
  <c r="J75" i="7" s="1"/>
  <c r="J39" i="4"/>
  <c r="H64" i="7"/>
  <c r="C55" i="4"/>
  <c r="C59" i="4" s="1"/>
  <c r="C65" i="4" s="1"/>
  <c r="O17" i="7"/>
  <c r="K71" i="7"/>
  <c r="I52" i="7"/>
  <c r="I64" i="7" s="1"/>
  <c r="I53" i="4"/>
  <c r="I64" i="4" s="1"/>
  <c r="I75" i="4" s="1"/>
  <c r="I87" i="4" s="1"/>
  <c r="I75" i="7" s="1"/>
  <c r="K75" i="7" s="1"/>
  <c r="I39" i="4"/>
  <c r="H83" i="4"/>
  <c r="P17" i="7" s="1"/>
  <c r="D54" i="4"/>
  <c r="D51" i="4"/>
  <c r="F35" i="4"/>
  <c r="F41" i="4" s="1"/>
  <c r="F46" i="4" s="1"/>
  <c r="G27" i="4"/>
  <c r="E48" i="4"/>
  <c r="I71" i="4"/>
  <c r="O15" i="2"/>
  <c r="O16" i="2"/>
  <c r="K64" i="7" l="1"/>
  <c r="K52" i="7"/>
  <c r="I83" i="4"/>
  <c r="Q17" i="7" s="1"/>
  <c r="D55" i="4"/>
  <c r="C73" i="4"/>
  <c r="C85" i="4" s="1"/>
  <c r="C69" i="4"/>
  <c r="C70" i="4"/>
  <c r="C82" i="4" s="1"/>
  <c r="C74" i="4"/>
  <c r="C86" i="4" s="1"/>
  <c r="C72" i="4"/>
  <c r="C84" i="4" s="1"/>
  <c r="C66" i="4"/>
  <c r="E54" i="4"/>
  <c r="E51" i="4"/>
  <c r="G35" i="4"/>
  <c r="G41" i="4" s="1"/>
  <c r="G46" i="4" s="1"/>
  <c r="H27" i="4"/>
  <c r="F48" i="4"/>
  <c r="J71" i="4"/>
  <c r="C81" i="4" l="1"/>
  <c r="C76" i="4"/>
  <c r="D59" i="4"/>
  <c r="J83" i="4"/>
  <c r="R17" i="7" s="1"/>
  <c r="T17" i="7" s="1"/>
  <c r="C88" i="4"/>
  <c r="C78" i="4"/>
  <c r="F54" i="4"/>
  <c r="E55" i="4"/>
  <c r="F51" i="4"/>
  <c r="H35" i="4"/>
  <c r="H41" i="4" s="1"/>
  <c r="H46" i="4" s="1"/>
  <c r="I27" i="4"/>
  <c r="G48" i="4"/>
  <c r="D65" i="4" l="1"/>
  <c r="D66" i="4" s="1"/>
  <c r="D73" i="4"/>
  <c r="D85" i="4" s="1"/>
  <c r="D70" i="4"/>
  <c r="D82" i="4" s="1"/>
  <c r="D74" i="4"/>
  <c r="D86" i="4" s="1"/>
  <c r="F55" i="4"/>
  <c r="E59" i="4"/>
  <c r="E65" i="4" s="1"/>
  <c r="G54" i="4"/>
  <c r="G51" i="4"/>
  <c r="J27" i="4"/>
  <c r="I35" i="4"/>
  <c r="I41" i="4" s="1"/>
  <c r="I46" i="4" s="1"/>
  <c r="H48" i="4"/>
  <c r="D69" i="4" l="1"/>
  <c r="D81" i="4" s="1"/>
  <c r="D72" i="4"/>
  <c r="D84" i="4" s="1"/>
  <c r="P20" i="8"/>
  <c r="F59" i="4"/>
  <c r="G55" i="4"/>
  <c r="G59" i="4" s="1"/>
  <c r="G65" i="4" s="1"/>
  <c r="E72" i="4"/>
  <c r="E66" i="4"/>
  <c r="E69" i="4"/>
  <c r="E74" i="4"/>
  <c r="E73" i="4"/>
  <c r="E70" i="4"/>
  <c r="J35" i="4"/>
  <c r="J41" i="4" s="1"/>
  <c r="H54" i="4"/>
  <c r="H51" i="4"/>
  <c r="I48" i="4"/>
  <c r="D88" i="4" l="1"/>
  <c r="J46" i="4"/>
  <c r="J48" i="4" s="1"/>
  <c r="J54" i="4" s="1"/>
  <c r="D76" i="4"/>
  <c r="F65" i="4"/>
  <c r="F69" i="4" s="1"/>
  <c r="F81" i="4" s="1"/>
  <c r="F69" i="7" s="1"/>
  <c r="E76" i="4"/>
  <c r="L28" i="7"/>
  <c r="L36" i="7" s="1"/>
  <c r="H55" i="4"/>
  <c r="F73" i="4"/>
  <c r="F85" i="4" s="1"/>
  <c r="F73" i="7" s="1"/>
  <c r="G73" i="4"/>
  <c r="G85" i="4" s="1"/>
  <c r="G73" i="7" s="1"/>
  <c r="G69" i="4"/>
  <c r="G74" i="4"/>
  <c r="G86" i="4" s="1"/>
  <c r="G74" i="7" s="1"/>
  <c r="G72" i="4"/>
  <c r="G84" i="4" s="1"/>
  <c r="G72" i="7" s="1"/>
  <c r="G70" i="4"/>
  <c r="G82" i="4" s="1"/>
  <c r="G70" i="7" s="1"/>
  <c r="G66" i="4"/>
  <c r="E86" i="4"/>
  <c r="E81" i="4"/>
  <c r="E82" i="4"/>
  <c r="I54" i="4"/>
  <c r="E85" i="4"/>
  <c r="E84" i="4"/>
  <c r="I51" i="4"/>
  <c r="M19" i="7" l="1"/>
  <c r="J51" i="4"/>
  <c r="J55" i="4" s="1"/>
  <c r="M16" i="7"/>
  <c r="M20" i="7"/>
  <c r="M18" i="7"/>
  <c r="N15" i="7"/>
  <c r="O20" i="7"/>
  <c r="F70" i="4"/>
  <c r="F82" i="4" s="1"/>
  <c r="F70" i="7" s="1"/>
  <c r="F76" i="7" s="1"/>
  <c r="N19" i="7"/>
  <c r="F66" i="4"/>
  <c r="O18" i="7"/>
  <c r="F72" i="4"/>
  <c r="F84" i="4" s="1"/>
  <c r="F72" i="7" s="1"/>
  <c r="O16" i="7"/>
  <c r="O19" i="7"/>
  <c r="F74" i="4"/>
  <c r="F86" i="4" s="1"/>
  <c r="F74" i="7" s="1"/>
  <c r="E78" i="4"/>
  <c r="D78" i="4"/>
  <c r="G81" i="4"/>
  <c r="G69" i="7" s="1"/>
  <c r="G76" i="7" s="1"/>
  <c r="G76" i="4"/>
  <c r="L29" i="7"/>
  <c r="H59" i="4"/>
  <c r="I55" i="4"/>
  <c r="E88" i="4"/>
  <c r="M15" i="7"/>
  <c r="M21" i="7" s="1"/>
  <c r="L37" i="7"/>
  <c r="G88" i="4"/>
  <c r="S17" i="8" s="1"/>
  <c r="N22" i="8" s="1"/>
  <c r="F88" i="4" l="1"/>
  <c r="R17" i="8" s="1"/>
  <c r="M22" i="8" s="1"/>
  <c r="N16" i="7"/>
  <c r="O15" i="7"/>
  <c r="N20" i="7"/>
  <c r="N18" i="7"/>
  <c r="F76" i="4"/>
  <c r="F65" i="7" s="1"/>
  <c r="F63" i="7" s="1"/>
  <c r="H65" i="4"/>
  <c r="H72" i="4" s="1"/>
  <c r="H84" i="4" s="1"/>
  <c r="H15" i="6"/>
  <c r="G65" i="7"/>
  <c r="G63" i="7" s="1"/>
  <c r="O21" i="7"/>
  <c r="G57" i="7" s="1"/>
  <c r="N21" i="7"/>
  <c r="H70" i="4"/>
  <c r="H74" i="4"/>
  <c r="H86" i="4" s="1"/>
  <c r="H69" i="4"/>
  <c r="J59" i="4"/>
  <c r="G78" i="4"/>
  <c r="I59" i="4"/>
  <c r="Q20" i="8"/>
  <c r="M28" i="7"/>
  <c r="P18" i="7" l="1"/>
  <c r="H72" i="7"/>
  <c r="P20" i="7"/>
  <c r="H74" i="7"/>
  <c r="G15" i="6"/>
  <c r="H66" i="4"/>
  <c r="H73" i="4"/>
  <c r="H85" i="4" s="1"/>
  <c r="F78" i="4"/>
  <c r="I65" i="4"/>
  <c r="I66" i="4" s="1"/>
  <c r="J65" i="4"/>
  <c r="J74" i="4" s="1"/>
  <c r="J86" i="4" s="1"/>
  <c r="H81" i="4"/>
  <c r="F57" i="7"/>
  <c r="H82" i="4"/>
  <c r="H70" i="7" s="1"/>
  <c r="M29" i="7"/>
  <c r="N28" i="7"/>
  <c r="N29" i="7" s="1"/>
  <c r="M36" i="7"/>
  <c r="R20" i="7" l="1"/>
  <c r="J74" i="7"/>
  <c r="P19" i="7"/>
  <c r="H73" i="7"/>
  <c r="I69" i="4"/>
  <c r="I81" i="4" s="1"/>
  <c r="H76" i="4"/>
  <c r="J73" i="4"/>
  <c r="J85" i="4" s="1"/>
  <c r="P15" i="7"/>
  <c r="H69" i="7"/>
  <c r="I72" i="4"/>
  <c r="I84" i="4" s="1"/>
  <c r="I73" i="4"/>
  <c r="I85" i="4" s="1"/>
  <c r="I74" i="4"/>
  <c r="I86" i="4" s="1"/>
  <c r="J70" i="4"/>
  <c r="J82" i="4" s="1"/>
  <c r="J66" i="4"/>
  <c r="J69" i="4"/>
  <c r="I70" i="4"/>
  <c r="I82" i="4" s="1"/>
  <c r="J72" i="4"/>
  <c r="J84" i="4" s="1"/>
  <c r="J81" i="4"/>
  <c r="H88" i="4"/>
  <c r="T17" i="8" s="1"/>
  <c r="O22" i="8" s="1"/>
  <c r="H78" i="4"/>
  <c r="H65" i="7"/>
  <c r="I15" i="6"/>
  <c r="P16" i="7"/>
  <c r="M37" i="7"/>
  <c r="N36" i="7"/>
  <c r="N37" i="7" s="1"/>
  <c r="I69" i="7" l="1"/>
  <c r="Q15" i="7"/>
  <c r="R18" i="7"/>
  <c r="J72" i="7"/>
  <c r="R16" i="7"/>
  <c r="J70" i="7"/>
  <c r="H76" i="7"/>
  <c r="Q16" i="7"/>
  <c r="I70" i="7"/>
  <c r="K70" i="7" s="1"/>
  <c r="Q20" i="7"/>
  <c r="T20" i="7" s="1"/>
  <c r="I74" i="7"/>
  <c r="K74" i="7" s="1"/>
  <c r="R15" i="7"/>
  <c r="T15" i="7" s="1"/>
  <c r="J69" i="7"/>
  <c r="J76" i="7" s="1"/>
  <c r="R19" i="7"/>
  <c r="J73" i="7"/>
  <c r="Q19" i="7"/>
  <c r="I73" i="7"/>
  <c r="K73" i="7" s="1"/>
  <c r="Q18" i="7"/>
  <c r="I72" i="7"/>
  <c r="J76" i="4"/>
  <c r="J78" i="4" s="1"/>
  <c r="I88" i="4"/>
  <c r="U17" i="8" s="1"/>
  <c r="P22" i="8" s="1"/>
  <c r="I76" i="4"/>
  <c r="I65" i="7" s="1"/>
  <c r="I63" i="7" s="1"/>
  <c r="H63" i="7"/>
  <c r="Q21" i="7"/>
  <c r="I57" i="7" s="1"/>
  <c r="P21" i="7"/>
  <c r="T16" i="7"/>
  <c r="J88" i="4"/>
  <c r="V17" i="8" s="1"/>
  <c r="Q22" i="8" s="1"/>
  <c r="K69" i="7" l="1"/>
  <c r="T18" i="7"/>
  <c r="I78" i="4"/>
  <c r="J15" i="6"/>
  <c r="T19" i="7"/>
  <c r="R21" i="7"/>
  <c r="J57" i="7" s="1"/>
  <c r="K72" i="7"/>
  <c r="I76" i="7"/>
  <c r="J65" i="7"/>
  <c r="J63" i="7" s="1"/>
  <c r="K15" i="6"/>
  <c r="K65" i="7"/>
  <c r="K63" i="7"/>
  <c r="H57" i="7"/>
  <c r="T21" i="7"/>
  <c r="G25" i="6"/>
  <c r="K57" i="7" l="1"/>
  <c r="K76" i="7"/>
  <c r="H25" i="6"/>
  <c r="I25" i="6" l="1"/>
  <c r="J25" i="6" l="1"/>
  <c r="K25" i="6" l="1"/>
</calcChain>
</file>

<file path=xl/sharedStrings.xml><?xml version="1.0" encoding="utf-8"?>
<sst xmlns="http://schemas.openxmlformats.org/spreadsheetml/2006/main" count="378" uniqueCount="176">
  <si>
    <t>Unit</t>
  </si>
  <si>
    <t>2013/14</t>
  </si>
  <si>
    <t>2014/15</t>
  </si>
  <si>
    <t>2015/16</t>
  </si>
  <si>
    <t>2016/17</t>
  </si>
  <si>
    <t>2017/18</t>
  </si>
  <si>
    <t>Historic Opex from Regulatory Accounts</t>
  </si>
  <si>
    <t>$'000 nominal</t>
  </si>
  <si>
    <t>Debt raising costs</t>
  </si>
  <si>
    <t>$ nominal</t>
  </si>
  <si>
    <t>Source: Regulatory Accounts</t>
  </si>
  <si>
    <t>Insurance</t>
  </si>
  <si>
    <t>Other</t>
  </si>
  <si>
    <t>real $2017</t>
  </si>
  <si>
    <t>Growth Opex</t>
  </si>
  <si>
    <t>Operating Expenditure</t>
  </si>
  <si>
    <t>Total Allowance</t>
  </si>
  <si>
    <t>2018/19</t>
  </si>
  <si>
    <t>2019/20</t>
  </si>
  <si>
    <t>2020/21</t>
  </si>
  <si>
    <t>2021/22</t>
  </si>
  <si>
    <t>2022/23</t>
  </si>
  <si>
    <t>2023/24</t>
  </si>
  <si>
    <t>Step changes</t>
  </si>
  <si>
    <t>Total Step Changes</t>
  </si>
  <si>
    <t>AER's Final Decision</t>
  </si>
  <si>
    <t>Total</t>
  </si>
  <si>
    <t>AER Total Operating Expenditure</t>
  </si>
  <si>
    <t>$000 nominal</t>
  </si>
  <si>
    <t>RIN calculation</t>
  </si>
  <si>
    <t>NETWORK OPERATIONS AND MAINTENANCE</t>
  </si>
  <si>
    <t>Operating and maintenance expenses</t>
  </si>
  <si>
    <t>$m nominal</t>
  </si>
  <si>
    <t>Management fees and expenses</t>
  </si>
  <si>
    <t>OTHER COSTS</t>
  </si>
  <si>
    <t>Tax on property and capital</t>
  </si>
  <si>
    <t>Accounting/audit fees</t>
  </si>
  <si>
    <t>TOTAL</t>
  </si>
  <si>
    <t>Proportions</t>
  </si>
  <si>
    <t>Percent</t>
  </si>
  <si>
    <t>2012/13</t>
  </si>
  <si>
    <t>2024/25</t>
  </si>
  <si>
    <t>Inflation Value</t>
  </si>
  <si>
    <t>Date</t>
  </si>
  <si>
    <t>ABS CPI All Australian</t>
  </si>
  <si>
    <t>Index</t>
  </si>
  <si>
    <t>Source: ABS</t>
  </si>
  <si>
    <t>AER</t>
  </si>
  <si>
    <t>AER baseline to real $2012</t>
  </si>
  <si>
    <t>Debt Raising Costs</t>
  </si>
  <si>
    <t>Efficient Base Year</t>
  </si>
  <si>
    <t>Total Operating Expenditure</t>
  </si>
  <si>
    <t>Less one off costs</t>
  </si>
  <si>
    <t>Total one off costs</t>
  </si>
  <si>
    <t>Efficient Base Year Less one off costs</t>
  </si>
  <si>
    <t>Less base year items forecast separately</t>
  </si>
  <si>
    <t>Total items forecast separately</t>
  </si>
  <si>
    <t>Starting Base Year Opex</t>
  </si>
  <si>
    <t>Separate Forecasts</t>
  </si>
  <si>
    <t>Total of Separate Forecasts</t>
  </si>
  <si>
    <t>Baseline forecast Opex</t>
  </si>
  <si>
    <t>Step Changes</t>
  </si>
  <si>
    <t>Total Step changes</t>
  </si>
  <si>
    <t>Total Opex Forecast</t>
  </si>
  <si>
    <t>Allocation in dollars</t>
  </si>
  <si>
    <t>Year</t>
  </si>
  <si>
    <t>Opex</t>
  </si>
  <si>
    <t>Total operating expenditure</t>
  </si>
  <si>
    <t>Total operating expenditure vs AER forecast (nominal $m)</t>
  </si>
  <si>
    <t>AER forecast</t>
  </si>
  <si>
    <t>Directlink Actuals</t>
  </si>
  <si>
    <t>Difference</t>
  </si>
  <si>
    <t>Total operating expenditure less debt raising costs</t>
  </si>
  <si>
    <t>Actuals vs AER Forecast</t>
  </si>
  <si>
    <t>Operating Expenditure (actual)</t>
  </si>
  <si>
    <t>AER Forecast</t>
  </si>
  <si>
    <t>Operating Expenditure (forecast)</t>
  </si>
  <si>
    <t>Total operating expenditure actual and forecast</t>
  </si>
  <si>
    <t>Forecast Insurance</t>
  </si>
  <si>
    <t>Labour Escalator</t>
  </si>
  <si>
    <t>Total Opex</t>
  </si>
  <si>
    <t>Labour as percent of Opex</t>
  </si>
  <si>
    <t>Insurance cost</t>
  </si>
  <si>
    <t>Forecast CPI</t>
  </si>
  <si>
    <t>$ real 2017/18</t>
  </si>
  <si>
    <t>CPI</t>
  </si>
  <si>
    <t>Base Year 2017/18</t>
  </si>
  <si>
    <t>Real Cost Escalation</t>
  </si>
  <si>
    <t>Proportion of Labour Opex</t>
  </si>
  <si>
    <t>Labour cost</t>
  </si>
  <si>
    <t>Escalation</t>
  </si>
  <si>
    <t>Labour Cost</t>
  </si>
  <si>
    <t>Non Labour Opex</t>
  </si>
  <si>
    <t>Labour Opex</t>
  </si>
  <si>
    <t>Labour Cost Escalators</t>
  </si>
  <si>
    <t xml:space="preserve">Deloitte Access Economics </t>
  </si>
  <si>
    <t>Source</t>
  </si>
  <si>
    <t>percent</t>
  </si>
  <si>
    <t>index</t>
  </si>
  <si>
    <t>Deloitte AccessEcoonomics, Labour Price Growth Forecasts:Prepared for the Australian Energy Regulator, 19 July 2018, p 40; calculation</t>
  </si>
  <si>
    <t>Total Labour</t>
  </si>
  <si>
    <t>Source: AER - Directlink transmission determination - 2018-19 return on debt update - PTRM - March 2018 - PUBLIC.XLSM</t>
  </si>
  <si>
    <t>Calculation of Forecast Operating Expenditure</t>
  </si>
  <si>
    <t>Non insurance Opex</t>
  </si>
  <si>
    <t>Calculation for Tables</t>
  </si>
  <si>
    <t>Check cell</t>
  </si>
  <si>
    <t>Real $2017/18 '000</t>
  </si>
  <si>
    <t>Historic opex in $2019/20 real</t>
  </si>
  <si>
    <t>Historic Operating Expenditure less debt raising costs ($m nominal)</t>
  </si>
  <si>
    <t>Operating Expenditure in $nominal</t>
  </si>
  <si>
    <t>Total Opex ($000 Real 2019/20)</t>
  </si>
  <si>
    <t>Real $2019/20</t>
  </si>
  <si>
    <t>Insurance Opex</t>
  </si>
  <si>
    <t>Total forecast operating expenditure excluding Debt Raising Costs (real 2019/20 $m)</t>
  </si>
  <si>
    <t>Labour based non O&amp;M</t>
  </si>
  <si>
    <t>Nominal</t>
  </si>
  <si>
    <t>Real 2019/20</t>
  </si>
  <si>
    <t>Year 1</t>
  </si>
  <si>
    <t>Year 2</t>
  </si>
  <si>
    <t>Year 3</t>
  </si>
  <si>
    <t>Year 4</t>
  </si>
  <si>
    <t>Year 5</t>
  </si>
  <si>
    <t>AER Forecast $2014/15</t>
  </si>
  <si>
    <t>Total operating expenditure vs AER forecast ($m real FY20)</t>
  </si>
  <si>
    <t>$m FY18</t>
  </si>
  <si>
    <t>Contract Labour based O&amp;M</t>
  </si>
  <si>
    <t>Internal Labour Based O&amp;M</t>
  </si>
  <si>
    <t>Contract labour based O&amp;M</t>
  </si>
  <si>
    <t>Internal labour Based O&amp;M</t>
  </si>
  <si>
    <t>Declared Value</t>
  </si>
  <si>
    <t>Rate</t>
  </si>
  <si>
    <t>Base Premium</t>
  </si>
  <si>
    <t>Terrorism Tier C (Rural) 2.6%</t>
  </si>
  <si>
    <t>Sub Total</t>
  </si>
  <si>
    <t>Property</t>
  </si>
  <si>
    <t>% Change due to Market</t>
  </si>
  <si>
    <t>FSL based on market average of 34%</t>
  </si>
  <si>
    <t>GST</t>
  </si>
  <si>
    <t>Stamp Duty</t>
  </si>
  <si>
    <t>FSL</t>
  </si>
  <si>
    <t>Terrorism</t>
  </si>
  <si>
    <t>Total Excluding GST</t>
  </si>
  <si>
    <t>Property Insurance</t>
  </si>
  <si>
    <t>Liability Insurance</t>
  </si>
  <si>
    <t>End of life costs</t>
  </si>
  <si>
    <t>Reclamation and Restoration Cost (GHD)</t>
  </si>
  <si>
    <t>Land Value</t>
  </si>
  <si>
    <t>Net End of Life cost ($m FY20)</t>
  </si>
  <si>
    <t>Net End of Life cost ($m FY42)</t>
  </si>
  <si>
    <t>Inflation</t>
  </si>
  <si>
    <t>Risk free Rate</t>
  </si>
  <si>
    <t>End of Life Costs</t>
  </si>
  <si>
    <t>n</t>
  </si>
  <si>
    <t>FV</t>
  </si>
  <si>
    <t>-</t>
  </si>
  <si>
    <t>PV</t>
  </si>
  <si>
    <t>+</t>
  </si>
  <si>
    <t>i</t>
  </si>
  <si>
    <t>C</t>
  </si>
  <si>
    <t>=</t>
  </si>
  <si>
    <t>FV=</t>
  </si>
  <si>
    <t>i=</t>
  </si>
  <si>
    <t>n=</t>
  </si>
  <si>
    <t>Remaining life</t>
  </si>
  <si>
    <t>Operating Expenditure for end of life costs ($m FY2020)</t>
  </si>
  <si>
    <t xml:space="preserve">Operating expenditure </t>
  </si>
  <si>
    <t>End of Life costs</t>
  </si>
  <si>
    <t>Revised proposal operating expenditure</t>
  </si>
  <si>
    <t>Table 12‑5 – Forecast operating expenditure by type ($m nominal)</t>
  </si>
  <si>
    <t>NETWORK OPERATIONS &amp; MAINTENANCE</t>
  </si>
  <si>
    <t>Operating &amp; Maintenance Costs</t>
  </si>
  <si>
    <t xml:space="preserve">Commercial Management Fees </t>
  </si>
  <si>
    <t>Tax on Property &amp; Capital</t>
  </si>
  <si>
    <t>Accounting/Audit Fees</t>
  </si>
  <si>
    <t>Legal fees</t>
  </si>
  <si>
    <t>Total Operating expenditure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</si>
</sst>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6" formatCode="&quot;$&quot;#,##0;[Red]\-&quot;$&quot;#,##0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_-* #,##0.0_-;\-* #,##0.0_-;_-* &quot;-&quot;??_-;_-@_-"/>
    <numFmt numFmtId="166" formatCode="_-* #,##0_-;\-* #,##0_-;_-* &quot;-&quot;??_-;_-@_-"/>
    <numFmt numFmtId="167" formatCode="0.00000%"/>
    <numFmt numFmtId="168" formatCode="_-* #,##0_-;\-* #,##0_-;_-* &quot;-&quot;?????_-;_-@_-"/>
    <numFmt numFmtId="169" formatCode="&quot;$&quot;#,##0"/>
    <numFmt numFmtId="170" formatCode="_-&quot;$&quot;* #,##0_-;\-&quot;$&quot;* #,##0_-;_-&quot;$&quot;* &quot;-&quot;??_-;_-@_-"/>
  </numFmts>
  <fonts count="32" x14ac:knownFonts="1">
    <font>
      <sz val="11"/>
      <color theme="1"/>
      <name val="Century Gothic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Century Gothic"/>
      <family val="2"/>
    </font>
    <font>
      <sz val="12"/>
      <color theme="5" tint="-0.24994659260841701"/>
      <name val="Century Gothic"/>
      <family val="2"/>
    </font>
    <font>
      <sz val="11"/>
      <color rgb="FFFA7D00"/>
      <name val="Century Gothic"/>
      <family val="2"/>
    </font>
    <font>
      <b/>
      <sz val="11"/>
      <color theme="5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i/>
      <sz val="8"/>
      <color theme="1"/>
      <name val="Century Gothic"/>
      <family val="2"/>
    </font>
    <font>
      <b/>
      <sz val="11"/>
      <color rgb="FF7030A0"/>
      <name val="Century Gothic"/>
      <family val="2"/>
    </font>
    <font>
      <sz val="11"/>
      <color theme="0" tint="-0.34998626667073579"/>
      <name val="Century Gothic"/>
      <family val="2"/>
    </font>
    <font>
      <b/>
      <sz val="8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6"/>
      <color rgb="FF9C6500"/>
      <name val="Calibri"/>
      <family val="2"/>
      <scheme val="minor"/>
    </font>
    <font>
      <sz val="10.5"/>
      <color rgb="FFEF2E25"/>
      <name val="Century Gothic"/>
      <family val="2"/>
    </font>
    <font>
      <sz val="10.5"/>
      <color rgb="FF231F20"/>
      <name val="Century Gothic"/>
      <family val="2"/>
    </font>
    <font>
      <b/>
      <sz val="11"/>
      <color rgb="FF231F20"/>
      <name val="Century Gothic"/>
      <family val="2"/>
    </font>
    <font>
      <b/>
      <sz val="15"/>
      <color rgb="FFEF2E25"/>
      <name val="Calibri"/>
      <family val="2"/>
      <scheme val="minor"/>
    </font>
    <font>
      <b/>
      <sz val="10"/>
      <color rgb="FF231F20"/>
      <name val="Century Gothic"/>
      <family val="2"/>
    </font>
    <font>
      <b/>
      <sz val="11"/>
      <color rgb="FF808183"/>
      <name val="Calibri"/>
      <family val="2"/>
      <scheme val="minor"/>
    </font>
    <font>
      <b/>
      <sz val="18"/>
      <color rgb="FFEF2E25"/>
      <name val="Calibri Light"/>
      <family val="2"/>
      <scheme val="major"/>
    </font>
    <font>
      <sz val="10.5"/>
      <color rgb="FF808183"/>
      <name val="Century Gothic"/>
      <family val="2"/>
    </font>
    <font>
      <sz val="10.5"/>
      <color theme="1"/>
      <name val="Century Gothic"/>
      <family val="2"/>
    </font>
    <font>
      <sz val="11"/>
      <color theme="1"/>
      <name val="Century Gothic"/>
      <family val="2"/>
    </font>
    <font>
      <sz val="16"/>
      <color theme="1"/>
      <name val="Century Gothic"/>
      <family val="2"/>
    </font>
    <font>
      <b/>
      <sz val="15"/>
      <color theme="3"/>
      <name val="Calibri"/>
      <family val="2"/>
      <scheme val="minor"/>
    </font>
    <font>
      <i/>
      <sz val="11"/>
      <color rgb="FF333333"/>
      <name val="Century Gothic"/>
      <family val="2"/>
    </font>
  </fonts>
  <fills count="1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A5A5A5"/>
      </patternFill>
    </fill>
    <fill>
      <patternFill patternType="solid">
        <fgColor rgb="FFF2F2F2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FF8001"/>
      </left>
      <right style="thin">
        <color rgb="FFFF8001"/>
      </right>
      <top style="thin">
        <color rgb="FFFF8001"/>
      </top>
      <bottom style="thin">
        <color rgb="FFFF8001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808183"/>
      </left>
      <right style="medium">
        <color rgb="FF808183"/>
      </right>
      <top style="medium">
        <color rgb="FF808183"/>
      </top>
      <bottom style="medium">
        <color rgb="FF808183"/>
      </bottom>
      <diagonal/>
    </border>
    <border>
      <left style="thin">
        <color rgb="FF231F20"/>
      </left>
      <right style="thin">
        <color rgb="FF231F20"/>
      </right>
      <top style="thin">
        <color rgb="FF231F20"/>
      </top>
      <bottom style="thin">
        <color rgb="FF231F20"/>
      </bottom>
      <diagonal/>
    </border>
    <border>
      <left style="medium">
        <color rgb="FFEF2E25"/>
      </left>
      <right style="medium">
        <color rgb="FFEF2E25"/>
      </right>
      <top style="medium">
        <color rgb="FFEF2E25"/>
      </top>
      <bottom style="medium">
        <color rgb="FFEF2E25"/>
      </bottom>
      <diagonal/>
    </border>
    <border>
      <left/>
      <right/>
      <top/>
      <bottom style="thick">
        <color rgb="FF231F20"/>
      </bottom>
      <diagonal/>
    </border>
    <border>
      <left/>
      <right/>
      <top/>
      <bottom style="thick">
        <color rgb="FFEF2E25"/>
      </bottom>
      <diagonal/>
    </border>
    <border>
      <left/>
      <right/>
      <top style="thick">
        <color rgb="FFEF2E25"/>
      </top>
      <bottom style="thick">
        <color rgb="FFEF2E25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37">
    <xf numFmtId="0" fontId="0" fillId="8" borderId="0"/>
    <xf numFmtId="9" fontId="27" fillId="0" borderId="0" applyFill="0" applyBorder="0" applyAlignment="0" applyProtection="0"/>
    <xf numFmtId="0" fontId="25" fillId="8" borderId="12" applyNumberFormat="0" applyAlignment="0" applyProtection="0"/>
    <xf numFmtId="0" fontId="22" fillId="8" borderId="10" applyNumberFormat="0" applyAlignment="0" applyProtection="0"/>
    <xf numFmtId="0" fontId="23" fillId="8" borderId="11" applyNumberFormat="0" applyAlignment="0" applyProtection="0"/>
    <xf numFmtId="0" fontId="10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20" fillId="0" borderId="7" applyNumberFormat="0" applyAlignment="0" applyProtection="0"/>
    <xf numFmtId="0" fontId="21" fillId="0" borderId="9" applyNumberFormat="0" applyAlignment="0" applyProtection="0"/>
    <xf numFmtId="0" fontId="26" fillId="0" borderId="8" applyNumberFormat="0" applyAlignment="0" applyProtection="0"/>
    <xf numFmtId="0" fontId="13" fillId="5" borderId="2" applyNumberFormat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8" fillId="0" borderId="0"/>
    <xf numFmtId="0" fontId="19" fillId="0" borderId="6">
      <alignment horizontal="left" vertical="center" wrapText="1"/>
    </xf>
    <xf numFmtId="0" fontId="20" fillId="0" borderId="6">
      <alignment horizontal="left" vertical="center" wrapText="1"/>
    </xf>
    <xf numFmtId="43" fontId="20" fillId="8" borderId="6">
      <alignment horizontal="right" vertical="center" wrapText="1"/>
    </xf>
    <xf numFmtId="43" fontId="3" fillId="0" borderId="0" applyFont="0" applyFill="0" applyBorder="0" applyAlignment="0" applyProtection="0"/>
    <xf numFmtId="0" fontId="15" fillId="8" borderId="3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" fillId="9" borderId="0" applyNumberFormat="0" applyBorder="0" applyAlignment="0" applyProtection="0"/>
    <xf numFmtId="0" fontId="14" fillId="10" borderId="4"/>
    <xf numFmtId="0" fontId="16" fillId="11" borderId="5" applyNumberFormat="0" applyAlignment="0" applyProtection="0"/>
    <xf numFmtId="9" fontId="2" fillId="0" borderId="0" applyFont="0" applyFill="0" applyBorder="0" applyAlignment="0" applyProtection="0"/>
    <xf numFmtId="0" fontId="18" fillId="8" borderId="0" applyBorder="0" applyAlignment="0" applyProtection="0"/>
    <xf numFmtId="40" fontId="17" fillId="12" borderId="1" applyAlignment="0" applyProtection="0"/>
    <xf numFmtId="38" fontId="17" fillId="12" borderId="1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4" fillId="8" borderId="10" applyNumberFormat="0" applyAlignment="0" applyProtection="0"/>
    <xf numFmtId="0" fontId="29" fillId="8" borderId="0"/>
    <xf numFmtId="0" fontId="30" fillId="0" borderId="15" applyNumberFormat="0" applyFill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8">
    <xf numFmtId="0" fontId="0" fillId="8" borderId="0" xfId="0"/>
    <xf numFmtId="166" fontId="15" fillId="8" borderId="3" xfId="20" applyNumberFormat="1"/>
    <xf numFmtId="0" fontId="7" fillId="8" borderId="0" xfId="0" applyFont="1" applyFill="1"/>
    <xf numFmtId="0" fontId="22" fillId="8" borderId="10" xfId="3"/>
    <xf numFmtId="0" fontId="22" fillId="8" borderId="10" xfId="3" applyAlignment="1">
      <alignment horizontal="center"/>
    </xf>
    <xf numFmtId="0" fontId="7" fillId="0" borderId="0" xfId="0" applyFont="1" applyFill="1"/>
    <xf numFmtId="0" fontId="7" fillId="8" borderId="0" xfId="0" applyFont="1"/>
    <xf numFmtId="49" fontId="23" fillId="8" borderId="11" xfId="4" applyNumberFormat="1"/>
    <xf numFmtId="49" fontId="20" fillId="0" borderId="7" xfId="9" applyNumberFormat="1"/>
    <xf numFmtId="0" fontId="20" fillId="0" borderId="7" xfId="9"/>
    <xf numFmtId="41" fontId="20" fillId="0" borderId="7" xfId="9" applyNumberFormat="1"/>
    <xf numFmtId="0" fontId="26" fillId="0" borderId="8" xfId="11"/>
    <xf numFmtId="41" fontId="26" fillId="0" borderId="8" xfId="11" applyNumberFormat="1"/>
    <xf numFmtId="0" fontId="13" fillId="5" borderId="2" xfId="12"/>
    <xf numFmtId="49" fontId="26" fillId="0" borderId="8" xfId="11" applyNumberFormat="1"/>
    <xf numFmtId="6" fontId="20" fillId="0" borderId="7" xfId="9" quotePrefix="1" applyNumberFormat="1"/>
    <xf numFmtId="6" fontId="26" fillId="0" borderId="8" xfId="11" quotePrefix="1" applyNumberFormat="1"/>
    <xf numFmtId="0" fontId="26" fillId="0" borderId="8" xfId="11" applyAlignment="1" applyProtection="1">
      <alignment horizontal="left" vertical="center"/>
      <protection locked="0"/>
    </xf>
    <xf numFmtId="0" fontId="25" fillId="8" borderId="12" xfId="2"/>
    <xf numFmtId="43" fontId="20" fillId="0" borderId="7" xfId="9" applyNumberFormat="1"/>
    <xf numFmtId="0" fontId="20" fillId="0" borderId="7" xfId="9" quotePrefix="1"/>
    <xf numFmtId="43" fontId="26" fillId="0" borderId="8" xfId="11" applyNumberFormat="1"/>
    <xf numFmtId="0" fontId="23" fillId="8" borderId="11" xfId="4"/>
    <xf numFmtId="3" fontId="23" fillId="8" borderId="11" xfId="4" applyNumberFormat="1"/>
    <xf numFmtId="4" fontId="20" fillId="0" borderId="7" xfId="9" applyNumberFormat="1"/>
    <xf numFmtId="3" fontId="26" fillId="0" borderId="8" xfId="11" applyNumberFormat="1"/>
    <xf numFmtId="164" fontId="27" fillId="0" borderId="1" xfId="1" applyNumberFormat="1" applyBorder="1"/>
    <xf numFmtId="14" fontId="20" fillId="0" borderId="7" xfId="9" applyNumberFormat="1"/>
    <xf numFmtId="2" fontId="20" fillId="0" borderId="7" xfId="9" applyNumberFormat="1"/>
    <xf numFmtId="2" fontId="26" fillId="0" borderId="8" xfId="11" applyNumberFormat="1"/>
    <xf numFmtId="10" fontId="27" fillId="0" borderId="1" xfId="1" applyNumberFormat="1" applyBorder="1"/>
    <xf numFmtId="6" fontId="26" fillId="0" borderId="8" xfId="11" applyNumberFormat="1"/>
    <xf numFmtId="0" fontId="23" fillId="8" borderId="11" xfId="4" applyAlignment="1">
      <alignment horizontal="left" vertical="center" wrapText="1"/>
    </xf>
    <xf numFmtId="0" fontId="26" fillId="0" borderId="8" xfId="11" applyAlignment="1">
      <alignment horizontal="left" vertical="center" wrapText="1"/>
    </xf>
    <xf numFmtId="0" fontId="21" fillId="0" borderId="9" xfId="10"/>
    <xf numFmtId="41" fontId="21" fillId="0" borderId="9" xfId="10" applyNumberFormat="1"/>
    <xf numFmtId="0" fontId="0" fillId="8" borderId="0" xfId="0"/>
    <xf numFmtId="0" fontId="19" fillId="0" borderId="6" xfId="16">
      <alignment horizontal="left" vertical="center" wrapText="1"/>
    </xf>
    <xf numFmtId="0" fontId="19" fillId="0" borderId="6" xfId="16" applyAlignment="1">
      <alignment horizontal="right" vertical="center" wrapText="1"/>
    </xf>
    <xf numFmtId="0" fontId="20" fillId="0" borderId="6" xfId="17">
      <alignment horizontal="left" vertical="center" wrapText="1"/>
    </xf>
    <xf numFmtId="43" fontId="20" fillId="8" borderId="6" xfId="18">
      <alignment horizontal="right" vertical="center" wrapText="1"/>
    </xf>
    <xf numFmtId="0" fontId="20" fillId="0" borderId="6" xfId="17" applyAlignment="1">
      <alignment horizontal="left" vertical="center"/>
    </xf>
    <xf numFmtId="43" fontId="20" fillId="8" borderId="6" xfId="18" applyAlignment="1">
      <alignment horizontal="right" vertical="center"/>
    </xf>
    <xf numFmtId="0" fontId="22" fillId="8" borderId="10" xfId="3" applyFill="1"/>
    <xf numFmtId="0" fontId="20" fillId="8" borderId="6" xfId="17" applyFill="1">
      <alignment horizontal="left" vertical="center" wrapText="1"/>
    </xf>
    <xf numFmtId="166" fontId="20" fillId="8" borderId="6" xfId="18" applyNumberFormat="1">
      <alignment horizontal="right" vertical="center" wrapText="1"/>
    </xf>
    <xf numFmtId="165" fontId="7" fillId="8" borderId="0" xfId="0" applyNumberFormat="1" applyFont="1"/>
    <xf numFmtId="0" fontId="22" fillId="8" borderId="10" xfId="3" applyAlignment="1">
      <alignment horizontal="center"/>
    </xf>
    <xf numFmtId="166" fontId="26" fillId="0" borderId="8" xfId="11" applyNumberFormat="1"/>
    <xf numFmtId="0" fontId="0" fillId="8" borderId="0" xfId="0"/>
    <xf numFmtId="0" fontId="22" fillId="8" borderId="10" xfId="3" applyAlignment="1">
      <alignment horizontal="center"/>
    </xf>
    <xf numFmtId="0" fontId="15" fillId="8" borderId="3" xfId="20"/>
    <xf numFmtId="0" fontId="0" fillId="8" borderId="0" xfId="0"/>
    <xf numFmtId="43" fontId="7" fillId="8" borderId="0" xfId="0" applyNumberFormat="1" applyFont="1"/>
    <xf numFmtId="9" fontId="15" fillId="8" borderId="3" xfId="20" applyNumberFormat="1"/>
    <xf numFmtId="166" fontId="9" fillId="0" borderId="1" xfId="19" applyNumberFormat="1" applyFont="1" applyBorder="1"/>
    <xf numFmtId="43" fontId="9" fillId="8" borderId="3" xfId="19" applyFont="1" applyFill="1" applyBorder="1"/>
    <xf numFmtId="164" fontId="27" fillId="0" borderId="0" xfId="1" applyNumberFormat="1" applyBorder="1"/>
    <xf numFmtId="164" fontId="9" fillId="0" borderId="1" xfId="1" applyNumberFormat="1" applyFont="1" applyBorder="1"/>
    <xf numFmtId="0" fontId="16" fillId="11" borderId="5" xfId="25"/>
    <xf numFmtId="41" fontId="15" fillId="8" borderId="3" xfId="20" applyNumberFormat="1"/>
    <xf numFmtId="166" fontId="21" fillId="0" borderId="9" xfId="10" applyNumberFormat="1"/>
    <xf numFmtId="0" fontId="23" fillId="0" borderId="11" xfId="4" applyFill="1"/>
    <xf numFmtId="166" fontId="22" fillId="8" borderId="10" xfId="3" applyNumberFormat="1"/>
    <xf numFmtId="164" fontId="26" fillId="0" borderId="8" xfId="11" applyNumberFormat="1"/>
    <xf numFmtId="0" fontId="0" fillId="8" borderId="0" xfId="0"/>
    <xf numFmtId="43" fontId="20" fillId="8" borderId="6" xfId="18" applyNumberFormat="1" applyFill="1">
      <alignment horizontal="right" vertical="center" wrapText="1"/>
    </xf>
    <xf numFmtId="10" fontId="20" fillId="0" borderId="7" xfId="9" applyNumberFormat="1"/>
    <xf numFmtId="9" fontId="7" fillId="0" borderId="0" xfId="1" applyFont="1"/>
    <xf numFmtId="0" fontId="0" fillId="8" borderId="0" xfId="0"/>
    <xf numFmtId="165" fontId="20" fillId="8" borderId="6" xfId="18" applyNumberFormat="1">
      <alignment horizontal="right" vertical="center" wrapText="1"/>
    </xf>
    <xf numFmtId="0" fontId="0" fillId="8" borderId="0" xfId="0" applyAlignment="1">
      <alignment wrapText="1"/>
    </xf>
    <xf numFmtId="167" fontId="0" fillId="8" borderId="0" xfId="0" applyNumberFormat="1"/>
    <xf numFmtId="0" fontId="8" fillId="0" borderId="0" xfId="15"/>
    <xf numFmtId="166" fontId="20" fillId="0" borderId="7" xfId="9" applyNumberFormat="1"/>
    <xf numFmtId="167" fontId="20" fillId="0" borderId="7" xfId="9" applyNumberFormat="1"/>
    <xf numFmtId="10" fontId="20" fillId="0" borderId="7" xfId="9" applyNumberFormat="1" applyAlignment="1">
      <alignment wrapText="1"/>
    </xf>
    <xf numFmtId="9" fontId="20" fillId="0" borderId="7" xfId="9" applyNumberFormat="1"/>
    <xf numFmtId="168" fontId="26" fillId="0" borderId="8" xfId="11" applyNumberFormat="1"/>
    <xf numFmtId="6" fontId="15" fillId="8" borderId="3" xfId="20" applyNumberFormat="1"/>
    <xf numFmtId="0" fontId="22" fillId="8" borderId="10" xfId="3" applyAlignment="1">
      <alignment wrapText="1"/>
    </xf>
    <xf numFmtId="0" fontId="18" fillId="8" borderId="1" xfId="27" applyBorder="1"/>
    <xf numFmtId="0" fontId="0" fillId="8" borderId="0" xfId="0"/>
    <xf numFmtId="38" fontId="26" fillId="0" borderId="8" xfId="11" applyNumberFormat="1"/>
    <xf numFmtId="166" fontId="15" fillId="8" borderId="3" xfId="19" applyNumberFormat="1" applyFont="1" applyFill="1" applyBorder="1"/>
    <xf numFmtId="9" fontId="20" fillId="0" borderId="6" xfId="1" applyFont="1" applyBorder="1" applyAlignment="1">
      <alignment horizontal="left" vertical="center" wrapText="1"/>
    </xf>
    <xf numFmtId="165" fontId="20" fillId="8" borderId="6" xfId="18" applyNumberFormat="1" applyFill="1">
      <alignment horizontal="right" vertical="center" wrapText="1"/>
    </xf>
    <xf numFmtId="0" fontId="28" fillId="8" borderId="0" xfId="33" applyFont="1" applyFill="1"/>
    <xf numFmtId="0" fontId="29" fillId="8" borderId="0" xfId="33"/>
    <xf numFmtId="0" fontId="28" fillId="8" borderId="0" xfId="33" applyFont="1" applyFill="1" applyAlignment="1">
      <alignment horizontal="center"/>
    </xf>
    <xf numFmtId="0" fontId="29" fillId="8" borderId="13" xfId="33" applyBorder="1" applyAlignment="1"/>
    <xf numFmtId="0" fontId="29" fillId="8" borderId="13" xfId="33" quotePrefix="1" applyBorder="1" applyAlignment="1">
      <alignment horizontal="center" vertical="center"/>
    </xf>
    <xf numFmtId="0" fontId="29" fillId="8" borderId="13" xfId="33" quotePrefix="1" applyBorder="1" applyAlignment="1"/>
    <xf numFmtId="0" fontId="29" fillId="8" borderId="0" xfId="33" applyAlignment="1">
      <alignment horizontal="center"/>
    </xf>
    <xf numFmtId="0" fontId="28" fillId="8" borderId="0" xfId="33" quotePrefix="1" applyFont="1" applyFill="1" applyAlignment="1">
      <alignment horizontal="left"/>
    </xf>
    <xf numFmtId="0" fontId="29" fillId="8" borderId="14" xfId="33" applyBorder="1"/>
    <xf numFmtId="0" fontId="29" fillId="8" borderId="14" xfId="33" quotePrefix="1" applyBorder="1"/>
    <xf numFmtId="0" fontId="30" fillId="8" borderId="15" xfId="34" applyFill="1"/>
    <xf numFmtId="0" fontId="29" fillId="8" borderId="0" xfId="33" applyFill="1"/>
    <xf numFmtId="169" fontId="0" fillId="8" borderId="13" xfId="35" applyNumberFormat="1" applyFont="1" applyFill="1" applyBorder="1" applyAlignment="1">
      <alignment vertical="center"/>
    </xf>
    <xf numFmtId="169" fontId="0" fillId="8" borderId="13" xfId="35" quotePrefix="1" applyNumberFormat="1" applyFont="1" applyFill="1" applyBorder="1" applyAlignment="1">
      <alignment vertical="center"/>
    </xf>
    <xf numFmtId="0" fontId="29" fillId="8" borderId="13" xfId="33" applyBorder="1" applyAlignment="1">
      <alignment vertical="center"/>
    </xf>
    <xf numFmtId="0" fontId="29" fillId="8" borderId="13" xfId="33" quotePrefix="1" applyBorder="1" applyAlignment="1">
      <alignment vertical="center"/>
    </xf>
    <xf numFmtId="10" fontId="29" fillId="8" borderId="13" xfId="33" applyNumberFormat="1" applyBorder="1" applyAlignment="1">
      <alignment vertical="center"/>
    </xf>
    <xf numFmtId="169" fontId="0" fillId="8" borderId="0" xfId="35" applyNumberFormat="1" applyFont="1" applyFill="1" applyBorder="1" applyAlignment="1">
      <alignment vertical="center"/>
    </xf>
    <xf numFmtId="170" fontId="0" fillId="8" borderId="0" xfId="35" applyNumberFormat="1" applyFont="1" applyFill="1"/>
    <xf numFmtId="0" fontId="7" fillId="8" borderId="0" xfId="33" applyFont="1" applyAlignment="1"/>
    <xf numFmtId="10" fontId="29" fillId="8" borderId="0" xfId="33" applyNumberFormat="1"/>
    <xf numFmtId="166" fontId="0" fillId="8" borderId="0" xfId="36" applyNumberFormat="1" applyFont="1" applyFill="1"/>
    <xf numFmtId="10" fontId="29" fillId="8" borderId="14" xfId="33" applyNumberFormat="1" applyBorder="1"/>
    <xf numFmtId="6" fontId="29" fillId="8" borderId="0" xfId="33" applyNumberFormat="1"/>
    <xf numFmtId="10" fontId="29" fillId="8" borderId="13" xfId="33" applyNumberFormat="1" applyBorder="1" applyAlignment="1"/>
    <xf numFmtId="10" fontId="27" fillId="0" borderId="7" xfId="1" applyNumberFormat="1" applyBorder="1"/>
    <xf numFmtId="165" fontId="20" fillId="0" borderId="7" xfId="9" applyNumberFormat="1"/>
    <xf numFmtId="0" fontId="31" fillId="8" borderId="0" xfId="0" applyFont="1" applyAlignment="1">
      <alignment horizontal="justify" vertical="center"/>
    </xf>
    <xf numFmtId="41" fontId="7" fillId="8" borderId="0" xfId="0" applyNumberFormat="1" applyFont="1"/>
    <xf numFmtId="10" fontId="29" fillId="8" borderId="0" xfId="33" applyNumberFormat="1" applyAlignment="1">
      <alignment horizontal="center"/>
    </xf>
    <xf numFmtId="0" fontId="29" fillId="8" borderId="0" xfId="33" applyAlignment="1">
      <alignment horizontal="center"/>
    </xf>
  </cellXfs>
  <cellStyles count="37">
    <cellStyle name="20% - Accent1" xfId="13" builtinId="30" hidden="1"/>
    <cellStyle name="20% - Accent2" xfId="23" builtinId="34" hidden="1"/>
    <cellStyle name="40% - Accent2" xfId="14" builtinId="35" hidden="1"/>
    <cellStyle name="Bad" xfId="7" builtinId="27" hidden="1"/>
    <cellStyle name="Calculation" xfId="11" builtinId="22" customBuiltin="1"/>
    <cellStyle name="Calculation $m" xfId="28"/>
    <cellStyle name="Calculation 2" xfId="29"/>
    <cellStyle name="Check Cell" xfId="25" builtinId="23" customBuiltin="1"/>
    <cellStyle name="Comma" xfId="19" builtinId="3"/>
    <cellStyle name="Comma 2" xfId="31"/>
    <cellStyle name="Comma 3" xfId="36"/>
    <cellStyle name="Currency 2" xfId="30"/>
    <cellStyle name="Currency 3" xfId="35"/>
    <cellStyle name="Explanatory Text" xfId="22" builtinId="53" hidden="1"/>
    <cellStyle name="Good" xfId="6" builtinId="26" hidden="1"/>
    <cellStyle name="Heading 1" xfId="3" builtinId="16" customBuiltin="1"/>
    <cellStyle name="Heading 1 2" xfId="34"/>
    <cellStyle name="Heading 2" xfId="4" builtinId="17" customBuiltin="1"/>
    <cellStyle name="Heading 3" xfId="32" builtinId="18" customBuiltin="1"/>
    <cellStyle name="Heading 4" xfId="5" builtinId="19" customBuiltin="1"/>
    <cellStyle name="Input" xfId="9" builtinId="20" customBuiltin="1"/>
    <cellStyle name="Label" xfId="15"/>
    <cellStyle name="Linked Cell" xfId="20" builtinId="24" customBuiltin="1"/>
    <cellStyle name="Neutral" xfId="8" builtinId="28" hidden="1"/>
    <cellStyle name="Normal" xfId="0" builtinId="0" customBuiltin="1"/>
    <cellStyle name="Normal 2" xfId="33"/>
    <cellStyle name="Note" xfId="12" builtinId="10" customBuiltin="1"/>
    <cellStyle name="Output" xfId="10" builtinId="21" customBuiltin="1"/>
    <cellStyle name="Percent" xfId="1" builtinId="5" customBuiltin="1"/>
    <cellStyle name="Percent 2" xfId="26"/>
    <cellStyle name="Placeholder" xfId="24"/>
    <cellStyle name="Source" xfId="27"/>
    <cellStyle name="Table body number" xfId="18"/>
    <cellStyle name="Table body Text" xfId="17"/>
    <cellStyle name="Table Heading 1" xfId="16"/>
    <cellStyle name="Title" xfId="2" builtinId="15" customBuiltin="1"/>
    <cellStyle name="Warning Text" xfId="21" builtinId="11" hidden="1"/>
  </cellStyles>
  <dxfs count="0"/>
  <tableStyles count="0" defaultTableStyle="TableStyleMedium2" defaultPivotStyle="PivotStyleLight16"/>
  <colors>
    <mruColors>
      <color rgb="FFEF2E25"/>
      <color rgb="FF808183"/>
      <color rgb="FF231F20"/>
      <color rgb="FFFFBE7D"/>
      <color rgb="FFF8B278"/>
      <color rgb="FFF48C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Outputs│Graphs!$I$20</c:f>
              <c:strCache>
                <c:ptCount val="1"/>
                <c:pt idx="0">
                  <c:v>Operating Expenditure (actual)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Outputs│Graphs!$M$19:$Q$19</c15:sqref>
                  </c15:fullRef>
                </c:ext>
              </c:extLst>
              <c:f>Outputs│Graphs!$M$19:$Q$19</c:f>
              <c:strCache>
                <c:ptCount val="5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  <c:pt idx="3">
                  <c:v>Year 4</c:v>
                </c:pt>
                <c:pt idx="4">
                  <c:v>Year 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Outputs│Graphs!$M$20:$V$20</c15:sqref>
                  </c15:fullRef>
                </c:ext>
              </c:extLst>
              <c:f>Outputs│Graphs!$M$20:$Q$20</c:f>
              <c:numCache>
                <c:formatCode>_(* #,##0.00_);_(* \(#,##0.00\);_(* "-"??_);_(@_)</c:formatCode>
                <c:ptCount val="5"/>
                <c:pt idx="0">
                  <c:v>4.6043364250266112</c:v>
                </c:pt>
                <c:pt idx="1">
                  <c:v>4.2671013634765176</c:v>
                </c:pt>
                <c:pt idx="2">
                  <c:v>4.664442357133896</c:v>
                </c:pt>
                <c:pt idx="3">
                  <c:v>5.0035114895545281</c:v>
                </c:pt>
                <c:pt idx="4">
                  <c:v>4.7241823599317696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B5A-4ABC-86F0-0D22AD6B9B64}"/>
            </c:ext>
          </c:extLst>
        </c:ser>
        <c:ser>
          <c:idx val="2"/>
          <c:order val="1"/>
          <c:tx>
            <c:strRef>
              <c:f>Outputs│Graphs!$I$21</c:f>
              <c:strCache>
                <c:ptCount val="1"/>
                <c:pt idx="0">
                  <c:v>AER Forecast</c:v>
                </c:pt>
              </c:strCache>
            </c:strRef>
          </c:tx>
          <c:spPr>
            <a:solidFill>
              <a:srgbClr val="F48C32"/>
            </a:solidFill>
            <a:ln>
              <a:solidFill>
                <a:srgbClr val="F48C32"/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Outputs│Graphs!$M$19:$Q$19</c15:sqref>
                  </c15:fullRef>
                </c:ext>
              </c:extLst>
              <c:f>Outputs│Graphs!$M$19:$Q$19</c:f>
              <c:strCache>
                <c:ptCount val="5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  <c:pt idx="3">
                  <c:v>Year 4</c:v>
                </c:pt>
                <c:pt idx="4">
                  <c:v>Year 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Outputs│Graphs!$M$21:$V$21</c15:sqref>
                  </c15:fullRef>
                </c:ext>
              </c:extLst>
              <c:f>Outputs│Graphs!$M$21:$Q$21</c:f>
              <c:numCache>
                <c:formatCode>_(* #,##0.00_);_(* \(#,##0.00\);_(* "-"??_);_(@_)</c:formatCode>
                <c:ptCount val="5"/>
                <c:pt idx="0">
                  <c:v>4.8078174820995621</c:v>
                </c:pt>
                <c:pt idx="1">
                  <c:v>3.9487739602353522</c:v>
                </c:pt>
                <c:pt idx="2">
                  <c:v>4.0648360001325132</c:v>
                </c:pt>
                <c:pt idx="3">
                  <c:v>4.0116098170205454</c:v>
                </c:pt>
                <c:pt idx="4">
                  <c:v>4.0427657519976359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B5A-4ABC-86F0-0D22AD6B9B64}"/>
            </c:ext>
          </c:extLst>
        </c:ser>
        <c:ser>
          <c:idx val="0"/>
          <c:order val="2"/>
          <c:tx>
            <c:strRef>
              <c:f>Outputs│Graphs!$I$22</c:f>
              <c:strCache>
                <c:ptCount val="1"/>
                <c:pt idx="0">
                  <c:v>Operating Expenditure (forecast)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C00000"/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Outputs│Graphs!$M$19:$Q$19</c15:sqref>
                  </c15:fullRef>
                </c:ext>
              </c:extLst>
              <c:f>Outputs│Graphs!$M$19:$Q$19</c:f>
              <c:strCache>
                <c:ptCount val="5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  <c:pt idx="3">
                  <c:v>Year 4</c:v>
                </c:pt>
                <c:pt idx="4">
                  <c:v>Year 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Outputs│Graphs!$M$22:$Q$22</c15:sqref>
                  </c15:fullRef>
                </c:ext>
              </c:extLst>
              <c:f>Outputs│Graphs!$M$22:$Q$22</c:f>
              <c:numCache>
                <c:formatCode>_(* #,##0.00_);_(* \(#,##0.00\);_(* "-"??_);_(@_)</c:formatCode>
                <c:ptCount val="5"/>
                <c:pt idx="0">
                  <c:v>4.8280084787199913</c:v>
                </c:pt>
                <c:pt idx="1">
                  <c:v>4.9316617093957236</c:v>
                </c:pt>
                <c:pt idx="2">
                  <c:v>4.9727667813596366</c:v>
                </c:pt>
                <c:pt idx="3">
                  <c:v>5.0020524703871407</c:v>
                </c:pt>
                <c:pt idx="4">
                  <c:v>5.0162731185941993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B5A-4ABC-86F0-0D22AD6B9B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49001344"/>
        <c:axId val="149002880"/>
      </c:barChart>
      <c:catAx>
        <c:axId val="149001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9002880"/>
        <c:crosses val="autoZero"/>
        <c:auto val="1"/>
        <c:lblAlgn val="ctr"/>
        <c:lblOffset val="100"/>
        <c:noMultiLvlLbl val="0"/>
      </c:catAx>
      <c:valAx>
        <c:axId val="14900288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M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4900134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33678160919541"/>
          <c:y val="2.6833336045449997E-2"/>
          <c:w val="0.79314865900383147"/>
          <c:h val="0.7351320321867080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Outputs│Graphs!$I$15</c:f>
              <c:strCache>
                <c:ptCount val="1"/>
                <c:pt idx="0">
                  <c:v>Operating Expenditure (actual)</c:v>
                </c:pt>
              </c:strCache>
            </c:strRef>
          </c:tx>
          <c:spPr>
            <a:solidFill>
              <a:srgbClr val="25282A"/>
            </a:solidFill>
            <a:ln w="38100">
              <a:noFill/>
            </a:ln>
          </c:spPr>
          <c:invertIfNegative val="0"/>
          <c:cat>
            <c:strRef>
              <c:f>Outputs│Graphs!$K$14:$O$14</c:f>
              <c:strCache>
                <c:ptCount val="5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</c:strCache>
            </c:strRef>
          </c:cat>
          <c:val>
            <c:numRef>
              <c:f>Outputs│Graphs!$K$15:$O$15</c:f>
              <c:numCache>
                <c:formatCode>_-* #,##0.0_-;\-* #,##0.0_-;_-* "-"??_-;_-@_-</c:formatCode>
                <c:ptCount val="5"/>
                <c:pt idx="0">
                  <c:v>3.9002505599999999</c:v>
                </c:pt>
                <c:pt idx="1">
                  <c:v>3.0898439451767024</c:v>
                </c:pt>
                <c:pt idx="2">
                  <c:v>4.0314148900000006</c:v>
                </c:pt>
                <c:pt idx="3">
                  <c:v>3.8455995700000001</c:v>
                </c:pt>
                <c:pt idx="4">
                  <c:v>4.2595279600000007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67-4C71-9F16-EFAB400841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830720"/>
        <c:axId val="156332032"/>
      </c:barChart>
      <c:lineChart>
        <c:grouping val="standard"/>
        <c:varyColors val="0"/>
        <c:ser>
          <c:idx val="2"/>
          <c:order val="1"/>
          <c:tx>
            <c:strRef>
              <c:f>Outputs│Graphs!$I$16</c:f>
              <c:strCache>
                <c:ptCount val="1"/>
                <c:pt idx="0">
                  <c:v>AER Forecast</c:v>
                </c:pt>
              </c:strCache>
            </c:strRef>
          </c:tx>
          <c:spPr>
            <a:ln w="38100">
              <a:solidFill>
                <a:schemeClr val="accent2"/>
              </a:solidFill>
            </a:ln>
          </c:spPr>
          <c:marker>
            <c:symbol val="none"/>
          </c:marker>
          <c:cat>
            <c:strLit>
              <c:ptCount val="5"/>
              <c:pt idx="0">
                <c:v>2015/16</c:v>
              </c:pt>
              <c:pt idx="1">
                <c:v>2016/17</c:v>
              </c:pt>
              <c:pt idx="2">
                <c:v>2017/18</c:v>
              </c:pt>
              <c:pt idx="3">
                <c:v>2018/19</c:v>
              </c:pt>
              <c:pt idx="4">
                <c:v>2019/20</c:v>
              </c:pt>
            </c:strLit>
          </c:cat>
          <c:val>
            <c:numRef>
              <c:f>Outputs│Graphs!$K$16:$O$16</c:f>
              <c:numCache>
                <c:formatCode>_-* #,##0.0_-;\-* #,##0.0_-;_-* "-"??_-;_-@_-</c:formatCode>
                <c:ptCount val="5"/>
                <c:pt idx="2">
                  <c:v>4.2095766244158543</c:v>
                </c:pt>
                <c:pt idx="3">
                  <c:v>3.5587163627011495</c:v>
                </c:pt>
                <c:pt idx="4">
                  <c:v>3.7119726796276478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67-4C71-9F16-EFAB400841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830720"/>
        <c:axId val="156332032"/>
      </c:lineChart>
      <c:catAx>
        <c:axId val="154830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156332032"/>
        <c:crossesAt val="0"/>
        <c:auto val="1"/>
        <c:lblAlgn val="ctr"/>
        <c:lblOffset val="100"/>
        <c:noMultiLvlLbl val="0"/>
      </c:catAx>
      <c:valAx>
        <c:axId val="156332032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 baseline="0"/>
                  <a:t>$ million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7.2988505747126438E-3"/>
              <c:y val="0.32341921972057347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15483072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523877</xdr:colOff>
      <xdr:row>2</xdr:row>
      <xdr:rowOff>57154</xdr:rowOff>
    </xdr:from>
    <xdr:to>
      <xdr:col>0</xdr:col>
      <xdr:colOff>3407431</xdr:colOff>
      <xdr:row>6</xdr:row>
      <xdr:rowOff>121068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7" y="400054"/>
          <a:ext cx="1883429" cy="7497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998482</xdr:colOff>
      <xdr:row>4</xdr:row>
      <xdr:rowOff>47625</xdr:rowOff>
    </xdr:from>
    <xdr:to>
      <xdr:col>5</xdr:col>
      <xdr:colOff>295275</xdr:colOff>
      <xdr:row>4</xdr:row>
      <xdr:rowOff>219075</xdr:rowOff>
    </xdr:to>
    <xdr:sp macro="" textlink="">
      <xdr:nvSpPr>
        <xdr:cNvPr id="2" name="Double Bracket 1"/>
        <xdr:cNvSpPr/>
      </xdr:nvSpPr>
      <xdr:spPr>
        <a:xfrm>
          <a:off x="3808357" y="1085850"/>
          <a:ext cx="725543" cy="171450"/>
        </a:xfrm>
        <a:prstGeom prst="bracketPair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3</xdr:col>
      <xdr:colOff>1024758</xdr:colOff>
      <xdr:row>11</xdr:row>
      <xdr:rowOff>289035</xdr:rowOff>
    </xdr:from>
    <xdr:to>
      <xdr:col>6</xdr:col>
      <xdr:colOff>0</xdr:colOff>
      <xdr:row>13</xdr:row>
      <xdr:rowOff>2956</xdr:rowOff>
    </xdr:to>
    <xdr:sp macro="" textlink="">
      <xdr:nvSpPr>
        <xdr:cNvPr id="3" name="Double Bracket 2"/>
        <xdr:cNvSpPr/>
      </xdr:nvSpPr>
      <xdr:spPr>
        <a:xfrm>
          <a:off x="3834633" y="3222735"/>
          <a:ext cx="1499367" cy="304471"/>
        </a:xfrm>
        <a:prstGeom prst="bracketPair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2</xdr:col>
      <xdr:colOff>216776</xdr:colOff>
      <xdr:row>9</xdr:row>
      <xdr:rowOff>236482</xdr:rowOff>
    </xdr:from>
    <xdr:to>
      <xdr:col>10</xdr:col>
      <xdr:colOff>151086</xdr:colOff>
      <xdr:row>14</xdr:row>
      <xdr:rowOff>118242</xdr:rowOff>
    </xdr:to>
    <xdr:sp macro="" textlink="">
      <xdr:nvSpPr>
        <xdr:cNvPr id="4" name="Double Bracket 3"/>
        <xdr:cNvSpPr/>
      </xdr:nvSpPr>
      <xdr:spPr>
        <a:xfrm>
          <a:off x="2550401" y="2570107"/>
          <a:ext cx="4353910" cy="1329560"/>
        </a:xfrm>
        <a:prstGeom prst="bracketPair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2</xdr:col>
      <xdr:colOff>256189</xdr:colOff>
      <xdr:row>1</xdr:row>
      <xdr:rowOff>210206</xdr:rowOff>
    </xdr:from>
    <xdr:to>
      <xdr:col>10</xdr:col>
      <xdr:colOff>131378</xdr:colOff>
      <xdr:row>6</xdr:row>
      <xdr:rowOff>177362</xdr:rowOff>
    </xdr:to>
    <xdr:sp macro="" textlink="">
      <xdr:nvSpPr>
        <xdr:cNvPr id="5" name="Double Bracket 4"/>
        <xdr:cNvSpPr/>
      </xdr:nvSpPr>
      <xdr:spPr>
        <a:xfrm>
          <a:off x="2589814" y="467381"/>
          <a:ext cx="4294789" cy="1262556"/>
        </a:xfrm>
        <a:prstGeom prst="bracketPair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5</xdr:col>
      <xdr:colOff>913086</xdr:colOff>
      <xdr:row>2</xdr:row>
      <xdr:rowOff>42370</xdr:rowOff>
    </xdr:from>
    <xdr:to>
      <xdr:col>8</xdr:col>
      <xdr:colOff>171778</xdr:colOff>
      <xdr:row>2</xdr:row>
      <xdr:rowOff>213820</xdr:rowOff>
    </xdr:to>
    <xdr:sp macro="" textlink="">
      <xdr:nvSpPr>
        <xdr:cNvPr id="6" name="Double Bracket 5"/>
        <xdr:cNvSpPr/>
      </xdr:nvSpPr>
      <xdr:spPr>
        <a:xfrm>
          <a:off x="5151711" y="556720"/>
          <a:ext cx="877942" cy="171450"/>
        </a:xfrm>
        <a:prstGeom prst="bracketPair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6</xdr:col>
      <xdr:colOff>32845</xdr:colOff>
      <xdr:row>10</xdr:row>
      <xdr:rowOff>48939</xdr:rowOff>
    </xdr:from>
    <xdr:to>
      <xdr:col>9</xdr:col>
      <xdr:colOff>52552</xdr:colOff>
      <xdr:row>10</xdr:row>
      <xdr:rowOff>335017</xdr:rowOff>
    </xdr:to>
    <xdr:sp macro="" textlink="">
      <xdr:nvSpPr>
        <xdr:cNvPr id="7" name="Double Bracket 6"/>
        <xdr:cNvSpPr/>
      </xdr:nvSpPr>
      <xdr:spPr>
        <a:xfrm>
          <a:off x="5366845" y="2649264"/>
          <a:ext cx="1181757" cy="286078"/>
        </a:xfrm>
        <a:prstGeom prst="bracketPair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3</xdr:col>
      <xdr:colOff>1024758</xdr:colOff>
      <xdr:row>19</xdr:row>
      <xdr:rowOff>289035</xdr:rowOff>
    </xdr:from>
    <xdr:to>
      <xdr:col>6</xdr:col>
      <xdr:colOff>0</xdr:colOff>
      <xdr:row>21</xdr:row>
      <xdr:rowOff>2956</xdr:rowOff>
    </xdr:to>
    <xdr:sp macro="" textlink="">
      <xdr:nvSpPr>
        <xdr:cNvPr id="8" name="Double Bracket 7"/>
        <xdr:cNvSpPr/>
      </xdr:nvSpPr>
      <xdr:spPr>
        <a:xfrm>
          <a:off x="3834633" y="5337285"/>
          <a:ext cx="1499367" cy="256846"/>
        </a:xfrm>
        <a:prstGeom prst="bracketPair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2</xdr:col>
      <xdr:colOff>216776</xdr:colOff>
      <xdr:row>17</xdr:row>
      <xdr:rowOff>236482</xdr:rowOff>
    </xdr:from>
    <xdr:to>
      <xdr:col>10</xdr:col>
      <xdr:colOff>151086</xdr:colOff>
      <xdr:row>22</xdr:row>
      <xdr:rowOff>118242</xdr:rowOff>
    </xdr:to>
    <xdr:sp macro="" textlink="">
      <xdr:nvSpPr>
        <xdr:cNvPr id="9" name="Double Bracket 8"/>
        <xdr:cNvSpPr/>
      </xdr:nvSpPr>
      <xdr:spPr>
        <a:xfrm>
          <a:off x="2550401" y="4779907"/>
          <a:ext cx="4353910" cy="1186685"/>
        </a:xfrm>
        <a:prstGeom prst="bracketPair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6</xdr:col>
      <xdr:colOff>32845</xdr:colOff>
      <xdr:row>18</xdr:row>
      <xdr:rowOff>48939</xdr:rowOff>
    </xdr:from>
    <xdr:to>
      <xdr:col>9</xdr:col>
      <xdr:colOff>52552</xdr:colOff>
      <xdr:row>18</xdr:row>
      <xdr:rowOff>335017</xdr:rowOff>
    </xdr:to>
    <xdr:sp macro="" textlink="">
      <xdr:nvSpPr>
        <xdr:cNvPr id="10" name="Double Bracket 9"/>
        <xdr:cNvSpPr/>
      </xdr:nvSpPr>
      <xdr:spPr>
        <a:xfrm>
          <a:off x="5366845" y="4859064"/>
          <a:ext cx="1181757" cy="219403"/>
        </a:xfrm>
        <a:prstGeom prst="bracketPair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3</xdr:col>
      <xdr:colOff>1024758</xdr:colOff>
      <xdr:row>27</xdr:row>
      <xdr:rowOff>289035</xdr:rowOff>
    </xdr:from>
    <xdr:to>
      <xdr:col>6</xdr:col>
      <xdr:colOff>0</xdr:colOff>
      <xdr:row>29</xdr:row>
      <xdr:rowOff>2956</xdr:rowOff>
    </xdr:to>
    <xdr:sp macro="" textlink="">
      <xdr:nvSpPr>
        <xdr:cNvPr id="11" name="Double Bracket 10"/>
        <xdr:cNvSpPr/>
      </xdr:nvSpPr>
      <xdr:spPr>
        <a:xfrm>
          <a:off x="3834633" y="7404210"/>
          <a:ext cx="1499367" cy="256846"/>
        </a:xfrm>
        <a:prstGeom prst="bracketPair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2</xdr:col>
      <xdr:colOff>216776</xdr:colOff>
      <xdr:row>25</xdr:row>
      <xdr:rowOff>236482</xdr:rowOff>
    </xdr:from>
    <xdr:to>
      <xdr:col>10</xdr:col>
      <xdr:colOff>151086</xdr:colOff>
      <xdr:row>30</xdr:row>
      <xdr:rowOff>118242</xdr:rowOff>
    </xdr:to>
    <xdr:sp macro="" textlink="">
      <xdr:nvSpPr>
        <xdr:cNvPr id="12" name="Double Bracket 11"/>
        <xdr:cNvSpPr/>
      </xdr:nvSpPr>
      <xdr:spPr>
        <a:xfrm>
          <a:off x="2550401" y="6846832"/>
          <a:ext cx="4353910" cy="1186685"/>
        </a:xfrm>
        <a:prstGeom prst="bracketPair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6</xdr:col>
      <xdr:colOff>32845</xdr:colOff>
      <xdr:row>26</xdr:row>
      <xdr:rowOff>48939</xdr:rowOff>
    </xdr:from>
    <xdr:to>
      <xdr:col>9</xdr:col>
      <xdr:colOff>52552</xdr:colOff>
      <xdr:row>26</xdr:row>
      <xdr:rowOff>335017</xdr:rowOff>
    </xdr:to>
    <xdr:sp macro="" textlink="">
      <xdr:nvSpPr>
        <xdr:cNvPr id="13" name="Double Bracket 12"/>
        <xdr:cNvSpPr/>
      </xdr:nvSpPr>
      <xdr:spPr>
        <a:xfrm>
          <a:off x="5366845" y="6925989"/>
          <a:ext cx="1181757" cy="219403"/>
        </a:xfrm>
        <a:prstGeom prst="bracketPair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3</xdr:col>
      <xdr:colOff>1024758</xdr:colOff>
      <xdr:row>35</xdr:row>
      <xdr:rowOff>289035</xdr:rowOff>
    </xdr:from>
    <xdr:to>
      <xdr:col>6</xdr:col>
      <xdr:colOff>0</xdr:colOff>
      <xdr:row>37</xdr:row>
      <xdr:rowOff>2956</xdr:rowOff>
    </xdr:to>
    <xdr:sp macro="" textlink="">
      <xdr:nvSpPr>
        <xdr:cNvPr id="14" name="Double Bracket 13"/>
        <xdr:cNvSpPr/>
      </xdr:nvSpPr>
      <xdr:spPr>
        <a:xfrm>
          <a:off x="3529833" y="7461360"/>
          <a:ext cx="1499367" cy="256846"/>
        </a:xfrm>
        <a:prstGeom prst="bracketPair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2</xdr:col>
      <xdr:colOff>216776</xdr:colOff>
      <xdr:row>33</xdr:row>
      <xdr:rowOff>236482</xdr:rowOff>
    </xdr:from>
    <xdr:to>
      <xdr:col>10</xdr:col>
      <xdr:colOff>151086</xdr:colOff>
      <xdr:row>38</xdr:row>
      <xdr:rowOff>118242</xdr:rowOff>
    </xdr:to>
    <xdr:sp macro="" textlink="">
      <xdr:nvSpPr>
        <xdr:cNvPr id="15" name="Double Bracket 14"/>
        <xdr:cNvSpPr/>
      </xdr:nvSpPr>
      <xdr:spPr>
        <a:xfrm>
          <a:off x="2245601" y="6903982"/>
          <a:ext cx="4411060" cy="1186685"/>
        </a:xfrm>
        <a:prstGeom prst="bracketPair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6</xdr:col>
      <xdr:colOff>32845</xdr:colOff>
      <xdr:row>34</xdr:row>
      <xdr:rowOff>48939</xdr:rowOff>
    </xdr:from>
    <xdr:to>
      <xdr:col>9</xdr:col>
      <xdr:colOff>52552</xdr:colOff>
      <xdr:row>34</xdr:row>
      <xdr:rowOff>335017</xdr:rowOff>
    </xdr:to>
    <xdr:sp macro="" textlink="">
      <xdr:nvSpPr>
        <xdr:cNvPr id="16" name="Double Bracket 15"/>
        <xdr:cNvSpPr/>
      </xdr:nvSpPr>
      <xdr:spPr>
        <a:xfrm>
          <a:off x="5062045" y="6983139"/>
          <a:ext cx="1238907" cy="219403"/>
        </a:xfrm>
        <a:prstGeom prst="bracketPair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3</xdr:col>
      <xdr:colOff>1024758</xdr:colOff>
      <xdr:row>43</xdr:row>
      <xdr:rowOff>289035</xdr:rowOff>
    </xdr:from>
    <xdr:to>
      <xdr:col>6</xdr:col>
      <xdr:colOff>0</xdr:colOff>
      <xdr:row>45</xdr:row>
      <xdr:rowOff>2956</xdr:rowOff>
    </xdr:to>
    <xdr:sp macro="" textlink="">
      <xdr:nvSpPr>
        <xdr:cNvPr id="17" name="Double Bracket 16"/>
        <xdr:cNvSpPr/>
      </xdr:nvSpPr>
      <xdr:spPr>
        <a:xfrm>
          <a:off x="3529833" y="9528285"/>
          <a:ext cx="1499367" cy="256846"/>
        </a:xfrm>
        <a:prstGeom prst="bracketPair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2</xdr:col>
      <xdr:colOff>216776</xdr:colOff>
      <xdr:row>41</xdr:row>
      <xdr:rowOff>236482</xdr:rowOff>
    </xdr:from>
    <xdr:to>
      <xdr:col>10</xdr:col>
      <xdr:colOff>151086</xdr:colOff>
      <xdr:row>46</xdr:row>
      <xdr:rowOff>118242</xdr:rowOff>
    </xdr:to>
    <xdr:sp macro="" textlink="">
      <xdr:nvSpPr>
        <xdr:cNvPr id="18" name="Double Bracket 17"/>
        <xdr:cNvSpPr/>
      </xdr:nvSpPr>
      <xdr:spPr>
        <a:xfrm>
          <a:off x="2245601" y="8970907"/>
          <a:ext cx="4411060" cy="1186685"/>
        </a:xfrm>
        <a:prstGeom prst="bracketPair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6</xdr:col>
      <xdr:colOff>32845</xdr:colOff>
      <xdr:row>42</xdr:row>
      <xdr:rowOff>48939</xdr:rowOff>
    </xdr:from>
    <xdr:to>
      <xdr:col>9</xdr:col>
      <xdr:colOff>52552</xdr:colOff>
      <xdr:row>42</xdr:row>
      <xdr:rowOff>335017</xdr:rowOff>
    </xdr:to>
    <xdr:sp macro="" textlink="">
      <xdr:nvSpPr>
        <xdr:cNvPr id="19" name="Double Bracket 18"/>
        <xdr:cNvSpPr/>
      </xdr:nvSpPr>
      <xdr:spPr>
        <a:xfrm>
          <a:off x="5062045" y="9050064"/>
          <a:ext cx="1238907" cy="219403"/>
        </a:xfrm>
        <a:prstGeom prst="bracketPair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523877</xdr:colOff>
      <xdr:row>2</xdr:row>
      <xdr:rowOff>57154</xdr:rowOff>
    </xdr:from>
    <xdr:to>
      <xdr:col>6</xdr:col>
      <xdr:colOff>359431</xdr:colOff>
      <xdr:row>6</xdr:row>
      <xdr:rowOff>121068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2" y="400054"/>
          <a:ext cx="1883429" cy="74971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523877</xdr:colOff>
      <xdr:row>2</xdr:row>
      <xdr:rowOff>57154</xdr:rowOff>
    </xdr:from>
    <xdr:to>
      <xdr:col>4</xdr:col>
      <xdr:colOff>2493031</xdr:colOff>
      <xdr:row>6</xdr:row>
      <xdr:rowOff>121068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2" y="400054"/>
          <a:ext cx="1883429" cy="74971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523877</xdr:colOff>
      <xdr:row>2</xdr:row>
      <xdr:rowOff>57154</xdr:rowOff>
    </xdr:from>
    <xdr:to>
      <xdr:col>4</xdr:col>
      <xdr:colOff>2493031</xdr:colOff>
      <xdr:row>6</xdr:row>
      <xdr:rowOff>121068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2" y="400054"/>
          <a:ext cx="1883429" cy="749714"/>
        </a:xfrm>
        <a:prstGeom prst="rect">
          <a:avLst/>
        </a:prstGeom>
      </xdr:spPr>
    </xdr:pic>
    <xdr:clientData/>
  </xdr:twoCellAnchor>
  <xdr:twoCellAnchor>
    <xdr:from>
      <xdr:col>4</xdr:col>
      <xdr:colOff>400049</xdr:colOff>
      <xdr:row>32</xdr:row>
      <xdr:rowOff>155330</xdr:rowOff>
    </xdr:from>
    <xdr:to>
      <xdr:col>5</xdr:col>
      <xdr:colOff>375439</xdr:colOff>
      <xdr:row>56</xdr:row>
      <xdr:rowOff>126755</xdr:rowOff>
    </xdr:to>
    <xdr:graphicFrame macro="">
      <xdr:nvGraphicFramePr>
        <xdr:cNvPr id="4" name="Historic and Forecast Op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13</xdr:row>
      <xdr:rowOff>0</xdr:rowOff>
    </xdr:from>
    <xdr:to>
      <xdr:col>4</xdr:col>
      <xdr:colOff>5220000</xdr:colOff>
      <xdr:row>29</xdr:row>
      <xdr:rowOff>133350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hehub.apa.com.au/Corporate/Directlink2020/Revenue%20Proposal%20%20Draft%20RIN/Directlink%202021-25%20-%20Draft%20Reset%20RIN%20-%20workbook%203%20-%20EBS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only"/>
      <sheetName val="Business &amp; other details"/>
      <sheetName val="7.5 EBSS"/>
    </sheetNames>
    <sheetDataSet>
      <sheetData sheetId="0" refreshError="1"/>
      <sheetData sheetId="1">
        <row r="3">
          <cell r="B3" t="str">
            <v>2020-21 to 2024-25</v>
          </cell>
        </row>
        <row r="14">
          <cell r="C14" t="str">
            <v>Directlink</v>
          </cell>
        </row>
        <row r="35">
          <cell r="C35" t="str">
            <v>2020-21</v>
          </cell>
          <cell r="D35" t="str">
            <v>2021-22</v>
          </cell>
          <cell r="E35" t="str">
            <v>2022-23</v>
          </cell>
          <cell r="F35" t="str">
            <v>2023-24</v>
          </cell>
          <cell r="G35" t="str">
            <v>2024-25</v>
          </cell>
        </row>
        <row r="39">
          <cell r="C39" t="str">
            <v>2015-16</v>
          </cell>
          <cell r="D39" t="str">
            <v>2016-17</v>
          </cell>
          <cell r="E39" t="str">
            <v>2017-18</v>
          </cell>
          <cell r="F39" t="str">
            <v>2018-19</v>
          </cell>
          <cell r="G39" t="str">
            <v>2019-20</v>
          </cell>
        </row>
        <row r="44">
          <cell r="C44" t="str">
            <v>2010-11</v>
          </cell>
          <cell r="D44" t="str">
            <v>2011-12</v>
          </cell>
          <cell r="E44" t="str">
            <v>2012-13</v>
          </cell>
          <cell r="F44" t="str">
            <v>2013-14</v>
          </cell>
          <cell r="G44" t="str">
            <v>2014-15</v>
          </cell>
        </row>
        <row r="62">
          <cell r="C62" t="str">
            <v>No</v>
          </cell>
        </row>
        <row r="66">
          <cell r="C66" t="str">
            <v>Financial</v>
          </cell>
        </row>
        <row r="73">
          <cell r="C73" t="str">
            <v>June</v>
          </cell>
        </row>
        <row r="74">
          <cell r="C74" t="str">
            <v>June 2020</v>
          </cell>
        </row>
      </sheetData>
      <sheetData sheetId="2">
        <row r="24">
          <cell r="C24" t="str">
            <v>2010-11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tabSelected="1" workbookViewId="0"/>
  </sheetViews>
  <sheetFormatPr defaultColWidth="14" defaultRowHeight="12.5" x14ac:dyDescent="0.25"/>
  <cols>
    <col min="1" max="1" width="73.33203125" style="6" customWidth="1"/>
    <col min="2" max="2" width="26.75" style="6" customWidth="1"/>
    <col min="3" max="3" width="0.83203125" style="6" customWidth="1"/>
    <col min="4" max="4" width="18.5" style="6" customWidth="1"/>
    <col min="5" max="5" width="22.5" style="6" customWidth="1"/>
    <col min="6" max="8" width="20.83203125" style="6" customWidth="1"/>
    <col min="9" max="9" width="23" style="6" customWidth="1"/>
    <col min="10" max="10" width="16.25" style="6" customWidth="1"/>
    <col min="11" max="11" width="14" style="6"/>
    <col min="12" max="12" width="16.5" style="6" customWidth="1"/>
    <col min="13" max="13" width="13.5" style="6" customWidth="1"/>
    <col min="14" max="14" width="14" style="6"/>
    <col min="15" max="15" width="15.5" style="6" customWidth="1"/>
    <col min="16" max="16384" width="14" style="6"/>
  </cols>
  <sheetData>
    <row r="1" spans="1:10" s="2" customFormat="1" x14ac:dyDescent="0.25"/>
    <row r="2" spans="1:10" s="2" customFormat="1" x14ac:dyDescent="0.25"/>
    <row r="3" spans="1:10" s="2" customFormat="1" x14ac:dyDescent="0.25"/>
    <row r="4" spans="1:10" s="2" customFormat="1" x14ac:dyDescent="0.25"/>
    <row r="5" spans="1:10" s="2" customFormat="1" x14ac:dyDescent="0.25"/>
    <row r="6" spans="1:10" s="2" customFormat="1" x14ac:dyDescent="0.25"/>
    <row r="7" spans="1:10" s="2" customFormat="1" x14ac:dyDescent="0.25"/>
    <row r="8" spans="1:10" s="2" customFormat="1" x14ac:dyDescent="0.25"/>
    <row r="9" spans="1:10" s="2" customFormat="1" ht="13" thickBot="1" x14ac:dyDescent="0.3"/>
    <row r="10" spans="1:10" s="5" customFormat="1" ht="24.5" thickTop="1" thickBot="1" x14ac:dyDescent="0.6">
      <c r="A10" s="18" t="str">
        <f ca="1">RIGHT(CELL("filename",A1),LEN(CELL("filename",A1))-FIND("]",CELL("filename",A1)))</f>
        <v>Input│ Historic Opex</v>
      </c>
      <c r="B10" s="18"/>
      <c r="C10" s="18"/>
      <c r="D10" s="18"/>
      <c r="E10" s="18"/>
      <c r="F10" s="18"/>
      <c r="G10" s="18"/>
      <c r="H10" s="18"/>
      <c r="I10" s="18"/>
      <c r="J10" s="18"/>
    </row>
    <row r="11" spans="1:10" ht="13" thickTop="1" x14ac:dyDescent="0.25"/>
    <row r="12" spans="1:10" ht="20" thickBot="1" x14ac:dyDescent="0.5">
      <c r="A12" s="3" t="s">
        <v>6</v>
      </c>
      <c r="B12" s="3" t="s">
        <v>0</v>
      </c>
      <c r="C12" s="50" t="s">
        <v>40</v>
      </c>
      <c r="D12" s="4" t="s">
        <v>1</v>
      </c>
      <c r="E12" s="4" t="s">
        <v>2</v>
      </c>
      <c r="F12" s="4" t="s">
        <v>3</v>
      </c>
      <c r="G12" s="4" t="s">
        <v>4</v>
      </c>
      <c r="H12" s="4" t="s">
        <v>5</v>
      </c>
      <c r="I12" s="47" t="s">
        <v>17</v>
      </c>
      <c r="J12" s="47" t="s">
        <v>18</v>
      </c>
    </row>
    <row r="13" spans="1:10" ht="13.5" thickTop="1" thickBot="1" x14ac:dyDescent="0.3">
      <c r="A13" s="7" t="s">
        <v>169</v>
      </c>
      <c r="B13" s="22"/>
      <c r="C13" s="22"/>
      <c r="D13" s="22"/>
      <c r="E13" s="22"/>
      <c r="F13" s="22"/>
      <c r="G13" s="22"/>
      <c r="H13" s="22"/>
    </row>
    <row r="14" spans="1:10" ht="14" thickTop="1" thickBot="1" x14ac:dyDescent="0.3">
      <c r="A14" s="8" t="s">
        <v>170</v>
      </c>
      <c r="B14" s="9" t="s">
        <v>7</v>
      </c>
      <c r="C14" s="9"/>
      <c r="D14" s="10">
        <v>2830</v>
      </c>
      <c r="E14" s="10">
        <v>2046.9124751767029</v>
      </c>
      <c r="F14" s="10">
        <v>2897.5744800000002</v>
      </c>
      <c r="G14" s="10">
        <v>2930.9070000000002</v>
      </c>
      <c r="H14" s="10">
        <v>3372.6649000000002</v>
      </c>
      <c r="I14" s="10">
        <v>3692</v>
      </c>
    </row>
    <row r="15" spans="1:10" ht="13.5" thickBot="1" x14ac:dyDescent="0.3">
      <c r="A15" s="8" t="s">
        <v>171</v>
      </c>
      <c r="B15" s="9" t="s">
        <v>7</v>
      </c>
      <c r="C15" s="9"/>
      <c r="D15" s="10">
        <v>372</v>
      </c>
      <c r="E15" s="10">
        <v>399</v>
      </c>
      <c r="F15" s="10">
        <v>356</v>
      </c>
      <c r="G15" s="10">
        <v>400</v>
      </c>
      <c r="H15" s="10">
        <v>421</v>
      </c>
      <c r="I15" s="10">
        <v>420</v>
      </c>
    </row>
    <row r="16" spans="1:10" ht="13" thickBot="1" x14ac:dyDescent="0.3">
      <c r="A16" s="7" t="s">
        <v>34</v>
      </c>
      <c r="B16" s="22"/>
      <c r="C16" s="22"/>
      <c r="D16" s="22"/>
      <c r="E16" s="22"/>
      <c r="F16" s="22"/>
      <c r="G16" s="22"/>
      <c r="H16" s="22"/>
      <c r="I16" s="22"/>
    </row>
    <row r="17" spans="1:9" ht="14" thickTop="1" thickBot="1" x14ac:dyDescent="0.3">
      <c r="A17" s="8" t="s">
        <v>11</v>
      </c>
      <c r="B17" s="9" t="s">
        <v>7</v>
      </c>
      <c r="C17" s="9"/>
      <c r="D17" s="10">
        <v>664</v>
      </c>
      <c r="E17" s="10">
        <v>625</v>
      </c>
      <c r="F17" s="10">
        <v>754</v>
      </c>
      <c r="G17" s="10">
        <v>488</v>
      </c>
      <c r="H17" s="10">
        <v>409</v>
      </c>
      <c r="I17" s="10">
        <v>468</v>
      </c>
    </row>
    <row r="18" spans="1:9" ht="13.5" thickBot="1" x14ac:dyDescent="0.3">
      <c r="A18" s="8" t="s">
        <v>172</v>
      </c>
      <c r="B18" s="9" t="s">
        <v>7</v>
      </c>
      <c r="C18" s="9"/>
      <c r="D18" s="10">
        <v>9</v>
      </c>
      <c r="E18" s="10">
        <v>9</v>
      </c>
      <c r="F18" s="10">
        <v>10</v>
      </c>
      <c r="G18" s="10">
        <v>8</v>
      </c>
      <c r="H18" s="10">
        <v>8</v>
      </c>
      <c r="I18" s="10">
        <v>7</v>
      </c>
    </row>
    <row r="19" spans="1:9" ht="13.5" thickBot="1" x14ac:dyDescent="0.3">
      <c r="A19" s="8" t="s">
        <v>173</v>
      </c>
      <c r="B19" s="9" t="s">
        <v>7</v>
      </c>
      <c r="C19" s="9"/>
      <c r="D19" s="10">
        <v>20</v>
      </c>
      <c r="E19" s="10">
        <v>10</v>
      </c>
      <c r="F19" s="10">
        <v>11</v>
      </c>
      <c r="G19" s="10">
        <v>10</v>
      </c>
      <c r="H19" s="10">
        <v>11</v>
      </c>
      <c r="I19" s="10">
        <v>11</v>
      </c>
    </row>
    <row r="20" spans="1:9" ht="13.5" thickBot="1" x14ac:dyDescent="0.3">
      <c r="A20" s="8" t="s">
        <v>174</v>
      </c>
      <c r="B20" s="9" t="s">
        <v>7</v>
      </c>
      <c r="C20" s="9"/>
      <c r="D20" s="10">
        <v>5</v>
      </c>
      <c r="E20" s="10">
        <v>0</v>
      </c>
      <c r="F20" s="10">
        <v>3</v>
      </c>
      <c r="G20" s="10">
        <v>0</v>
      </c>
      <c r="H20" s="10">
        <v>0</v>
      </c>
      <c r="I20" s="10">
        <v>0</v>
      </c>
    </row>
    <row r="21" spans="1:9" ht="13.5" thickBot="1" x14ac:dyDescent="0.3">
      <c r="A21" s="8" t="s">
        <v>12</v>
      </c>
      <c r="B21" s="9" t="s">
        <v>7</v>
      </c>
      <c r="C21" s="9"/>
      <c r="D21" s="10">
        <v>0.25055999999995038</v>
      </c>
      <c r="E21" s="10">
        <v>-6.8529999999995539E-2</v>
      </c>
      <c r="F21" s="10">
        <v>-0.15959000000000856</v>
      </c>
      <c r="G21" s="10">
        <v>8.6925700000000461</v>
      </c>
      <c r="H21" s="10">
        <v>37.863059999999997</v>
      </c>
      <c r="I21" s="10">
        <v>31.058319999999995</v>
      </c>
    </row>
    <row r="22" spans="1:9" ht="13.5" thickBot="1" x14ac:dyDescent="0.3">
      <c r="A22" s="8" t="s">
        <v>8</v>
      </c>
      <c r="B22" s="9" t="s">
        <v>7</v>
      </c>
      <c r="C22" s="9"/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</row>
    <row r="23" spans="1:9" ht="13" x14ac:dyDescent="0.25">
      <c r="A23" s="11" t="s">
        <v>175</v>
      </c>
      <c r="B23" s="11" t="s">
        <v>9</v>
      </c>
      <c r="C23" s="11"/>
      <c r="D23" s="12">
        <f>SUM(D14:D21)</f>
        <v>3900.25056</v>
      </c>
      <c r="E23" s="12">
        <f>SUM(E14:E21)</f>
        <v>3089.8439451767031</v>
      </c>
      <c r="F23" s="12">
        <f>SUM(F14:F21)</f>
        <v>4031.41489</v>
      </c>
      <c r="G23" s="12">
        <f>SUM(G14:G21)</f>
        <v>3845.5995700000003</v>
      </c>
      <c r="H23" s="12">
        <f>SUM(H14:H22)</f>
        <v>4259.5279599999994</v>
      </c>
      <c r="I23" s="12">
        <f>SUM(I14:I22)</f>
        <v>4629.0583200000001</v>
      </c>
    </row>
    <row r="24" spans="1:9" x14ac:dyDescent="0.25">
      <c r="A24" s="13" t="s">
        <v>10</v>
      </c>
      <c r="B24" s="13"/>
      <c r="C24" s="13"/>
      <c r="D24" s="13"/>
      <c r="E24" s="13"/>
      <c r="F24" s="13"/>
      <c r="G24" s="13"/>
      <c r="H24" s="13"/>
      <c r="I24" s="13"/>
    </row>
    <row r="26" spans="1:9" ht="20" thickBot="1" x14ac:dyDescent="0.5">
      <c r="A26" s="3" t="s">
        <v>107</v>
      </c>
      <c r="B26" s="3"/>
      <c r="C26" s="3"/>
      <c r="D26" s="3" t="str">
        <f>D12</f>
        <v>2013/14</v>
      </c>
      <c r="E26" s="3" t="str">
        <f t="shared" ref="E26:H26" si="0">E12</f>
        <v>2014/15</v>
      </c>
      <c r="F26" s="3" t="str">
        <f t="shared" si="0"/>
        <v>2015/16</v>
      </c>
      <c r="G26" s="3" t="str">
        <f t="shared" si="0"/>
        <v>2016/17</v>
      </c>
      <c r="H26" s="3" t="str">
        <f t="shared" si="0"/>
        <v>2017/18</v>
      </c>
      <c r="I26" s="3"/>
    </row>
    <row r="27" spans="1:9" ht="14" thickTop="1" thickBot="1" x14ac:dyDescent="0.3">
      <c r="A27" s="14" t="str">
        <f>A13</f>
        <v>NETWORK OPERATIONS &amp; MAINTENANCE</v>
      </c>
      <c r="B27" s="15" t="str">
        <f>"$'000 real $"&amp;J12</f>
        <v>$'000 real $2019/20</v>
      </c>
      <c r="C27" s="15"/>
      <c r="D27" s="16">
        <f>SUM(D14:D15)/'Input│ Other'!D15</f>
        <v>3552.9592504743828</v>
      </c>
      <c r="E27" s="16">
        <f>SUM(E14:E15)/'Input│ Other'!E15</f>
        <v>2678.4230220328027</v>
      </c>
      <c r="F27" s="16">
        <f>SUM(F14:F15)/'Input│ Other'!F15</f>
        <v>3516.7621938280959</v>
      </c>
      <c r="G27" s="16">
        <f>SUM(G14:G15)/'Input│ Other'!G15</f>
        <v>3525.4108680316735</v>
      </c>
      <c r="H27" s="16">
        <f>SUM(H14:H15)/'Input│ Other'!H15</f>
        <v>3940.3072310590583</v>
      </c>
      <c r="I27" s="16">
        <f>SUM(I14:I15)/'Input│ Other'!I15</f>
        <v>4214.7999999999993</v>
      </c>
    </row>
    <row r="28" spans="1:9" ht="13.5" thickBot="1" x14ac:dyDescent="0.3">
      <c r="A28" s="11" t="s">
        <v>11</v>
      </c>
      <c r="B28" s="15" t="str">
        <f>B27</f>
        <v>$'000 real $2019/20</v>
      </c>
      <c r="C28" s="15"/>
      <c r="D28" s="16">
        <f>D17/'Input│ Other'!D15</f>
        <v>736.77855787476267</v>
      </c>
      <c r="E28" s="16">
        <f>E17/'Input│ Other'!E15</f>
        <v>684.41303838951308</v>
      </c>
      <c r="F28" s="16">
        <f>F17/'Input│ Other'!F15</f>
        <v>814.99246765249529</v>
      </c>
      <c r="G28" s="16">
        <f>G17/'Input│ Other'!G15</f>
        <v>516.496108597285</v>
      </c>
      <c r="H28" s="16">
        <f>H17/'Input│ Other'!H15</f>
        <v>424.80970248667847</v>
      </c>
      <c r="I28" s="16">
        <f>I17/'Input│ Other'!I15</f>
        <v>479.69999999999993</v>
      </c>
    </row>
    <row r="29" spans="1:9" ht="13.5" thickBot="1" x14ac:dyDescent="0.3">
      <c r="A29" s="11" t="s">
        <v>12</v>
      </c>
      <c r="B29" s="15" t="str">
        <f>B28</f>
        <v>$'000 real $2019/20</v>
      </c>
      <c r="C29" s="15"/>
      <c r="D29" s="16">
        <f>SUM(D18:D21)/'Input│ Other'!D15</f>
        <v>38.004635848197282</v>
      </c>
      <c r="E29" s="16">
        <f>SUM(E18:E21)/'Input│ Other'!E15</f>
        <v>20.73111184620787</v>
      </c>
      <c r="F29" s="16">
        <f>SUM(F18:F21)/'Input│ Other'!F15</f>
        <v>25.768905272874296</v>
      </c>
      <c r="G29" s="16">
        <f>SUM(G18:G21)/'Input│ Other'!G15</f>
        <v>28.251246994796425</v>
      </c>
      <c r="H29" s="16">
        <f>SUM(H18:H21)/'Input│ Other'!H15</f>
        <v>59.061074819271752</v>
      </c>
      <c r="I29" s="16">
        <f>SUM(I18:I21)/'Input│ Other'!I15</f>
        <v>50.284777999999989</v>
      </c>
    </row>
    <row r="30" spans="1:9" ht="13.5" thickBot="1" x14ac:dyDescent="0.3">
      <c r="A30" s="11" t="str">
        <f>A23</f>
        <v>Total Operating expenditure</v>
      </c>
      <c r="B30" s="15" t="str">
        <f>B29</f>
        <v>$'000 real $2019/20</v>
      </c>
      <c r="C30" s="15"/>
      <c r="D30" s="16">
        <f t="shared" ref="D30:I30" si="1">SUM(D27:D29)</f>
        <v>4327.7424441973435</v>
      </c>
      <c r="E30" s="16">
        <f t="shared" si="1"/>
        <v>3383.5671722685238</v>
      </c>
      <c r="F30" s="16">
        <f t="shared" si="1"/>
        <v>4357.5235667534662</v>
      </c>
      <c r="G30" s="16">
        <f t="shared" si="1"/>
        <v>4070.158223623755</v>
      </c>
      <c r="H30" s="16">
        <f t="shared" si="1"/>
        <v>4424.1780083650092</v>
      </c>
      <c r="I30" s="16">
        <f t="shared" si="1"/>
        <v>4744.7847779999993</v>
      </c>
    </row>
    <row r="32" spans="1:9" ht="20" thickBot="1" x14ac:dyDescent="0.5">
      <c r="A32" s="3" t="s">
        <v>14</v>
      </c>
      <c r="B32" s="3"/>
      <c r="C32" s="3"/>
      <c r="D32" s="3"/>
      <c r="E32" s="3"/>
      <c r="F32" s="3"/>
      <c r="G32" s="3"/>
      <c r="H32" s="3"/>
      <c r="I32" s="3"/>
    </row>
    <row r="33" spans="1:10" ht="13.5" thickTop="1" x14ac:dyDescent="0.25">
      <c r="A33" s="11" t="s">
        <v>15</v>
      </c>
      <c r="B33" s="17"/>
      <c r="C33" s="17"/>
      <c r="D33" s="17"/>
      <c r="E33" s="17"/>
      <c r="F33" s="17"/>
      <c r="G33" s="17"/>
      <c r="H33" s="17"/>
    </row>
    <row r="34" spans="1:10" ht="13" x14ac:dyDescent="0.25">
      <c r="A34" s="11" t="s">
        <v>16</v>
      </c>
      <c r="B34" s="11" t="s">
        <v>13</v>
      </c>
      <c r="C34" s="11"/>
      <c r="D34" s="11">
        <f>SUM(D33)</f>
        <v>0</v>
      </c>
      <c r="E34" s="11">
        <f t="shared" ref="E34:H34" si="2">SUM(E33)</f>
        <v>0</v>
      </c>
      <c r="F34" s="11">
        <f t="shared" si="2"/>
        <v>0</v>
      </c>
      <c r="G34" s="11">
        <f t="shared" si="2"/>
        <v>0</v>
      </c>
      <c r="H34" s="11">
        <f t="shared" si="2"/>
        <v>0</v>
      </c>
    </row>
    <row r="35" spans="1:10" x14ac:dyDescent="0.25">
      <c r="A35" s="13" t="s">
        <v>10</v>
      </c>
      <c r="B35" s="13"/>
      <c r="C35" s="13"/>
      <c r="D35" s="13"/>
      <c r="E35" s="13"/>
      <c r="F35" s="13"/>
      <c r="G35" s="13"/>
      <c r="H35" s="13"/>
      <c r="I35" s="13"/>
    </row>
    <row r="37" spans="1:10" ht="20" thickBot="1" x14ac:dyDescent="0.5">
      <c r="A37" s="3" t="s">
        <v>25</v>
      </c>
      <c r="B37" s="3"/>
      <c r="C37" s="3"/>
      <c r="D37" s="3"/>
      <c r="E37" s="3"/>
      <c r="F37" s="3"/>
      <c r="G37" s="3"/>
      <c r="H37" s="3"/>
      <c r="I37" s="3"/>
      <c r="J37" s="3"/>
    </row>
    <row r="38" spans="1:10" ht="14" thickTop="1" thickBot="1" x14ac:dyDescent="0.3">
      <c r="A38" s="9" t="s">
        <v>15</v>
      </c>
      <c r="B38" s="9" t="s">
        <v>122</v>
      </c>
      <c r="C38" s="9"/>
      <c r="D38" s="9"/>
      <c r="E38" s="9"/>
      <c r="F38" s="19">
        <v>4085.2121870860519</v>
      </c>
      <c r="G38" s="19">
        <v>3368.4340725042739</v>
      </c>
      <c r="H38" s="19">
        <v>3451.5261631512399</v>
      </c>
      <c r="I38" s="19">
        <v>3406.4410707566444</v>
      </c>
      <c r="J38" s="19">
        <v>3421.9848571897392</v>
      </c>
    </row>
    <row r="39" spans="1:10" ht="13.5" thickBot="1" x14ac:dyDescent="0.3">
      <c r="A39" s="19" t="s">
        <v>8</v>
      </c>
      <c r="B39" s="9" t="s">
        <v>122</v>
      </c>
      <c r="C39" s="9"/>
      <c r="D39" s="20"/>
      <c r="E39" s="9"/>
      <c r="F39" s="19">
        <v>69.896717605381966</v>
      </c>
      <c r="G39" s="19">
        <v>71.121651807787217</v>
      </c>
      <c r="H39" s="19">
        <v>69.243660865036759</v>
      </c>
      <c r="I39" s="19">
        <v>67.496780566085832</v>
      </c>
      <c r="J39" s="19">
        <v>66.148569544281656</v>
      </c>
    </row>
    <row r="40" spans="1:10" ht="13" x14ac:dyDescent="0.25">
      <c r="A40" s="21" t="s">
        <v>26</v>
      </c>
      <c r="B40" s="11" t="str">
        <f>B39</f>
        <v>AER Forecast $2014/15</v>
      </c>
      <c r="C40" s="11"/>
      <c r="D40" s="11"/>
      <c r="E40" s="11"/>
      <c r="F40" s="21">
        <f>SUM(F38:F39)</f>
        <v>4155.108904691434</v>
      </c>
      <c r="G40" s="21">
        <f t="shared" ref="G40:J40" si="3">SUM(G38:G39)</f>
        <v>3439.5557243120611</v>
      </c>
      <c r="H40" s="21">
        <f t="shared" si="3"/>
        <v>3520.7698240162767</v>
      </c>
      <c r="I40" s="21">
        <f t="shared" si="3"/>
        <v>3473.9378513227302</v>
      </c>
      <c r="J40" s="21">
        <f t="shared" si="3"/>
        <v>3488.1334267340208</v>
      </c>
    </row>
    <row r="41" spans="1:10" x14ac:dyDescent="0.25">
      <c r="A41" s="13" t="s">
        <v>101</v>
      </c>
      <c r="B41" s="13"/>
      <c r="C41" s="13"/>
      <c r="D41" s="13"/>
      <c r="E41" s="13"/>
      <c r="F41" s="13"/>
      <c r="G41" s="13"/>
      <c r="H41" s="13"/>
      <c r="I41" s="13"/>
      <c r="J41" s="13"/>
    </row>
    <row r="43" spans="1:10" ht="13" x14ac:dyDescent="0.25">
      <c r="A43" s="11" t="s">
        <v>27</v>
      </c>
      <c r="B43" s="11" t="s">
        <v>28</v>
      </c>
      <c r="C43" s="11"/>
      <c r="D43" s="11"/>
      <c r="E43" s="11"/>
      <c r="F43" s="21">
        <f>F40*'Input│ Other'!F16</f>
        <v>4209.576624415854</v>
      </c>
      <c r="G43" s="21">
        <f>G40*'Input│ Other'!G16</f>
        <v>3558.7163627011496</v>
      </c>
      <c r="H43" s="21">
        <f>H40*'Input│ Other'!H16</f>
        <v>3711.9726796276477</v>
      </c>
      <c r="I43" s="21">
        <f>I40*'Input│ Other'!I16</f>
        <v>3711.3886595123922</v>
      </c>
      <c r="J43" s="21">
        <f>J40*'Input│ Other'!J16</f>
        <v>3819.7183950384883</v>
      </c>
    </row>
    <row r="46" spans="1:10" ht="20" thickBot="1" x14ac:dyDescent="0.5">
      <c r="A46" s="3" t="s">
        <v>29</v>
      </c>
      <c r="B46" s="3"/>
      <c r="C46" s="3"/>
      <c r="D46" s="3"/>
      <c r="E46" s="3"/>
      <c r="F46" s="3"/>
      <c r="G46" s="3"/>
      <c r="H46" s="3"/>
      <c r="I46" s="3"/>
      <c r="J46" s="3"/>
    </row>
    <row r="47" spans="1:10" ht="13.5" thickTop="1" thickBot="1" x14ac:dyDescent="0.3">
      <c r="A47" s="22" t="s">
        <v>30</v>
      </c>
      <c r="B47" s="22"/>
      <c r="C47" s="22"/>
      <c r="D47" s="22"/>
      <c r="E47" s="22"/>
      <c r="F47" s="22"/>
      <c r="G47" s="22"/>
      <c r="H47" s="22"/>
      <c r="I47" s="23"/>
      <c r="J47" s="22"/>
    </row>
    <row r="48" spans="1:10" ht="14" thickTop="1" thickBot="1" x14ac:dyDescent="0.3">
      <c r="A48" s="9" t="s">
        <v>31</v>
      </c>
      <c r="B48" s="9" t="s">
        <v>32</v>
      </c>
      <c r="C48" s="9"/>
      <c r="I48" s="24">
        <f>H14/1000</f>
        <v>3.3726649000000002</v>
      </c>
    </row>
    <row r="49" spans="1:10" ht="13.5" thickBot="1" x14ac:dyDescent="0.3">
      <c r="A49" s="9" t="s">
        <v>33</v>
      </c>
      <c r="B49" s="9" t="str">
        <f>B48</f>
        <v>$m nominal</v>
      </c>
      <c r="C49" s="9"/>
      <c r="I49" s="24">
        <f>H15/1000</f>
        <v>0.42099999999999999</v>
      </c>
    </row>
    <row r="50" spans="1:10" ht="13" thickBot="1" x14ac:dyDescent="0.3">
      <c r="A50" s="22" t="s">
        <v>34</v>
      </c>
      <c r="B50" s="22"/>
      <c r="C50" s="22"/>
      <c r="D50" s="22"/>
      <c r="E50" s="22"/>
      <c r="F50" s="22"/>
      <c r="G50" s="22"/>
      <c r="H50" s="22"/>
      <c r="I50" s="23"/>
      <c r="J50" s="22"/>
    </row>
    <row r="51" spans="1:10" ht="14.5" thickTop="1" thickBot="1" x14ac:dyDescent="0.3">
      <c r="A51" s="9" t="s">
        <v>11</v>
      </c>
      <c r="B51" s="9" t="str">
        <f>B49</f>
        <v>$m nominal</v>
      </c>
      <c r="C51" s="9"/>
      <c r="D51" s="49"/>
      <c r="E51" s="49"/>
      <c r="F51" s="49"/>
      <c r="G51" s="49"/>
      <c r="H51" s="49"/>
      <c r="I51" s="24">
        <f>H17/1000</f>
        <v>0.40899999999999997</v>
      </c>
    </row>
    <row r="52" spans="1:10" ht="14" thickBot="1" x14ac:dyDescent="0.3">
      <c r="A52" s="9" t="s">
        <v>35</v>
      </c>
      <c r="B52" s="9" t="str">
        <f>B51</f>
        <v>$m nominal</v>
      </c>
      <c r="C52" s="9"/>
      <c r="D52" s="49"/>
      <c r="E52" s="49"/>
      <c r="F52" s="49"/>
      <c r="G52" s="49"/>
      <c r="H52" s="49"/>
      <c r="I52" s="24">
        <f>H18/1000</f>
        <v>8.0000000000000002E-3</v>
      </c>
    </row>
    <row r="53" spans="1:10" ht="14" thickBot="1" x14ac:dyDescent="0.3">
      <c r="A53" s="9" t="s">
        <v>36</v>
      </c>
      <c r="B53" s="9" t="str">
        <f t="shared" ref="B53:B54" si="4">B51</f>
        <v>$m nominal</v>
      </c>
      <c r="C53" s="9"/>
      <c r="D53" s="49"/>
      <c r="E53" s="49"/>
      <c r="F53" s="49"/>
      <c r="G53" s="49"/>
      <c r="H53" s="49"/>
      <c r="I53" s="24">
        <f>H19/1000</f>
        <v>1.0999999999999999E-2</v>
      </c>
    </row>
    <row r="54" spans="1:10" ht="14" thickBot="1" x14ac:dyDescent="0.3">
      <c r="A54" s="9" t="s">
        <v>12</v>
      </c>
      <c r="B54" s="9" t="str">
        <f t="shared" si="4"/>
        <v>$m nominal</v>
      </c>
      <c r="C54" s="9"/>
      <c r="D54" s="49"/>
      <c r="E54" s="49"/>
      <c r="F54" s="49"/>
      <c r="G54" s="49"/>
      <c r="H54" s="49"/>
      <c r="I54" s="24">
        <f>H21/1000</f>
        <v>3.7863059999999997E-2</v>
      </c>
    </row>
    <row r="55" spans="1:10" ht="13.5" x14ac:dyDescent="0.25">
      <c r="A55" s="11" t="s">
        <v>37</v>
      </c>
      <c r="B55" s="11"/>
      <c r="C55" s="11"/>
      <c r="D55" s="49"/>
      <c r="E55" s="49"/>
      <c r="F55" s="49"/>
      <c r="G55" s="49"/>
      <c r="H55" s="49"/>
      <c r="I55" s="25">
        <f>SUM(I48:I54)</f>
        <v>4.2595279600000007</v>
      </c>
    </row>
    <row r="57" spans="1:10" ht="13" thickBot="1" x14ac:dyDescent="0.3">
      <c r="A57" s="22" t="s">
        <v>38</v>
      </c>
      <c r="B57" s="22"/>
      <c r="C57" s="22"/>
      <c r="D57" s="22"/>
      <c r="E57" s="22"/>
      <c r="F57" s="22"/>
      <c r="G57" s="22"/>
      <c r="H57" s="22"/>
      <c r="I57" s="22"/>
      <c r="J57" s="22"/>
    </row>
    <row r="58" spans="1:10" ht="14" thickTop="1" x14ac:dyDescent="0.25">
      <c r="A58" s="11" t="str">
        <f>A48</f>
        <v>Operating and maintenance expenses</v>
      </c>
      <c r="B58" s="11" t="s">
        <v>39</v>
      </c>
      <c r="C58" s="11"/>
      <c r="D58" s="49"/>
      <c r="E58" s="49"/>
      <c r="F58" s="49"/>
      <c r="G58" s="49"/>
      <c r="H58" s="49"/>
      <c r="I58" s="26">
        <f>I48/$I$55</f>
        <v>0.79179311221142912</v>
      </c>
    </row>
    <row r="59" spans="1:10" ht="13.5" x14ac:dyDescent="0.25">
      <c r="A59" s="11" t="str">
        <f>A49</f>
        <v>Management fees and expenses</v>
      </c>
      <c r="B59" s="11" t="str">
        <f>$B$58</f>
        <v>Percent</v>
      </c>
      <c r="C59" s="11"/>
      <c r="D59" s="49"/>
      <c r="E59" s="49"/>
      <c r="F59" s="49"/>
      <c r="G59" s="49"/>
      <c r="H59" s="49"/>
      <c r="I59" s="26">
        <f>I49/$I$55</f>
        <v>9.8837242988774734E-2</v>
      </c>
    </row>
    <row r="60" spans="1:10" ht="13.5" x14ac:dyDescent="0.25">
      <c r="A60" s="11" t="str">
        <f>A51</f>
        <v>Insurance</v>
      </c>
      <c r="B60" s="11" t="str">
        <f t="shared" ref="B60:B71" si="5">$B$58</f>
        <v>Percent</v>
      </c>
      <c r="C60" s="11"/>
      <c r="D60" s="49"/>
      <c r="E60" s="49"/>
      <c r="F60" s="49"/>
      <c r="G60" s="49"/>
      <c r="H60" s="49"/>
      <c r="I60" s="26">
        <f>I51/$I$55</f>
        <v>9.6020029411897537E-2</v>
      </c>
    </row>
    <row r="61" spans="1:10" ht="13.5" x14ac:dyDescent="0.25">
      <c r="A61" s="11" t="str">
        <f>A52</f>
        <v>Tax on property and capital</v>
      </c>
      <c r="B61" s="11" t="str">
        <f t="shared" si="5"/>
        <v>Percent</v>
      </c>
      <c r="C61" s="11"/>
      <c r="D61" s="49"/>
      <c r="E61" s="49"/>
      <c r="F61" s="49"/>
      <c r="G61" s="49"/>
      <c r="H61" s="49"/>
      <c r="I61" s="26">
        <f>I52/$I$55</f>
        <v>1.878142384584793E-3</v>
      </c>
    </row>
    <row r="62" spans="1:10" ht="13.5" x14ac:dyDescent="0.25">
      <c r="A62" s="11" t="str">
        <f>A53</f>
        <v>Accounting/audit fees</v>
      </c>
      <c r="B62" s="11" t="str">
        <f t="shared" si="5"/>
        <v>Percent</v>
      </c>
      <c r="C62" s="11"/>
      <c r="D62" s="49"/>
      <c r="E62" s="49"/>
      <c r="F62" s="49"/>
      <c r="G62" s="49"/>
      <c r="H62" s="49"/>
      <c r="I62" s="26">
        <f>I53/$I$55</f>
        <v>2.5824457788040903E-3</v>
      </c>
    </row>
    <row r="63" spans="1:10" ht="13.5" x14ac:dyDescent="0.25">
      <c r="A63" s="11" t="str">
        <f>A54</f>
        <v>Other</v>
      </c>
      <c r="B63" s="11" t="str">
        <f t="shared" si="5"/>
        <v>Percent</v>
      </c>
      <c r="C63" s="11"/>
      <c r="D63" s="49"/>
      <c r="E63" s="49"/>
      <c r="F63" s="49"/>
      <c r="G63" s="49"/>
      <c r="H63" s="49"/>
      <c r="I63" s="26">
        <f>I54/$I$55</f>
        <v>8.8890272245096356E-3</v>
      </c>
    </row>
    <row r="64" spans="1:10" ht="13.5" x14ac:dyDescent="0.25">
      <c r="A64" s="11" t="str">
        <f t="shared" ref="A64" si="6">A55</f>
        <v>TOTAL</v>
      </c>
      <c r="B64" s="11" t="str">
        <f t="shared" si="5"/>
        <v>Percent</v>
      </c>
      <c r="C64" s="11"/>
      <c r="D64" s="49"/>
      <c r="E64" s="49"/>
      <c r="F64" s="49"/>
      <c r="G64" s="49"/>
      <c r="H64" s="49"/>
      <c r="I64" s="26">
        <f>SUM(I58:I63)</f>
        <v>1</v>
      </c>
    </row>
    <row r="65" spans="1:10" ht="13.5" x14ac:dyDescent="0.25">
      <c r="A65" s="36"/>
      <c r="B65" s="36"/>
      <c r="C65" s="69"/>
      <c r="D65" s="36"/>
      <c r="E65" s="36"/>
      <c r="F65" s="36"/>
      <c r="G65" s="36"/>
      <c r="H65" s="36"/>
      <c r="I65" s="57"/>
    </row>
    <row r="66" spans="1:10" ht="13.5" x14ac:dyDescent="0.25">
      <c r="A66" s="11" t="str">
        <f>A58</f>
        <v>Operating and maintenance expenses</v>
      </c>
      <c r="B66" s="11" t="str">
        <f t="shared" si="5"/>
        <v>Percent</v>
      </c>
      <c r="C66" s="11"/>
      <c r="D66" s="36"/>
      <c r="E66" s="36"/>
      <c r="F66" s="36"/>
      <c r="G66" s="36"/>
      <c r="H66" s="36"/>
      <c r="I66" s="64">
        <f>I58/SUM($I$58:$I$59,$I$61:$I$63)</f>
        <v>0.87589674326115008</v>
      </c>
    </row>
    <row r="67" spans="1:10" ht="13.5" x14ac:dyDescent="0.25">
      <c r="A67" s="11" t="str">
        <f t="shared" ref="A67" si="7">A59</f>
        <v>Management fees and expenses</v>
      </c>
      <c r="B67" s="11" t="str">
        <f t="shared" si="5"/>
        <v>Percent</v>
      </c>
      <c r="C67" s="11"/>
      <c r="D67" s="36"/>
      <c r="E67" s="36"/>
      <c r="F67" s="36"/>
      <c r="G67" s="36"/>
      <c r="H67" s="36"/>
      <c r="I67" s="64">
        <f t="shared" ref="I67" si="8">I59/SUM($I$58:$I$59,$I$61:$I$63)</f>
        <v>0.1093356558823689</v>
      </c>
    </row>
    <row r="68" spans="1:10" ht="13.5" x14ac:dyDescent="0.25">
      <c r="A68" s="11" t="str">
        <f>A61</f>
        <v>Tax on property and capital</v>
      </c>
      <c r="B68" s="11" t="str">
        <f t="shared" si="5"/>
        <v>Percent</v>
      </c>
      <c r="C68" s="11"/>
      <c r="D68" s="36"/>
      <c r="E68" s="36"/>
      <c r="F68" s="36"/>
      <c r="G68" s="36"/>
      <c r="H68" s="36"/>
      <c r="I68" s="64">
        <f>I61/SUM($I$58:$I$59,$I$61:$I$63)</f>
        <v>2.0776371664108107E-3</v>
      </c>
    </row>
    <row r="69" spans="1:10" ht="13.5" x14ac:dyDescent="0.25">
      <c r="A69" s="11" t="str">
        <f>A62</f>
        <v>Accounting/audit fees</v>
      </c>
      <c r="B69" s="11" t="str">
        <f t="shared" si="5"/>
        <v>Percent</v>
      </c>
      <c r="C69" s="11"/>
      <c r="D69" s="36"/>
      <c r="E69" s="36"/>
      <c r="F69" s="36"/>
      <c r="G69" s="36"/>
      <c r="H69" s="36"/>
      <c r="I69" s="64">
        <f t="shared" ref="I69:I70" si="9">I62/SUM($I$58:$I$59,$I$61:$I$63)</f>
        <v>2.8567511038148645E-3</v>
      </c>
    </row>
    <row r="70" spans="1:10" ht="13.5" x14ac:dyDescent="0.25">
      <c r="A70" s="11" t="str">
        <f>A63</f>
        <v>Other</v>
      </c>
      <c r="B70" s="11" t="str">
        <f t="shared" si="5"/>
        <v>Percent</v>
      </c>
      <c r="C70" s="11"/>
      <c r="D70" s="36"/>
      <c r="E70" s="36"/>
      <c r="F70" s="36"/>
      <c r="G70" s="36"/>
      <c r="H70" s="36"/>
      <c r="I70" s="64">
        <f t="shared" si="9"/>
        <v>9.8332125862553126E-3</v>
      </c>
    </row>
    <row r="71" spans="1:10" ht="13.5" x14ac:dyDescent="0.25">
      <c r="A71" s="11" t="str">
        <f>A64</f>
        <v>TOTAL</v>
      </c>
      <c r="B71" s="11" t="str">
        <f t="shared" si="5"/>
        <v>Percent</v>
      </c>
      <c r="C71" s="11"/>
      <c r="D71" s="36"/>
      <c r="E71" s="36"/>
      <c r="F71" s="36"/>
      <c r="G71" s="36"/>
      <c r="H71" s="36"/>
      <c r="I71" s="64">
        <f>SUM(I66:I70)</f>
        <v>1</v>
      </c>
    </row>
    <row r="72" spans="1:10" ht="13.5" x14ac:dyDescent="0.25">
      <c r="A72" s="36"/>
      <c r="B72" s="36"/>
      <c r="C72" s="69"/>
      <c r="D72" s="36"/>
      <c r="E72" s="36"/>
      <c r="F72" s="36"/>
      <c r="G72" s="36"/>
      <c r="H72" s="36"/>
      <c r="I72" s="57"/>
    </row>
    <row r="73" spans="1:10" ht="13.5" x14ac:dyDescent="0.25">
      <c r="A73" s="36"/>
      <c r="B73" s="36"/>
      <c r="C73" s="69"/>
      <c r="D73" s="36"/>
      <c r="E73" s="36"/>
      <c r="F73" s="36"/>
      <c r="G73" s="36"/>
      <c r="H73" s="36"/>
      <c r="I73" s="57"/>
    </row>
    <row r="74" spans="1:10" ht="13.5" x14ac:dyDescent="0.25">
      <c r="A74" s="36"/>
      <c r="B74" s="36"/>
      <c r="C74" s="69"/>
      <c r="D74" s="36"/>
      <c r="E74" s="36"/>
      <c r="F74" s="36"/>
      <c r="G74" s="36"/>
      <c r="H74" s="36"/>
      <c r="I74" s="57"/>
    </row>
    <row r="75" spans="1:10" ht="13.5" x14ac:dyDescent="0.25">
      <c r="A75" s="36"/>
      <c r="B75" s="36"/>
      <c r="C75" s="69"/>
      <c r="D75" s="36"/>
      <c r="E75" s="36"/>
      <c r="F75" s="36"/>
      <c r="G75" s="36"/>
      <c r="H75" s="36"/>
      <c r="I75" s="57"/>
    </row>
    <row r="76" spans="1:10" ht="13.5" x14ac:dyDescent="0.25">
      <c r="A76" s="36"/>
      <c r="B76" s="36"/>
      <c r="C76" s="69"/>
      <c r="D76" s="36"/>
      <c r="E76" s="36"/>
      <c r="F76" s="36"/>
      <c r="G76" s="36"/>
      <c r="H76" s="36"/>
      <c r="I76" s="57"/>
    </row>
    <row r="78" spans="1:10" ht="20" thickBot="1" x14ac:dyDescent="0.5">
      <c r="A78" s="3" t="s">
        <v>79</v>
      </c>
      <c r="J78" s="6" t="s">
        <v>26</v>
      </c>
    </row>
    <row r="79" spans="1:10" ht="14" thickTop="1" thickBot="1" x14ac:dyDescent="0.3">
      <c r="A79" s="9" t="s">
        <v>125</v>
      </c>
      <c r="B79" s="9" t="s">
        <v>9</v>
      </c>
      <c r="C79" s="9"/>
      <c r="D79" s="10">
        <v>1071291.4101704119</v>
      </c>
      <c r="E79" s="10">
        <v>674124.27345378941</v>
      </c>
      <c r="F79" s="10">
        <v>866970.21908144781</v>
      </c>
      <c r="G79" s="10">
        <v>1045868.0467500002</v>
      </c>
      <c r="H79" s="10">
        <v>1097983.5599999998</v>
      </c>
      <c r="J79" s="12">
        <f>SUM(D79:H79)</f>
        <v>4756237.5094556492</v>
      </c>
    </row>
    <row r="80" spans="1:10" ht="13.5" thickBot="1" x14ac:dyDescent="0.3">
      <c r="A80" s="9" t="s">
        <v>126</v>
      </c>
      <c r="B80" s="9" t="s">
        <v>9</v>
      </c>
      <c r="C80" s="9"/>
      <c r="D80" s="10">
        <v>859422.14947378181</v>
      </c>
      <c r="E80" s="10">
        <v>645680.18270286312</v>
      </c>
      <c r="F80" s="10">
        <v>791203.72880904982</v>
      </c>
      <c r="G80" s="10">
        <v>855961.60225</v>
      </c>
      <c r="H80" s="10">
        <v>765972.35999999987</v>
      </c>
      <c r="J80" s="12">
        <f>SUM(D80:H80)</f>
        <v>3918240.0232356945</v>
      </c>
    </row>
    <row r="81" spans="1:10" ht="13.5" x14ac:dyDescent="0.25">
      <c r="A81" s="51" t="s">
        <v>114</v>
      </c>
      <c r="B81" s="51" t="s">
        <v>9</v>
      </c>
      <c r="C81" s="51"/>
      <c r="D81" s="60">
        <f>(D19+D20)*1000</f>
        <v>25000</v>
      </c>
      <c r="E81" s="60">
        <f t="shared" ref="E81:H81" si="10">(E19+E20)*1000</f>
        <v>10000</v>
      </c>
      <c r="F81" s="60">
        <f t="shared" si="10"/>
        <v>14000</v>
      </c>
      <c r="G81" s="60">
        <f t="shared" si="10"/>
        <v>10000</v>
      </c>
      <c r="H81" s="60">
        <f t="shared" si="10"/>
        <v>11000</v>
      </c>
      <c r="J81" s="12">
        <f>SUM(D81:H81)</f>
        <v>70000</v>
      </c>
    </row>
    <row r="82" spans="1:10" ht="13" x14ac:dyDescent="0.25">
      <c r="A82" s="11" t="s">
        <v>100</v>
      </c>
      <c r="B82" s="11" t="s">
        <v>9</v>
      </c>
      <c r="C82" s="11"/>
      <c r="D82" s="48">
        <f>SUM(D79:D81)</f>
        <v>1955713.5596441939</v>
      </c>
      <c r="E82" s="48">
        <f t="shared" ref="E82:J82" si="11">SUM(E79:E81)</f>
        <v>1329804.4561566524</v>
      </c>
      <c r="F82" s="48">
        <f t="shared" si="11"/>
        <v>1672173.9478904977</v>
      </c>
      <c r="G82" s="48">
        <f t="shared" si="11"/>
        <v>1911829.6490000002</v>
      </c>
      <c r="H82" s="48">
        <f t="shared" si="11"/>
        <v>1874955.9199999997</v>
      </c>
      <c r="J82" s="48">
        <f t="shared" si="11"/>
        <v>8744477.5326913446</v>
      </c>
    </row>
    <row r="83" spans="1:10" ht="13.5" x14ac:dyDescent="0.25">
      <c r="A83" s="51" t="s">
        <v>80</v>
      </c>
      <c r="B83" s="51" t="s">
        <v>9</v>
      </c>
      <c r="C83" s="51"/>
      <c r="D83" s="1">
        <f>D23*1000</f>
        <v>3900250.56</v>
      </c>
      <c r="E83" s="1">
        <f>E23*1000</f>
        <v>3089843.9451767029</v>
      </c>
      <c r="F83" s="1">
        <f>F23*1000</f>
        <v>4031414.89</v>
      </c>
      <c r="G83" s="1">
        <f>G23*1000</f>
        <v>3845599.5700000003</v>
      </c>
      <c r="H83" s="1">
        <f>H23*1000</f>
        <v>4259527.959999999</v>
      </c>
      <c r="J83" s="1">
        <f>SUM(D83:I83)</f>
        <v>19126636.925176702</v>
      </c>
    </row>
    <row r="84" spans="1:10" ht="13.5" x14ac:dyDescent="0.25">
      <c r="A84" s="11" t="s">
        <v>81</v>
      </c>
      <c r="B84" s="11" t="s">
        <v>97</v>
      </c>
      <c r="C84" s="11"/>
      <c r="D84" s="58">
        <f>D82/D83</f>
        <v>0.50143280016456016</v>
      </c>
      <c r="E84" s="58">
        <f t="shared" ref="E84:J84" si="12">E82/E83</f>
        <v>0.43037916469292858</v>
      </c>
      <c r="F84" s="58">
        <f t="shared" si="12"/>
        <v>0.41478587382270093</v>
      </c>
      <c r="G84" s="58">
        <f t="shared" si="12"/>
        <v>0.4971473535399839</v>
      </c>
      <c r="H84" s="58">
        <f t="shared" si="12"/>
        <v>0.44017927282252189</v>
      </c>
      <c r="J84" s="58">
        <f t="shared" si="12"/>
        <v>0.45718845225638421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workbookViewId="0"/>
  </sheetViews>
  <sheetFormatPr defaultColWidth="14" defaultRowHeight="12.5" x14ac:dyDescent="0.25"/>
  <cols>
    <col min="1" max="1" width="73.33203125" style="6" customWidth="1"/>
    <col min="2" max="3" width="17.75" style="6" customWidth="1"/>
    <col min="4" max="4" width="18.5" style="6" customWidth="1"/>
    <col min="5" max="5" width="22.5" style="6" customWidth="1"/>
    <col min="6" max="8" width="20.83203125" style="6" customWidth="1"/>
    <col min="9" max="9" width="22.5" style="6" customWidth="1"/>
    <col min="10" max="10" width="16.25" style="6" customWidth="1"/>
    <col min="11" max="11" width="14" style="6"/>
    <col min="12" max="12" width="16.5" style="6" customWidth="1"/>
    <col min="13" max="14" width="14" style="6"/>
    <col min="15" max="15" width="15.5" style="6" customWidth="1"/>
    <col min="16" max="16384" width="14" style="6"/>
  </cols>
  <sheetData>
    <row r="1" spans="1:15" s="2" customFormat="1" x14ac:dyDescent="0.25"/>
    <row r="2" spans="1:15" s="2" customFormat="1" x14ac:dyDescent="0.25"/>
    <row r="3" spans="1:15" s="2" customFormat="1" x14ac:dyDescent="0.25"/>
    <row r="4" spans="1:15" s="2" customFormat="1" x14ac:dyDescent="0.25"/>
    <row r="5" spans="1:15" s="2" customFormat="1" x14ac:dyDescent="0.25"/>
    <row r="6" spans="1:15" s="2" customFormat="1" x14ac:dyDescent="0.25"/>
    <row r="7" spans="1:15" s="2" customFormat="1" x14ac:dyDescent="0.25"/>
    <row r="8" spans="1:15" s="2" customFormat="1" x14ac:dyDescent="0.25"/>
    <row r="9" spans="1:15" s="2" customFormat="1" ht="13" thickBot="1" x14ac:dyDescent="0.3"/>
    <row r="10" spans="1:15" s="5" customFormat="1" ht="24.5" thickTop="1" thickBot="1" x14ac:dyDescent="0.6">
      <c r="A10" s="18" t="str">
        <f ca="1">RIGHT(CELL("filename",A1),LEN(CELL("filename",A1))-FIND("]",CELL("filename",A1)))</f>
        <v>Input│ Other</v>
      </c>
      <c r="B10" s="18"/>
      <c r="C10" s="18"/>
      <c r="D10" s="18"/>
      <c r="E10" s="18"/>
      <c r="F10" s="18"/>
      <c r="G10" s="18"/>
      <c r="H10" s="18"/>
      <c r="I10" s="18"/>
      <c r="J10" s="18"/>
    </row>
    <row r="11" spans="1:15" ht="20.5" thickTop="1" thickBot="1" x14ac:dyDescent="0.5">
      <c r="A11" s="3" t="s">
        <v>42</v>
      </c>
      <c r="B11" s="3" t="s">
        <v>0</v>
      </c>
      <c r="C11" s="4" t="s">
        <v>40</v>
      </c>
      <c r="D11" s="4" t="s">
        <v>1</v>
      </c>
      <c r="E11" s="4" t="s">
        <v>2</v>
      </c>
      <c r="F11" s="4" t="s">
        <v>3</v>
      </c>
      <c r="G11" s="4" t="s">
        <v>4</v>
      </c>
      <c r="H11" s="4" t="s">
        <v>5</v>
      </c>
      <c r="I11" s="4" t="s">
        <v>17</v>
      </c>
      <c r="J11" s="4" t="s">
        <v>18</v>
      </c>
      <c r="K11" s="4" t="s">
        <v>19</v>
      </c>
      <c r="L11" s="4" t="s">
        <v>20</v>
      </c>
      <c r="M11" s="4" t="s">
        <v>21</v>
      </c>
      <c r="N11" s="4" t="s">
        <v>22</v>
      </c>
      <c r="O11" s="4" t="s">
        <v>41</v>
      </c>
    </row>
    <row r="12" spans="1:15" ht="14" thickTop="1" thickBot="1" x14ac:dyDescent="0.3">
      <c r="A12" s="9" t="s">
        <v>43</v>
      </c>
      <c r="B12" s="9" t="s">
        <v>43</v>
      </c>
      <c r="C12" s="27">
        <v>41334</v>
      </c>
      <c r="D12" s="27">
        <f t="shared" ref="D12:J12" si="0">DATE(YEAR(C12)+1,MONTH(C12),DAY(C12))</f>
        <v>41699</v>
      </c>
      <c r="E12" s="27">
        <f t="shared" si="0"/>
        <v>42064</v>
      </c>
      <c r="F12" s="27">
        <f t="shared" si="0"/>
        <v>42430</v>
      </c>
      <c r="G12" s="27">
        <f t="shared" si="0"/>
        <v>42795</v>
      </c>
      <c r="H12" s="27">
        <f t="shared" si="0"/>
        <v>43160</v>
      </c>
      <c r="I12" s="27">
        <f t="shared" si="0"/>
        <v>43525</v>
      </c>
      <c r="J12" s="27">
        <f t="shared" si="0"/>
        <v>43891</v>
      </c>
      <c r="K12" s="27">
        <f t="shared" ref="K12:O12" si="1">DATE(YEAR(J12)+1,MONTH(J12),DAY(J12))</f>
        <v>44256</v>
      </c>
      <c r="L12" s="27">
        <f t="shared" si="1"/>
        <v>44621</v>
      </c>
      <c r="M12" s="27">
        <f t="shared" si="1"/>
        <v>44986</v>
      </c>
      <c r="N12" s="27">
        <f t="shared" si="1"/>
        <v>45352</v>
      </c>
      <c r="O12" s="27">
        <f t="shared" si="1"/>
        <v>45717</v>
      </c>
    </row>
    <row r="13" spans="1:15" ht="13.5" thickBot="1" x14ac:dyDescent="0.3">
      <c r="A13" s="9" t="s">
        <v>44</v>
      </c>
      <c r="B13" s="9" t="s">
        <v>45</v>
      </c>
      <c r="C13" s="28">
        <v>102.4</v>
      </c>
      <c r="D13" s="28">
        <v>105.4</v>
      </c>
      <c r="E13" s="28">
        <v>106.8</v>
      </c>
      <c r="F13" s="28">
        <v>108.2</v>
      </c>
      <c r="G13" s="28">
        <v>110.5</v>
      </c>
      <c r="H13" s="28">
        <v>112.6</v>
      </c>
      <c r="I13" s="28">
        <v>114.1</v>
      </c>
      <c r="J13" s="29">
        <f>I13*1.025</f>
        <v>116.95249999999999</v>
      </c>
      <c r="K13" s="29">
        <f t="shared" ref="K13:O13" si="2">J13*1.025</f>
        <v>119.87631249999997</v>
      </c>
      <c r="L13" s="29">
        <f t="shared" si="2"/>
        <v>122.87322031249995</v>
      </c>
      <c r="M13" s="29">
        <f t="shared" si="2"/>
        <v>125.94505082031245</v>
      </c>
      <c r="N13" s="29">
        <f t="shared" si="2"/>
        <v>129.09367709082025</v>
      </c>
      <c r="O13" s="29">
        <f t="shared" si="2"/>
        <v>132.32101901809074</v>
      </c>
    </row>
    <row r="14" spans="1:15" x14ac:dyDescent="0.25">
      <c r="A14" s="13" t="s">
        <v>46</v>
      </c>
    </row>
    <row r="15" spans="1:15" ht="13.5" thickBot="1" x14ac:dyDescent="0.3">
      <c r="A15" s="11" t="str">
        <f>"Inflation Index (base "&amp;J11&amp;")"</f>
        <v>Inflation Index (base 2019/20)</v>
      </c>
      <c r="B15" s="11" t="s">
        <v>45</v>
      </c>
      <c r="C15" s="29">
        <f t="shared" ref="C15:I15" si="3">C13/$J$13</f>
        <v>0.87556914131805663</v>
      </c>
      <c r="D15" s="29">
        <f t="shared" si="3"/>
        <v>0.90122058100510904</v>
      </c>
      <c r="E15" s="29">
        <f t="shared" si="3"/>
        <v>0.91319125285906677</v>
      </c>
      <c r="F15" s="29">
        <f t="shared" si="3"/>
        <v>0.92516192471302461</v>
      </c>
      <c r="G15" s="29">
        <f t="shared" si="3"/>
        <v>0.94482802847309821</v>
      </c>
      <c r="H15" s="29">
        <f t="shared" si="3"/>
        <v>0.96278403625403486</v>
      </c>
      <c r="I15" s="29">
        <f t="shared" si="3"/>
        <v>0.97560975609756106</v>
      </c>
      <c r="J15" s="29">
        <f>J13/$J$13</f>
        <v>1</v>
      </c>
      <c r="K15" s="29">
        <f t="shared" ref="K15:O15" si="4">K13/$J$13</f>
        <v>1.0249999999999999</v>
      </c>
      <c r="L15" s="29">
        <f t="shared" si="4"/>
        <v>1.0506249999999997</v>
      </c>
      <c r="M15" s="29">
        <f t="shared" si="4"/>
        <v>1.0768906249999997</v>
      </c>
      <c r="N15" s="29">
        <f t="shared" si="4"/>
        <v>1.1038128906249995</v>
      </c>
      <c r="O15" s="29">
        <f t="shared" si="4"/>
        <v>1.1314082128906244</v>
      </c>
    </row>
    <row r="16" spans="1:15" ht="13.5" thickBot="1" x14ac:dyDescent="0.3">
      <c r="A16" s="11" t="str">
        <f>"Inflation Index (base "&amp;E11&amp;")"</f>
        <v>Inflation Index (base 2014/15)</v>
      </c>
      <c r="B16" s="11" t="s">
        <v>45</v>
      </c>
      <c r="C16" s="29">
        <f>C13/$E$13</f>
        <v>0.95880149812734095</v>
      </c>
      <c r="D16" s="29">
        <f>D13/$E$13</f>
        <v>0.98689138576779034</v>
      </c>
      <c r="E16" s="28">
        <v>1</v>
      </c>
      <c r="F16" s="29">
        <f>F13/$E$13</f>
        <v>1.0131086142322099</v>
      </c>
      <c r="G16" s="29">
        <f>G13/$E$13</f>
        <v>1.0346441947565543</v>
      </c>
      <c r="H16" s="29">
        <f>H13/$E$13</f>
        <v>1.0543071161048689</v>
      </c>
      <c r="I16" s="29">
        <f>I13/$E$13</f>
        <v>1.0683520599250935</v>
      </c>
      <c r="J16" s="29">
        <f>J13/$E$13</f>
        <v>1.0950608614232209</v>
      </c>
      <c r="K16" s="29">
        <f t="shared" ref="K16:O16" si="5">K13/$E$13</f>
        <v>1.1224373829588012</v>
      </c>
      <c r="L16" s="29">
        <f t="shared" si="5"/>
        <v>1.1504983175327712</v>
      </c>
      <c r="M16" s="29">
        <f t="shared" si="5"/>
        <v>1.1792607754710904</v>
      </c>
      <c r="N16" s="29">
        <f t="shared" si="5"/>
        <v>1.2087422948578674</v>
      </c>
      <c r="O16" s="29">
        <f t="shared" si="5"/>
        <v>1.2389608522293141</v>
      </c>
    </row>
    <row r="17" spans="1:10" ht="13.5" thickBot="1" x14ac:dyDescent="0.3">
      <c r="A17" s="11" t="s">
        <v>47</v>
      </c>
      <c r="B17" s="11" t="s">
        <v>39</v>
      </c>
      <c r="C17" s="11"/>
      <c r="D17" s="11"/>
      <c r="E17" s="29"/>
      <c r="F17" s="30">
        <v>2.5499999999999998E-2</v>
      </c>
      <c r="G17" s="30">
        <v>2.5499999999999998E-2</v>
      </c>
      <c r="H17" s="30">
        <v>2.5499999999999998E-2</v>
      </c>
      <c r="I17" s="30">
        <v>2.5499999999999998E-2</v>
      </c>
      <c r="J17" s="30">
        <v>2.5499999999999998E-2</v>
      </c>
    </row>
    <row r="18" spans="1:10" ht="13.5" thickBot="1" x14ac:dyDescent="0.3">
      <c r="A18" s="11" t="s">
        <v>48</v>
      </c>
      <c r="B18" s="11" t="s">
        <v>45</v>
      </c>
      <c r="C18" s="11"/>
      <c r="D18" s="11"/>
      <c r="E18" s="28">
        <v>1</v>
      </c>
      <c r="F18" s="29">
        <f>E18*(1+F17)</f>
        <v>1.0255000000000001</v>
      </c>
      <c r="G18" s="29">
        <f>F18*(1+G17)</f>
        <v>1.0516502500000002</v>
      </c>
      <c r="H18" s="29">
        <f>G18*(1+H17)</f>
        <v>1.0784673313750004</v>
      </c>
      <c r="I18" s="29">
        <f>H18*(1+I17)</f>
        <v>1.105968248325063</v>
      </c>
      <c r="J18" s="29">
        <f>I18*(1+J17)</f>
        <v>1.1341704386573521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zoomScaleNormal="100" workbookViewId="0"/>
  </sheetViews>
  <sheetFormatPr defaultColWidth="9" defaultRowHeight="20.5" x14ac:dyDescent="0.4"/>
  <cols>
    <col min="1" max="1" width="10.75" style="88" bestFit="1" customWidth="1"/>
    <col min="2" max="2" width="17.58203125" style="88" bestFit="1" customWidth="1"/>
    <col min="3" max="3" width="6.25" style="88" customWidth="1"/>
    <col min="4" max="4" width="17.83203125" style="88" bestFit="1" customWidth="1"/>
    <col min="5" max="5" width="2.83203125" style="88" bestFit="1" customWidth="1"/>
    <col min="6" max="6" width="16" style="88" bestFit="1" customWidth="1"/>
    <col min="7" max="7" width="2.75" style="88" bestFit="1" customWidth="1"/>
    <col min="8" max="8" width="4.08203125" style="88" customWidth="1"/>
    <col min="9" max="9" width="9.08203125" style="88" bestFit="1" customWidth="1"/>
    <col min="10" max="10" width="3.33203125" style="88" customWidth="1"/>
    <col min="11" max="11" width="9" style="88"/>
    <col min="12" max="12" width="5.83203125" style="88" bestFit="1" customWidth="1"/>
    <col min="13" max="13" width="18.08203125" style="88" bestFit="1" customWidth="1"/>
    <col min="14" max="14" width="12.5" style="88" bestFit="1" customWidth="1"/>
    <col min="15" max="15" width="13.75" style="88" bestFit="1" customWidth="1"/>
    <col min="16" max="16" width="12.5" style="88" bestFit="1" customWidth="1"/>
    <col min="17" max="17" width="14.75" style="88" bestFit="1" customWidth="1"/>
    <col min="18" max="16384" width="9" style="88"/>
  </cols>
  <sheetData>
    <row r="1" spans="1:17" ht="21" thickBot="1" x14ac:dyDescent="0.45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</row>
    <row r="2" spans="1:17" ht="21" thickBot="1" x14ac:dyDescent="0.45">
      <c r="A2" s="87"/>
      <c r="B2" s="87"/>
      <c r="C2" s="87"/>
      <c r="D2" s="89"/>
      <c r="E2" s="89"/>
      <c r="F2" s="89"/>
      <c r="G2" s="89"/>
      <c r="H2" s="89"/>
      <c r="I2" s="89" t="s">
        <v>152</v>
      </c>
      <c r="K2" s="87"/>
      <c r="L2" s="87"/>
      <c r="M2" s="87"/>
      <c r="N2" s="9" t="s">
        <v>145</v>
      </c>
      <c r="O2" s="74">
        <v>15000000</v>
      </c>
    </row>
    <row r="3" spans="1:17" ht="21" thickBot="1" x14ac:dyDescent="0.45">
      <c r="A3" s="87"/>
      <c r="B3" s="87"/>
      <c r="C3" s="87"/>
      <c r="D3" s="90" t="s">
        <v>153</v>
      </c>
      <c r="E3" s="91" t="s">
        <v>154</v>
      </c>
      <c r="F3" s="90" t="s">
        <v>155</v>
      </c>
      <c r="G3" s="90">
        <v>1</v>
      </c>
      <c r="H3" s="92" t="s">
        <v>156</v>
      </c>
      <c r="I3" s="90" t="s">
        <v>157</v>
      </c>
      <c r="J3" s="87"/>
      <c r="K3" s="87"/>
      <c r="N3" s="9" t="s">
        <v>146</v>
      </c>
      <c r="O3" s="9">
        <f>650000+175000</f>
        <v>825000</v>
      </c>
    </row>
    <row r="4" spans="1:17" x14ac:dyDescent="0.4">
      <c r="A4" s="87"/>
      <c r="F4" s="89" t="s">
        <v>152</v>
      </c>
      <c r="J4" s="87"/>
      <c r="K4" s="87"/>
      <c r="N4" s="11" t="s">
        <v>147</v>
      </c>
      <c r="O4" s="48">
        <f>O2-O3</f>
        <v>14175000</v>
      </c>
    </row>
    <row r="5" spans="1:17" ht="21" thickBot="1" x14ac:dyDescent="0.45">
      <c r="A5" s="87"/>
      <c r="B5" s="93" t="s">
        <v>158</v>
      </c>
      <c r="C5" s="94" t="s">
        <v>159</v>
      </c>
      <c r="D5" s="95">
        <v>1</v>
      </c>
      <c r="E5" s="96" t="s">
        <v>156</v>
      </c>
      <c r="F5" s="95" t="s">
        <v>157</v>
      </c>
      <c r="G5" s="95"/>
      <c r="H5" s="96" t="s">
        <v>154</v>
      </c>
      <c r="I5" s="95">
        <v>1</v>
      </c>
      <c r="J5" s="87"/>
      <c r="K5" s="87"/>
      <c r="N5" s="11" t="s">
        <v>148</v>
      </c>
      <c r="O5" s="48">
        <f>O4*(1+O7)^O6</f>
        <v>23132594.251981858</v>
      </c>
    </row>
    <row r="6" spans="1:17" ht="21" thickBot="1" x14ac:dyDescent="0.45">
      <c r="A6" s="87"/>
      <c r="B6" s="87"/>
      <c r="C6" s="87"/>
      <c r="D6" s="117" t="s">
        <v>157</v>
      </c>
      <c r="E6" s="117"/>
      <c r="F6" s="117"/>
      <c r="G6" s="117"/>
      <c r="H6" s="117"/>
      <c r="I6" s="117"/>
      <c r="J6" s="87"/>
      <c r="K6" s="87"/>
      <c r="N6" s="9" t="s">
        <v>163</v>
      </c>
      <c r="O6" s="113">
        <v>21.2</v>
      </c>
    </row>
    <row r="7" spans="1:17" ht="21" thickBot="1" x14ac:dyDescent="0.45">
      <c r="A7" s="87"/>
      <c r="B7" s="87"/>
      <c r="C7" s="87"/>
      <c r="D7" s="87"/>
      <c r="E7" s="87"/>
      <c r="F7" s="87"/>
      <c r="G7" s="87"/>
      <c r="H7" s="87"/>
      <c r="I7" s="87"/>
      <c r="J7" s="87"/>
      <c r="K7" s="87"/>
      <c r="N7" s="9" t="s">
        <v>149</v>
      </c>
      <c r="O7" s="112">
        <v>2.3370936398920517E-2</v>
      </c>
    </row>
    <row r="8" spans="1:17" ht="21" thickBot="1" x14ac:dyDescent="0.45">
      <c r="A8" s="87"/>
      <c r="B8" s="87"/>
      <c r="C8" s="87"/>
      <c r="D8" s="87"/>
      <c r="E8" s="87"/>
      <c r="F8" s="87"/>
      <c r="G8" s="87"/>
      <c r="H8" s="87"/>
      <c r="I8" s="87"/>
      <c r="J8" s="87"/>
      <c r="K8" s="87"/>
      <c r="N8" s="9" t="s">
        <v>150</v>
      </c>
      <c r="O8" s="112">
        <v>1.049651050509769E-2</v>
      </c>
    </row>
    <row r="9" spans="1:17" ht="21.5" thickBot="1" x14ac:dyDescent="0.5">
      <c r="A9" s="97">
        <v>2020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81" t="str">
        <f>"Source: Revised Proposal PTRM"</f>
        <v>Source: Revised Proposal PTRM</v>
      </c>
      <c r="O9" s="81"/>
    </row>
    <row r="10" spans="1:17" ht="21" thickTop="1" x14ac:dyDescent="0.4">
      <c r="A10" s="87"/>
      <c r="B10" s="87"/>
      <c r="C10" s="87"/>
      <c r="D10" s="89"/>
      <c r="E10" s="89"/>
      <c r="F10" s="89"/>
      <c r="G10" s="89"/>
      <c r="H10" s="89"/>
      <c r="I10" s="89"/>
      <c r="J10" s="87">
        <f>$M$13</f>
        <v>21.2</v>
      </c>
      <c r="K10" s="87"/>
      <c r="N10" s="82"/>
      <c r="O10" s="82"/>
    </row>
    <row r="11" spans="1:17" ht="26.25" customHeight="1" thickBot="1" x14ac:dyDescent="0.45">
      <c r="A11" s="98"/>
      <c r="B11" s="87"/>
      <c r="C11" s="87"/>
      <c r="D11" s="99">
        <f>$M$11</f>
        <v>23132594.251981858</v>
      </c>
      <c r="E11" s="100" t="s">
        <v>154</v>
      </c>
      <c r="F11" s="99">
        <f>$M$14</f>
        <v>0</v>
      </c>
      <c r="G11" s="101">
        <v>1</v>
      </c>
      <c r="H11" s="102" t="s">
        <v>156</v>
      </c>
      <c r="I11" s="103">
        <f>$M$12</f>
        <v>1.049651050509769E-2</v>
      </c>
      <c r="J11" s="87"/>
      <c r="K11" s="98"/>
      <c r="L11" s="88" t="s">
        <v>160</v>
      </c>
      <c r="M11" s="104">
        <f>O5</f>
        <v>23132594.251981858</v>
      </c>
      <c r="N11" s="82"/>
      <c r="O11" s="82"/>
    </row>
    <row r="12" spans="1:17" ht="26.25" customHeight="1" x14ac:dyDescent="0.4">
      <c r="B12" s="105">
        <f>(D11-(F11*(G11+I11)^J10))/(((D13+F13)^G12-I13)/D14)</f>
        <v>979946.60336058668</v>
      </c>
      <c r="C12" s="94" t="s">
        <v>159</v>
      </c>
      <c r="G12" s="106">
        <f>$M$13</f>
        <v>21.2</v>
      </c>
      <c r="L12" s="88" t="s">
        <v>161</v>
      </c>
      <c r="M12" s="107">
        <f>O8</f>
        <v>1.049651050509769E-2</v>
      </c>
      <c r="N12" s="108"/>
      <c r="O12" s="108"/>
      <c r="P12" s="108"/>
      <c r="Q12" s="108"/>
    </row>
    <row r="13" spans="1:17" x14ac:dyDescent="0.4">
      <c r="B13" s="87"/>
      <c r="C13" s="87"/>
      <c r="D13" s="95">
        <v>1</v>
      </c>
      <c r="E13" s="96" t="s">
        <v>156</v>
      </c>
      <c r="F13" s="109">
        <f>$M$12</f>
        <v>1.049651050509769E-2</v>
      </c>
      <c r="G13" s="95"/>
      <c r="H13" s="96" t="s">
        <v>154</v>
      </c>
      <c r="I13" s="95">
        <v>1</v>
      </c>
      <c r="L13" s="88" t="s">
        <v>162</v>
      </c>
      <c r="M13" s="88">
        <f>O6</f>
        <v>21.2</v>
      </c>
    </row>
    <row r="14" spans="1:17" x14ac:dyDescent="0.4">
      <c r="B14" s="87"/>
      <c r="C14" s="87"/>
      <c r="D14" s="116">
        <f>$M$12</f>
        <v>1.049651050509769E-2</v>
      </c>
      <c r="E14" s="117"/>
      <c r="F14" s="117"/>
      <c r="G14" s="117"/>
      <c r="H14" s="117"/>
      <c r="I14" s="117"/>
      <c r="L14" s="88" t="s">
        <v>155</v>
      </c>
      <c r="M14" s="104">
        <v>0</v>
      </c>
    </row>
    <row r="17" spans="1:13" ht="21.5" thickBot="1" x14ac:dyDescent="0.5">
      <c r="A17" s="97">
        <f>A9+5</f>
        <v>2025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</row>
    <row r="18" spans="1:13" ht="21" thickTop="1" x14ac:dyDescent="0.4">
      <c r="B18" s="87"/>
      <c r="C18" s="87"/>
      <c r="D18" s="89"/>
      <c r="E18" s="89"/>
      <c r="F18" s="89"/>
      <c r="G18" s="89"/>
      <c r="H18" s="89"/>
      <c r="I18" s="89"/>
      <c r="J18" s="87">
        <f>M21</f>
        <v>0</v>
      </c>
      <c r="K18" s="87"/>
    </row>
    <row r="19" spans="1:13" ht="21" thickBot="1" x14ac:dyDescent="0.45">
      <c r="B19" s="87"/>
      <c r="C19" s="87"/>
      <c r="D19" s="99">
        <f>$M$11</f>
        <v>23132594.251981858</v>
      </c>
      <c r="E19" s="100" t="s">
        <v>154</v>
      </c>
      <c r="F19" s="99">
        <f>M22</f>
        <v>0</v>
      </c>
      <c r="G19" s="101">
        <v>1</v>
      </c>
      <c r="H19" s="102" t="s">
        <v>156</v>
      </c>
      <c r="I19" s="103">
        <f>$M$12</f>
        <v>1.049651050509769E-2</v>
      </c>
      <c r="J19" s="87"/>
      <c r="K19" s="98"/>
      <c r="L19" s="88" t="s">
        <v>160</v>
      </c>
      <c r="M19" s="104"/>
    </row>
    <row r="20" spans="1:13" x14ac:dyDescent="0.4">
      <c r="B20" s="105" t="e">
        <f>(D19-(F19*(G19+I19)^J18))/(((D21+F21)^G20-I21)/D22)</f>
        <v>#DIV/0!</v>
      </c>
      <c r="C20" s="94" t="s">
        <v>159</v>
      </c>
      <c r="G20" s="106">
        <f>M21</f>
        <v>0</v>
      </c>
      <c r="L20" s="88" t="s">
        <v>161</v>
      </c>
      <c r="M20" s="107"/>
    </row>
    <row r="21" spans="1:13" x14ac:dyDescent="0.4">
      <c r="B21" s="87"/>
      <c r="C21" s="87"/>
      <c r="D21" s="95">
        <v>1</v>
      </c>
      <c r="E21" s="96" t="s">
        <v>156</v>
      </c>
      <c r="F21" s="109">
        <f>$M$12</f>
        <v>1.049651050509769E-2</v>
      </c>
      <c r="G21" s="95"/>
      <c r="H21" s="96" t="s">
        <v>154</v>
      </c>
      <c r="I21" s="95">
        <v>1</v>
      </c>
      <c r="L21" s="88" t="s">
        <v>162</v>
      </c>
    </row>
    <row r="22" spans="1:13" x14ac:dyDescent="0.4">
      <c r="B22" s="87"/>
      <c r="C22" s="87"/>
      <c r="D22" s="116">
        <f>$M$12</f>
        <v>1.049651050509769E-2</v>
      </c>
      <c r="E22" s="117"/>
      <c r="F22" s="117"/>
      <c r="G22" s="117"/>
      <c r="H22" s="117"/>
      <c r="I22" s="117"/>
      <c r="L22" s="88" t="s">
        <v>155</v>
      </c>
      <c r="M22" s="110"/>
    </row>
    <row r="25" spans="1:13" ht="21.5" thickBot="1" x14ac:dyDescent="0.5">
      <c r="A25" s="97">
        <f>A17+5</f>
        <v>2030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</row>
    <row r="26" spans="1:13" ht="21" thickTop="1" x14ac:dyDescent="0.4">
      <c r="B26" s="87"/>
      <c r="C26" s="87"/>
      <c r="D26" s="89"/>
      <c r="E26" s="89"/>
      <c r="F26" s="89"/>
      <c r="G26" s="89"/>
      <c r="H26" s="89"/>
      <c r="I26" s="89"/>
      <c r="J26" s="87">
        <f>M29</f>
        <v>0</v>
      </c>
      <c r="K26" s="87"/>
    </row>
    <row r="27" spans="1:13" ht="21" thickBot="1" x14ac:dyDescent="0.45">
      <c r="B27" s="87"/>
      <c r="C27" s="87"/>
      <c r="D27" s="99">
        <f>$M$11</f>
        <v>23132594.251981858</v>
      </c>
      <c r="E27" s="100" t="s">
        <v>154</v>
      </c>
      <c r="F27" s="99">
        <f>M30</f>
        <v>0</v>
      </c>
      <c r="G27" s="90">
        <v>1</v>
      </c>
      <c r="H27" s="92" t="s">
        <v>156</v>
      </c>
      <c r="I27" s="111">
        <f>$M$12</f>
        <v>1.049651050509769E-2</v>
      </c>
      <c r="J27" s="87"/>
      <c r="K27" s="98"/>
      <c r="L27" s="88" t="s">
        <v>160</v>
      </c>
      <c r="M27" s="104"/>
    </row>
    <row r="28" spans="1:13" x14ac:dyDescent="0.4">
      <c r="B28" s="105" t="e">
        <f>(D27-(F27*(G27+I27)^J26))/(((D29+F29)^G28-I29)/D30)</f>
        <v>#DIV/0!</v>
      </c>
      <c r="C28" s="94" t="s">
        <v>159</v>
      </c>
      <c r="G28" s="106">
        <f>M29</f>
        <v>0</v>
      </c>
      <c r="L28" s="88" t="s">
        <v>161</v>
      </c>
      <c r="M28" s="107"/>
    </row>
    <row r="29" spans="1:13" x14ac:dyDescent="0.4">
      <c r="B29" s="87"/>
      <c r="C29" s="87"/>
      <c r="D29" s="95">
        <v>1</v>
      </c>
      <c r="E29" s="96" t="s">
        <v>156</v>
      </c>
      <c r="F29" s="109">
        <f>$M$12</f>
        <v>1.049651050509769E-2</v>
      </c>
      <c r="G29" s="95"/>
      <c r="H29" s="96" t="s">
        <v>154</v>
      </c>
      <c r="I29" s="95">
        <v>1</v>
      </c>
      <c r="L29" s="88" t="s">
        <v>162</v>
      </c>
    </row>
    <row r="30" spans="1:13" x14ac:dyDescent="0.4">
      <c r="B30" s="87"/>
      <c r="C30" s="87"/>
      <c r="D30" s="116">
        <f>$M$12</f>
        <v>1.049651050509769E-2</v>
      </c>
      <c r="E30" s="117"/>
      <c r="F30" s="117"/>
      <c r="G30" s="117"/>
      <c r="H30" s="117"/>
      <c r="I30" s="117"/>
      <c r="L30" s="88" t="s">
        <v>155</v>
      </c>
      <c r="M30" s="110"/>
    </row>
    <row r="33" spans="1:13" ht="21.5" thickBot="1" x14ac:dyDescent="0.5">
      <c r="A33" s="97">
        <f>A25+5</f>
        <v>2035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</row>
    <row r="34" spans="1:13" ht="21" thickTop="1" x14ac:dyDescent="0.4">
      <c r="B34" s="87"/>
      <c r="C34" s="87"/>
      <c r="D34" s="89"/>
      <c r="E34" s="89"/>
      <c r="F34" s="89"/>
      <c r="G34" s="89"/>
      <c r="H34" s="89"/>
      <c r="I34" s="89"/>
      <c r="J34" s="87">
        <f>M37</f>
        <v>0</v>
      </c>
      <c r="K34" s="87"/>
    </row>
    <row r="35" spans="1:13" ht="21" thickBot="1" x14ac:dyDescent="0.45">
      <c r="B35" s="87"/>
      <c r="C35" s="87"/>
      <c r="D35" s="99">
        <f>$M$11</f>
        <v>23132594.251981858</v>
      </c>
      <c r="E35" s="100" t="s">
        <v>154</v>
      </c>
      <c r="F35" s="99">
        <f>M38</f>
        <v>0</v>
      </c>
      <c r="G35" s="90">
        <v>1</v>
      </c>
      <c r="H35" s="92" t="s">
        <v>156</v>
      </c>
      <c r="I35" s="111">
        <f>$M$12</f>
        <v>1.049651050509769E-2</v>
      </c>
      <c r="J35" s="87"/>
      <c r="K35" s="98"/>
      <c r="L35" s="88" t="s">
        <v>160</v>
      </c>
      <c r="M35" s="104"/>
    </row>
    <row r="36" spans="1:13" x14ac:dyDescent="0.4">
      <c r="B36" s="105" t="e">
        <f>(D35-(F35*(G35+I35)^J34))/(((D37+F37)^G36-I37)/D38)</f>
        <v>#DIV/0!</v>
      </c>
      <c r="C36" s="94" t="s">
        <v>159</v>
      </c>
      <c r="G36" s="106">
        <f>M37</f>
        <v>0</v>
      </c>
      <c r="L36" s="88" t="s">
        <v>161</v>
      </c>
      <c r="M36" s="107"/>
    </row>
    <row r="37" spans="1:13" x14ac:dyDescent="0.4">
      <c r="B37" s="87"/>
      <c r="C37" s="87"/>
      <c r="D37" s="95">
        <v>1</v>
      </c>
      <c r="E37" s="96" t="s">
        <v>156</v>
      </c>
      <c r="F37" s="109">
        <f>$M$12</f>
        <v>1.049651050509769E-2</v>
      </c>
      <c r="G37" s="95"/>
      <c r="H37" s="96" t="s">
        <v>154</v>
      </c>
      <c r="I37" s="95">
        <v>1</v>
      </c>
      <c r="L37" s="88" t="s">
        <v>162</v>
      </c>
    </row>
    <row r="38" spans="1:13" x14ac:dyDescent="0.4">
      <c r="B38" s="87"/>
      <c r="C38" s="87"/>
      <c r="D38" s="116">
        <f>$M$12</f>
        <v>1.049651050509769E-2</v>
      </c>
      <c r="E38" s="117"/>
      <c r="F38" s="117"/>
      <c r="G38" s="117"/>
      <c r="H38" s="117"/>
      <c r="I38" s="117"/>
      <c r="L38" s="88" t="s">
        <v>155</v>
      </c>
      <c r="M38" s="110"/>
    </row>
    <row r="41" spans="1:13" ht="21.5" thickBot="1" x14ac:dyDescent="0.5">
      <c r="A41" s="97">
        <f>A33+5</f>
        <v>2040</v>
      </c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</row>
    <row r="42" spans="1:13" ht="21" thickTop="1" x14ac:dyDescent="0.4">
      <c r="B42" s="87"/>
      <c r="C42" s="87"/>
      <c r="D42" s="89"/>
      <c r="E42" s="89"/>
      <c r="F42" s="89"/>
      <c r="G42" s="89"/>
      <c r="H42" s="89"/>
      <c r="I42" s="89"/>
      <c r="J42" s="87">
        <f>M45</f>
        <v>0</v>
      </c>
      <c r="K42" s="87"/>
    </row>
    <row r="43" spans="1:13" ht="21" thickBot="1" x14ac:dyDescent="0.45">
      <c r="B43" s="87"/>
      <c r="C43" s="87"/>
      <c r="D43" s="99">
        <f>$M$11</f>
        <v>23132594.251981858</v>
      </c>
      <c r="E43" s="100" t="s">
        <v>154</v>
      </c>
      <c r="F43" s="99">
        <f>M46</f>
        <v>0</v>
      </c>
      <c r="G43" s="90">
        <v>1</v>
      </c>
      <c r="H43" s="92" t="s">
        <v>156</v>
      </c>
      <c r="I43" s="111">
        <f>$M$12</f>
        <v>1.049651050509769E-2</v>
      </c>
      <c r="J43" s="87"/>
      <c r="K43" s="98"/>
      <c r="L43" s="88" t="s">
        <v>160</v>
      </c>
      <c r="M43" s="104"/>
    </row>
    <row r="44" spans="1:13" x14ac:dyDescent="0.4">
      <c r="B44" s="105" t="e">
        <f>(D43-(F43*(G43+I43)^J42))/(((D45+F45)^G44-I45)/D46)</f>
        <v>#DIV/0!</v>
      </c>
      <c r="C44" s="94" t="s">
        <v>159</v>
      </c>
      <c r="G44" s="106">
        <f>M45</f>
        <v>0</v>
      </c>
      <c r="L44" s="88" t="s">
        <v>161</v>
      </c>
      <c r="M44" s="107"/>
    </row>
    <row r="45" spans="1:13" x14ac:dyDescent="0.4">
      <c r="B45" s="87"/>
      <c r="C45" s="87"/>
      <c r="D45" s="95">
        <v>1</v>
      </c>
      <c r="E45" s="96" t="s">
        <v>156</v>
      </c>
      <c r="F45" s="109">
        <f>$M$12</f>
        <v>1.049651050509769E-2</v>
      </c>
      <c r="G45" s="95"/>
      <c r="H45" s="96" t="s">
        <v>154</v>
      </c>
      <c r="I45" s="95">
        <v>1</v>
      </c>
      <c r="L45" s="88" t="s">
        <v>162</v>
      </c>
    </row>
    <row r="46" spans="1:13" x14ac:dyDescent="0.4">
      <c r="B46" s="87"/>
      <c r="C46" s="87"/>
      <c r="D46" s="116">
        <f>$M$12</f>
        <v>1.049651050509769E-2</v>
      </c>
      <c r="E46" s="117"/>
      <c r="F46" s="117"/>
      <c r="G46" s="117"/>
      <c r="H46" s="117"/>
      <c r="I46" s="117"/>
      <c r="L46" s="88" t="s">
        <v>155</v>
      </c>
      <c r="M46" s="110"/>
    </row>
  </sheetData>
  <mergeCells count="6">
    <mergeCell ref="D46:I46"/>
    <mergeCell ref="D6:I6"/>
    <mergeCell ref="D14:I14"/>
    <mergeCell ref="D22:I22"/>
    <mergeCell ref="D30:I30"/>
    <mergeCell ref="D38:I3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/>
  </sheetViews>
  <sheetFormatPr defaultRowHeight="13.5" x14ac:dyDescent="0.25"/>
  <cols>
    <col min="1" max="1" width="23.83203125" customWidth="1"/>
    <col min="2" max="2" width="14.5" customWidth="1"/>
    <col min="3" max="8" width="11" customWidth="1"/>
    <col min="9" max="9" width="13.58203125" customWidth="1"/>
  </cols>
  <sheetData>
    <row r="1" spans="1:10" s="52" customFormat="1" x14ac:dyDescent="0.25"/>
    <row r="2" spans="1:10" s="52" customFormat="1" x14ac:dyDescent="0.25"/>
    <row r="3" spans="1:10" s="52" customFormat="1" x14ac:dyDescent="0.25"/>
    <row r="4" spans="1:10" s="52" customFormat="1" x14ac:dyDescent="0.25"/>
    <row r="5" spans="1:10" s="52" customFormat="1" x14ac:dyDescent="0.25"/>
    <row r="6" spans="1:10" s="52" customFormat="1" x14ac:dyDescent="0.25"/>
    <row r="9" spans="1:10" s="52" customFormat="1" ht="14" thickBot="1" x14ac:dyDescent="0.3"/>
    <row r="10" spans="1:10" s="52" customFormat="1" ht="24.5" thickTop="1" thickBot="1" x14ac:dyDescent="0.6">
      <c r="A10" s="18" t="str">
        <f ca="1">RIGHT(CELL("filename",A1),LEN(CELL("filename",A1))-FIND("]",CELL("filename",A1)))</f>
        <v>Input│ Forecast</v>
      </c>
      <c r="B10" s="18"/>
      <c r="C10" s="18"/>
      <c r="D10" s="18"/>
      <c r="E10" s="18"/>
      <c r="F10" s="18"/>
      <c r="G10" s="18"/>
      <c r="H10" s="18"/>
      <c r="I10" s="18"/>
      <c r="J10" s="18"/>
    </row>
    <row r="11" spans="1:10" s="52" customFormat="1" ht="20.5" thickTop="1" thickBot="1" x14ac:dyDescent="0.5">
      <c r="A11" s="3" t="s">
        <v>83</v>
      </c>
      <c r="B11" s="3"/>
      <c r="C11" s="3" t="s">
        <v>17</v>
      </c>
      <c r="D11" s="3" t="s">
        <v>18</v>
      </c>
      <c r="E11" s="3" t="s">
        <v>19</v>
      </c>
      <c r="F11" s="3" t="s">
        <v>20</v>
      </c>
      <c r="G11" s="3" t="s">
        <v>21</v>
      </c>
      <c r="H11" s="3" t="s">
        <v>22</v>
      </c>
      <c r="I11" s="3" t="s">
        <v>41</v>
      </c>
    </row>
    <row r="12" spans="1:10" s="52" customFormat="1" ht="14.5" thickTop="1" thickBot="1" x14ac:dyDescent="0.3">
      <c r="A12" s="9" t="s">
        <v>85</v>
      </c>
      <c r="C12" s="67">
        <v>2.4123693250902134E-2</v>
      </c>
      <c r="D12" s="67">
        <f>C12</f>
        <v>2.4123693250902134E-2</v>
      </c>
      <c r="E12" s="67">
        <f t="shared" ref="E12:I12" si="0">D12</f>
        <v>2.4123693250902134E-2</v>
      </c>
      <c r="F12" s="67">
        <f t="shared" si="0"/>
        <v>2.4123693250902134E-2</v>
      </c>
      <c r="G12" s="67">
        <f t="shared" si="0"/>
        <v>2.4123693250902134E-2</v>
      </c>
      <c r="H12" s="67">
        <f t="shared" si="0"/>
        <v>2.4123693250902134E-2</v>
      </c>
      <c r="I12" s="67">
        <f t="shared" si="0"/>
        <v>2.4123693250902134E-2</v>
      </c>
    </row>
    <row r="13" spans="1:10" s="52" customFormat="1" x14ac:dyDescent="0.25">
      <c r="A13" s="11" t="s">
        <v>86</v>
      </c>
      <c r="B13" s="11">
        <v>1</v>
      </c>
      <c r="C13" s="11">
        <f>B13*(1+C12)</f>
        <v>1.0241236932509021</v>
      </c>
      <c r="D13" s="11">
        <f>C13*(1+D12)</f>
        <v>1.0488293390778678</v>
      </c>
      <c r="E13" s="11">
        <f t="shared" ref="E13:I13" si="1">D13*(1+E12)</f>
        <v>1.0741309763263287</v>
      </c>
      <c r="F13" s="11">
        <f t="shared" si="1"/>
        <v>1.1000429825105171</v>
      </c>
      <c r="G13" s="11">
        <f t="shared" si="1"/>
        <v>1.1265800819834084</v>
      </c>
      <c r="H13" s="11">
        <f t="shared" si="1"/>
        <v>1.1537573543037523</v>
      </c>
      <c r="I13" s="11">
        <f t="shared" si="1"/>
        <v>1.1815902428049483</v>
      </c>
    </row>
    <row r="14" spans="1:10" x14ac:dyDescent="0.25">
      <c r="A14" s="52"/>
      <c r="B14" s="52"/>
      <c r="C14" s="52"/>
      <c r="D14" s="69"/>
      <c r="E14" s="52"/>
      <c r="F14" s="52"/>
      <c r="G14" s="52"/>
      <c r="H14" s="52"/>
      <c r="I14" s="36"/>
      <c r="J14" s="52"/>
    </row>
    <row r="15" spans="1:10" s="6" customFormat="1" x14ac:dyDescent="0.25">
      <c r="A15"/>
      <c r="B15"/>
      <c r="C15"/>
      <c r="D15"/>
      <c r="E15"/>
      <c r="F15"/>
      <c r="G15"/>
      <c r="H15"/>
      <c r="I15" s="36"/>
      <c r="J15"/>
    </row>
    <row r="16" spans="1:10" s="6" customFormat="1" ht="20" thickBot="1" x14ac:dyDescent="0.5">
      <c r="A16" s="3" t="s">
        <v>78</v>
      </c>
      <c r="B16" s="3"/>
      <c r="C16" s="3"/>
      <c r="D16" s="3"/>
      <c r="E16" s="3"/>
      <c r="F16" s="3"/>
      <c r="G16" s="3"/>
      <c r="H16" s="3"/>
      <c r="I16" s="3"/>
    </row>
    <row r="17" spans="1:13" s="6" customFormat="1" ht="14.5" thickTop="1" thickBot="1" x14ac:dyDescent="0.3">
      <c r="A17" s="51" t="s">
        <v>142</v>
      </c>
      <c r="B17" s="51" t="s">
        <v>84</v>
      </c>
      <c r="C17" s="51"/>
      <c r="D17" s="51">
        <f>'Input│ Insurance'!K2</f>
        <v>388856.72150924028</v>
      </c>
      <c r="E17" s="51">
        <f>'Input│ Insurance'!K3</f>
        <v>418020.97562243324</v>
      </c>
      <c r="F17" s="51">
        <f>'Input│ Insurance'!K4</f>
        <v>449372.54879411572</v>
      </c>
      <c r="G17" s="51">
        <f>'Input│ Insurance'!K5</f>
        <v>471841.17623382155</v>
      </c>
      <c r="H17" s="51">
        <f>'Input│ Insurance'!K6</f>
        <v>483637.20563966699</v>
      </c>
      <c r="I17" s="51">
        <f>'Input│ Insurance'!K7</f>
        <v>483637.20563966699</v>
      </c>
    </row>
    <row r="18" spans="1:13" s="6" customFormat="1" ht="20" thickBot="1" x14ac:dyDescent="0.5">
      <c r="A18" s="9" t="s">
        <v>143</v>
      </c>
      <c r="B18" s="9" t="s">
        <v>84</v>
      </c>
      <c r="C18" s="3"/>
      <c r="D18" s="9">
        <v>56489</v>
      </c>
      <c r="E18" s="9">
        <v>59313</v>
      </c>
      <c r="F18" s="9">
        <v>62279</v>
      </c>
      <c r="G18" s="9">
        <v>63836</v>
      </c>
      <c r="H18" s="9">
        <v>65432</v>
      </c>
      <c r="I18" s="9">
        <v>65432</v>
      </c>
    </row>
    <row r="19" spans="1:13" s="6" customFormat="1" ht="13" x14ac:dyDescent="0.25">
      <c r="A19" s="11" t="s">
        <v>82</v>
      </c>
      <c r="B19" s="11" t="s">
        <v>84</v>
      </c>
      <c r="C19" s="31">
        <f>D19/(E19/D19)</f>
        <v>415501.14132974524</v>
      </c>
      <c r="D19" s="31">
        <f>SUM(D17:D18)</f>
        <v>445345.72150924028</v>
      </c>
      <c r="E19" s="31">
        <f t="shared" ref="E19:I19" si="2">SUM(E17:E18)</f>
        <v>477333.97562243324</v>
      </c>
      <c r="F19" s="31">
        <f t="shared" si="2"/>
        <v>511651.54879411572</v>
      </c>
      <c r="G19" s="31">
        <f t="shared" si="2"/>
        <v>535677.17623382155</v>
      </c>
      <c r="H19" s="31">
        <f t="shared" si="2"/>
        <v>549069.20563966699</v>
      </c>
      <c r="I19" s="31">
        <f t="shared" si="2"/>
        <v>549069.20563966699</v>
      </c>
      <c r="M19" s="68"/>
    </row>
    <row r="20" spans="1:13" s="6" customFormat="1" ht="12.5" x14ac:dyDescent="0.25"/>
    <row r="21" spans="1:13" s="6" customFormat="1" ht="20" thickBot="1" x14ac:dyDescent="0.5">
      <c r="A21" s="3" t="s">
        <v>23</v>
      </c>
      <c r="B21" s="3"/>
      <c r="C21" s="3"/>
      <c r="D21" s="3"/>
      <c r="E21" s="3"/>
      <c r="F21" s="3"/>
      <c r="G21" s="3"/>
      <c r="H21" s="3"/>
      <c r="I21" s="3"/>
    </row>
    <row r="22" spans="1:13" s="6" customFormat="1" ht="14.5" thickTop="1" thickBot="1" x14ac:dyDescent="0.3">
      <c r="A22" s="9" t="s">
        <v>151</v>
      </c>
      <c r="B22" s="9" t="s">
        <v>9</v>
      </c>
      <c r="C22" s="9"/>
      <c r="D22" s="9"/>
      <c r="E22" s="1">
        <f>'Input│ End of life'!B12</f>
        <v>979946.60336058668</v>
      </c>
      <c r="F22" s="84">
        <f>E22</f>
        <v>979946.60336058668</v>
      </c>
      <c r="G22" s="84">
        <f t="shared" ref="G22:I22" si="3">F22</f>
        <v>979946.60336058668</v>
      </c>
      <c r="H22" s="84">
        <f t="shared" si="3"/>
        <v>979946.60336058668</v>
      </c>
      <c r="I22" s="84">
        <f t="shared" si="3"/>
        <v>979946.60336058668</v>
      </c>
    </row>
    <row r="23" spans="1:13" s="6" customFormat="1" thickBot="1" x14ac:dyDescent="0.3">
      <c r="A23" s="9" t="s">
        <v>151</v>
      </c>
      <c r="B23" s="9" t="s">
        <v>84</v>
      </c>
      <c r="C23" s="9"/>
      <c r="D23" s="9"/>
      <c r="E23" s="83">
        <f>E22/E13</f>
        <v>912315.74636468897</v>
      </c>
      <c r="F23" s="83">
        <f t="shared" ref="F23:I23" si="4">F22/F13</f>
        <v>890825.7394853367</v>
      </c>
      <c r="G23" s="83">
        <f t="shared" si="4"/>
        <v>869841.93936336495</v>
      </c>
      <c r="H23" s="83">
        <f t="shared" si="4"/>
        <v>849352.42207140371</v>
      </c>
      <c r="I23" s="83">
        <f t="shared" si="4"/>
        <v>829345.54455554346</v>
      </c>
    </row>
    <row r="24" spans="1:13" x14ac:dyDescent="0.25">
      <c r="A24" s="11" t="s">
        <v>24</v>
      </c>
      <c r="B24" s="11"/>
      <c r="C24" s="11">
        <f t="shared" ref="C24:I24" si="5">SUM(C22)</f>
        <v>0</v>
      </c>
      <c r="D24" s="11">
        <f t="shared" si="5"/>
        <v>0</v>
      </c>
      <c r="E24" s="11">
        <f t="shared" si="5"/>
        <v>979946.60336058668</v>
      </c>
      <c r="F24" s="11">
        <f t="shared" si="5"/>
        <v>979946.60336058668</v>
      </c>
      <c r="G24" s="11">
        <f t="shared" si="5"/>
        <v>979946.60336058668</v>
      </c>
      <c r="H24" s="11">
        <f t="shared" si="5"/>
        <v>979946.60336058668</v>
      </c>
      <c r="I24" s="11">
        <f t="shared" si="5"/>
        <v>979946.60336058668</v>
      </c>
      <c r="J24" s="6"/>
    </row>
    <row r="25" spans="1:13" x14ac:dyDescent="0.25">
      <c r="A25" s="36"/>
      <c r="B25" s="36"/>
      <c r="C25" s="36"/>
      <c r="D25" s="36"/>
      <c r="E25" s="36"/>
      <c r="F25" s="36"/>
      <c r="G25" s="36"/>
      <c r="H25" s="36"/>
      <c r="I25" s="36"/>
    </row>
    <row r="26" spans="1:13" ht="20" thickBot="1" x14ac:dyDescent="0.5">
      <c r="A26" s="3" t="s">
        <v>94</v>
      </c>
      <c r="B26" s="3"/>
      <c r="C26" s="3"/>
      <c r="D26" s="3"/>
      <c r="E26" s="3"/>
      <c r="F26" s="3"/>
      <c r="G26" s="3"/>
      <c r="H26" s="3"/>
      <c r="I26" s="3"/>
    </row>
    <row r="27" spans="1:13" ht="14.5" thickTop="1" thickBot="1" x14ac:dyDescent="0.3">
      <c r="A27" s="9" t="s">
        <v>95</v>
      </c>
      <c r="B27" s="9" t="s">
        <v>97</v>
      </c>
      <c r="C27" s="9">
        <v>-0.1</v>
      </c>
      <c r="D27" s="9">
        <v>0</v>
      </c>
      <c r="E27" s="9">
        <v>0.1</v>
      </c>
      <c r="F27" s="9">
        <v>0.6</v>
      </c>
      <c r="G27" s="9">
        <v>0.8</v>
      </c>
      <c r="H27" s="9">
        <v>0.8</v>
      </c>
      <c r="I27" s="11">
        <f>H27</f>
        <v>0.8</v>
      </c>
    </row>
    <row r="28" spans="1:13" x14ac:dyDescent="0.25">
      <c r="A28" s="11" t="s">
        <v>45</v>
      </c>
      <c r="B28" s="11"/>
      <c r="C28" s="11">
        <f>1*(1+C27%)</f>
        <v>0.999</v>
      </c>
      <c r="D28" s="11">
        <f>C28*(1+D27%)</f>
        <v>0.999</v>
      </c>
      <c r="E28" s="11">
        <f t="shared" ref="E28:I28" si="6">D28*(1+E27%)</f>
        <v>0.99999899999999986</v>
      </c>
      <c r="F28" s="11">
        <f t="shared" si="6"/>
        <v>1.0059989939999998</v>
      </c>
      <c r="G28" s="11">
        <f t="shared" si="6"/>
        <v>1.0140469859519998</v>
      </c>
      <c r="H28" s="11">
        <f t="shared" si="6"/>
        <v>1.0221593618396159</v>
      </c>
      <c r="I28" s="11">
        <f t="shared" si="6"/>
        <v>1.0303366367343327</v>
      </c>
    </row>
    <row r="29" spans="1:13" x14ac:dyDescent="0.25">
      <c r="A29" s="13" t="s">
        <v>96</v>
      </c>
      <c r="B29" s="13" t="s">
        <v>99</v>
      </c>
      <c r="C29" s="13"/>
      <c r="D29" s="13"/>
      <c r="E29" s="13"/>
      <c r="F29" s="13"/>
      <c r="G29" s="13"/>
      <c r="H29" s="13"/>
      <c r="I29" s="13"/>
      <c r="J29" s="13"/>
    </row>
    <row r="31" spans="1:13" s="6" customFormat="1" ht="20" thickBot="1" x14ac:dyDescent="0.5">
      <c r="A31" s="3" t="s">
        <v>49</v>
      </c>
    </row>
    <row r="32" spans="1:13" s="6" customFormat="1" ht="14" thickTop="1" thickBot="1" x14ac:dyDescent="0.3">
      <c r="A32" s="9" t="s">
        <v>49</v>
      </c>
      <c r="E32" s="19">
        <v>7.1660416233532559E-2</v>
      </c>
      <c r="F32" s="19">
        <v>7.4066481086730362E-2</v>
      </c>
      <c r="G32" s="19">
        <v>7.4584928384068952E-2</v>
      </c>
      <c r="H32" s="19">
        <v>7.4395707144171402E-2</v>
      </c>
      <c r="I32" s="19">
        <v>7.4713812559699083E-2</v>
      </c>
    </row>
    <row r="33" spans="3:4" x14ac:dyDescent="0.25">
      <c r="C33" s="6"/>
      <c r="D33" s="6"/>
    </row>
    <row r="34" spans="3:4" x14ac:dyDescent="0.25">
      <c r="C34" s="6"/>
      <c r="D34" s="6"/>
    </row>
    <row r="35" spans="3:4" x14ac:dyDescent="0.25">
      <c r="C35" s="6"/>
      <c r="D35" s="6"/>
    </row>
    <row r="36" spans="3:4" x14ac:dyDescent="0.25">
      <c r="C36" s="6"/>
      <c r="D36" s="6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5"/>
  <sheetViews>
    <sheetView workbookViewId="0"/>
  </sheetViews>
  <sheetFormatPr defaultRowHeight="13.5" x14ac:dyDescent="0.25"/>
  <cols>
    <col min="2" max="2" width="9.75" bestFit="1" customWidth="1"/>
    <col min="3" max="3" width="16.75" bestFit="1" customWidth="1"/>
    <col min="5" max="5" width="14.25" bestFit="1" customWidth="1"/>
    <col min="6" max="6" width="11.08203125" customWidth="1"/>
    <col min="7" max="7" width="11.08203125" bestFit="1" customWidth="1"/>
    <col min="8" max="8" width="12.5" customWidth="1"/>
    <col min="11" max="11" width="12.33203125" customWidth="1"/>
  </cols>
  <sheetData>
    <row r="1" spans="2:14" s="71" customFormat="1" ht="78.5" thickBot="1" x14ac:dyDescent="0.5">
      <c r="C1" s="80" t="s">
        <v>129</v>
      </c>
      <c r="D1" s="80" t="s">
        <v>130</v>
      </c>
      <c r="E1" s="80" t="s">
        <v>131</v>
      </c>
      <c r="F1" s="80" t="s">
        <v>132</v>
      </c>
      <c r="G1" s="80" t="s">
        <v>133</v>
      </c>
      <c r="H1" s="80" t="s">
        <v>136</v>
      </c>
      <c r="I1" s="80" t="s">
        <v>137</v>
      </c>
      <c r="J1" s="80" t="s">
        <v>138</v>
      </c>
      <c r="K1" s="80" t="s">
        <v>141</v>
      </c>
    </row>
    <row r="2" spans="2:14" ht="17" thickTop="1" thickBot="1" x14ac:dyDescent="0.4">
      <c r="B2" s="73" t="s">
        <v>18</v>
      </c>
      <c r="C2" s="74">
        <v>327500000</v>
      </c>
      <c r="D2" s="75">
        <v>8.4999999999999995E-4</v>
      </c>
      <c r="E2" s="78">
        <f>C2*D2</f>
        <v>278375</v>
      </c>
      <c r="F2" s="48">
        <f t="shared" ref="F2:F7" si="0">E2*$M$2</f>
        <v>7430.9548254620449</v>
      </c>
      <c r="G2" s="48">
        <f>E2+F2</f>
        <v>285805.95482546202</v>
      </c>
      <c r="H2" s="48">
        <f t="shared" ref="H2:H7" si="1">G2*$M$3</f>
        <v>68021.817248459964</v>
      </c>
      <c r="I2" s="48">
        <f>(G2+H2)*0.1</f>
        <v>35382.777207392202</v>
      </c>
      <c r="J2" s="48">
        <f>(G2+H2+I2)*$M$4</f>
        <v>35028.949435318274</v>
      </c>
      <c r="K2" s="61">
        <f>G2+H2+J2</f>
        <v>388856.72150924028</v>
      </c>
      <c r="M2" s="76">
        <v>2.6694045174538106E-2</v>
      </c>
      <c r="N2" s="71" t="s">
        <v>140</v>
      </c>
    </row>
    <row r="3" spans="2:14" ht="16.5" thickBot="1" x14ac:dyDescent="0.4">
      <c r="B3" s="73" t="s">
        <v>19</v>
      </c>
      <c r="C3" s="74">
        <f>C2</f>
        <v>327500000</v>
      </c>
      <c r="D3" s="75">
        <f>D2*(1+C11)</f>
        <v>9.1374999999999996E-4</v>
      </c>
      <c r="E3" s="78">
        <f t="shared" ref="E3:E7" si="2">C3*D3</f>
        <v>299253.125</v>
      </c>
      <c r="F3" s="48">
        <f t="shared" si="0"/>
        <v>7988.2764373716982</v>
      </c>
      <c r="G3" s="48">
        <f t="shared" ref="G3:G7" si="3">E3+F3</f>
        <v>307241.40143737168</v>
      </c>
      <c r="H3" s="48">
        <f t="shared" si="1"/>
        <v>73123.453542094459</v>
      </c>
      <c r="I3" s="48">
        <f t="shared" ref="I3:I7" si="4">(G3+H3)*0.1</f>
        <v>38036.485497946611</v>
      </c>
      <c r="J3" s="48">
        <f t="shared" ref="J3:J7" si="5">(G3+H3+I3)*$M$4</f>
        <v>37656.120642967144</v>
      </c>
      <c r="K3" s="61">
        <f t="shared" ref="K3:K7" si="6">G3+H3+J3</f>
        <v>418020.97562243324</v>
      </c>
      <c r="M3" s="77">
        <f>0.7*0.34</f>
        <v>0.23799999999999999</v>
      </c>
      <c r="N3" t="s">
        <v>139</v>
      </c>
    </row>
    <row r="4" spans="2:14" ht="16.5" thickBot="1" x14ac:dyDescent="0.4">
      <c r="B4" s="73" t="s">
        <v>20</v>
      </c>
      <c r="C4" s="74">
        <f t="shared" ref="C4:C7" si="7">C3</f>
        <v>327500000</v>
      </c>
      <c r="D4" s="75">
        <f t="shared" ref="D4:D7" si="8">D3*(1+C12)</f>
        <v>9.8228124999999986E-4</v>
      </c>
      <c r="E4" s="78">
        <f t="shared" si="2"/>
        <v>321697.10937499994</v>
      </c>
      <c r="F4" s="48">
        <f t="shared" si="0"/>
        <v>8587.3971701745741</v>
      </c>
      <c r="G4" s="48">
        <f t="shared" si="3"/>
        <v>330284.50654517452</v>
      </c>
      <c r="H4" s="48">
        <f t="shared" si="1"/>
        <v>78607.712557751525</v>
      </c>
      <c r="I4" s="48">
        <f t="shared" si="4"/>
        <v>40889.221910292603</v>
      </c>
      <c r="J4" s="48">
        <f t="shared" si="5"/>
        <v>40480.329691189676</v>
      </c>
      <c r="K4" s="61">
        <f t="shared" si="6"/>
        <v>449372.54879411572</v>
      </c>
      <c r="M4" s="77">
        <v>0.09</v>
      </c>
      <c r="N4" t="s">
        <v>138</v>
      </c>
    </row>
    <row r="5" spans="2:14" ht="16.5" thickBot="1" x14ac:dyDescent="0.4">
      <c r="B5" s="73" t="s">
        <v>21</v>
      </c>
      <c r="C5" s="74">
        <f t="shared" si="7"/>
        <v>327500000</v>
      </c>
      <c r="D5" s="75">
        <f t="shared" si="8"/>
        <v>1.0313953124999999E-3</v>
      </c>
      <c r="E5" s="78">
        <f t="shared" si="2"/>
        <v>337781.96484374994</v>
      </c>
      <c r="F5" s="48">
        <f t="shared" si="0"/>
        <v>9016.7670286833036</v>
      </c>
      <c r="G5" s="48">
        <f t="shared" si="3"/>
        <v>346798.73187243327</v>
      </c>
      <c r="H5" s="48">
        <f t="shared" si="1"/>
        <v>82538.098185639115</v>
      </c>
      <c r="I5" s="48">
        <f t="shared" si="4"/>
        <v>42933.683005807245</v>
      </c>
      <c r="J5" s="48">
        <f t="shared" si="5"/>
        <v>42504.346175749168</v>
      </c>
      <c r="K5" s="61">
        <f t="shared" si="6"/>
        <v>471841.17623382155</v>
      </c>
    </row>
    <row r="6" spans="2:14" ht="16.5" thickBot="1" x14ac:dyDescent="0.4">
      <c r="B6" s="73" t="s">
        <v>22</v>
      </c>
      <c r="C6" s="74">
        <f t="shared" si="7"/>
        <v>327500000</v>
      </c>
      <c r="D6" s="75">
        <f t="shared" si="8"/>
        <v>1.0571801953124997E-3</v>
      </c>
      <c r="E6" s="78">
        <f t="shared" si="2"/>
        <v>346226.51396484365</v>
      </c>
      <c r="F6" s="48">
        <f t="shared" si="0"/>
        <v>9242.1862044003847</v>
      </c>
      <c r="G6" s="48">
        <f t="shared" si="3"/>
        <v>355468.70016924402</v>
      </c>
      <c r="H6" s="48">
        <f t="shared" si="1"/>
        <v>84601.550640280067</v>
      </c>
      <c r="I6" s="48">
        <f t="shared" si="4"/>
        <v>44007.025080952415</v>
      </c>
      <c r="J6" s="48">
        <f t="shared" si="5"/>
        <v>43566.954830142888</v>
      </c>
      <c r="K6" s="61">
        <f t="shared" si="6"/>
        <v>483637.20563966699</v>
      </c>
    </row>
    <row r="7" spans="2:14" ht="16.5" thickBot="1" x14ac:dyDescent="0.4">
      <c r="B7" s="73" t="s">
        <v>41</v>
      </c>
      <c r="C7" s="74">
        <f t="shared" si="7"/>
        <v>327500000</v>
      </c>
      <c r="D7" s="75">
        <f t="shared" si="8"/>
        <v>1.0571801953124997E-3</v>
      </c>
      <c r="E7" s="78">
        <f t="shared" si="2"/>
        <v>346226.51396484365</v>
      </c>
      <c r="F7" s="48">
        <f t="shared" si="0"/>
        <v>9242.1862044003847</v>
      </c>
      <c r="G7" s="48">
        <f t="shared" si="3"/>
        <v>355468.70016924402</v>
      </c>
      <c r="H7" s="48">
        <f t="shared" si="1"/>
        <v>84601.550640280067</v>
      </c>
      <c r="I7" s="48">
        <f t="shared" si="4"/>
        <v>44007.025080952415</v>
      </c>
      <c r="J7" s="48">
        <f t="shared" si="5"/>
        <v>43566.954830142888</v>
      </c>
      <c r="K7" s="61">
        <f t="shared" si="6"/>
        <v>483637.20563966699</v>
      </c>
    </row>
    <row r="8" spans="2:14" x14ac:dyDescent="0.25">
      <c r="D8" s="72"/>
    </row>
    <row r="10" spans="2:14" ht="20" thickBot="1" x14ac:dyDescent="0.5">
      <c r="B10" s="3" t="s">
        <v>134</v>
      </c>
      <c r="C10" s="3" t="s">
        <v>135</v>
      </c>
    </row>
    <row r="11" spans="2:14" ht="17" thickTop="1" thickBot="1" x14ac:dyDescent="0.4">
      <c r="B11" s="73" t="s">
        <v>19</v>
      </c>
      <c r="C11" s="67">
        <v>7.4999999999999997E-2</v>
      </c>
    </row>
    <row r="12" spans="2:14" ht="16.5" thickBot="1" x14ac:dyDescent="0.4">
      <c r="B12" s="73" t="s">
        <v>20</v>
      </c>
      <c r="C12" s="67">
        <v>7.4999999999999997E-2</v>
      </c>
    </row>
    <row r="13" spans="2:14" ht="16.5" thickBot="1" x14ac:dyDescent="0.4">
      <c r="B13" s="73" t="s">
        <v>21</v>
      </c>
      <c r="C13" s="67">
        <v>0.05</v>
      </c>
    </row>
    <row r="14" spans="2:14" ht="16.5" thickBot="1" x14ac:dyDescent="0.4">
      <c r="B14" s="73" t="s">
        <v>22</v>
      </c>
      <c r="C14" s="67">
        <v>2.5000000000000001E-2</v>
      </c>
    </row>
    <row r="15" spans="2:14" ht="16.5" thickBot="1" x14ac:dyDescent="0.4">
      <c r="B15" s="73" t="s">
        <v>41</v>
      </c>
      <c r="C15" s="67">
        <v>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8"/>
  <sheetViews>
    <sheetView workbookViewId="0"/>
  </sheetViews>
  <sheetFormatPr defaultColWidth="14" defaultRowHeight="12.5" x14ac:dyDescent="0.25"/>
  <cols>
    <col min="1" max="1" width="50.75" style="6" bestFit="1" customWidth="1"/>
    <col min="2" max="2" width="14.5" style="6" bestFit="1" customWidth="1"/>
    <col min="3" max="10" width="9.75" style="6" bestFit="1" customWidth="1"/>
    <col min="11" max="12" width="14" style="6"/>
    <col min="13" max="13" width="15.5" style="6" customWidth="1"/>
    <col min="14" max="16384" width="14" style="6"/>
  </cols>
  <sheetData>
    <row r="1" spans="1:10" s="2" customFormat="1" x14ac:dyDescent="0.25"/>
    <row r="2" spans="1:10" s="2" customFormat="1" x14ac:dyDescent="0.25"/>
    <row r="3" spans="1:10" s="2" customFormat="1" x14ac:dyDescent="0.25"/>
    <row r="4" spans="1:10" s="2" customFormat="1" x14ac:dyDescent="0.25"/>
    <row r="5" spans="1:10" s="2" customFormat="1" x14ac:dyDescent="0.25"/>
    <row r="6" spans="1:10" s="2" customFormat="1" x14ac:dyDescent="0.25"/>
    <row r="7" spans="1:10" s="2" customFormat="1" x14ac:dyDescent="0.25"/>
    <row r="8" spans="1:10" s="2" customFormat="1" x14ac:dyDescent="0.25"/>
    <row r="9" spans="1:10" s="2" customFormat="1" ht="13" thickBot="1" x14ac:dyDescent="0.3"/>
    <row r="10" spans="1:10" s="5" customFormat="1" ht="24.5" thickTop="1" thickBot="1" x14ac:dyDescent="0.6">
      <c r="A10" s="18" t="str">
        <f ca="1">RIGHT(CELL("filename",A1),LEN(CELL("filename",A1))-FIND("]",CELL("filename",A1)))</f>
        <v>Calc│Forecast</v>
      </c>
      <c r="B10" s="18"/>
      <c r="C10" s="18"/>
      <c r="D10" s="18"/>
      <c r="E10" s="18"/>
      <c r="F10" s="18"/>
      <c r="G10" s="18"/>
      <c r="H10" s="18"/>
      <c r="I10" s="18"/>
      <c r="J10" s="18"/>
    </row>
    <row r="11" spans="1:10" ht="20.5" thickTop="1" thickBot="1" x14ac:dyDescent="0.5">
      <c r="A11" s="3" t="s">
        <v>102</v>
      </c>
      <c r="B11" s="3" t="s">
        <v>0</v>
      </c>
      <c r="C11" s="50" t="s">
        <v>5</v>
      </c>
      <c r="D11" s="50" t="s">
        <v>17</v>
      </c>
      <c r="E11" s="50" t="s">
        <v>18</v>
      </c>
      <c r="F11" s="50" t="s">
        <v>19</v>
      </c>
      <c r="G11" s="50" t="s">
        <v>20</v>
      </c>
      <c r="H11" s="50" t="s">
        <v>21</v>
      </c>
      <c r="I11" s="50" t="s">
        <v>22</v>
      </c>
      <c r="J11" s="50" t="s">
        <v>41</v>
      </c>
    </row>
    <row r="12" spans="1:10" ht="13.5" thickTop="1" thickBot="1" x14ac:dyDescent="0.3">
      <c r="A12" s="22" t="s">
        <v>50</v>
      </c>
      <c r="B12" s="22"/>
      <c r="C12" s="22"/>
      <c r="D12" s="22"/>
      <c r="E12" s="22"/>
      <c r="F12" s="22"/>
      <c r="G12" s="22"/>
      <c r="H12" s="22"/>
      <c r="I12" s="22"/>
      <c r="J12" s="22"/>
    </row>
    <row r="13" spans="1:10" ht="13.5" thickTop="1" x14ac:dyDescent="0.25">
      <c r="A13" s="11" t="s">
        <v>51</v>
      </c>
      <c r="B13" s="16" t="s">
        <v>106</v>
      </c>
      <c r="C13" s="12">
        <f>'Input│ Historic Opex'!H23</f>
        <v>4259.5279599999994</v>
      </c>
    </row>
    <row r="15" spans="1:10" ht="13" thickBot="1" x14ac:dyDescent="0.3">
      <c r="A15" s="32" t="s">
        <v>52</v>
      </c>
      <c r="B15" s="22"/>
      <c r="C15" s="22"/>
      <c r="D15" s="22"/>
      <c r="E15" s="22"/>
      <c r="F15" s="22"/>
      <c r="G15" s="22"/>
      <c r="H15" s="22"/>
      <c r="I15" s="22"/>
      <c r="J15" s="22"/>
    </row>
    <row r="16" spans="1:10" ht="14" thickTop="1" x14ac:dyDescent="0.25">
      <c r="A16" s="33" t="s">
        <v>144</v>
      </c>
      <c r="B16" s="16"/>
      <c r="C16" s="51"/>
    </row>
    <row r="17" spans="1:10" ht="13" x14ac:dyDescent="0.25">
      <c r="A17" s="11" t="s">
        <v>53</v>
      </c>
      <c r="B17" s="31" t="str">
        <f>B13</f>
        <v>Real $2017/18 '000</v>
      </c>
      <c r="C17" s="12">
        <f>SUM(C16)</f>
        <v>0</v>
      </c>
    </row>
    <row r="19" spans="1:10" ht="13" thickBot="1" x14ac:dyDescent="0.3">
      <c r="A19" s="22" t="s">
        <v>54</v>
      </c>
      <c r="B19" s="22"/>
      <c r="C19" s="22"/>
      <c r="D19" s="22"/>
      <c r="E19" s="22"/>
      <c r="F19" s="22"/>
      <c r="G19" s="22"/>
      <c r="H19" s="22"/>
      <c r="I19" s="22"/>
      <c r="J19" s="22"/>
    </row>
    <row r="20" spans="1:10" ht="13.5" thickTop="1" x14ac:dyDescent="0.25">
      <c r="A20" s="11" t="s">
        <v>51</v>
      </c>
      <c r="B20" s="31" t="str">
        <f>B17</f>
        <v>Real $2017/18 '000</v>
      </c>
      <c r="C20" s="12">
        <f>C13-C17</f>
        <v>4259.5279599999994</v>
      </c>
    </row>
    <row r="22" spans="1:10" ht="13" thickBot="1" x14ac:dyDescent="0.3">
      <c r="A22" s="22" t="s">
        <v>55</v>
      </c>
      <c r="B22" s="22"/>
      <c r="C22" s="22"/>
      <c r="D22" s="22"/>
      <c r="E22" s="22"/>
      <c r="F22" s="22"/>
      <c r="G22" s="22"/>
      <c r="H22" s="22"/>
      <c r="I22" s="22"/>
      <c r="J22" s="22"/>
    </row>
    <row r="23" spans="1:10" ht="13.5" thickTop="1" x14ac:dyDescent="0.25">
      <c r="A23" s="33" t="s">
        <v>11</v>
      </c>
      <c r="B23" s="31" t="str">
        <f>B13</f>
        <v>Real $2017/18 '000</v>
      </c>
      <c r="C23" s="12">
        <v>409.33417799999995</v>
      </c>
    </row>
    <row r="24" spans="1:10" ht="13" x14ac:dyDescent="0.25">
      <c r="A24" s="11" t="s">
        <v>56</v>
      </c>
      <c r="B24" s="31" t="str">
        <f>B20</f>
        <v>Real $2017/18 '000</v>
      </c>
      <c r="C24" s="12">
        <f>SUM(C23)</f>
        <v>409.33417799999995</v>
      </c>
    </row>
    <row r="26" spans="1:10" ht="13" thickBot="1" x14ac:dyDescent="0.3">
      <c r="A26" s="22" t="s">
        <v>57</v>
      </c>
      <c r="B26" s="22"/>
      <c r="C26" s="22"/>
      <c r="D26" s="22"/>
      <c r="E26" s="22"/>
      <c r="F26" s="22"/>
      <c r="G26" s="22"/>
      <c r="H26" s="22"/>
      <c r="I26" s="22"/>
      <c r="J26" s="22"/>
    </row>
    <row r="27" spans="1:10" ht="13.5" thickTop="1" x14ac:dyDescent="0.25">
      <c r="A27" s="11" t="s">
        <v>51</v>
      </c>
      <c r="B27" s="31" t="str">
        <f>B24</f>
        <v>Real $2017/18 '000</v>
      </c>
      <c r="C27" s="12">
        <f>C20-C24</f>
        <v>3850.1937819999994</v>
      </c>
      <c r="D27" s="12">
        <f>C27</f>
        <v>3850.1937819999994</v>
      </c>
      <c r="E27" s="12">
        <f t="shared" ref="E27:J27" si="0">D27</f>
        <v>3850.1937819999994</v>
      </c>
      <c r="F27" s="12">
        <f t="shared" si="0"/>
        <v>3850.1937819999994</v>
      </c>
      <c r="G27" s="12">
        <f t="shared" si="0"/>
        <v>3850.1937819999994</v>
      </c>
      <c r="H27" s="12">
        <f t="shared" si="0"/>
        <v>3850.1937819999994</v>
      </c>
      <c r="I27" s="12">
        <f t="shared" si="0"/>
        <v>3850.1937819999994</v>
      </c>
      <c r="J27" s="12">
        <f t="shared" si="0"/>
        <v>3850.1937819999994</v>
      </c>
    </row>
    <row r="30" spans="1:10" ht="13" thickBot="1" x14ac:dyDescent="0.3">
      <c r="A30" s="22" t="s">
        <v>58</v>
      </c>
      <c r="B30" s="22"/>
      <c r="C30" s="22"/>
      <c r="D30" s="22"/>
      <c r="E30" s="22"/>
      <c r="F30" s="22"/>
      <c r="G30" s="22"/>
      <c r="H30" s="22"/>
      <c r="I30" s="22"/>
      <c r="J30" s="22"/>
    </row>
    <row r="31" spans="1:10" ht="14.5" thickTop="1" thickBot="1" x14ac:dyDescent="0.3">
      <c r="A31" s="51" t="s">
        <v>11</v>
      </c>
      <c r="B31" s="79" t="str">
        <f>B27</f>
        <v>Real $2017/18 '000</v>
      </c>
      <c r="C31" s="60">
        <f>'Input│ Historic Opex'!H17</f>
        <v>409</v>
      </c>
      <c r="D31" s="10">
        <v>445.34532150924025</v>
      </c>
      <c r="E31" s="79">
        <f>'Input│ Forecast'!D19/1000</f>
        <v>445.34572150924026</v>
      </c>
      <c r="F31" s="79">
        <f>'Input│ Forecast'!E19/1000</f>
        <v>477.33397562243323</v>
      </c>
      <c r="G31" s="79">
        <f>'Input│ Forecast'!F19/1000</f>
        <v>511.65154879411574</v>
      </c>
      <c r="H31" s="79">
        <f>'Input│ Forecast'!G19/1000</f>
        <v>535.67717623382157</v>
      </c>
      <c r="I31" s="79">
        <f>'Input│ Forecast'!H19/1000</f>
        <v>549.06920563966696</v>
      </c>
      <c r="J31" s="79">
        <f>'Input│ Forecast'!I19/1000</f>
        <v>549.06920563966696</v>
      </c>
    </row>
    <row r="32" spans="1:10" ht="13" x14ac:dyDescent="0.25">
      <c r="A32" s="11" t="s">
        <v>59</v>
      </c>
      <c r="B32" s="31" t="str">
        <f>B31</f>
        <v>Real $2017/18 '000</v>
      </c>
      <c r="C32" s="12">
        <f t="shared" ref="C32:J32" si="1">SUM(C31:C31)</f>
        <v>409</v>
      </c>
      <c r="D32" s="12">
        <f t="shared" si="1"/>
        <v>445.34532150924025</v>
      </c>
      <c r="E32" s="12">
        <f t="shared" si="1"/>
        <v>445.34572150924026</v>
      </c>
      <c r="F32" s="12">
        <f t="shared" si="1"/>
        <v>477.33397562243323</v>
      </c>
      <c r="G32" s="12">
        <f t="shared" si="1"/>
        <v>511.65154879411574</v>
      </c>
      <c r="H32" s="12">
        <f t="shared" si="1"/>
        <v>535.67717623382157</v>
      </c>
      <c r="I32" s="12">
        <f t="shared" si="1"/>
        <v>549.06920563966696</v>
      </c>
      <c r="J32" s="12">
        <f t="shared" si="1"/>
        <v>549.06920563966696</v>
      </c>
    </row>
    <row r="34" spans="1:10" ht="13" thickBot="1" x14ac:dyDescent="0.3">
      <c r="A34" s="22" t="s">
        <v>60</v>
      </c>
      <c r="B34" s="22"/>
      <c r="C34" s="22"/>
      <c r="D34" s="22"/>
      <c r="E34" s="22"/>
      <c r="F34" s="22"/>
      <c r="G34" s="22"/>
      <c r="H34" s="22"/>
      <c r="I34" s="22"/>
      <c r="J34" s="22"/>
    </row>
    <row r="35" spans="1:10" ht="13.5" thickTop="1" x14ac:dyDescent="0.25">
      <c r="A35" s="11" t="s">
        <v>51</v>
      </c>
      <c r="B35" s="31" t="str">
        <f>B32</f>
        <v>Real $2017/18 '000</v>
      </c>
      <c r="C35" s="12">
        <f t="shared" ref="C35:J35" si="2">C27+C32</f>
        <v>4259.1937819999994</v>
      </c>
      <c r="D35" s="12">
        <f t="shared" si="2"/>
        <v>4295.5391035092398</v>
      </c>
      <c r="E35" s="12">
        <f t="shared" si="2"/>
        <v>4295.5395035092397</v>
      </c>
      <c r="F35" s="12">
        <f t="shared" si="2"/>
        <v>4327.5277576224325</v>
      </c>
      <c r="G35" s="12">
        <f t="shared" si="2"/>
        <v>4361.8453307941154</v>
      </c>
      <c r="H35" s="12">
        <f t="shared" si="2"/>
        <v>4385.8709582338206</v>
      </c>
      <c r="I35" s="12">
        <f t="shared" si="2"/>
        <v>4399.2629876396659</v>
      </c>
      <c r="J35" s="12">
        <f t="shared" si="2"/>
        <v>4399.2629876396659</v>
      </c>
    </row>
    <row r="37" spans="1:10" ht="13" thickBot="1" x14ac:dyDescent="0.3">
      <c r="A37" s="22" t="s">
        <v>61</v>
      </c>
      <c r="B37" s="22"/>
      <c r="C37" s="22"/>
      <c r="D37" s="22"/>
      <c r="E37" s="22"/>
      <c r="F37" s="22"/>
      <c r="G37" s="22"/>
      <c r="H37" s="22"/>
      <c r="I37" s="22"/>
      <c r="J37" s="22"/>
    </row>
    <row r="38" spans="1:10" ht="13.5" thickTop="1" x14ac:dyDescent="0.25">
      <c r="A38" s="11" t="str">
        <f>A16</f>
        <v>End of life costs</v>
      </c>
      <c r="B38" s="31" t="str">
        <f>B35</f>
        <v>Real $2017/18 '000</v>
      </c>
      <c r="C38" s="12">
        <f>C16</f>
        <v>0</v>
      </c>
      <c r="D38" s="12">
        <f>'Input│ Forecast'!C22/1000</f>
        <v>0</v>
      </c>
      <c r="E38" s="12">
        <f>'Input│ Forecast'!D22/1000</f>
        <v>0</v>
      </c>
      <c r="F38" s="12">
        <f>'Input│ Forecast'!E23/1000</f>
        <v>912.31574636468895</v>
      </c>
      <c r="G38" s="12">
        <f>'Input│ Forecast'!F23/1000</f>
        <v>890.82573948533673</v>
      </c>
      <c r="H38" s="12">
        <f>'Input│ Forecast'!G23/1000</f>
        <v>869.84193936336499</v>
      </c>
      <c r="I38" s="12">
        <f>'Input│ Forecast'!H23/1000</f>
        <v>849.35242207140368</v>
      </c>
      <c r="J38" s="12">
        <f>'Input│ Forecast'!I23/1000</f>
        <v>829.34554455554348</v>
      </c>
    </row>
    <row r="39" spans="1:10" ht="13" x14ac:dyDescent="0.25">
      <c r="A39" s="11" t="s">
        <v>62</v>
      </c>
      <c r="B39" s="31" t="str">
        <f>B35</f>
        <v>Real $2017/18 '000</v>
      </c>
      <c r="C39" s="12">
        <f t="shared" ref="C39:J39" si="3">SUM(C38:C38)</f>
        <v>0</v>
      </c>
      <c r="D39" s="12">
        <f t="shared" si="3"/>
        <v>0</v>
      </c>
      <c r="E39" s="12">
        <f t="shared" si="3"/>
        <v>0</v>
      </c>
      <c r="F39" s="12">
        <f t="shared" si="3"/>
        <v>912.31574636468895</v>
      </c>
      <c r="G39" s="12">
        <f t="shared" si="3"/>
        <v>890.82573948533673</v>
      </c>
      <c r="H39" s="12">
        <f t="shared" si="3"/>
        <v>869.84193936336499</v>
      </c>
      <c r="I39" s="12">
        <f t="shared" si="3"/>
        <v>849.35242207140368</v>
      </c>
      <c r="J39" s="12">
        <f t="shared" si="3"/>
        <v>829.34554455554348</v>
      </c>
    </row>
    <row r="41" spans="1:10" ht="13" x14ac:dyDescent="0.25">
      <c r="A41" s="11" t="s">
        <v>63</v>
      </c>
      <c r="B41" s="11" t="str">
        <f>B39</f>
        <v>Real $2017/18 '000</v>
      </c>
      <c r="C41" s="12">
        <f t="shared" ref="C41:J41" si="4">C35+C39</f>
        <v>4259.1937819999994</v>
      </c>
      <c r="D41" s="12">
        <f t="shared" si="4"/>
        <v>4295.5391035092398</v>
      </c>
      <c r="E41" s="12">
        <f t="shared" si="4"/>
        <v>4295.5395035092397</v>
      </c>
      <c r="F41" s="12">
        <f t="shared" si="4"/>
        <v>5239.8435039871219</v>
      </c>
      <c r="G41" s="12">
        <f t="shared" si="4"/>
        <v>5252.6710702794517</v>
      </c>
      <c r="H41" s="12">
        <f t="shared" si="4"/>
        <v>5255.7128975971855</v>
      </c>
      <c r="I41" s="12">
        <f t="shared" si="4"/>
        <v>5248.6154097110693</v>
      </c>
      <c r="J41" s="12">
        <f t="shared" si="4"/>
        <v>5228.6085321952096</v>
      </c>
    </row>
    <row r="43" spans="1:10" ht="13" thickBot="1" x14ac:dyDescent="0.3">
      <c r="A43" s="22" t="s">
        <v>87</v>
      </c>
      <c r="B43" s="22"/>
      <c r="C43" s="22"/>
      <c r="D43" s="22"/>
      <c r="E43" s="22"/>
      <c r="F43" s="22"/>
      <c r="G43" s="22"/>
      <c r="H43" s="22"/>
      <c r="I43" s="22"/>
      <c r="J43" s="22"/>
    </row>
    <row r="44" spans="1:10" ht="13.5" thickTop="1" thickBot="1" x14ac:dyDescent="0.3">
      <c r="A44" s="22" t="s">
        <v>93</v>
      </c>
      <c r="B44" s="22"/>
      <c r="C44" s="22"/>
      <c r="D44" s="22"/>
      <c r="E44" s="22"/>
      <c r="F44" s="22"/>
      <c r="G44" s="22"/>
      <c r="H44" s="22"/>
      <c r="I44" s="22"/>
      <c r="J44" s="22"/>
    </row>
    <row r="45" spans="1:10" ht="14" thickTop="1" x14ac:dyDescent="0.25">
      <c r="A45" s="51" t="s">
        <v>88</v>
      </c>
      <c r="B45" s="51" t="s">
        <v>97</v>
      </c>
      <c r="C45" s="54">
        <f>'Input│ Historic Opex'!$J$84</f>
        <v>0.45718845225638421</v>
      </c>
      <c r="D45" s="54">
        <f>'Input│ Historic Opex'!$J$84</f>
        <v>0.45718845225638421</v>
      </c>
      <c r="E45" s="54">
        <f>'Input│ Historic Opex'!$J$84</f>
        <v>0.45718845225638421</v>
      </c>
      <c r="F45" s="54">
        <f>'Input│ Historic Opex'!$J$84</f>
        <v>0.45718845225638421</v>
      </c>
      <c r="G45" s="54">
        <f>'Input│ Historic Opex'!$J$84</f>
        <v>0.45718845225638421</v>
      </c>
      <c r="H45" s="54">
        <f>'Input│ Historic Opex'!$J$84</f>
        <v>0.45718845225638421</v>
      </c>
      <c r="I45" s="54">
        <f>'Input│ Historic Opex'!$J$84</f>
        <v>0.45718845225638421</v>
      </c>
      <c r="J45" s="54">
        <f>'Input│ Historic Opex'!$J$84</f>
        <v>0.45718845225638421</v>
      </c>
    </row>
    <row r="46" spans="1:10" ht="13" x14ac:dyDescent="0.25">
      <c r="A46" s="11" t="s">
        <v>89</v>
      </c>
      <c r="B46" s="11" t="str">
        <f>B41</f>
        <v>Real $2017/18 '000</v>
      </c>
      <c r="C46" s="48">
        <f>(C41-C39)*C45</f>
        <v>1947.2542130525953</v>
      </c>
      <c r="D46" s="48">
        <f t="shared" ref="D46:J46" si="5">(D41-D39)*D45</f>
        <v>1963.8708743401655</v>
      </c>
      <c r="E46" s="48">
        <f t="shared" si="5"/>
        <v>1963.8710572155464</v>
      </c>
      <c r="F46" s="48">
        <f t="shared" si="5"/>
        <v>1978.4957176039409</v>
      </c>
      <c r="G46" s="48">
        <f t="shared" si="5"/>
        <v>1994.1853157674975</v>
      </c>
      <c r="H46" s="48">
        <f t="shared" si="5"/>
        <v>2005.1695551911453</v>
      </c>
      <c r="I46" s="48">
        <f t="shared" si="5"/>
        <v>2011.2922363877756</v>
      </c>
      <c r="J46" s="48">
        <f t="shared" si="5"/>
        <v>2011.2922363877756</v>
      </c>
    </row>
    <row r="47" spans="1:10" ht="13.5" x14ac:dyDescent="0.25">
      <c r="A47" s="51" t="s">
        <v>90</v>
      </c>
      <c r="B47" s="51" t="s">
        <v>98</v>
      </c>
      <c r="C47" s="56">
        <v>1</v>
      </c>
      <c r="D47" s="56">
        <f>'Input│ Forecast'!C28</f>
        <v>0.999</v>
      </c>
      <c r="E47" s="56">
        <f>'Input│ Forecast'!D28</f>
        <v>0.999</v>
      </c>
      <c r="F47" s="56">
        <f>'Input│ Forecast'!E28</f>
        <v>0.99999899999999986</v>
      </c>
      <c r="G47" s="56">
        <f>'Input│ Forecast'!F28</f>
        <v>1.0059989939999998</v>
      </c>
      <c r="H47" s="56">
        <f>'Input│ Forecast'!G28</f>
        <v>1.0140469859519998</v>
      </c>
      <c r="I47" s="56">
        <f>'Input│ Forecast'!H28</f>
        <v>1.0221593618396159</v>
      </c>
      <c r="J47" s="56">
        <f>'Input│ Forecast'!I28</f>
        <v>1.0303366367343327</v>
      </c>
    </row>
    <row r="48" spans="1:10" ht="13" x14ac:dyDescent="0.25">
      <c r="A48" s="11" t="s">
        <v>91</v>
      </c>
      <c r="B48" s="11" t="str">
        <f>$B$46</f>
        <v>Real $2017/18 '000</v>
      </c>
      <c r="C48" s="48">
        <f>C46*C47</f>
        <v>1947.2542130525953</v>
      </c>
      <c r="D48" s="48">
        <f t="shared" ref="D48:J48" si="6">D46*D47</f>
        <v>1961.9070034658253</v>
      </c>
      <c r="E48" s="48">
        <f t="shared" si="6"/>
        <v>1961.9071861583309</v>
      </c>
      <c r="F48" s="48">
        <f t="shared" si="6"/>
        <v>1978.4937391082231</v>
      </c>
      <c r="G48" s="48">
        <f t="shared" si="6"/>
        <v>2006.1484215116745</v>
      </c>
      <c r="H48" s="48">
        <f t="shared" si="6"/>
        <v>2033.336143764293</v>
      </c>
      <c r="I48" s="48">
        <f t="shared" si="6"/>
        <v>2055.8611888191026</v>
      </c>
      <c r="J48" s="48">
        <f t="shared" si="6"/>
        <v>2072.308078329655</v>
      </c>
    </row>
    <row r="50" spans="1:11" ht="13" thickBot="1" x14ac:dyDescent="0.3">
      <c r="A50" s="22" t="s">
        <v>80</v>
      </c>
      <c r="B50" s="22"/>
      <c r="C50" s="22"/>
      <c r="D50" s="22"/>
      <c r="E50" s="22"/>
      <c r="F50" s="22"/>
      <c r="G50" s="22"/>
      <c r="H50" s="22"/>
      <c r="I50" s="22"/>
      <c r="J50" s="22"/>
    </row>
    <row r="51" spans="1:11" ht="13.5" thickTop="1" x14ac:dyDescent="0.25">
      <c r="A51" s="11" t="s">
        <v>92</v>
      </c>
      <c r="B51" s="11" t="str">
        <f>$B$46</f>
        <v>Real $2017/18 '000</v>
      </c>
      <c r="C51" s="48">
        <f>C41-C46-C31-C38</f>
        <v>1902.939568947404</v>
      </c>
      <c r="D51" s="48">
        <f t="shared" ref="D51:J51" si="7">D41-D46-D31-D38</f>
        <v>1886.3229076598338</v>
      </c>
      <c r="E51" s="48">
        <f t="shared" si="7"/>
        <v>1886.3227247844529</v>
      </c>
      <c r="F51" s="48">
        <f t="shared" si="7"/>
        <v>1871.6980643960592</v>
      </c>
      <c r="G51" s="48">
        <f t="shared" si="7"/>
        <v>1856.0084662325016</v>
      </c>
      <c r="H51" s="48">
        <f t="shared" si="7"/>
        <v>1845.0242268088537</v>
      </c>
      <c r="I51" s="48">
        <f t="shared" si="7"/>
        <v>1838.9015456122231</v>
      </c>
      <c r="J51" s="48">
        <f t="shared" si="7"/>
        <v>1838.9015456122236</v>
      </c>
    </row>
    <row r="52" spans="1:11" ht="13" x14ac:dyDescent="0.25">
      <c r="A52" s="11" t="s">
        <v>11</v>
      </c>
      <c r="B52" s="11" t="str">
        <f>$B$46</f>
        <v>Real $2017/18 '000</v>
      </c>
      <c r="C52" s="48">
        <f>C31</f>
        <v>409</v>
      </c>
      <c r="D52" s="48">
        <f t="shared" ref="D52:J52" si="8">D31</f>
        <v>445.34532150924025</v>
      </c>
      <c r="E52" s="48">
        <f t="shared" si="8"/>
        <v>445.34572150924026</v>
      </c>
      <c r="F52" s="48">
        <f t="shared" si="8"/>
        <v>477.33397562243323</v>
      </c>
      <c r="G52" s="48">
        <f t="shared" si="8"/>
        <v>511.65154879411574</v>
      </c>
      <c r="H52" s="48">
        <f t="shared" si="8"/>
        <v>535.67717623382157</v>
      </c>
      <c r="I52" s="48">
        <f t="shared" si="8"/>
        <v>549.06920563966696</v>
      </c>
      <c r="J52" s="48">
        <f t="shared" si="8"/>
        <v>549.06920563966696</v>
      </c>
    </row>
    <row r="53" spans="1:11" ht="13" x14ac:dyDescent="0.25">
      <c r="A53" s="11" t="str">
        <f>A38</f>
        <v>End of life costs</v>
      </c>
      <c r="B53" s="11" t="str">
        <f>$B$46</f>
        <v>Real $2017/18 '000</v>
      </c>
      <c r="C53" s="48">
        <f>C38</f>
        <v>0</v>
      </c>
      <c r="D53" s="48">
        <f t="shared" ref="D53:J53" si="9">D38</f>
        <v>0</v>
      </c>
      <c r="E53" s="48">
        <f t="shared" si="9"/>
        <v>0</v>
      </c>
      <c r="F53" s="48">
        <f t="shared" si="9"/>
        <v>912.31574636468895</v>
      </c>
      <c r="G53" s="48">
        <f t="shared" si="9"/>
        <v>890.82573948533673</v>
      </c>
      <c r="H53" s="48">
        <f t="shared" si="9"/>
        <v>869.84193936336499</v>
      </c>
      <c r="I53" s="48">
        <f t="shared" si="9"/>
        <v>849.35242207140368</v>
      </c>
      <c r="J53" s="48">
        <f t="shared" si="9"/>
        <v>829.34554455554348</v>
      </c>
    </row>
    <row r="54" spans="1:11" ht="14" thickBot="1" x14ac:dyDescent="0.3">
      <c r="A54" s="11" t="s">
        <v>93</v>
      </c>
      <c r="B54" s="11" t="str">
        <f>$B$46</f>
        <v>Real $2017/18 '000</v>
      </c>
      <c r="C54" s="55">
        <f>C48</f>
        <v>1947.2542130525953</v>
      </c>
      <c r="D54" s="55">
        <f t="shared" ref="D54:J54" si="10">D48</f>
        <v>1961.9070034658253</v>
      </c>
      <c r="E54" s="55">
        <f t="shared" si="10"/>
        <v>1961.9071861583309</v>
      </c>
      <c r="F54" s="55">
        <f t="shared" si="10"/>
        <v>1978.4937391082231</v>
      </c>
      <c r="G54" s="55">
        <f t="shared" si="10"/>
        <v>2006.1484215116745</v>
      </c>
      <c r="H54" s="55">
        <f t="shared" si="10"/>
        <v>2033.336143764293</v>
      </c>
      <c r="I54" s="55">
        <f t="shared" si="10"/>
        <v>2055.8611888191026</v>
      </c>
      <c r="J54" s="55">
        <f t="shared" si="10"/>
        <v>2072.308078329655</v>
      </c>
    </row>
    <row r="55" spans="1:11" ht="14.5" thickBot="1" x14ac:dyDescent="0.35">
      <c r="A55" s="34" t="s">
        <v>80</v>
      </c>
      <c r="B55" s="34" t="str">
        <f>$B$46</f>
        <v>Real $2017/18 '000</v>
      </c>
      <c r="C55" s="61">
        <f>SUM(C51:C54)</f>
        <v>4259.1937819999994</v>
      </c>
      <c r="D55" s="61">
        <f t="shared" ref="D55:J55" si="11">SUM(D51:D54)</f>
        <v>4293.5752326348993</v>
      </c>
      <c r="E55" s="61">
        <f t="shared" si="11"/>
        <v>4293.5756324520244</v>
      </c>
      <c r="F55" s="61">
        <f t="shared" si="11"/>
        <v>5239.8415254914044</v>
      </c>
      <c r="G55" s="61">
        <f t="shared" si="11"/>
        <v>5264.6341760236282</v>
      </c>
      <c r="H55" s="61">
        <f t="shared" si="11"/>
        <v>5283.8794861703336</v>
      </c>
      <c r="I55" s="61">
        <f t="shared" si="11"/>
        <v>5293.1843621423959</v>
      </c>
      <c r="J55" s="61">
        <f t="shared" si="11"/>
        <v>5289.624374137089</v>
      </c>
    </row>
    <row r="58" spans="1:11" ht="20" thickBot="1" x14ac:dyDescent="0.5">
      <c r="A58" s="3" t="s">
        <v>110</v>
      </c>
      <c r="B58" s="3"/>
      <c r="C58" s="3"/>
      <c r="D58" s="3"/>
      <c r="E58" s="3"/>
      <c r="F58" s="3"/>
      <c r="G58" s="3"/>
      <c r="H58" s="3"/>
      <c r="I58" s="3"/>
      <c r="J58" s="3"/>
    </row>
    <row r="59" spans="1:11" ht="15" thickTop="1" thickBot="1" x14ac:dyDescent="0.35">
      <c r="A59" s="34" t="str">
        <f>A55</f>
        <v>Total Opex</v>
      </c>
      <c r="B59" s="34" t="s">
        <v>111</v>
      </c>
      <c r="C59" s="61">
        <f>C55*'Input│ Forecast'!$D$13</f>
        <v>4467.167399379623</v>
      </c>
      <c r="D59" s="61">
        <f>D55*'Input│ Forecast'!$D$13</f>
        <v>4503.2276735255637</v>
      </c>
      <c r="E59" s="61">
        <f>E55*'Input│ Forecast'!$D$13</f>
        <v>4503.2280928654945</v>
      </c>
      <c r="F59" s="61">
        <f>F55*'Input│ Forecast'!$D$13</f>
        <v>5495.6995240539163</v>
      </c>
      <c r="G59" s="61">
        <f>G55*'Input│ Forecast'!$D$13</f>
        <v>5521.702783325617</v>
      </c>
      <c r="H59" s="61">
        <f>H55*'Input│ Forecast'!$D$13</f>
        <v>5541.8878292471345</v>
      </c>
      <c r="I59" s="61">
        <f>I55*'Input│ Forecast'!$D$13</f>
        <v>5551.647056163114</v>
      </c>
      <c r="J59" s="61">
        <f>J55*'Input│ Forecast'!$D$13</f>
        <v>5547.9132362963828</v>
      </c>
    </row>
    <row r="60" spans="1:11" ht="13.5" x14ac:dyDescent="0.25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</row>
    <row r="61" spans="1:11" ht="20" thickBot="1" x14ac:dyDescent="0.5">
      <c r="A61" s="3" t="s">
        <v>104</v>
      </c>
      <c r="B61" s="3"/>
      <c r="C61" s="63"/>
      <c r="D61" s="63"/>
      <c r="E61" s="63"/>
      <c r="F61" s="63"/>
      <c r="G61" s="63"/>
      <c r="H61" s="63"/>
      <c r="I61" s="63"/>
      <c r="J61" s="63"/>
    </row>
    <row r="62" spans="1:11" ht="14.5" thickTop="1" thickBot="1" x14ac:dyDescent="0.3">
      <c r="A62" s="62" t="s">
        <v>103</v>
      </c>
      <c r="B62" s="22"/>
      <c r="C62" s="22"/>
      <c r="D62" s="22"/>
      <c r="E62" s="22"/>
      <c r="F62" s="22"/>
      <c r="G62" s="22"/>
      <c r="H62" s="22"/>
      <c r="I62" s="22"/>
      <c r="J62" s="22"/>
      <c r="K62" s="52"/>
    </row>
    <row r="63" spans="1:11" ht="14" thickTop="1" x14ac:dyDescent="0.25">
      <c r="A63" s="11" t="s">
        <v>112</v>
      </c>
      <c r="B63" s="11" t="str">
        <f>B59</f>
        <v>Real $2019/20</v>
      </c>
      <c r="C63" s="48">
        <f>C52*'Input│ Forecast'!$D$13</f>
        <v>428.97119968284795</v>
      </c>
      <c r="D63" s="48">
        <f>D52*'Input│ Forecast'!$D$13</f>
        <v>467.091239219957</v>
      </c>
      <c r="E63" s="48">
        <f>E52*'Input│ Forecast'!$D$13</f>
        <v>467.09165875169265</v>
      </c>
      <c r="F63" s="48">
        <f>F52*'Input│ Forecast'!$D$13</f>
        <v>500.64187817148769</v>
      </c>
      <c r="G63" s="48">
        <f>G52*'Input│ Forecast'!$D$13</f>
        <v>536.63515575989982</v>
      </c>
      <c r="H63" s="48">
        <f>H52*'Input│ Forecast'!$D$13</f>
        <v>561.83393870841758</v>
      </c>
      <c r="I63" s="48">
        <f>I52*'Input│ Forecast'!$D$13</f>
        <v>575.87989205906183</v>
      </c>
      <c r="J63" s="48">
        <f>J52*'Input│ Forecast'!$D$13</f>
        <v>575.87989205906183</v>
      </c>
      <c r="K63" s="65"/>
    </row>
    <row r="64" spans="1:11" ht="13.5" x14ac:dyDescent="0.25">
      <c r="A64" s="11" t="s">
        <v>144</v>
      </c>
      <c r="B64" s="11">
        <f>B60</f>
        <v>0</v>
      </c>
      <c r="C64" s="48"/>
      <c r="D64" s="48"/>
      <c r="E64" s="48"/>
      <c r="F64" s="48">
        <f>F53*'Input│ Forecast'!$D$13</f>
        <v>956.86352129000841</v>
      </c>
      <c r="G64" s="48">
        <f>G53*'Input│ Forecast'!$D$13</f>
        <v>934.32417157795851</v>
      </c>
      <c r="H64" s="48">
        <f>H53*'Input│ Forecast'!$D$13</f>
        <v>912.31574636468883</v>
      </c>
      <c r="I64" s="48">
        <f>I53*'Input│ Forecast'!$D$13</f>
        <v>890.8257394853365</v>
      </c>
      <c r="J64" s="48">
        <f>J53*'Input│ Forecast'!$D$13</f>
        <v>869.84193936336499</v>
      </c>
      <c r="K64" s="82"/>
    </row>
    <row r="65" spans="1:19" ht="13.5" x14ac:dyDescent="0.25">
      <c r="A65" s="11" t="s">
        <v>103</v>
      </c>
      <c r="B65" s="11" t="str">
        <f>B59</f>
        <v>Real $2019/20</v>
      </c>
      <c r="C65" s="48">
        <f t="shared" ref="C65:D65" si="12">C59-C63-C64</f>
        <v>4038.1961996967752</v>
      </c>
      <c r="D65" s="48">
        <f t="shared" si="12"/>
        <v>4036.1364343056066</v>
      </c>
      <c r="E65" s="48">
        <f>E59-E63-E64</f>
        <v>4036.1364341138019</v>
      </c>
      <c r="F65" s="48">
        <f t="shared" ref="F65:J65" si="13">F59-F63-F64</f>
        <v>4038.1941245924204</v>
      </c>
      <c r="G65" s="48">
        <f t="shared" si="13"/>
        <v>4050.7434559877584</v>
      </c>
      <c r="H65" s="48">
        <f t="shared" si="13"/>
        <v>4067.7381441740276</v>
      </c>
      <c r="I65" s="48">
        <f t="shared" si="13"/>
        <v>4084.9414246187162</v>
      </c>
      <c r="J65" s="48">
        <f t="shared" si="13"/>
        <v>4102.1914048739563</v>
      </c>
      <c r="K65" s="52"/>
    </row>
    <row r="66" spans="1:19" ht="13.5" x14ac:dyDescent="0.25">
      <c r="A66" s="11" t="s">
        <v>26</v>
      </c>
      <c r="B66" s="11" t="str">
        <f>B65</f>
        <v>Real $2019/20</v>
      </c>
      <c r="C66" s="48">
        <f>SUM(C63:C65)</f>
        <v>4467.167399379623</v>
      </c>
      <c r="D66" s="48">
        <f t="shared" ref="D66:J66" si="14">SUM(D63:D65)</f>
        <v>4503.2276735255637</v>
      </c>
      <c r="E66" s="48">
        <f t="shared" si="14"/>
        <v>4503.2280928654945</v>
      </c>
      <c r="F66" s="48">
        <f t="shared" si="14"/>
        <v>5495.6995240539163</v>
      </c>
      <c r="G66" s="48">
        <f t="shared" si="14"/>
        <v>5521.7027833256161</v>
      </c>
      <c r="H66" s="48">
        <f t="shared" si="14"/>
        <v>5541.8878292471345</v>
      </c>
      <c r="I66" s="48">
        <f t="shared" si="14"/>
        <v>5551.647056163114</v>
      </c>
      <c r="J66" s="48">
        <f t="shared" si="14"/>
        <v>5547.9132362963828</v>
      </c>
      <c r="K66" s="65"/>
    </row>
    <row r="67" spans="1:19" ht="13.5" x14ac:dyDescent="0.25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</row>
    <row r="68" spans="1:19" ht="20" thickBot="1" x14ac:dyDescent="0.5">
      <c r="A68" s="22" t="s">
        <v>64</v>
      </c>
      <c r="C68" s="3" t="str">
        <f>C11</f>
        <v>2017/18</v>
      </c>
      <c r="D68" s="3" t="str">
        <f t="shared" ref="D68:J68" si="15">D11</f>
        <v>2018/19</v>
      </c>
      <c r="E68" s="3" t="str">
        <f t="shared" si="15"/>
        <v>2019/20</v>
      </c>
      <c r="F68" s="3" t="str">
        <f t="shared" si="15"/>
        <v>2020/21</v>
      </c>
      <c r="G68" s="3" t="str">
        <f t="shared" si="15"/>
        <v>2021/22</v>
      </c>
      <c r="H68" s="3" t="str">
        <f t="shared" si="15"/>
        <v>2022/23</v>
      </c>
      <c r="I68" s="3" t="str">
        <f t="shared" si="15"/>
        <v>2023/24</v>
      </c>
      <c r="J68" s="3" t="str">
        <f t="shared" si="15"/>
        <v>2024/25</v>
      </c>
    </row>
    <row r="69" spans="1:19" ht="15" thickTop="1" thickBot="1" x14ac:dyDescent="0.35">
      <c r="A69" s="34" t="str">
        <f>Outputs│Tables!E69</f>
        <v>Operating and maintenance expenses</v>
      </c>
      <c r="B69" s="34" t="str">
        <f>B66</f>
        <v>Real $2019/20</v>
      </c>
      <c r="C69" s="61">
        <f>C$65*'Input│ Historic Opex'!$I66</f>
        <v>3537.0428999639585</v>
      </c>
      <c r="D69" s="61">
        <f>D$65*'Input│ Historic Opex'!$I66</f>
        <v>3535.2387581659518</v>
      </c>
      <c r="E69" s="61">
        <f>E$65*'Input│ Historic Opex'!$I66</f>
        <v>3535.2387579979504</v>
      </c>
      <c r="F69" s="61">
        <f>F$65*'Input│ Historic Opex'!$I66</f>
        <v>3537.0410823868119</v>
      </c>
      <c r="G69" s="61">
        <f>G$65*'Input│ Historic Opex'!$I66</f>
        <v>3548.0330008860933</v>
      </c>
      <c r="H69" s="61">
        <f>H$65*'Input│ Historic Opex'!$I66</f>
        <v>3562.9185929211853</v>
      </c>
      <c r="I69" s="61">
        <f>I$65*'Input│ Historic Opex'!$I66</f>
        <v>3577.9868902360963</v>
      </c>
      <c r="J69" s="61">
        <f>J$65*'Input│ Historic Opex'!$I66</f>
        <v>3593.0960917629804</v>
      </c>
    </row>
    <row r="70" spans="1:19" ht="14.5" thickBot="1" x14ac:dyDescent="0.35">
      <c r="A70" s="34" t="str">
        <f>Outputs│Tables!E70</f>
        <v>Management fees and expenses</v>
      </c>
      <c r="B70" s="34" t="str">
        <f>B69</f>
        <v>Real $2019/20</v>
      </c>
      <c r="C70" s="61">
        <f>C$65*'Input│ Historic Opex'!$I67</f>
        <v>441.51883007553647</v>
      </c>
      <c r="D70" s="61">
        <f>D$65*'Input│ Historic Opex'!$I67</f>
        <v>441.29362427552923</v>
      </c>
      <c r="E70" s="61">
        <f>E$65*'Input│ Historic Opex'!$I67</f>
        <v>441.29362425455815</v>
      </c>
      <c r="F70" s="61">
        <f>F$65*'Input│ Historic Opex'!$I67</f>
        <v>441.5186031926408</v>
      </c>
      <c r="G70" s="61">
        <f>G$65*'Input│ Historic Opex'!$I67</f>
        <v>442.89069257163527</v>
      </c>
      <c r="H70" s="61">
        <f>H$65*'Input│ Historic Opex'!$I67</f>
        <v>444.74881795099742</v>
      </c>
      <c r="I70" s="61">
        <f>I$65*'Input│ Historic Opex'!$I67</f>
        <v>446.62974990174575</v>
      </c>
      <c r="J70" s="61">
        <f>J$65*'Input│ Historic Opex'!$I67</f>
        <v>448.51578780691034</v>
      </c>
    </row>
    <row r="71" spans="1:19" ht="14.5" thickBot="1" x14ac:dyDescent="0.35">
      <c r="A71" s="34" t="str">
        <f>Outputs│Tables!E71</f>
        <v>Insurance</v>
      </c>
      <c r="B71" s="34" t="str">
        <f t="shared" ref="B71:B75" si="16">B70</f>
        <v>Real $2019/20</v>
      </c>
      <c r="C71" s="61">
        <f>C63</f>
        <v>428.97119968284795</v>
      </c>
      <c r="D71" s="61">
        <f t="shared" ref="D71:J71" si="17">D63</f>
        <v>467.091239219957</v>
      </c>
      <c r="E71" s="61">
        <f t="shared" si="17"/>
        <v>467.09165875169265</v>
      </c>
      <c r="F71" s="61">
        <f t="shared" si="17"/>
        <v>500.64187817148769</v>
      </c>
      <c r="G71" s="61">
        <f t="shared" si="17"/>
        <v>536.63515575989982</v>
      </c>
      <c r="H71" s="61">
        <f t="shared" si="17"/>
        <v>561.83393870841758</v>
      </c>
      <c r="I71" s="61">
        <f t="shared" si="17"/>
        <v>575.87989205906183</v>
      </c>
      <c r="J71" s="61">
        <f t="shared" si="17"/>
        <v>575.87989205906183</v>
      </c>
    </row>
    <row r="72" spans="1:19" ht="14.5" thickBot="1" x14ac:dyDescent="0.35">
      <c r="A72" s="34" t="str">
        <f>Outputs│Tables!E72</f>
        <v>Tax on property and capital</v>
      </c>
      <c r="B72" s="34" t="str">
        <f t="shared" si="16"/>
        <v>Real $2019/20</v>
      </c>
      <c r="C72" s="61">
        <f>C$65*'Input│ Historic Opex'!$I68</f>
        <v>8.3899065097489132</v>
      </c>
      <c r="D72" s="61">
        <f>D$65*'Input│ Historic Opex'!$I68</f>
        <v>8.3856270646181343</v>
      </c>
      <c r="E72" s="61">
        <f>E$65*'Input│ Historic Opex'!$I68</f>
        <v>8.3856270642196336</v>
      </c>
      <c r="F72" s="61">
        <f>F$65*'Input│ Historic Opex'!$I68</f>
        <v>8.3899021984349798</v>
      </c>
      <c r="G72" s="61">
        <f>G$65*'Input│ Historic Opex'!$I68</f>
        <v>8.4159751557555413</v>
      </c>
      <c r="H72" s="61">
        <f>H$65*'Input│ Historic Opex'!$I68</f>
        <v>8.4512839515628961</v>
      </c>
      <c r="I72" s="61">
        <f>I$65*'Input│ Historic Opex'!$I68</f>
        <v>8.4870261263989697</v>
      </c>
      <c r="J72" s="61">
        <f>J$65*'Input│ Historic Opex'!$I68</f>
        <v>8.5228653264971097</v>
      </c>
    </row>
    <row r="73" spans="1:19" ht="14.5" thickBot="1" x14ac:dyDescent="0.35">
      <c r="A73" s="34" t="str">
        <f>Outputs│Tables!E73</f>
        <v>Accounting/audit fees</v>
      </c>
      <c r="B73" s="34" t="str">
        <f t="shared" si="16"/>
        <v>Real $2019/20</v>
      </c>
      <c r="C73" s="61">
        <f>C$65*'Input│ Historic Opex'!$I69</f>
        <v>11.536121450904753</v>
      </c>
      <c r="D73" s="61">
        <f>D$65*'Input│ Historic Opex'!$I69</f>
        <v>11.530237213849933</v>
      </c>
      <c r="E73" s="61">
        <f>E$65*'Input│ Historic Opex'!$I69</f>
        <v>11.530237213301994</v>
      </c>
      <c r="F73" s="61">
        <f>F$65*'Input│ Historic Opex'!$I69</f>
        <v>11.536115522848098</v>
      </c>
      <c r="G73" s="61">
        <f>G$65*'Input│ Historic Opex'!$I69</f>
        <v>11.571965839163868</v>
      </c>
      <c r="H73" s="61">
        <f>H$65*'Input│ Historic Opex'!$I69</f>
        <v>11.620515433398982</v>
      </c>
      <c r="I73" s="61">
        <f>I$65*'Input│ Historic Opex'!$I69</f>
        <v>11.669660923798583</v>
      </c>
      <c r="J73" s="61">
        <f>J$65*'Input│ Historic Opex'!$I69</f>
        <v>11.718939823933525</v>
      </c>
    </row>
    <row r="74" spans="1:19" ht="14.5" thickBot="1" x14ac:dyDescent="0.35">
      <c r="A74" s="34" t="str">
        <f>Outputs│Tables!E74</f>
        <v>Other</v>
      </c>
      <c r="B74" s="34" t="str">
        <f t="shared" si="16"/>
        <v>Real $2019/20</v>
      </c>
      <c r="C74" s="61">
        <f>C$65*'Input│ Historic Opex'!$I70</f>
        <v>39.7084416966267</v>
      </c>
      <c r="D74" s="61">
        <f>D$65*'Input│ Historic Opex'!$I70</f>
        <v>39.688187585657531</v>
      </c>
      <c r="E74" s="61">
        <f>E$65*'Input│ Historic Opex'!$I70</f>
        <v>39.688187583771473</v>
      </c>
      <c r="F74" s="61">
        <f>F$65*'Input│ Historic Opex'!$I70</f>
        <v>39.708421291684445</v>
      </c>
      <c r="G74" s="61">
        <f>G$65*'Input│ Historic Opex'!$I70</f>
        <v>39.831821535110166</v>
      </c>
      <c r="H74" s="61">
        <f>H$65*'Input│ Historic Opex'!$I70</f>
        <v>39.998933916882876</v>
      </c>
      <c r="I74" s="61">
        <f>I$65*'Input│ Historic Opex'!$I70</f>
        <v>40.168097430676468</v>
      </c>
      <c r="J74" s="61">
        <f>J$65*'Input│ Historic Opex'!$I70</f>
        <v>40.337720153634947</v>
      </c>
    </row>
    <row r="75" spans="1:19" ht="14.5" thickBot="1" x14ac:dyDescent="0.35">
      <c r="A75" s="34" t="str">
        <f>Outputs│Tables!E75</f>
        <v>End of life costs</v>
      </c>
      <c r="B75" s="34" t="str">
        <f t="shared" si="16"/>
        <v>Real $2019/20</v>
      </c>
      <c r="C75" s="61"/>
      <c r="D75" s="61"/>
      <c r="E75" s="61"/>
      <c r="F75" s="61">
        <f>F64</f>
        <v>956.86352129000841</v>
      </c>
      <c r="G75" s="61">
        <f t="shared" ref="G75:J75" si="18">G64</f>
        <v>934.32417157795851</v>
      </c>
      <c r="H75" s="61">
        <f t="shared" si="18"/>
        <v>912.31574636468883</v>
      </c>
      <c r="I75" s="61">
        <f t="shared" si="18"/>
        <v>890.8257394853365</v>
      </c>
      <c r="J75" s="61">
        <f t="shared" si="18"/>
        <v>869.84193936336499</v>
      </c>
    </row>
    <row r="76" spans="1:19" ht="14.5" thickBot="1" x14ac:dyDescent="0.35">
      <c r="A76" s="34" t="s">
        <v>37</v>
      </c>
      <c r="B76" s="34" t="str">
        <f>B74</f>
        <v>Real $2019/20</v>
      </c>
      <c r="C76" s="35">
        <f>SUM(C69:C75)</f>
        <v>4467.167399379623</v>
      </c>
      <c r="D76" s="35">
        <f t="shared" ref="D76:J76" si="19">SUM(D69:D75)</f>
        <v>4503.2276735255646</v>
      </c>
      <c r="E76" s="35">
        <f t="shared" si="19"/>
        <v>4503.2280928654945</v>
      </c>
      <c r="F76" s="35">
        <f t="shared" si="19"/>
        <v>5495.6995240539163</v>
      </c>
      <c r="G76" s="35">
        <f t="shared" si="19"/>
        <v>5521.7027833256161</v>
      </c>
      <c r="H76" s="35">
        <f t="shared" si="19"/>
        <v>5541.8878292471345</v>
      </c>
      <c r="I76" s="35">
        <f t="shared" si="19"/>
        <v>5551.647056163114</v>
      </c>
      <c r="J76" s="35">
        <f t="shared" si="19"/>
        <v>5547.9132362963828</v>
      </c>
    </row>
    <row r="77" spans="1:19" ht="13" thickBot="1" x14ac:dyDescent="0.3">
      <c r="L77" s="115"/>
      <c r="M77" s="115"/>
      <c r="N77" s="115"/>
      <c r="O77" s="115"/>
      <c r="P77" s="115"/>
      <c r="Q77" s="115"/>
      <c r="R77" s="115"/>
      <c r="S77" s="115"/>
    </row>
    <row r="78" spans="1:19" ht="13.5" thickTop="1" thickBot="1" x14ac:dyDescent="0.3">
      <c r="A78" s="59" t="s">
        <v>105</v>
      </c>
      <c r="B78" s="59"/>
      <c r="C78" s="59" t="b">
        <f>C59=C76</f>
        <v>1</v>
      </c>
      <c r="D78" s="59" t="b">
        <f t="shared" ref="D78:J78" si="20">D59=D76</f>
        <v>1</v>
      </c>
      <c r="E78" s="59" t="b">
        <f t="shared" si="20"/>
        <v>1</v>
      </c>
      <c r="F78" s="59" t="b">
        <f t="shared" si="20"/>
        <v>1</v>
      </c>
      <c r="G78" s="59" t="b">
        <f t="shared" si="20"/>
        <v>1</v>
      </c>
      <c r="H78" s="59" t="b">
        <f t="shared" si="20"/>
        <v>1</v>
      </c>
      <c r="I78" s="59" t="b">
        <f t="shared" si="20"/>
        <v>1</v>
      </c>
      <c r="J78" s="59" t="b">
        <f t="shared" si="20"/>
        <v>1</v>
      </c>
    </row>
    <row r="79" spans="1:19" ht="13" thickTop="1" x14ac:dyDescent="0.25"/>
    <row r="80" spans="1:19" ht="20" thickBot="1" x14ac:dyDescent="0.5">
      <c r="A80" s="3" t="s">
        <v>109</v>
      </c>
      <c r="B80" s="3" t="s">
        <v>28</v>
      </c>
      <c r="C80" s="3" t="str">
        <f>C68</f>
        <v>2017/18</v>
      </c>
      <c r="D80" s="3" t="str">
        <f t="shared" ref="D80:J80" si="21">D68</f>
        <v>2018/19</v>
      </c>
      <c r="E80" s="3" t="str">
        <f t="shared" si="21"/>
        <v>2019/20</v>
      </c>
      <c r="F80" s="3" t="str">
        <f t="shared" si="21"/>
        <v>2020/21</v>
      </c>
      <c r="G80" s="3" t="str">
        <f t="shared" si="21"/>
        <v>2021/22</v>
      </c>
      <c r="H80" s="3" t="str">
        <f t="shared" si="21"/>
        <v>2022/23</v>
      </c>
      <c r="I80" s="3" t="str">
        <f t="shared" si="21"/>
        <v>2023/24</v>
      </c>
      <c r="J80" s="3" t="str">
        <f t="shared" si="21"/>
        <v>2024/25</v>
      </c>
    </row>
    <row r="81" spans="1:10" ht="15" thickTop="1" thickBot="1" x14ac:dyDescent="0.35">
      <c r="A81" s="34" t="str">
        <f t="shared" ref="A81:A88" si="22">A69</f>
        <v>Operating and maintenance expenses</v>
      </c>
      <c r="B81" s="34" t="str">
        <f>B80</f>
        <v>$000 nominal</v>
      </c>
      <c r="C81" s="61">
        <f>C69/'Input│ Forecast'!$D$13*'Input│ Forecast'!B$13</f>
        <v>3372.3721945781299</v>
      </c>
      <c r="D81" s="61">
        <f>D69/'Input│ Forecast'!$D$13*'Input│ Forecast'!C$13</f>
        <v>3451.964622499801</v>
      </c>
      <c r="E81" s="61">
        <f>E69/'Input│ Forecast'!$D$13*'Input│ Forecast'!D$13</f>
        <v>3535.2387579979504</v>
      </c>
      <c r="F81" s="61">
        <f>F69/'Input│ Forecast'!$D$13*'Input│ Forecast'!E$13</f>
        <v>3622.3675764741502</v>
      </c>
      <c r="G81" s="61">
        <f>G69/'Input│ Forecast'!$D$13*'Input│ Forecast'!F$13</f>
        <v>3721.2811073458256</v>
      </c>
      <c r="H81" s="61">
        <f>H69/'Input│ Forecast'!$D$13*'Input│ Forecast'!G$13</f>
        <v>3827.0412267856632</v>
      </c>
      <c r="I81" s="61">
        <f>I69/'Input│ Forecast'!$D$13*'Input│ Forecast'!H$13</f>
        <v>3935.9393701188465</v>
      </c>
      <c r="J81" s="61">
        <f>J69/'Input│ Forecast'!$D$13*'Input│ Forecast'!I$13</f>
        <v>4047.9104896326025</v>
      </c>
    </row>
    <row r="82" spans="1:10" ht="14.5" thickBot="1" x14ac:dyDescent="0.35">
      <c r="A82" s="34" t="str">
        <f t="shared" si="22"/>
        <v>Management fees and expenses</v>
      </c>
      <c r="B82" s="34" t="str">
        <f t="shared" ref="B82:B87" si="23">B81</f>
        <v>$000 nominal</v>
      </c>
      <c r="C82" s="61">
        <f>C70/'Input│ Forecast'!$D$13*'Input│ Forecast'!B$13</f>
        <v>420.96346242918838</v>
      </c>
      <c r="D82" s="61">
        <f>D70/'Input│ Forecast'!$D$13*'Input│ Forecast'!C$13</f>
        <v>430.89875489035859</v>
      </c>
      <c r="E82" s="61">
        <f>E70/'Input│ Forecast'!$D$13*'Input│ Forecast'!D$13</f>
        <v>441.29362425455815</v>
      </c>
      <c r="F82" s="61">
        <f>F70/'Input│ Forecast'!$D$13*'Input│ Forecast'!E$13</f>
        <v>452.16966254062686</v>
      </c>
      <c r="G82" s="61">
        <f>G70/'Input│ Forecast'!$D$13*'Input│ Forecast'!F$13</f>
        <v>464.51675237364742</v>
      </c>
      <c r="H82" s="61">
        <f>H70/'Input│ Forecast'!$D$13*'Input│ Forecast'!G$13</f>
        <v>477.71848204568556</v>
      </c>
      <c r="I82" s="61">
        <f>I70/'Input│ Forecast'!$D$13*'Input│ Forecast'!H$13</f>
        <v>491.31192215984277</v>
      </c>
      <c r="J82" s="61">
        <f>J70/'Input│ Forecast'!$D$13*'Input│ Forecast'!I$13</f>
        <v>505.28895299836205</v>
      </c>
    </row>
    <row r="83" spans="1:10" ht="14.5" thickBot="1" x14ac:dyDescent="0.35">
      <c r="A83" s="34" t="str">
        <f t="shared" si="22"/>
        <v>Insurance</v>
      </c>
      <c r="B83" s="34" t="str">
        <f t="shared" si="23"/>
        <v>$000 nominal</v>
      </c>
      <c r="C83" s="61">
        <f>C71/'Input│ Forecast'!$D$13*'Input│ Forecast'!B$13</f>
        <v>409</v>
      </c>
      <c r="D83" s="61">
        <f>D71/'Input│ Forecast'!$D$13*'Input│ Forecast'!C$13</f>
        <v>456.08869543605357</v>
      </c>
      <c r="E83" s="61">
        <f>E71/'Input│ Forecast'!$D$13*'Input│ Forecast'!D$13</f>
        <v>467.09165875169265</v>
      </c>
      <c r="F83" s="61">
        <f>F71/'Input│ Forecast'!$D$13*'Input│ Forecast'!E$13</f>
        <v>512.71920926905216</v>
      </c>
      <c r="G83" s="61">
        <f>G71/'Input│ Forecast'!$D$13*'Input│ Forecast'!F$13</f>
        <v>562.83869574160451</v>
      </c>
      <c r="H83" s="61">
        <f>H71/'Input│ Forecast'!$D$13*'Input│ Forecast'!G$13</f>
        <v>603.48323711813941</v>
      </c>
      <c r="I83" s="61">
        <f>I71/'Input│ Forecast'!$D$13*'Input│ Forecast'!H$13</f>
        <v>633.49263402848499</v>
      </c>
      <c r="J83" s="61">
        <f>J71/'Input│ Forecast'!$D$13*'Input│ Forecast'!I$13</f>
        <v>648.77481600849421</v>
      </c>
    </row>
    <row r="84" spans="1:10" ht="14.5" thickBot="1" x14ac:dyDescent="0.35">
      <c r="A84" s="34" t="str">
        <f t="shared" si="22"/>
        <v>Tax on property and capital</v>
      </c>
      <c r="B84" s="34" t="str">
        <f t="shared" si="23"/>
        <v>$000 nominal</v>
      </c>
      <c r="C84" s="61">
        <f>C72/'Input│ Forecast'!$D$13*'Input│ Forecast'!B$13</f>
        <v>7.9993056993670013</v>
      </c>
      <c r="D84" s="61">
        <f>D72/'Input│ Forecast'!$D$13*'Input│ Forecast'!C$13</f>
        <v>8.1880998553987396</v>
      </c>
      <c r="E84" s="61">
        <f>E72/'Input│ Forecast'!$D$13*'Input│ Forecast'!D$13</f>
        <v>8.3856270642196336</v>
      </c>
      <c r="F84" s="61">
        <f>F72/'Input│ Forecast'!$D$13*'Input│ Forecast'!E$13</f>
        <v>8.5922976254750942</v>
      </c>
      <c r="G84" s="61">
        <f>G72/'Input│ Forecast'!$D$13*'Input│ Forecast'!F$13</f>
        <v>8.8269216603068408</v>
      </c>
      <c r="H84" s="61">
        <f>H72/'Input│ Forecast'!$D$13*'Input│ Forecast'!G$13</f>
        <v>9.0777858821032886</v>
      </c>
      <c r="I84" s="61">
        <f>I72/'Input│ Forecast'!$D$13*'Input│ Forecast'!H$13</f>
        <v>9.3360935327286043</v>
      </c>
      <c r="J84" s="61">
        <f>J72/'Input│ Forecast'!$D$13*'Input│ Forecast'!I$13</f>
        <v>9.6016903182586617</v>
      </c>
    </row>
    <row r="85" spans="1:10" ht="14.5" thickBot="1" x14ac:dyDescent="0.35">
      <c r="A85" s="34" t="str">
        <f t="shared" si="22"/>
        <v>Accounting/audit fees</v>
      </c>
      <c r="B85" s="34" t="str">
        <f t="shared" si="23"/>
        <v>$000 nominal</v>
      </c>
      <c r="C85" s="61">
        <f>C73/'Input│ Forecast'!$D$13*'Input│ Forecast'!B$13</f>
        <v>10.999045336629624</v>
      </c>
      <c r="D85" s="61">
        <f>D73/'Input│ Forecast'!$D$13*'Input│ Forecast'!C$13</f>
        <v>11.258637301173266</v>
      </c>
      <c r="E85" s="61">
        <f>E73/'Input│ Forecast'!$D$13*'Input│ Forecast'!D$13</f>
        <v>11.530237213301994</v>
      </c>
      <c r="F85" s="61">
        <f>F73/'Input│ Forecast'!$D$13*'Input│ Forecast'!E$13</f>
        <v>11.814409235028256</v>
      </c>
      <c r="G85" s="61">
        <f>G73/'Input│ Forecast'!$D$13*'Input│ Forecast'!F$13</f>
        <v>12.137017282921905</v>
      </c>
      <c r="H85" s="61">
        <f>H73/'Input│ Forecast'!$D$13*'Input│ Forecast'!G$13</f>
        <v>12.481955587892022</v>
      </c>
      <c r="I85" s="61">
        <f>I73/'Input│ Forecast'!$D$13*'Input│ Forecast'!H$13</f>
        <v>12.83712860750183</v>
      </c>
      <c r="J85" s="61">
        <f>J73/'Input│ Forecast'!$D$13*'Input│ Forecast'!I$13</f>
        <v>13.20232418760566</v>
      </c>
    </row>
    <row r="86" spans="1:10" ht="14.5" thickBot="1" x14ac:dyDescent="0.35">
      <c r="A86" s="34" t="str">
        <f t="shared" si="22"/>
        <v>Other</v>
      </c>
      <c r="B86" s="34" t="str">
        <f t="shared" si="23"/>
        <v>$000 nominal</v>
      </c>
      <c r="C86" s="61">
        <f>C74/'Input│ Forecast'!$D$13*'Input│ Forecast'!B$13</f>
        <v>37.859773956684329</v>
      </c>
      <c r="D86" s="61">
        <f>D74/'Input│ Forecast'!$D$13*'Input│ Forecast'!C$13</f>
        <v>38.753314513869221</v>
      </c>
      <c r="E86" s="61">
        <f>E74/'Input│ Forecast'!$D$13*'Input│ Forecast'!D$13</f>
        <v>39.688187583771473</v>
      </c>
      <c r="F86" s="61">
        <f>F74/'Input│ Forecast'!$D$13*'Input│ Forecast'!E$13</f>
        <v>40.666335066402638</v>
      </c>
      <c r="G86" s="61">
        <f>G74/'Input│ Forecast'!$D$13*'Input│ Forecast'!F$13</f>
        <v>41.776783054937184</v>
      </c>
      <c r="H86" s="61">
        <f>H74/'Input│ Forecast'!$D$13*'Input│ Forecast'!G$13</f>
        <v>42.964093940153717</v>
      </c>
      <c r="I86" s="61">
        <f>I74/'Input│ Forecast'!$D$13*'Input│ Forecast'!H$13</f>
        <v>44.186633699414386</v>
      </c>
      <c r="J86" s="61">
        <f>J74/'Input│ Forecast'!$D$13*'Input│ Forecast'!I$13</f>
        <v>45.443672077705841</v>
      </c>
    </row>
    <row r="87" spans="1:10" ht="14.5" thickBot="1" x14ac:dyDescent="0.35">
      <c r="A87" s="34" t="str">
        <f t="shared" si="22"/>
        <v>End of life costs</v>
      </c>
      <c r="B87" s="34" t="str">
        <f t="shared" si="23"/>
        <v>$000 nominal</v>
      </c>
      <c r="C87" s="61">
        <f>C75/'Input│ Forecast'!$D$13*'Input│ Forecast'!B$13</f>
        <v>0</v>
      </c>
      <c r="D87" s="61">
        <f>D75/'Input│ Forecast'!$D$13*'Input│ Forecast'!C$13</f>
        <v>0</v>
      </c>
      <c r="E87" s="61">
        <f>E75/'Input│ Forecast'!$D$13*'Input│ Forecast'!D$13</f>
        <v>0</v>
      </c>
      <c r="F87" s="61">
        <f>F75/'Input│ Forecast'!$D$13*'Input│ Forecast'!E$13</f>
        <v>979.94660336058655</v>
      </c>
      <c r="G87" s="61">
        <f>G75/'Input│ Forecast'!$D$13*'Input│ Forecast'!F$13</f>
        <v>979.94660336058678</v>
      </c>
      <c r="H87" s="61">
        <f>H75/'Input│ Forecast'!$D$13*'Input│ Forecast'!G$13</f>
        <v>979.94660336058666</v>
      </c>
      <c r="I87" s="61">
        <f>I75/'Input│ Forecast'!$D$13*'Input│ Forecast'!H$13</f>
        <v>979.94660336058666</v>
      </c>
      <c r="J87" s="61">
        <f>J75/'Input│ Forecast'!$D$13*'Input│ Forecast'!I$13</f>
        <v>979.94660336058666</v>
      </c>
    </row>
    <row r="88" spans="1:10" ht="14.5" thickBot="1" x14ac:dyDescent="0.35">
      <c r="A88" s="34" t="str">
        <f t="shared" si="22"/>
        <v>TOTAL</v>
      </c>
      <c r="B88" s="34" t="str">
        <f>B86</f>
        <v>$000 nominal</v>
      </c>
      <c r="C88" s="61">
        <f>SUM(C81:C86)</f>
        <v>4259.1937819999994</v>
      </c>
      <c r="D88" s="61">
        <f t="shared" ref="D88:J88" si="24">SUM(D81:D86)</f>
        <v>4397.1521244966552</v>
      </c>
      <c r="E88" s="61">
        <f t="shared" si="24"/>
        <v>4503.2280928654945</v>
      </c>
      <c r="F88" s="61">
        <f t="shared" si="24"/>
        <v>4648.3294902107355</v>
      </c>
      <c r="G88" s="61">
        <f t="shared" si="24"/>
        <v>4811.3772774592435</v>
      </c>
      <c r="H88" s="61">
        <f t="shared" si="24"/>
        <v>4972.7667813596363</v>
      </c>
      <c r="I88" s="61">
        <f t="shared" si="24"/>
        <v>5127.103782146818</v>
      </c>
      <c r="J88" s="61">
        <f t="shared" si="24"/>
        <v>5270.2219452230293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F2E25"/>
  </sheetPr>
  <dimension ref="A1:P31"/>
  <sheetViews>
    <sheetView zoomScaleNormal="100" workbookViewId="0"/>
  </sheetViews>
  <sheetFormatPr defaultColWidth="14" defaultRowHeight="12.5" x14ac:dyDescent="0.25"/>
  <cols>
    <col min="1" max="1" width="2.25" style="6" customWidth="1"/>
    <col min="2" max="2" width="1.58203125" style="6" customWidth="1"/>
    <col min="3" max="4" width="1.75" style="6" customWidth="1"/>
    <col min="5" max="6" width="14" style="6"/>
    <col min="7" max="7" width="20.58203125" style="6" customWidth="1"/>
    <col min="8" max="9" width="14" style="6"/>
    <col min="10" max="10" width="16.5" style="6" customWidth="1"/>
    <col min="11" max="16384" width="14" style="6"/>
  </cols>
  <sheetData>
    <row r="1" spans="1:16" s="2" customFormat="1" x14ac:dyDescent="0.25"/>
    <row r="2" spans="1:16" s="2" customFormat="1" x14ac:dyDescent="0.25"/>
    <row r="3" spans="1:16" s="2" customFormat="1" x14ac:dyDescent="0.25"/>
    <row r="4" spans="1:16" s="2" customFormat="1" x14ac:dyDescent="0.25"/>
    <row r="5" spans="1:16" s="2" customFormat="1" x14ac:dyDescent="0.25"/>
    <row r="6" spans="1:16" s="2" customFormat="1" x14ac:dyDescent="0.25"/>
    <row r="7" spans="1:16" s="2" customFormat="1" x14ac:dyDescent="0.25"/>
    <row r="8" spans="1:16" s="2" customFormat="1" x14ac:dyDescent="0.25"/>
    <row r="9" spans="1:16" s="2" customFormat="1" ht="13" thickBot="1" x14ac:dyDescent="0.3"/>
    <row r="10" spans="1:16" s="5" customFormat="1" ht="24.5" thickTop="1" thickBot="1" x14ac:dyDescent="0.6">
      <c r="A10" s="18" t="str">
        <f ca="1">RIGHT(CELL("filename",A1),LEN(CELL("filename",A1))-FIND("]",CELL("filename",A1)))</f>
        <v>Outputs│PTRM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ht="13.5" thickTop="1" thickBot="1" x14ac:dyDescent="0.3"/>
    <row r="12" spans="1:16" ht="24.5" thickTop="1" thickBot="1" x14ac:dyDescent="0.6">
      <c r="E12" s="18" t="str">
        <f>"Forecast Operating Expenditure ($m Real 2019/20)"</f>
        <v>Forecast Operating Expenditure ($m Real 2019/20)</v>
      </c>
    </row>
    <row r="13" spans="1:16" ht="13" thickTop="1" x14ac:dyDescent="0.25"/>
    <row r="14" spans="1:16" ht="13" x14ac:dyDescent="0.25">
      <c r="E14" s="37" t="s">
        <v>65</v>
      </c>
      <c r="F14" s="37"/>
      <c r="G14" s="38" t="s">
        <v>19</v>
      </c>
      <c r="H14" s="38" t="s">
        <v>20</v>
      </c>
      <c r="I14" s="38" t="s">
        <v>21</v>
      </c>
      <c r="J14" s="38" t="s">
        <v>22</v>
      </c>
      <c r="K14" s="38" t="s">
        <v>41</v>
      </c>
    </row>
    <row r="15" spans="1:16" ht="13" x14ac:dyDescent="0.25">
      <c r="E15" s="39" t="s">
        <v>66</v>
      </c>
      <c r="F15" s="40"/>
      <c r="G15" s="40">
        <f>Calc│Forecast!F76/1000</f>
        <v>5.4956995240539159</v>
      </c>
      <c r="H15" s="40">
        <f>Calc│Forecast!G76/1000</f>
        <v>5.5217027833256163</v>
      </c>
      <c r="I15" s="40">
        <f>Calc│Forecast!H76/1000</f>
        <v>5.5418878292471341</v>
      </c>
      <c r="J15" s="40">
        <f>Calc│Forecast!I76/1000</f>
        <v>5.5516470561631142</v>
      </c>
      <c r="K15" s="40">
        <f>Calc│Forecast!J76/1000</f>
        <v>5.5479132362963828</v>
      </c>
    </row>
    <row r="16" spans="1:16" ht="13" x14ac:dyDescent="0.25">
      <c r="E16" s="39"/>
      <c r="F16" s="40"/>
      <c r="G16" s="40"/>
      <c r="H16" s="40"/>
      <c r="I16" s="40"/>
      <c r="J16" s="40"/>
      <c r="K16" s="40"/>
    </row>
    <row r="17" spans="5:11" ht="13" x14ac:dyDescent="0.25">
      <c r="E17" s="39"/>
      <c r="F17" s="40"/>
      <c r="G17" s="40"/>
      <c r="H17" s="40"/>
      <c r="I17" s="40"/>
      <c r="J17" s="40"/>
      <c r="K17" s="40"/>
    </row>
    <row r="18" spans="5:11" ht="13" x14ac:dyDescent="0.25">
      <c r="E18" s="39"/>
      <c r="F18" s="40"/>
      <c r="G18" s="40"/>
      <c r="H18" s="40"/>
      <c r="I18" s="40"/>
      <c r="J18" s="40"/>
      <c r="K18" s="40"/>
    </row>
    <row r="19" spans="5:11" ht="13" x14ac:dyDescent="0.25">
      <c r="E19" s="39"/>
      <c r="F19" s="40"/>
      <c r="G19" s="40"/>
      <c r="H19" s="40"/>
      <c r="I19" s="40"/>
      <c r="J19" s="40"/>
      <c r="K19" s="40"/>
    </row>
    <row r="20" spans="5:11" ht="13" x14ac:dyDescent="0.25">
      <c r="E20" s="39"/>
      <c r="F20" s="40"/>
      <c r="G20" s="40"/>
      <c r="H20" s="40"/>
      <c r="I20" s="40"/>
      <c r="J20" s="40"/>
      <c r="K20" s="40"/>
    </row>
    <row r="21" spans="5:11" ht="13" x14ac:dyDescent="0.25">
      <c r="E21" s="39"/>
      <c r="F21" s="40"/>
      <c r="G21" s="40"/>
      <c r="H21" s="40"/>
      <c r="I21" s="40"/>
      <c r="J21" s="40"/>
      <c r="K21" s="40"/>
    </row>
    <row r="22" spans="5:11" ht="13" x14ac:dyDescent="0.25">
      <c r="E22" s="39"/>
      <c r="F22" s="40"/>
      <c r="G22" s="40"/>
      <c r="H22" s="40"/>
      <c r="I22" s="40"/>
      <c r="J22" s="40"/>
      <c r="K22" s="40"/>
    </row>
    <row r="23" spans="5:11" ht="13" x14ac:dyDescent="0.25">
      <c r="E23" s="39"/>
      <c r="F23" s="40"/>
      <c r="G23" s="40"/>
      <c r="H23" s="40"/>
      <c r="I23" s="40"/>
      <c r="J23" s="40"/>
      <c r="K23" s="40"/>
    </row>
    <row r="24" spans="5:11" ht="13" x14ac:dyDescent="0.25">
      <c r="E24" s="41"/>
      <c r="F24" s="42"/>
      <c r="G24" s="40"/>
      <c r="H24" s="40"/>
      <c r="I24" s="40"/>
      <c r="J24" s="40"/>
      <c r="K24" s="40"/>
    </row>
    <row r="25" spans="5:11" ht="13" x14ac:dyDescent="0.25">
      <c r="E25" s="39" t="s">
        <v>26</v>
      </c>
      <c r="F25" s="40"/>
      <c r="G25" s="40">
        <f t="shared" ref="G25:K25" si="0">SUM(G15:G24)</f>
        <v>5.4956995240539159</v>
      </c>
      <c r="H25" s="40">
        <f t="shared" si="0"/>
        <v>5.5217027833256163</v>
      </c>
      <c r="I25" s="40">
        <f t="shared" si="0"/>
        <v>5.5418878292471341</v>
      </c>
      <c r="J25" s="40">
        <f t="shared" si="0"/>
        <v>5.5516470561631142</v>
      </c>
      <c r="K25" s="40">
        <f t="shared" si="0"/>
        <v>5.5479132362963828</v>
      </c>
    </row>
    <row r="27" spans="5:11" x14ac:dyDescent="0.25">
      <c r="G27" s="53"/>
      <c r="H27" s="53"/>
      <c r="I27" s="53"/>
      <c r="J27" s="53"/>
      <c r="K27" s="53"/>
    </row>
    <row r="28" spans="5:11" x14ac:dyDescent="0.25">
      <c r="G28" s="53"/>
      <c r="H28" s="53"/>
      <c r="I28" s="53"/>
      <c r="J28" s="53"/>
      <c r="K28" s="53"/>
    </row>
    <row r="29" spans="5:11" x14ac:dyDescent="0.25">
      <c r="G29" s="53"/>
      <c r="H29" s="53"/>
      <c r="I29" s="53"/>
      <c r="J29" s="53"/>
      <c r="K29" s="53"/>
    </row>
    <row r="30" spans="5:11" x14ac:dyDescent="0.25">
      <c r="G30" s="53"/>
      <c r="H30" s="53"/>
      <c r="I30" s="53"/>
      <c r="J30" s="53"/>
      <c r="K30" s="53"/>
    </row>
    <row r="31" spans="5:11" x14ac:dyDescent="0.25">
      <c r="G31" s="53"/>
      <c r="H31" s="53"/>
      <c r="I31" s="53"/>
      <c r="J31" s="53"/>
      <c r="K31" s="53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6"/>
  <sheetViews>
    <sheetView zoomScaleNormal="100" workbookViewId="0"/>
  </sheetViews>
  <sheetFormatPr defaultColWidth="14" defaultRowHeight="12.5" x14ac:dyDescent="0.25"/>
  <cols>
    <col min="1" max="1" width="2.25" style="2" customWidth="1"/>
    <col min="2" max="2" width="1.58203125" style="2" customWidth="1"/>
    <col min="3" max="4" width="1.75" style="2" customWidth="1"/>
    <col min="5" max="5" width="80.33203125" style="2" customWidth="1"/>
    <col min="6" max="6" width="24" style="2" customWidth="1"/>
    <col min="7" max="7" width="14.75" style="2" bestFit="1" customWidth="1"/>
    <col min="8" max="11" width="13.83203125" style="2" customWidth="1"/>
    <col min="12" max="12" width="15.5" style="2" bestFit="1" customWidth="1"/>
    <col min="13" max="13" width="13.83203125" style="2" customWidth="1"/>
    <col min="14" max="14" width="15.5" style="2" bestFit="1" customWidth="1"/>
    <col min="15" max="15" width="14.75" style="6" bestFit="1" customWidth="1"/>
    <col min="16" max="18" width="13.83203125" style="6" customWidth="1"/>
    <col min="19" max="16384" width="14" style="6"/>
  </cols>
  <sheetData>
    <row r="1" spans="1:20" s="2" customFormat="1" x14ac:dyDescent="0.25"/>
    <row r="2" spans="1:20" s="2" customFormat="1" x14ac:dyDescent="0.25"/>
    <row r="3" spans="1:20" s="2" customFormat="1" x14ac:dyDescent="0.25"/>
    <row r="4" spans="1:20" s="2" customFormat="1" x14ac:dyDescent="0.25"/>
    <row r="5" spans="1:20" s="2" customFormat="1" x14ac:dyDescent="0.25"/>
    <row r="6" spans="1:20" s="2" customFormat="1" x14ac:dyDescent="0.25"/>
    <row r="7" spans="1:20" s="2" customFormat="1" x14ac:dyDescent="0.25"/>
    <row r="8" spans="1:20" s="2" customFormat="1" x14ac:dyDescent="0.25"/>
    <row r="9" spans="1:20" s="2" customFormat="1" ht="13" thickBot="1" x14ac:dyDescent="0.3"/>
    <row r="10" spans="1:20" s="5" customFormat="1" ht="24.5" thickTop="1" thickBot="1" x14ac:dyDescent="0.6">
      <c r="A10" s="18" t="str">
        <f ca="1">RIGHT(CELL("filename",A1),LEN(CELL("filename",A1))-FIND("]",CELL("filename",A1)))</f>
        <v>Outputs│Tables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0" ht="13" thickTop="1" x14ac:dyDescent="0.25"/>
    <row r="12" spans="1:20" ht="20" thickBot="1" x14ac:dyDescent="0.5">
      <c r="E12" s="3" t="s">
        <v>108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0" ht="13" thickTop="1" x14ac:dyDescent="0.25"/>
    <row r="14" spans="1:20" ht="13" x14ac:dyDescent="0.25">
      <c r="E14" s="37"/>
      <c r="F14" s="37"/>
      <c r="G14" s="38" t="s">
        <v>1</v>
      </c>
      <c r="H14" s="38" t="s">
        <v>2</v>
      </c>
      <c r="I14" s="38" t="s">
        <v>3</v>
      </c>
      <c r="J14" s="38" t="s">
        <v>4</v>
      </c>
      <c r="K14" s="38" t="s">
        <v>5</v>
      </c>
      <c r="L14" s="38" t="s">
        <v>17</v>
      </c>
      <c r="M14" s="38" t="s">
        <v>18</v>
      </c>
      <c r="N14" s="38" t="s">
        <v>19</v>
      </c>
      <c r="O14" s="38" t="s">
        <v>20</v>
      </c>
      <c r="P14" s="38" t="s">
        <v>21</v>
      </c>
      <c r="Q14" s="38" t="s">
        <v>22</v>
      </c>
      <c r="R14" s="38" t="s">
        <v>41</v>
      </c>
      <c r="T14" s="38" t="s">
        <v>26</v>
      </c>
    </row>
    <row r="15" spans="1:20" ht="13" x14ac:dyDescent="0.25">
      <c r="E15" s="44" t="s">
        <v>31</v>
      </c>
      <c r="F15" s="44" t="str">
        <f>LEFT(RIGHT(E12,11),10)</f>
        <v>$m nominal</v>
      </c>
      <c r="G15" s="66">
        <f>'Input│ Historic Opex'!D14/1000</f>
        <v>2.83</v>
      </c>
      <c r="H15" s="66">
        <f>'Input│ Historic Opex'!E14/1000</f>
        <v>2.0469124751767027</v>
      </c>
      <c r="I15" s="66">
        <f>'Input│ Historic Opex'!F14/1000</f>
        <v>2.8975744800000003</v>
      </c>
      <c r="J15" s="66">
        <f>'Input│ Historic Opex'!G14/1000</f>
        <v>2.9309070000000004</v>
      </c>
      <c r="K15" s="66">
        <f>'Input│ Historic Opex'!H14/1000</f>
        <v>3.3726649000000002</v>
      </c>
      <c r="L15" s="66">
        <f>'Input│ Historic Opex'!I14/1000</f>
        <v>3.6920000000000002</v>
      </c>
      <c r="M15" s="66">
        <f>Calc│Forecast!E81/1000</f>
        <v>3.5352387579979503</v>
      </c>
      <c r="N15" s="86">
        <f>Calc│Forecast!F81/1000</f>
        <v>3.6223675764741503</v>
      </c>
      <c r="O15" s="86">
        <f>Calc│Forecast!G81/1000</f>
        <v>3.7212811073458254</v>
      </c>
      <c r="P15" s="86">
        <f>Calc│Forecast!H81/1000</f>
        <v>3.8270412267856631</v>
      </c>
      <c r="Q15" s="86">
        <f>Calc│Forecast!I81/1000</f>
        <v>3.9359393701188465</v>
      </c>
      <c r="R15" s="86">
        <f>Calc│Forecast!J81/1000</f>
        <v>4.0479104896326028</v>
      </c>
      <c r="T15" s="66">
        <f>SUM(N15:R15)</f>
        <v>19.15453977035709</v>
      </c>
    </row>
    <row r="16" spans="1:20" ht="13" x14ac:dyDescent="0.25">
      <c r="E16" s="44" t="s">
        <v>33</v>
      </c>
      <c r="F16" s="44" t="str">
        <f>F15</f>
        <v>$m nominal</v>
      </c>
      <c r="G16" s="66">
        <f>'Input│ Historic Opex'!D15/1000</f>
        <v>0.372</v>
      </c>
      <c r="H16" s="66">
        <f>'Input│ Historic Opex'!E15/1000</f>
        <v>0.39900000000000002</v>
      </c>
      <c r="I16" s="66">
        <f>'Input│ Historic Opex'!F15/1000</f>
        <v>0.35599999999999998</v>
      </c>
      <c r="J16" s="66">
        <f>'Input│ Historic Opex'!G15/1000</f>
        <v>0.4</v>
      </c>
      <c r="K16" s="66">
        <f>'Input│ Historic Opex'!H15/1000</f>
        <v>0.42099999999999999</v>
      </c>
      <c r="L16" s="66">
        <f>'Input│ Historic Opex'!I15/1000</f>
        <v>0.42</v>
      </c>
      <c r="M16" s="66">
        <f>Calc│Forecast!E82/1000</f>
        <v>0.44129362425455815</v>
      </c>
      <c r="N16" s="86">
        <f>Calc│Forecast!F82/1000</f>
        <v>0.45216966254062685</v>
      </c>
      <c r="O16" s="86">
        <f>Calc│Forecast!G82/1000</f>
        <v>0.46451675237364742</v>
      </c>
      <c r="P16" s="86">
        <f>Calc│Forecast!H82/1000</f>
        <v>0.47771848204568557</v>
      </c>
      <c r="Q16" s="86">
        <f>Calc│Forecast!I82/1000</f>
        <v>0.49131192215984276</v>
      </c>
      <c r="R16" s="86">
        <f>Calc│Forecast!J82/1000</f>
        <v>0.50528895299836207</v>
      </c>
      <c r="T16" s="66">
        <f t="shared" ref="T16:T21" si="0">SUM(N16:R16)</f>
        <v>2.3910057721181648</v>
      </c>
    </row>
    <row r="17" spans="5:20" ht="13" x14ac:dyDescent="0.25">
      <c r="E17" s="44" t="s">
        <v>11</v>
      </c>
      <c r="F17" s="44" t="str">
        <f t="shared" ref="F17:F20" si="1">F16</f>
        <v>$m nominal</v>
      </c>
      <c r="G17" s="66">
        <f>'Input│ Historic Opex'!D17/1000</f>
        <v>0.66400000000000003</v>
      </c>
      <c r="H17" s="66">
        <f>'Input│ Historic Opex'!E17/1000</f>
        <v>0.625</v>
      </c>
      <c r="I17" s="66">
        <f>'Input│ Historic Opex'!F17/1000</f>
        <v>0.754</v>
      </c>
      <c r="J17" s="66">
        <f>'Input│ Historic Opex'!G17/1000</f>
        <v>0.48799999999999999</v>
      </c>
      <c r="K17" s="66">
        <f>'Input│ Historic Opex'!H17/1000</f>
        <v>0.40899999999999997</v>
      </c>
      <c r="L17" s="66">
        <f>'Input│ Historic Opex'!I17/1000</f>
        <v>0.46800000000000003</v>
      </c>
      <c r="M17" s="66">
        <f>Calc│Forecast!E83/1000</f>
        <v>0.46709165875169267</v>
      </c>
      <c r="N17" s="86">
        <f>Calc│Forecast!F83/1000</f>
        <v>0.51271920926905212</v>
      </c>
      <c r="O17" s="86">
        <f>Calc│Forecast!G83/1000</f>
        <v>0.5628386957416045</v>
      </c>
      <c r="P17" s="86">
        <f>Calc│Forecast!H83/1000</f>
        <v>0.60348323711813945</v>
      </c>
      <c r="Q17" s="86">
        <f>Calc│Forecast!I83/1000</f>
        <v>0.63349263402848499</v>
      </c>
      <c r="R17" s="86">
        <f>Calc│Forecast!J83/1000</f>
        <v>0.64877481600849418</v>
      </c>
      <c r="T17" s="66">
        <f t="shared" si="0"/>
        <v>2.9613085921657749</v>
      </c>
    </row>
    <row r="18" spans="5:20" ht="13" x14ac:dyDescent="0.25">
      <c r="E18" s="44" t="s">
        <v>35</v>
      </c>
      <c r="F18" s="44" t="str">
        <f t="shared" si="1"/>
        <v>$m nominal</v>
      </c>
      <c r="G18" s="66">
        <f>'Input│ Historic Opex'!D18/1000</f>
        <v>8.9999999999999993E-3</v>
      </c>
      <c r="H18" s="66">
        <f>'Input│ Historic Opex'!E18/1000</f>
        <v>8.9999999999999993E-3</v>
      </c>
      <c r="I18" s="66">
        <f>'Input│ Historic Opex'!F18/1000</f>
        <v>0.01</v>
      </c>
      <c r="J18" s="66">
        <f>'Input│ Historic Opex'!G18/1000</f>
        <v>8.0000000000000002E-3</v>
      </c>
      <c r="K18" s="66">
        <f>'Input│ Historic Opex'!H18/1000</f>
        <v>8.0000000000000002E-3</v>
      </c>
      <c r="L18" s="66">
        <f>'Input│ Historic Opex'!I18/1000</f>
        <v>7.0000000000000001E-3</v>
      </c>
      <c r="M18" s="66">
        <f>Calc│Forecast!E84/1000</f>
        <v>8.3856270642196327E-3</v>
      </c>
      <c r="N18" s="86">
        <f>Calc│Forecast!F84/1000</f>
        <v>8.5922976254750941E-3</v>
      </c>
      <c r="O18" s="86">
        <f>Calc│Forecast!G84/1000</f>
        <v>8.8269216603068402E-3</v>
      </c>
      <c r="P18" s="86">
        <f>Calc│Forecast!H84/1000</f>
        <v>9.0777858821032894E-3</v>
      </c>
      <c r="Q18" s="86">
        <f>Calc│Forecast!I84/1000</f>
        <v>9.3360935327286045E-3</v>
      </c>
      <c r="R18" s="86">
        <f>Calc│Forecast!J84/1000</f>
        <v>9.601690318258662E-3</v>
      </c>
      <c r="T18" s="66">
        <f t="shared" si="0"/>
        <v>4.543478901887249E-2</v>
      </c>
    </row>
    <row r="19" spans="5:20" ht="13" x14ac:dyDescent="0.25">
      <c r="E19" s="44" t="s">
        <v>36</v>
      </c>
      <c r="F19" s="44" t="str">
        <f t="shared" si="1"/>
        <v>$m nominal</v>
      </c>
      <c r="G19" s="66">
        <f>'Input│ Historic Opex'!D19/1000</f>
        <v>0.02</v>
      </c>
      <c r="H19" s="66">
        <f>'Input│ Historic Opex'!E19/1000</f>
        <v>0.01</v>
      </c>
      <c r="I19" s="66">
        <f>'Input│ Historic Opex'!F19/1000</f>
        <v>1.0999999999999999E-2</v>
      </c>
      <c r="J19" s="66">
        <f>'Input│ Historic Opex'!G19/1000</f>
        <v>0.01</v>
      </c>
      <c r="K19" s="66">
        <f>'Input│ Historic Opex'!H19/1000</f>
        <v>1.0999999999999999E-2</v>
      </c>
      <c r="L19" s="66">
        <f>'Input│ Historic Opex'!I19/1000</f>
        <v>1.0999999999999999E-2</v>
      </c>
      <c r="M19" s="66">
        <f>Calc│Forecast!E85/1000</f>
        <v>1.1530237213301995E-2</v>
      </c>
      <c r="N19" s="86">
        <f>Calc│Forecast!F85/1000</f>
        <v>1.1814409235028255E-2</v>
      </c>
      <c r="O19" s="86">
        <f>Calc│Forecast!G85/1000</f>
        <v>1.2137017282921905E-2</v>
      </c>
      <c r="P19" s="86">
        <f>Calc│Forecast!H85/1000</f>
        <v>1.2481955587892023E-2</v>
      </c>
      <c r="Q19" s="86">
        <f>Calc│Forecast!I85/1000</f>
        <v>1.283712860750183E-2</v>
      </c>
      <c r="R19" s="86">
        <f>Calc│Forecast!J85/1000</f>
        <v>1.320232418760566E-2</v>
      </c>
      <c r="T19" s="66">
        <f t="shared" si="0"/>
        <v>6.2472834900949674E-2</v>
      </c>
    </row>
    <row r="20" spans="5:20" ht="13" x14ac:dyDescent="0.25">
      <c r="E20" s="44" t="s">
        <v>12</v>
      </c>
      <c r="F20" s="44" t="str">
        <f t="shared" si="1"/>
        <v>$m nominal</v>
      </c>
      <c r="G20" s="66">
        <f>SUM('Input│ Historic Opex'!D20:D21)/1000</f>
        <v>5.2505599999999502E-3</v>
      </c>
      <c r="H20" s="66">
        <f>SUM('Input│ Historic Opex'!E20:E21)/1000</f>
        <v>-6.8529999999995537E-5</v>
      </c>
      <c r="I20" s="66">
        <f>SUM('Input│ Historic Opex'!F20:F21)/1000</f>
        <v>2.8404099999999916E-3</v>
      </c>
      <c r="J20" s="66">
        <f>SUM('Input│ Historic Opex'!G20:G21)/1000</f>
        <v>8.6925700000000453E-3</v>
      </c>
      <c r="K20" s="66">
        <f>SUM('Input│ Historic Opex'!H20:H21)/1000</f>
        <v>3.7863059999999997E-2</v>
      </c>
      <c r="L20" s="66">
        <f>SUM('Input│ Historic Opex'!I20:I21)/1000</f>
        <v>3.1058319999999993E-2</v>
      </c>
      <c r="M20" s="66">
        <f>Calc│Forecast!E86/1000</f>
        <v>3.9688187583771475E-2</v>
      </c>
      <c r="N20" s="86">
        <f>Calc│Forecast!F86/1000</f>
        <v>4.0666335066402638E-2</v>
      </c>
      <c r="O20" s="86">
        <f>Calc│Forecast!G86/1000</f>
        <v>4.1776783054937185E-2</v>
      </c>
      <c r="P20" s="86">
        <f>Calc│Forecast!H86/1000</f>
        <v>4.2964093940153714E-2</v>
      </c>
      <c r="Q20" s="86">
        <f>Calc│Forecast!I86/1000</f>
        <v>4.4186633699414384E-2</v>
      </c>
      <c r="R20" s="86">
        <f>Calc│Forecast!J86/1000</f>
        <v>4.5443672077705839E-2</v>
      </c>
      <c r="T20" s="66">
        <f t="shared" si="0"/>
        <v>0.21503751783861375</v>
      </c>
    </row>
    <row r="21" spans="5:20" ht="13" x14ac:dyDescent="0.25">
      <c r="E21" s="44" t="s">
        <v>67</v>
      </c>
      <c r="F21" s="44" t="str">
        <f>F19</f>
        <v>$m nominal</v>
      </c>
      <c r="G21" s="66">
        <f>SUM(G15:G20)</f>
        <v>3.9002505599999999</v>
      </c>
      <c r="H21" s="66">
        <f t="shared" ref="H21:K21" si="2">SUM(H15:H20)</f>
        <v>3.0898439451767024</v>
      </c>
      <c r="I21" s="66">
        <f t="shared" si="2"/>
        <v>4.0314148900000006</v>
      </c>
      <c r="J21" s="66">
        <f t="shared" si="2"/>
        <v>3.8455995700000001</v>
      </c>
      <c r="K21" s="66">
        <f t="shared" si="2"/>
        <v>4.2595279600000007</v>
      </c>
      <c r="L21" s="66">
        <f t="shared" ref="L21" si="3">SUM(L15:L20)</f>
        <v>4.6290583199999995</v>
      </c>
      <c r="M21" s="66">
        <f t="shared" ref="M21:R21" si="4">SUM(M15:M19)</f>
        <v>4.4635399052817224</v>
      </c>
      <c r="N21" s="86">
        <f t="shared" si="4"/>
        <v>4.6076631551443334</v>
      </c>
      <c r="O21" s="86">
        <f t="shared" si="4"/>
        <v>4.7696004944043064</v>
      </c>
      <c r="P21" s="86">
        <f t="shared" si="4"/>
        <v>4.9298026874194827</v>
      </c>
      <c r="Q21" s="86">
        <f t="shared" si="4"/>
        <v>5.0829171484474047</v>
      </c>
      <c r="R21" s="86">
        <f t="shared" si="4"/>
        <v>5.2247782731453229</v>
      </c>
      <c r="T21" s="66">
        <f t="shared" si="0"/>
        <v>24.614761758560849</v>
      </c>
    </row>
    <row r="24" spans="5:20" ht="20" thickBot="1" x14ac:dyDescent="0.5">
      <c r="E24" s="3" t="s">
        <v>68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5:20" ht="13" thickTop="1" x14ac:dyDescent="0.25"/>
    <row r="26" spans="5:20" ht="13" x14ac:dyDescent="0.25">
      <c r="E26" s="37"/>
      <c r="F26" s="37"/>
      <c r="I26" s="38" t="s">
        <v>3</v>
      </c>
      <c r="J26" s="38" t="s">
        <v>4</v>
      </c>
      <c r="K26" s="38" t="s">
        <v>5</v>
      </c>
      <c r="L26" s="38" t="s">
        <v>17</v>
      </c>
      <c r="M26" s="38" t="s">
        <v>18</v>
      </c>
      <c r="N26" s="38" t="s">
        <v>26</v>
      </c>
    </row>
    <row r="27" spans="5:20" ht="13" x14ac:dyDescent="0.25">
      <c r="E27" s="39" t="s">
        <v>69</v>
      </c>
      <c r="F27" s="39" t="str">
        <f>F21</f>
        <v>$m nominal</v>
      </c>
      <c r="I27" s="70">
        <f>'Input│ Historic Opex'!F43/1000</f>
        <v>4.2095766244158543</v>
      </c>
      <c r="J27" s="70">
        <f>'Input│ Historic Opex'!G43/1000</f>
        <v>3.5587163627011495</v>
      </c>
      <c r="K27" s="70">
        <f>'Input│ Historic Opex'!H43/1000</f>
        <v>3.7119726796276478</v>
      </c>
      <c r="L27" s="70">
        <f>'Input│ Historic Opex'!I43/1000</f>
        <v>3.7113886595123922</v>
      </c>
      <c r="M27" s="70">
        <f>'Input│ Historic Opex'!J43/1000</f>
        <v>3.8197183950384885</v>
      </c>
      <c r="N27" s="70">
        <f>SUM(I27:M27)</f>
        <v>19.011372721295533</v>
      </c>
    </row>
    <row r="28" spans="5:20" ht="13" x14ac:dyDescent="0.25">
      <c r="E28" s="39" t="s">
        <v>70</v>
      </c>
      <c r="F28" s="39" t="str">
        <f>F27</f>
        <v>$m nominal</v>
      </c>
      <c r="I28" s="70">
        <f>I21</f>
        <v>4.0314148900000006</v>
      </c>
      <c r="J28" s="70">
        <f t="shared" ref="J28:M28" si="5">J21</f>
        <v>3.8455995700000001</v>
      </c>
      <c r="K28" s="70">
        <f t="shared" si="5"/>
        <v>4.2595279600000007</v>
      </c>
      <c r="L28" s="70">
        <f t="shared" si="5"/>
        <v>4.6290583199999995</v>
      </c>
      <c r="M28" s="70">
        <f t="shared" si="5"/>
        <v>4.4635399052817224</v>
      </c>
      <c r="N28" s="70">
        <f>SUM(I28:M28)</f>
        <v>21.229140645281724</v>
      </c>
    </row>
    <row r="29" spans="5:20" ht="13" x14ac:dyDescent="0.25">
      <c r="E29" s="39" t="s">
        <v>71</v>
      </c>
      <c r="F29" s="39" t="str">
        <f>F28</f>
        <v>$m nominal</v>
      </c>
      <c r="I29" s="70">
        <f>I28-I27</f>
        <v>-0.1781617344158537</v>
      </c>
      <c r="J29" s="70">
        <f t="shared" ref="J29:N29" si="6">J28-J27</f>
        <v>0.28688320729885053</v>
      </c>
      <c r="K29" s="70">
        <f t="shared" si="6"/>
        <v>0.5475552803723529</v>
      </c>
      <c r="L29" s="70">
        <f t="shared" si="6"/>
        <v>0.91766966048760734</v>
      </c>
      <c r="M29" s="70">
        <f t="shared" si="6"/>
        <v>0.64382151024323386</v>
      </c>
      <c r="N29" s="70">
        <f t="shared" si="6"/>
        <v>2.2177679239861909</v>
      </c>
    </row>
    <row r="32" spans="5:20" ht="20" thickBot="1" x14ac:dyDescent="0.5">
      <c r="E32" s="3" t="s">
        <v>123</v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5:20" ht="13" thickTop="1" x14ac:dyDescent="0.25"/>
    <row r="34" spans="5:20" ht="13" x14ac:dyDescent="0.25">
      <c r="E34" s="37"/>
      <c r="F34" s="37"/>
      <c r="I34" s="38" t="str">
        <f>I26</f>
        <v>2015/16</v>
      </c>
      <c r="J34" s="38" t="str">
        <f t="shared" ref="J34:M34" si="7">J26</f>
        <v>2016/17</v>
      </c>
      <c r="K34" s="38" t="str">
        <f t="shared" si="7"/>
        <v>2017/18</v>
      </c>
      <c r="L34" s="38" t="str">
        <f t="shared" si="7"/>
        <v>2018/19</v>
      </c>
      <c r="M34" s="38" t="str">
        <f t="shared" si="7"/>
        <v>2019/20</v>
      </c>
      <c r="N34" s="38" t="s">
        <v>26</v>
      </c>
    </row>
    <row r="35" spans="5:20" ht="13" x14ac:dyDescent="0.25">
      <c r="E35" s="39" t="s">
        <v>69</v>
      </c>
      <c r="F35" s="39" t="s">
        <v>124</v>
      </c>
      <c r="I35" s="70">
        <f>I27/'Input│ Other'!F$15*'Input│ Other'!$H$15</f>
        <v>4.3807608864068879</v>
      </c>
      <c r="J35" s="70">
        <f>J27/'Input│ Other'!G$15*'Input│ Other'!$H$15</f>
        <v>3.6263480763814426</v>
      </c>
      <c r="K35" s="70">
        <f>K27/'Input│ Other'!H$15*'Input│ Other'!$H$15</f>
        <v>3.7119726796276478</v>
      </c>
      <c r="L35" s="70">
        <f>L27/'Input│ Other'!I$15*'Input│ Other'!$H$15</f>
        <v>3.6625973975556123</v>
      </c>
      <c r="M35" s="70">
        <f>M27/'Input│ Other'!J$15*'Input│ Other'!$H$15</f>
        <v>3.6775638937289399</v>
      </c>
      <c r="N35" s="70">
        <f>SUM(I35:M35)</f>
        <v>19.059242933700531</v>
      </c>
    </row>
    <row r="36" spans="5:20" ht="13" x14ac:dyDescent="0.25">
      <c r="E36" s="39" t="s">
        <v>70</v>
      </c>
      <c r="F36" s="39" t="str">
        <f>F35</f>
        <v>$m FY18</v>
      </c>
      <c r="I36" s="70">
        <f>I28/'Input│ Other'!F$15*'Input│ Other'!$H$15</f>
        <v>4.1953541276709805</v>
      </c>
      <c r="J36" s="70">
        <f>J28/'Input│ Other'!G$15*'Input│ Other'!$H$15</f>
        <v>3.9186833627330317</v>
      </c>
      <c r="K36" s="70">
        <f>K28/'Input│ Other'!H$15*'Input│ Other'!$H$15</f>
        <v>4.2595279600000007</v>
      </c>
      <c r="L36" s="70">
        <f>L28/'Input│ Other'!I$15*'Input│ Other'!$H$15</f>
        <v>4.5682030397195437</v>
      </c>
      <c r="M36" s="70">
        <f>M28/'Input│ Other'!J$15*'Input│ Other'!$H$15</f>
        <v>4.297424965988089</v>
      </c>
      <c r="N36" s="70">
        <f>SUM(I36:M36)</f>
        <v>21.239193456111646</v>
      </c>
    </row>
    <row r="37" spans="5:20" ht="13" x14ac:dyDescent="0.25">
      <c r="E37" s="39" t="s">
        <v>71</v>
      </c>
      <c r="F37" s="39" t="str">
        <f>F36</f>
        <v>$m FY18</v>
      </c>
      <c r="I37" s="70">
        <f>I36-I35</f>
        <v>-0.1854067587359074</v>
      </c>
      <c r="J37" s="70">
        <f t="shared" ref="J37" si="8">J36-J35</f>
        <v>0.29233528635158912</v>
      </c>
      <c r="K37" s="70">
        <f t="shared" ref="K37" si="9">K36-K35</f>
        <v>0.5475552803723529</v>
      </c>
      <c r="L37" s="70">
        <f t="shared" ref="L37" si="10">L36-L35</f>
        <v>0.90560564216393136</v>
      </c>
      <c r="M37" s="70">
        <f t="shared" ref="M37" si="11">M36-M35</f>
        <v>0.6198610722591491</v>
      </c>
      <c r="N37" s="70">
        <f t="shared" ref="N37" si="12">N36-N35</f>
        <v>2.1799505224111151</v>
      </c>
    </row>
    <row r="39" spans="5:20" ht="20" thickBot="1" x14ac:dyDescent="0.5">
      <c r="E39" s="3" t="s">
        <v>79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5:20" ht="13" thickTop="1" x14ac:dyDescent="0.25"/>
    <row r="41" spans="5:20" ht="13" x14ac:dyDescent="0.25">
      <c r="E41" s="37"/>
      <c r="F41" s="37"/>
      <c r="G41" s="38" t="str">
        <f>G14</f>
        <v>2013/14</v>
      </c>
      <c r="H41" s="38" t="str">
        <f>H14</f>
        <v>2014/15</v>
      </c>
      <c r="I41" s="38" t="str">
        <f>I14</f>
        <v>2015/16</v>
      </c>
      <c r="J41" s="38" t="str">
        <f>J14</f>
        <v>2016/17</v>
      </c>
      <c r="K41" s="38" t="str">
        <f>K14</f>
        <v>2017/18</v>
      </c>
      <c r="L41" s="38" t="s">
        <v>26</v>
      </c>
    </row>
    <row r="42" spans="5:20" ht="13" x14ac:dyDescent="0.25">
      <c r="E42" s="39" t="s">
        <v>127</v>
      </c>
      <c r="F42" s="39" t="s">
        <v>9</v>
      </c>
      <c r="G42" s="45">
        <f>'Input│ Historic Opex'!D79</f>
        <v>1071291.4101704119</v>
      </c>
      <c r="H42" s="45">
        <f>'Input│ Historic Opex'!E79</f>
        <v>674124.27345378941</v>
      </c>
      <c r="I42" s="45">
        <f>'Input│ Historic Opex'!F79</f>
        <v>866970.21908144781</v>
      </c>
      <c r="J42" s="45">
        <f>'Input│ Historic Opex'!G79</f>
        <v>1045868.0467500002</v>
      </c>
      <c r="K42" s="45">
        <f>'Input│ Historic Opex'!H79</f>
        <v>1097983.5599999998</v>
      </c>
      <c r="L42" s="45">
        <f>SUM(G42:K42)</f>
        <v>4756237.5094556492</v>
      </c>
    </row>
    <row r="43" spans="5:20" ht="13" x14ac:dyDescent="0.25">
      <c r="E43" s="39" t="s">
        <v>128</v>
      </c>
      <c r="F43" s="39" t="s">
        <v>9</v>
      </c>
      <c r="G43" s="45">
        <f>'Input│ Historic Opex'!D80</f>
        <v>859422.14947378181</v>
      </c>
      <c r="H43" s="45">
        <f>'Input│ Historic Opex'!E80</f>
        <v>645680.18270286312</v>
      </c>
      <c r="I43" s="45">
        <f>'Input│ Historic Opex'!F80</f>
        <v>791203.72880904982</v>
      </c>
      <c r="J43" s="45">
        <f>'Input│ Historic Opex'!G80</f>
        <v>855961.60225</v>
      </c>
      <c r="K43" s="45">
        <f>'Input│ Historic Opex'!H80</f>
        <v>765972.35999999987</v>
      </c>
      <c r="L43" s="45">
        <f t="shared" ref="L43:L46" si="13">SUM(G43:K43)</f>
        <v>3918240.0232356945</v>
      </c>
    </row>
    <row r="44" spans="5:20" ht="13" x14ac:dyDescent="0.25">
      <c r="E44" s="39" t="s">
        <v>114</v>
      </c>
      <c r="F44" s="39" t="s">
        <v>9</v>
      </c>
      <c r="G44" s="45">
        <f>('Input│ Historic Opex'!D19+'Input│ Historic Opex'!D20)*1000</f>
        <v>25000</v>
      </c>
      <c r="H44" s="45">
        <f>('Input│ Historic Opex'!E19+'Input│ Historic Opex'!E20)*1000</f>
        <v>10000</v>
      </c>
      <c r="I44" s="45">
        <f>('Input│ Historic Opex'!F19+'Input│ Historic Opex'!F20)*1000</f>
        <v>14000</v>
      </c>
      <c r="J44" s="45">
        <f>('Input│ Historic Opex'!G19+'Input│ Historic Opex'!G20)*1000</f>
        <v>10000</v>
      </c>
      <c r="K44" s="45">
        <f>('Input│ Historic Opex'!H19+'Input│ Historic Opex'!H20)*1000</f>
        <v>11000</v>
      </c>
      <c r="L44" s="45">
        <f t="shared" si="13"/>
        <v>70000</v>
      </c>
    </row>
    <row r="45" spans="5:20" ht="13" x14ac:dyDescent="0.25">
      <c r="E45" s="39" t="s">
        <v>100</v>
      </c>
      <c r="F45" s="39" t="s">
        <v>9</v>
      </c>
      <c r="G45" s="40">
        <f>SUM(G42:G44)</f>
        <v>1955713.5596441939</v>
      </c>
      <c r="H45" s="40">
        <f t="shared" ref="H45:K45" si="14">SUM(H42:H44)</f>
        <v>1329804.4561566524</v>
      </c>
      <c r="I45" s="40">
        <f t="shared" si="14"/>
        <v>1672173.9478904977</v>
      </c>
      <c r="J45" s="40">
        <f t="shared" si="14"/>
        <v>1911829.6490000002</v>
      </c>
      <c r="K45" s="40">
        <f t="shared" si="14"/>
        <v>1874955.9199999997</v>
      </c>
      <c r="L45" s="40">
        <f t="shared" si="13"/>
        <v>8744477.5326913446</v>
      </c>
    </row>
    <row r="46" spans="5:20" ht="13" x14ac:dyDescent="0.25">
      <c r="E46" s="39" t="s">
        <v>80</v>
      </c>
      <c r="F46" s="39" t="s">
        <v>9</v>
      </c>
      <c r="G46" s="45">
        <f>'Input│ Historic Opex'!D83</f>
        <v>3900250.56</v>
      </c>
      <c r="H46" s="45">
        <f>'Input│ Historic Opex'!E83</f>
        <v>3089843.9451767029</v>
      </c>
      <c r="I46" s="45">
        <f>'Input│ Historic Opex'!F83</f>
        <v>4031414.89</v>
      </c>
      <c r="J46" s="45">
        <f>'Input│ Historic Opex'!G83</f>
        <v>3845599.5700000003</v>
      </c>
      <c r="K46" s="45">
        <f>'Input│ Historic Opex'!H83</f>
        <v>4259527.959999999</v>
      </c>
      <c r="L46" s="45">
        <f t="shared" si="13"/>
        <v>19126636.925176702</v>
      </c>
    </row>
    <row r="47" spans="5:20" ht="13" x14ac:dyDescent="0.25">
      <c r="E47" s="39" t="s">
        <v>81</v>
      </c>
      <c r="F47" s="39" t="s">
        <v>97</v>
      </c>
      <c r="G47" s="85">
        <f>G45/G46</f>
        <v>0.50143280016456016</v>
      </c>
      <c r="H47" s="85">
        <f t="shared" ref="H47:L47" si="15">H45/H46</f>
        <v>0.43037916469292858</v>
      </c>
      <c r="I47" s="85">
        <f t="shared" si="15"/>
        <v>0.41478587382270093</v>
      </c>
      <c r="J47" s="85">
        <f t="shared" si="15"/>
        <v>0.4971473535399839</v>
      </c>
      <c r="K47" s="85">
        <f t="shared" si="15"/>
        <v>0.44017927282252189</v>
      </c>
      <c r="L47" s="85">
        <f t="shared" si="15"/>
        <v>0.45718845225638421</v>
      </c>
    </row>
    <row r="49" spans="5:20" ht="20" thickBot="1" x14ac:dyDescent="0.5">
      <c r="E49" s="3" t="str">
        <f>Calc│Forecast!A38&amp;" " &amp;Calc│Forecast!B59</f>
        <v>End of life costs Real $2019/20</v>
      </c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5:20" ht="13" thickTop="1" x14ac:dyDescent="0.25"/>
    <row r="51" spans="5:20" ht="13" x14ac:dyDescent="0.25">
      <c r="E51" s="37"/>
      <c r="F51" s="38" t="str">
        <f>N14</f>
        <v>2020/21</v>
      </c>
      <c r="G51" s="38" t="str">
        <f t="shared" ref="G51:J51" si="16">O14</f>
        <v>2021/22</v>
      </c>
      <c r="H51" s="38" t="str">
        <f t="shared" si="16"/>
        <v>2022/23</v>
      </c>
      <c r="I51" s="38" t="str">
        <f t="shared" si="16"/>
        <v>2023/24</v>
      </c>
      <c r="J51" s="38" t="str">
        <f t="shared" si="16"/>
        <v>2024/25</v>
      </c>
      <c r="K51" s="38" t="str">
        <f>L41</f>
        <v>Total</v>
      </c>
    </row>
    <row r="52" spans="5:20" ht="13" x14ac:dyDescent="0.25">
      <c r="E52" s="39" t="str">
        <f>Calc│Forecast!A38</f>
        <v>End of life costs</v>
      </c>
      <c r="F52" s="45">
        <f>Calc│Forecast!F38*'Input│ Forecast'!$D$13*1000</f>
        <v>956863.52129000844</v>
      </c>
      <c r="G52" s="45">
        <f>Calc│Forecast!G38*'Input│ Forecast'!$D$13*1000</f>
        <v>934324.17157795851</v>
      </c>
      <c r="H52" s="45">
        <f>Calc│Forecast!H38*'Input│ Forecast'!$D$13*1000</f>
        <v>912315.74636468885</v>
      </c>
      <c r="I52" s="45">
        <f>Calc│Forecast!I38*'Input│ Forecast'!$D$13*1000</f>
        <v>890825.73948533647</v>
      </c>
      <c r="J52" s="45">
        <f>Calc│Forecast!J38*'Input│ Forecast'!$D$13*1000</f>
        <v>869841.93936336495</v>
      </c>
      <c r="K52" s="45">
        <f>SUM(F52:J52)</f>
        <v>4564171.1180813573</v>
      </c>
    </row>
    <row r="54" spans="5:20" ht="20" thickBot="1" x14ac:dyDescent="0.5">
      <c r="E54" s="3" t="s">
        <v>113</v>
      </c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5:20" ht="13" thickTop="1" x14ac:dyDescent="0.25"/>
    <row r="56" spans="5:20" ht="13" x14ac:dyDescent="0.25">
      <c r="E56" s="37"/>
      <c r="F56" s="38" t="str">
        <f>N14</f>
        <v>2020/21</v>
      </c>
      <c r="G56" s="38" t="str">
        <f>O14</f>
        <v>2021/22</v>
      </c>
      <c r="H56" s="38" t="str">
        <f>P14</f>
        <v>2022/23</v>
      </c>
      <c r="I56" s="38" t="str">
        <f>Q14</f>
        <v>2023/24</v>
      </c>
      <c r="J56" s="38" t="str">
        <f>R14</f>
        <v>2024/25</v>
      </c>
      <c r="K56" s="38" t="s">
        <v>26</v>
      </c>
    </row>
    <row r="57" spans="5:20" ht="13" x14ac:dyDescent="0.25">
      <c r="E57" s="39" t="s">
        <v>72</v>
      </c>
      <c r="F57" s="70">
        <f>N21</f>
        <v>4.6076631551443334</v>
      </c>
      <c r="G57" s="70">
        <f>O21</f>
        <v>4.7696004944043064</v>
      </c>
      <c r="H57" s="70">
        <f>P21</f>
        <v>4.9298026874194827</v>
      </c>
      <c r="I57" s="70">
        <f>Q21</f>
        <v>5.0829171484474047</v>
      </c>
      <c r="J57" s="70">
        <f>R21</f>
        <v>5.2247782731453229</v>
      </c>
      <c r="K57" s="70">
        <f>SUM(F57:J57)</f>
        <v>24.614761758560849</v>
      </c>
    </row>
    <row r="60" spans="5:20" ht="20" thickBot="1" x14ac:dyDescent="0.5">
      <c r="E60" s="3" t="s">
        <v>164</v>
      </c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5:20" ht="13" thickTop="1" x14ac:dyDescent="0.25">
      <c r="O61" s="2"/>
      <c r="P61" s="2"/>
      <c r="Q61" s="2"/>
      <c r="R61" s="2"/>
    </row>
    <row r="62" spans="5:20" ht="13" x14ac:dyDescent="0.25">
      <c r="E62" s="37"/>
      <c r="F62" s="38" t="str">
        <f>F56</f>
        <v>2020/21</v>
      </c>
      <c r="G62" s="38" t="str">
        <f t="shared" ref="G62:J62" si="17">G56</f>
        <v>2021/22</v>
      </c>
      <c r="H62" s="38" t="str">
        <f t="shared" si="17"/>
        <v>2022/23</v>
      </c>
      <c r="I62" s="38" t="str">
        <f t="shared" si="17"/>
        <v>2023/24</v>
      </c>
      <c r="J62" s="38" t="str">
        <f t="shared" si="17"/>
        <v>2024/25</v>
      </c>
      <c r="K62" s="38" t="s">
        <v>26</v>
      </c>
      <c r="O62" s="2"/>
      <c r="P62" s="2"/>
      <c r="Q62" s="2"/>
      <c r="R62" s="2"/>
    </row>
    <row r="63" spans="5:20" ht="13" x14ac:dyDescent="0.25">
      <c r="E63" s="39" t="s">
        <v>165</v>
      </c>
      <c r="F63" s="70">
        <f>F65-F64</f>
        <v>4.5388360027639072</v>
      </c>
      <c r="G63" s="70">
        <f t="shared" ref="G63:J63" si="18">G65-G64</f>
        <v>4.587378611747658</v>
      </c>
      <c r="H63" s="70">
        <f t="shared" si="18"/>
        <v>4.6295720828824454</v>
      </c>
      <c r="I63" s="70">
        <f t="shared" si="18"/>
        <v>4.6608213166777777</v>
      </c>
      <c r="J63" s="70">
        <f t="shared" si="18"/>
        <v>4.6780712969330178</v>
      </c>
      <c r="K63" s="70">
        <f>SUM(F63:J63)</f>
        <v>23.094679311004803</v>
      </c>
      <c r="O63" s="2"/>
      <c r="P63" s="2"/>
      <c r="Q63" s="2"/>
      <c r="R63" s="2"/>
    </row>
    <row r="64" spans="5:20" ht="13" x14ac:dyDescent="0.25">
      <c r="E64" s="39" t="s">
        <v>166</v>
      </c>
      <c r="F64" s="70">
        <f>F52/1000000</f>
        <v>0.9568635212900084</v>
      </c>
      <c r="G64" s="70">
        <f t="shared" ref="G64:J64" si="19">G52/1000000</f>
        <v>0.93432417157795855</v>
      </c>
      <c r="H64" s="70">
        <f t="shared" si="19"/>
        <v>0.91231574636468882</v>
      </c>
      <c r="I64" s="70">
        <f t="shared" si="19"/>
        <v>0.8908257394853365</v>
      </c>
      <c r="J64" s="70">
        <f t="shared" si="19"/>
        <v>0.86984193936336496</v>
      </c>
      <c r="K64" s="70">
        <f t="shared" ref="K64:K65" si="20">SUM(F64:J64)</f>
        <v>4.5641711180813571</v>
      </c>
      <c r="O64" s="2"/>
      <c r="P64" s="2"/>
      <c r="Q64" s="2"/>
      <c r="R64" s="2"/>
    </row>
    <row r="65" spans="5:18" ht="13" x14ac:dyDescent="0.25">
      <c r="E65" s="39" t="s">
        <v>167</v>
      </c>
      <c r="F65" s="70">
        <f>Calc│Forecast!F76/1000</f>
        <v>5.4956995240539159</v>
      </c>
      <c r="G65" s="70">
        <f>Calc│Forecast!G76/1000</f>
        <v>5.5217027833256163</v>
      </c>
      <c r="H65" s="70">
        <f>Calc│Forecast!H76/1000</f>
        <v>5.5418878292471341</v>
      </c>
      <c r="I65" s="70">
        <f>Calc│Forecast!I76/1000</f>
        <v>5.5516470561631142</v>
      </c>
      <c r="J65" s="70">
        <f>Calc│Forecast!J76/1000</f>
        <v>5.5479132362963828</v>
      </c>
      <c r="K65" s="70">
        <f t="shared" si="20"/>
        <v>27.658850429086158</v>
      </c>
      <c r="O65" s="2"/>
      <c r="P65" s="2"/>
      <c r="Q65" s="2"/>
      <c r="R65" s="2"/>
    </row>
    <row r="66" spans="5:18" x14ac:dyDescent="0.25">
      <c r="O66" s="2"/>
      <c r="P66" s="2"/>
      <c r="Q66" s="2"/>
      <c r="R66" s="2"/>
    </row>
    <row r="67" spans="5:18" ht="13.5" x14ac:dyDescent="0.25">
      <c r="E67" s="114" t="s">
        <v>168</v>
      </c>
      <c r="F67"/>
      <c r="G67"/>
      <c r="H67"/>
      <c r="I67"/>
      <c r="J67"/>
      <c r="K67"/>
      <c r="O67" s="2"/>
      <c r="P67" s="2"/>
      <c r="Q67" s="2"/>
      <c r="R67" s="2"/>
    </row>
    <row r="68" spans="5:18" ht="13" x14ac:dyDescent="0.25">
      <c r="E68" s="37"/>
      <c r="F68" s="38" t="s">
        <v>19</v>
      </c>
      <c r="G68" s="38" t="s">
        <v>20</v>
      </c>
      <c r="H68" s="38" t="s">
        <v>21</v>
      </c>
      <c r="I68" s="38" t="s">
        <v>22</v>
      </c>
      <c r="J68" s="38" t="s">
        <v>41</v>
      </c>
      <c r="K68" s="38" t="s">
        <v>26</v>
      </c>
    </row>
    <row r="69" spans="5:18" ht="13" x14ac:dyDescent="0.25">
      <c r="E69" s="39" t="s">
        <v>31</v>
      </c>
      <c r="F69" s="70">
        <f>Calc│Forecast!F81/1000</f>
        <v>3.6223675764741503</v>
      </c>
      <c r="G69" s="70">
        <f>Calc│Forecast!G81/1000</f>
        <v>3.7212811073458254</v>
      </c>
      <c r="H69" s="70">
        <f>Calc│Forecast!H81/1000</f>
        <v>3.8270412267856631</v>
      </c>
      <c r="I69" s="70">
        <f>Calc│Forecast!I81/1000</f>
        <v>3.9359393701188465</v>
      </c>
      <c r="J69" s="70">
        <f>Calc│Forecast!J81/1000</f>
        <v>4.0479104896326028</v>
      </c>
      <c r="K69" s="70">
        <f>SUM(F69:J69)</f>
        <v>19.15453977035709</v>
      </c>
    </row>
    <row r="70" spans="5:18" ht="13" x14ac:dyDescent="0.25">
      <c r="E70" s="39" t="s">
        <v>33</v>
      </c>
      <c r="F70" s="70">
        <f>Calc│Forecast!F82/1000</f>
        <v>0.45216966254062685</v>
      </c>
      <c r="G70" s="70">
        <f>Calc│Forecast!G82/1000</f>
        <v>0.46451675237364742</v>
      </c>
      <c r="H70" s="70">
        <f>Calc│Forecast!H82/1000</f>
        <v>0.47771848204568557</v>
      </c>
      <c r="I70" s="70">
        <f>Calc│Forecast!I82/1000</f>
        <v>0.49131192215984276</v>
      </c>
      <c r="J70" s="70">
        <f>Calc│Forecast!J82/1000</f>
        <v>0.50528895299836207</v>
      </c>
      <c r="K70" s="70">
        <f t="shared" ref="K70:K75" si="21">SUM(F70:J70)</f>
        <v>2.3910057721181648</v>
      </c>
    </row>
    <row r="71" spans="5:18" ht="13" x14ac:dyDescent="0.25">
      <c r="E71" s="39" t="s">
        <v>11</v>
      </c>
      <c r="F71" s="70">
        <f>Calc│Forecast!F83/1000</f>
        <v>0.51271920926905212</v>
      </c>
      <c r="G71" s="70">
        <f>Calc│Forecast!G83/1000</f>
        <v>0.5628386957416045</v>
      </c>
      <c r="H71" s="70">
        <f>Calc│Forecast!H83/1000</f>
        <v>0.60348323711813945</v>
      </c>
      <c r="I71" s="70">
        <f>Calc│Forecast!I83/1000</f>
        <v>0.63349263402848499</v>
      </c>
      <c r="J71" s="70">
        <f>Calc│Forecast!J83/1000</f>
        <v>0.64877481600849418</v>
      </c>
      <c r="K71" s="70">
        <f t="shared" si="21"/>
        <v>2.9613085921657749</v>
      </c>
    </row>
    <row r="72" spans="5:18" ht="13" x14ac:dyDescent="0.25">
      <c r="E72" s="39" t="s">
        <v>35</v>
      </c>
      <c r="F72" s="70">
        <f>Calc│Forecast!F84/1000</f>
        <v>8.5922976254750941E-3</v>
      </c>
      <c r="G72" s="70">
        <f>Calc│Forecast!G84/1000</f>
        <v>8.8269216603068402E-3</v>
      </c>
      <c r="H72" s="70">
        <f>Calc│Forecast!H84/1000</f>
        <v>9.0777858821032894E-3</v>
      </c>
      <c r="I72" s="70">
        <f>Calc│Forecast!I84/1000</f>
        <v>9.3360935327286045E-3</v>
      </c>
      <c r="J72" s="70">
        <f>Calc│Forecast!J84/1000</f>
        <v>9.601690318258662E-3</v>
      </c>
      <c r="K72" s="70">
        <f t="shared" si="21"/>
        <v>4.543478901887249E-2</v>
      </c>
    </row>
    <row r="73" spans="5:18" ht="13" x14ac:dyDescent="0.25">
      <c r="E73" s="39" t="s">
        <v>36</v>
      </c>
      <c r="F73" s="70">
        <f>Calc│Forecast!F85/1000</f>
        <v>1.1814409235028255E-2</v>
      </c>
      <c r="G73" s="70">
        <f>Calc│Forecast!G85/1000</f>
        <v>1.2137017282921905E-2</v>
      </c>
      <c r="H73" s="70">
        <f>Calc│Forecast!H85/1000</f>
        <v>1.2481955587892023E-2</v>
      </c>
      <c r="I73" s="70">
        <f>Calc│Forecast!I85/1000</f>
        <v>1.283712860750183E-2</v>
      </c>
      <c r="J73" s="70">
        <f>Calc│Forecast!J85/1000</f>
        <v>1.320232418760566E-2</v>
      </c>
      <c r="K73" s="70">
        <f t="shared" si="21"/>
        <v>6.2472834900949674E-2</v>
      </c>
    </row>
    <row r="74" spans="5:18" ht="13" x14ac:dyDescent="0.25">
      <c r="E74" s="39" t="s">
        <v>12</v>
      </c>
      <c r="F74" s="70">
        <f>Calc│Forecast!F86/1000</f>
        <v>4.0666335066402638E-2</v>
      </c>
      <c r="G74" s="70">
        <f>Calc│Forecast!G86/1000</f>
        <v>4.1776783054937185E-2</v>
      </c>
      <c r="H74" s="70">
        <f>Calc│Forecast!H86/1000</f>
        <v>4.2964093940153714E-2</v>
      </c>
      <c r="I74" s="70">
        <f>Calc│Forecast!I86/1000</f>
        <v>4.4186633699414384E-2</v>
      </c>
      <c r="J74" s="70">
        <f>Calc│Forecast!J86/1000</f>
        <v>4.5443672077705839E-2</v>
      </c>
      <c r="K74" s="70">
        <f t="shared" si="21"/>
        <v>0.21503751783861375</v>
      </c>
    </row>
    <row r="75" spans="5:18" ht="13" x14ac:dyDescent="0.25">
      <c r="E75" s="39" t="s">
        <v>144</v>
      </c>
      <c r="F75" s="70">
        <f>Calc│Forecast!F87/1000</f>
        <v>0.97994660336058659</v>
      </c>
      <c r="G75" s="70">
        <f>Calc│Forecast!G87/1000</f>
        <v>0.97994660336058681</v>
      </c>
      <c r="H75" s="70">
        <f>Calc│Forecast!H87/1000</f>
        <v>0.9799466033605867</v>
      </c>
      <c r="I75" s="70">
        <f>Calc│Forecast!I87/1000</f>
        <v>0.9799466033605867</v>
      </c>
      <c r="J75" s="70">
        <f>Calc│Forecast!J87/1000</f>
        <v>0.9799466033605867</v>
      </c>
      <c r="K75" s="70">
        <f t="shared" si="21"/>
        <v>4.8997330168029336</v>
      </c>
    </row>
    <row r="76" spans="5:18" ht="13" x14ac:dyDescent="0.25">
      <c r="E76" s="39" t="s">
        <v>67</v>
      </c>
      <c r="F76" s="70">
        <f>SUM(F69:F75)</f>
        <v>5.6282760935713227</v>
      </c>
      <c r="G76" s="70">
        <f t="shared" ref="G76:J76" si="22">SUM(G69:G75)</f>
        <v>5.7913238808198297</v>
      </c>
      <c r="H76" s="70">
        <f t="shared" si="22"/>
        <v>5.9527133847202229</v>
      </c>
      <c r="I76" s="70">
        <f t="shared" si="22"/>
        <v>6.1070503855074056</v>
      </c>
      <c r="J76" s="70">
        <f t="shared" si="22"/>
        <v>6.2501685485836154</v>
      </c>
      <c r="K76" s="70">
        <f>SUM(K69:K75)</f>
        <v>29.729532293202396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zoomScaleNormal="100" workbookViewId="0"/>
  </sheetViews>
  <sheetFormatPr defaultColWidth="14" defaultRowHeight="12.5" x14ac:dyDescent="0.25"/>
  <cols>
    <col min="1" max="1" width="2.25" style="2" customWidth="1"/>
    <col min="2" max="2" width="1.58203125" style="2" customWidth="1"/>
    <col min="3" max="4" width="1.75" style="2" customWidth="1"/>
    <col min="5" max="5" width="78.58203125" style="2" customWidth="1"/>
    <col min="6" max="6" width="16.25" style="2" customWidth="1"/>
    <col min="7" max="7" width="20.58203125" style="2" customWidth="1"/>
    <col min="8" max="8" width="14" style="2"/>
    <col min="9" max="9" width="41.5" style="6" bestFit="1" customWidth="1"/>
    <col min="10" max="12" width="41.5" style="6" customWidth="1"/>
    <col min="13" max="13" width="16.5" style="6" customWidth="1"/>
    <col min="14" max="15" width="14" style="6"/>
    <col min="16" max="16" width="15.5" style="6" customWidth="1"/>
    <col min="17" max="16384" width="14" style="6"/>
  </cols>
  <sheetData>
    <row r="1" spans="1:23" s="2" customFormat="1" x14ac:dyDescent="0.25"/>
    <row r="2" spans="1:23" s="2" customFormat="1" x14ac:dyDescent="0.25"/>
    <row r="3" spans="1:23" s="2" customFormat="1" x14ac:dyDescent="0.25"/>
    <row r="4" spans="1:23" s="2" customFormat="1" x14ac:dyDescent="0.25"/>
    <row r="5" spans="1:23" s="2" customFormat="1" x14ac:dyDescent="0.25"/>
    <row r="6" spans="1:23" s="2" customFormat="1" x14ac:dyDescent="0.25"/>
    <row r="7" spans="1:23" s="2" customFormat="1" x14ac:dyDescent="0.25"/>
    <row r="8" spans="1:23" s="2" customFormat="1" x14ac:dyDescent="0.25"/>
    <row r="9" spans="1:23" s="2" customFormat="1" ht="13" thickBot="1" x14ac:dyDescent="0.3"/>
    <row r="10" spans="1:23" s="5" customFormat="1" ht="24.5" thickTop="1" thickBot="1" x14ac:dyDescent="0.6">
      <c r="A10" s="18" t="str">
        <f ca="1">RIGHT(CELL("filename",A1),LEN(CELL("filename",A1))-FIND("]",CELL("filename",A1)))</f>
        <v>Outputs│Graphs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</row>
    <row r="11" spans="1:23" ht="13" thickTop="1" x14ac:dyDescent="0.25"/>
    <row r="12" spans="1:23" ht="20" thickBot="1" x14ac:dyDescent="0.5">
      <c r="E12" s="43" t="s">
        <v>73</v>
      </c>
    </row>
    <row r="13" spans="1:23" ht="13" thickTop="1" x14ac:dyDescent="0.25"/>
    <row r="14" spans="1:23" ht="20" thickBot="1" x14ac:dyDescent="0.5">
      <c r="I14" s="3" t="s">
        <v>15</v>
      </c>
      <c r="J14" s="3"/>
      <c r="K14" s="22" t="str">
        <f>Outputs│Tables!G14</f>
        <v>2013/14</v>
      </c>
      <c r="L14" s="22" t="str">
        <f>Outputs│Tables!H14</f>
        <v>2014/15</v>
      </c>
      <c r="M14" s="22" t="str">
        <f>Outputs│Tables!I14</f>
        <v>2015/16</v>
      </c>
      <c r="N14" s="22" t="str">
        <f>Outputs│Tables!J14</f>
        <v>2016/17</v>
      </c>
      <c r="O14" s="22" t="str">
        <f>Outputs│Tables!K14</f>
        <v>2017/18</v>
      </c>
      <c r="P14" s="22" t="str">
        <f>Outputs│Tables!L14</f>
        <v>2018/19</v>
      </c>
      <c r="Q14" s="22" t="str">
        <f>Outputs│Tables!M14</f>
        <v>2019/20</v>
      </c>
      <c r="R14" s="22" t="str">
        <f>Outputs│Tables!N14</f>
        <v>2020/21</v>
      </c>
      <c r="S14" s="22" t="str">
        <f>Outputs│Tables!O14</f>
        <v>2021/22</v>
      </c>
      <c r="T14" s="22" t="str">
        <f>Outputs│Tables!P14</f>
        <v>2022/23</v>
      </c>
      <c r="U14" s="22" t="str">
        <f>Outputs│Tables!Q14</f>
        <v>2023/24</v>
      </c>
      <c r="V14" s="22" t="str">
        <f>Outputs│Tables!R14</f>
        <v>2024/25</v>
      </c>
    </row>
    <row r="15" spans="1:23" ht="13" thickTop="1" x14ac:dyDescent="0.25">
      <c r="I15" s="6" t="s">
        <v>74</v>
      </c>
      <c r="J15" s="6" t="s">
        <v>115</v>
      </c>
      <c r="K15" s="46">
        <f>Outputs│Tables!G21</f>
        <v>3.9002505599999999</v>
      </c>
      <c r="L15" s="46">
        <f>Outputs│Tables!H21</f>
        <v>3.0898439451767024</v>
      </c>
      <c r="M15" s="46">
        <f>Outputs│Tables!I21</f>
        <v>4.0314148900000006</v>
      </c>
      <c r="N15" s="46">
        <f>Outputs│Tables!J21</f>
        <v>3.8455995700000001</v>
      </c>
      <c r="O15" s="46">
        <f>Outputs│Tables!K21</f>
        <v>4.2595279600000007</v>
      </c>
      <c r="P15" s="46"/>
      <c r="Q15" s="46"/>
      <c r="R15" s="46"/>
      <c r="S15" s="46"/>
      <c r="T15" s="46"/>
      <c r="U15" s="46"/>
      <c r="V15" s="46"/>
    </row>
    <row r="16" spans="1:23" x14ac:dyDescent="0.25">
      <c r="I16" s="6" t="s">
        <v>75</v>
      </c>
      <c r="J16" s="6" t="s">
        <v>115</v>
      </c>
      <c r="K16" s="46"/>
      <c r="L16" s="46"/>
      <c r="M16" s="46">
        <f>'Input│ Historic Opex'!F43/1000</f>
        <v>4.2095766244158543</v>
      </c>
      <c r="N16" s="46">
        <f>'Input│ Historic Opex'!G43/1000</f>
        <v>3.5587163627011495</v>
      </c>
      <c r="O16" s="46">
        <f>'Input│ Historic Opex'!H43/1000</f>
        <v>3.7119726796276478</v>
      </c>
      <c r="P16" s="46"/>
      <c r="Q16" s="46"/>
    </row>
    <row r="17" spans="5:22" x14ac:dyDescent="0.25">
      <c r="I17" s="6" t="s">
        <v>76</v>
      </c>
      <c r="J17" s="6" t="s">
        <v>115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46">
        <f>Calc│Forecast!F88/1000</f>
        <v>4.6483294902107355</v>
      </c>
      <c r="S17" s="46">
        <f>Calc│Forecast!G88/1000</f>
        <v>4.8113772774592434</v>
      </c>
      <c r="T17" s="46">
        <f>Calc│Forecast!H88/1000</f>
        <v>4.9727667813596366</v>
      </c>
      <c r="U17" s="46">
        <f>Calc│Forecast!I88/1000</f>
        <v>5.1271037821468184</v>
      </c>
      <c r="V17" s="46">
        <f>Calc│Forecast!J88/1000</f>
        <v>5.270221945223029</v>
      </c>
    </row>
    <row r="19" spans="5:22" x14ac:dyDescent="0.25">
      <c r="M19" s="6" t="s">
        <v>117</v>
      </c>
      <c r="N19" s="6" t="s">
        <v>118</v>
      </c>
      <c r="O19" s="6" t="s">
        <v>119</v>
      </c>
      <c r="P19" s="6" t="s">
        <v>120</v>
      </c>
      <c r="Q19" s="6" t="s">
        <v>121</v>
      </c>
    </row>
    <row r="20" spans="5:22" x14ac:dyDescent="0.25">
      <c r="I20" s="6" t="str">
        <f>I15</f>
        <v>Operating Expenditure (actual)</v>
      </c>
      <c r="J20" s="6" t="s">
        <v>116</v>
      </c>
      <c r="M20" s="53">
        <f>M15/'Input│ Other'!C$15</f>
        <v>4.6043364250266112</v>
      </c>
      <c r="N20" s="53">
        <f>N15/'Input│ Other'!D$15</f>
        <v>4.2671013634765176</v>
      </c>
      <c r="O20" s="53">
        <f>O15/'Input│ Other'!E$15</f>
        <v>4.664442357133896</v>
      </c>
      <c r="P20" s="53">
        <f>Outputs│Tables!L21/'Input│ Other'!F$15</f>
        <v>5.0035114895545281</v>
      </c>
      <c r="Q20" s="53">
        <f>Outputs│Tables!M21/'Input│ Other'!G$15</f>
        <v>4.7241823599317696</v>
      </c>
      <c r="R20" s="53"/>
      <c r="S20" s="53"/>
      <c r="T20" s="53"/>
      <c r="U20" s="53"/>
      <c r="V20" s="53"/>
    </row>
    <row r="21" spans="5:22" x14ac:dyDescent="0.25">
      <c r="I21" s="6" t="str">
        <f>I16</f>
        <v>AER Forecast</v>
      </c>
      <c r="J21" s="6" t="s">
        <v>116</v>
      </c>
      <c r="M21" s="53">
        <f>M16/'Input│ Other'!C$15</f>
        <v>4.8078174820995621</v>
      </c>
      <c r="N21" s="53">
        <f>N16/'Input│ Other'!D$15</f>
        <v>3.9487739602353522</v>
      </c>
      <c r="O21" s="53">
        <f>O16/'Input│ Other'!E$15</f>
        <v>4.0648360001325132</v>
      </c>
      <c r="P21" s="53">
        <f>'Input│ Historic Opex'!I43/1000/'Input│ Other'!F$15</f>
        <v>4.0116098170205454</v>
      </c>
      <c r="Q21" s="53">
        <f>'Input│ Historic Opex'!J43/1000/'Input│ Other'!G$15</f>
        <v>4.0427657519976359</v>
      </c>
      <c r="R21" s="53"/>
      <c r="S21" s="53"/>
      <c r="T21" s="53"/>
      <c r="U21" s="53"/>
      <c r="V21" s="53"/>
    </row>
    <row r="22" spans="5:22" x14ac:dyDescent="0.25">
      <c r="I22" s="6" t="str">
        <f>I17</f>
        <v>Operating Expenditure (forecast)</v>
      </c>
      <c r="J22" s="6" t="s">
        <v>116</v>
      </c>
      <c r="M22" s="53">
        <f>R17/'Input│ Other'!H$15</f>
        <v>4.8280084787199913</v>
      </c>
      <c r="N22" s="53">
        <f>S17/'Input│ Other'!I$15</f>
        <v>4.9316617093957236</v>
      </c>
      <c r="O22" s="53">
        <f>T17/'Input│ Other'!J$15</f>
        <v>4.9727667813596366</v>
      </c>
      <c r="P22" s="53">
        <f>U17/'Input│ Other'!K$15</f>
        <v>5.0020524703871407</v>
      </c>
      <c r="Q22" s="53">
        <f>V17/'Input│ Other'!L$15</f>
        <v>5.0162731185941993</v>
      </c>
    </row>
    <row r="32" spans="5:22" ht="20" thickBot="1" x14ac:dyDescent="0.5">
      <c r="E32" s="3" t="s">
        <v>77</v>
      </c>
    </row>
    <row r="33" ht="13" thickTop="1" x14ac:dyDescent="0.25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62742F5CF51D45B811E29E0478FBC6" ma:contentTypeVersion="0" ma:contentTypeDescription="Create a new document." ma:contentTypeScope="" ma:versionID="52baacfb7867dde9fed9afbe2062af3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4C9033-BEA0-4CF3-AFD4-58B5CD206D4F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8AE2539-F0C8-46F9-9D7D-77373B2638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276A333-00C1-4980-8914-34D28F0E111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Input│ Historic Opex</vt:lpstr>
      <vt:lpstr>Input│ Other</vt:lpstr>
      <vt:lpstr>Input│ End of life</vt:lpstr>
      <vt:lpstr>Input│ Forecast</vt:lpstr>
      <vt:lpstr>Input│ Insurance</vt:lpstr>
      <vt:lpstr>Calc│Forecast</vt:lpstr>
      <vt:lpstr>Outputs│PTRM</vt:lpstr>
      <vt:lpstr>Outputs│Tables</vt:lpstr>
      <vt:lpstr>Outputs│Graphs</vt:lpstr>
      <vt:lpstr>Outputs│Tables!_Toc26534795</vt:lpstr>
    </vt:vector>
  </TitlesOfParts>
  <Company>APA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3-4 - Directlink - Operating expenditure model - 20191209 - Public</dc:title>
  <dc:creator>Allen, Mark</dc:creator>
  <cp:lastModifiedBy>Jane Kelly</cp:lastModifiedBy>
  <dcterms:created xsi:type="dcterms:W3CDTF">2018-10-03T00:58:45Z</dcterms:created>
  <dcterms:modified xsi:type="dcterms:W3CDTF">2019-12-11T01:32:34Z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0x010100DF62742F5CF51D45B811E29E0478FBC6</vt:lpwstr>
  </property>
  <property fmtid="{D5CDD505-2E9C-101B-9397-08002B2CF9AE}" pid="3" name="_MarkAsFinal">
    <vt:bool>true</vt:bool>
  </property>
</Properties>
</file>