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9001"/>
  <workbookPr codeName="ThisWorkbook" defaultThemeVersion="124226"/>
  <mc:AlternateContent xmlns:mc="http://schemas.openxmlformats.org/markup-compatibility/2006">
    <mc:Choice Requires="x15">
      <x15ac:absPath xmlns:x15ac="http://schemas.microsoft.com/office/spreadsheetml/2010/11/ac" url="G:\Coy1-Fin\Reg_Affairs\Regulated Pricing\Network\Price Submission 1 July 2018\"/>
    </mc:Choice>
  </mc:AlternateContent>
  <bookViews>
    <workbookView xWindow="600" yWindow="60" windowWidth="14145" windowHeight="8085" tabRatio="837" xr2:uid="{00000000-000D-0000-FFFF-FFFF00000000}"/>
  </bookViews>
  <sheets>
    <sheet name="Price List_Excl GST" sheetId="3" r:id="rId1"/>
    <sheet name="Price List_Incl GST" sheetId="11" r:id="rId2"/>
    <sheet name="Price List_DUOS_Excl GST" sheetId="10" r:id="rId3"/>
    <sheet name="Price List_TUOS_Excl GST" sheetId="9" r:id="rId4"/>
    <sheet name="Price List_CCF_Excl GST" sheetId="8" r:id="rId5"/>
    <sheet name="Price List_QSS_Excl GST" sheetId="12" r:id="rId6"/>
    <sheet name="Explanatory Notes" sheetId="13" r:id="rId7"/>
  </sheets>
  <externalReferences>
    <externalReference r:id="rId8"/>
    <externalReference r:id="rId9"/>
  </externalReferences>
  <definedNames>
    <definedName name="_xlnm.Print_Area" localSheetId="6">'Explanatory Notes'!$A$1:$B$41</definedName>
    <definedName name="_xlnm.Print_Area" localSheetId="4">'Price List_CCF_Excl GST'!$B$2:$N$43</definedName>
    <definedName name="_xlnm.Print_Area" localSheetId="2">'Price List_DUOS_Excl GST'!$B$2:$N$43</definedName>
    <definedName name="_xlnm.Print_Area" localSheetId="0">'Price List_Excl GST'!$B$2:$P$73</definedName>
    <definedName name="_xlnm.Print_Area" localSheetId="1">'Price List_Incl GST'!$A$1:$P$58</definedName>
    <definedName name="_xlnm.Print_Area" localSheetId="5">'Price List_QSS_Excl GST'!$B$2:$N$43</definedName>
    <definedName name="_xlnm.Print_Area" localSheetId="3">'Price List_TUOS_Excl GST'!$B$2:$N$43</definedName>
    <definedName name="YEAR">[1]Outcomes!$B$4</definedName>
  </definedNames>
  <calcPr calcId="171027" calcMode="manual"/>
</workbook>
</file>

<file path=xl/calcChain.xml><?xml version="1.0" encoding="utf-8"?>
<calcChain xmlns="http://schemas.openxmlformats.org/spreadsheetml/2006/main">
  <c r="M43" i="12" l="1"/>
  <c r="I43" i="12"/>
  <c r="H43" i="12"/>
  <c r="G43" i="12"/>
  <c r="F43" i="12"/>
  <c r="E43" i="12"/>
  <c r="I42" i="12"/>
  <c r="H42" i="12"/>
  <c r="G42" i="12"/>
  <c r="F42" i="12"/>
  <c r="E42" i="12"/>
  <c r="M41" i="12"/>
  <c r="I41" i="12"/>
  <c r="H41" i="12"/>
  <c r="G41" i="12"/>
  <c r="F41" i="12"/>
  <c r="E41" i="12"/>
  <c r="M40" i="12"/>
  <c r="I40" i="12"/>
  <c r="H40" i="12"/>
  <c r="G40" i="12"/>
  <c r="F40" i="12"/>
  <c r="E40" i="12"/>
  <c r="I39" i="12"/>
  <c r="H39" i="12"/>
  <c r="G39" i="12"/>
  <c r="F39" i="12"/>
  <c r="E39" i="12"/>
  <c r="J31" i="12" l="1"/>
  <c r="I31" i="12"/>
  <c r="H31" i="12"/>
  <c r="F31" i="12"/>
  <c r="G30" i="12"/>
  <c r="F30" i="12"/>
  <c r="M28" i="12"/>
  <c r="L28" i="12"/>
  <c r="K28" i="12"/>
  <c r="J28" i="12"/>
  <c r="I28" i="12"/>
  <c r="H28" i="12"/>
  <c r="F28" i="12"/>
  <c r="M27" i="12"/>
  <c r="L27" i="12"/>
  <c r="K27" i="12"/>
  <c r="J27" i="12"/>
  <c r="I27" i="12"/>
  <c r="H27" i="12"/>
  <c r="F27" i="12"/>
  <c r="M26" i="12"/>
  <c r="L26" i="12"/>
  <c r="K26" i="12"/>
  <c r="J26" i="12"/>
  <c r="I26" i="12"/>
  <c r="H26" i="12"/>
  <c r="F26" i="12"/>
  <c r="K25" i="12"/>
  <c r="F25" i="12"/>
  <c r="M24" i="12"/>
  <c r="L24" i="12"/>
  <c r="K24" i="12"/>
  <c r="F24" i="12"/>
  <c r="M23" i="12"/>
  <c r="L23" i="12"/>
  <c r="K23" i="12"/>
  <c r="F23" i="12"/>
  <c r="M22" i="12"/>
  <c r="L22" i="12"/>
  <c r="K22" i="12"/>
  <c r="F22" i="12"/>
  <c r="F21" i="12"/>
  <c r="K20" i="12"/>
  <c r="F20" i="12"/>
  <c r="F19" i="12"/>
  <c r="F18" i="12"/>
  <c r="F17" i="12"/>
  <c r="F15" i="12"/>
  <c r="F14" i="12"/>
  <c r="K12" i="12"/>
  <c r="F12" i="12"/>
  <c r="F11" i="12"/>
  <c r="F10" i="12"/>
  <c r="F9" i="12"/>
  <c r="F31" i="8"/>
  <c r="F30" i="8"/>
  <c r="M28" i="8"/>
  <c r="L28" i="8"/>
  <c r="K28" i="8"/>
  <c r="F28" i="8"/>
  <c r="M27" i="8"/>
  <c r="L27" i="8"/>
  <c r="K27" i="8"/>
  <c r="F27" i="8"/>
  <c r="M26" i="8"/>
  <c r="L26" i="8"/>
  <c r="K26" i="8"/>
  <c r="F26" i="8"/>
  <c r="K25" i="8"/>
  <c r="F25" i="8"/>
  <c r="M24" i="8"/>
  <c r="L24" i="8"/>
  <c r="K24" i="8"/>
  <c r="F24" i="8"/>
  <c r="M23" i="8"/>
  <c r="L23" i="8"/>
  <c r="K23" i="8"/>
  <c r="F23" i="8"/>
  <c r="M22" i="8"/>
  <c r="L22" i="8"/>
  <c r="K22" i="8"/>
  <c r="F22" i="8"/>
  <c r="F21" i="8"/>
  <c r="K20" i="8"/>
  <c r="F20" i="8"/>
  <c r="F19" i="8"/>
  <c r="F18" i="8"/>
  <c r="F17" i="8"/>
  <c r="F15" i="8"/>
  <c r="F14" i="8"/>
  <c r="K12" i="8"/>
  <c r="F12" i="8"/>
  <c r="F11" i="8"/>
  <c r="F10" i="8"/>
  <c r="F9" i="8"/>
  <c r="M43" i="8"/>
  <c r="I43" i="8"/>
  <c r="E43" i="8"/>
  <c r="I42" i="8"/>
  <c r="E42" i="8"/>
  <c r="M41" i="8"/>
  <c r="I41" i="8"/>
  <c r="E41" i="8"/>
  <c r="M40" i="8"/>
  <c r="I40" i="8"/>
  <c r="E40" i="8"/>
  <c r="I39" i="8"/>
  <c r="E39" i="8"/>
  <c r="M43" i="9"/>
  <c r="I43" i="9"/>
  <c r="E43" i="9"/>
  <c r="I42" i="9"/>
  <c r="E42" i="9"/>
  <c r="M41" i="9"/>
  <c r="I41" i="9"/>
  <c r="E41" i="9"/>
  <c r="M40" i="9"/>
  <c r="I40" i="9"/>
  <c r="E40" i="9"/>
  <c r="I39" i="9"/>
  <c r="E39" i="9"/>
  <c r="F31" i="9"/>
  <c r="F30" i="9"/>
  <c r="M28" i="9"/>
  <c r="L28" i="9"/>
  <c r="K28" i="9"/>
  <c r="F28" i="9"/>
  <c r="M27" i="9"/>
  <c r="L27" i="9"/>
  <c r="K27" i="9"/>
  <c r="F27" i="9"/>
  <c r="M26" i="9"/>
  <c r="L26" i="9"/>
  <c r="K26" i="9"/>
  <c r="F26" i="9"/>
  <c r="K25" i="9"/>
  <c r="F25" i="9"/>
  <c r="M24" i="9"/>
  <c r="L24" i="9"/>
  <c r="K24" i="9"/>
  <c r="F24" i="9"/>
  <c r="M23" i="9"/>
  <c r="L23" i="9"/>
  <c r="K23" i="9"/>
  <c r="F23" i="9"/>
  <c r="M22" i="9"/>
  <c r="L22" i="9"/>
  <c r="K22" i="9"/>
  <c r="F22" i="9"/>
  <c r="F21" i="9"/>
  <c r="K20" i="9"/>
  <c r="F20" i="9"/>
  <c r="F19" i="9"/>
  <c r="F18" i="9"/>
  <c r="F17" i="9"/>
  <c r="F15" i="9"/>
  <c r="F14" i="9"/>
  <c r="K12" i="9"/>
  <c r="F12" i="9"/>
  <c r="F11" i="9"/>
  <c r="F10" i="9"/>
  <c r="F9" i="9"/>
  <c r="J24" i="12" l="1"/>
  <c r="I24" i="12"/>
  <c r="H24" i="12"/>
  <c r="J22" i="12"/>
  <c r="I22" i="12"/>
  <c r="H22" i="12"/>
  <c r="J25" i="12"/>
  <c r="I25" i="12"/>
  <c r="H25" i="12"/>
  <c r="J23" i="12"/>
  <c r="I23" i="12"/>
  <c r="H23" i="12"/>
  <c r="J20" i="12"/>
  <c r="I20" i="12"/>
  <c r="H20" i="12"/>
  <c r="J21" i="12"/>
  <c r="I21" i="12"/>
  <c r="H21" i="12"/>
  <c r="J19" i="12"/>
  <c r="I19" i="12"/>
  <c r="H19" i="12"/>
  <c r="J18" i="12"/>
  <c r="I18" i="12"/>
  <c r="H18" i="12"/>
  <c r="G17" i="12"/>
  <c r="G15" i="12"/>
  <c r="G14" i="12"/>
  <c r="J12" i="12"/>
  <c r="I12" i="12"/>
  <c r="H12" i="12"/>
  <c r="J11" i="12"/>
  <c r="I11" i="12"/>
  <c r="H11" i="12"/>
  <c r="J10" i="12"/>
  <c r="I10" i="12"/>
  <c r="H10" i="12"/>
  <c r="G9" i="12"/>
  <c r="H28" i="10" l="1"/>
  <c r="L28" i="10"/>
  <c r="K23" i="10"/>
  <c r="I28" i="10"/>
  <c r="M28" i="10"/>
  <c r="M23" i="10"/>
  <c r="J28" i="10"/>
  <c r="L23" i="10"/>
  <c r="F28" i="10"/>
  <c r="K28" i="10"/>
  <c r="K25" i="10"/>
  <c r="H20" i="10" l="1"/>
  <c r="I20" i="10"/>
  <c r="F18" i="10" l="1"/>
  <c r="J20" i="10"/>
  <c r="K20" i="10" l="1"/>
  <c r="H23" i="10" l="1"/>
  <c r="I25" i="10"/>
  <c r="E39" i="10"/>
  <c r="J24" i="10"/>
  <c r="F40" i="10"/>
  <c r="G41" i="10"/>
  <c r="J23" i="10"/>
  <c r="F25" i="10"/>
  <c r="H24" i="10"/>
  <c r="G39" i="10"/>
  <c r="H40" i="10"/>
  <c r="I40" i="10"/>
  <c r="E41" i="10"/>
  <c r="I23" i="10"/>
  <c r="J25" i="10"/>
  <c r="E40" i="10"/>
  <c r="F39" i="10"/>
  <c r="G40" i="10"/>
  <c r="H41" i="10"/>
  <c r="I39" i="10"/>
  <c r="F23" i="10"/>
  <c r="H25" i="10"/>
  <c r="F24" i="10"/>
  <c r="I24" i="10"/>
  <c r="H39" i="10"/>
  <c r="F41" i="10"/>
  <c r="I41" i="10"/>
  <c r="M41" i="10"/>
  <c r="E43" i="10" l="1"/>
  <c r="G43" i="10"/>
  <c r="G30" i="10"/>
  <c r="H43" i="10"/>
  <c r="F30" i="10"/>
  <c r="I43" i="10"/>
  <c r="H31" i="10"/>
  <c r="F43" i="10"/>
  <c r="M43" i="10"/>
  <c r="I31" i="10"/>
  <c r="J28" i="9"/>
  <c r="I28" i="9"/>
  <c r="I27" i="9"/>
  <c r="I26" i="9"/>
  <c r="F43" i="9"/>
  <c r="H26" i="9"/>
  <c r="H27" i="9"/>
  <c r="F42" i="9"/>
  <c r="J31" i="8" l="1"/>
  <c r="I31" i="8"/>
  <c r="H31" i="8"/>
  <c r="G30" i="8"/>
  <c r="J28" i="8"/>
  <c r="I28" i="8"/>
  <c r="H28" i="8"/>
  <c r="J27" i="8"/>
  <c r="I27" i="8"/>
  <c r="H27" i="8"/>
  <c r="J26" i="8"/>
  <c r="I26" i="8"/>
  <c r="H26" i="8"/>
  <c r="H43" i="8"/>
  <c r="G43" i="8"/>
  <c r="F43" i="8"/>
  <c r="H42" i="8"/>
  <c r="G42" i="8"/>
  <c r="F42" i="8"/>
  <c r="J20" i="8"/>
  <c r="I20" i="8"/>
  <c r="H20" i="8"/>
  <c r="J22" i="8"/>
  <c r="I22" i="8"/>
  <c r="H22" i="8"/>
  <c r="J25" i="8"/>
  <c r="I25" i="8"/>
  <c r="H25" i="8"/>
  <c r="J24" i="8"/>
  <c r="I24" i="8"/>
  <c r="H24" i="8"/>
  <c r="J23" i="8"/>
  <c r="I23" i="8"/>
  <c r="H23" i="8"/>
  <c r="H41" i="8"/>
  <c r="G41" i="8"/>
  <c r="F41" i="8"/>
  <c r="H40" i="8"/>
  <c r="G40" i="8"/>
  <c r="F40" i="8"/>
  <c r="H39" i="8"/>
  <c r="G39" i="8"/>
  <c r="F39" i="8"/>
  <c r="J19" i="8"/>
  <c r="I19" i="8"/>
  <c r="H19" i="8"/>
  <c r="J18" i="8"/>
  <c r="I18" i="8"/>
  <c r="H18" i="8"/>
  <c r="J21" i="8"/>
  <c r="I21" i="8"/>
  <c r="H21" i="8"/>
  <c r="G17" i="8"/>
  <c r="J12" i="8"/>
  <c r="I12" i="8"/>
  <c r="H12" i="8"/>
  <c r="J11" i="8"/>
  <c r="I11" i="8"/>
  <c r="H11" i="8"/>
  <c r="J10" i="8"/>
  <c r="I10" i="8"/>
  <c r="H10" i="8"/>
  <c r="G15" i="8"/>
  <c r="G14" i="8"/>
  <c r="G9" i="8"/>
  <c r="G17" i="9" l="1"/>
  <c r="G9" i="9"/>
  <c r="G9" i="10" l="1"/>
  <c r="G17" i="10"/>
  <c r="G30" i="9"/>
  <c r="I18" i="10" l="1"/>
  <c r="I12" i="10"/>
  <c r="I26" i="10"/>
  <c r="F14" i="10"/>
  <c r="F17" i="10"/>
  <c r="I10" i="10"/>
  <c r="J11" i="10"/>
  <c r="H21" i="10"/>
  <c r="H19" i="10"/>
  <c r="F20" i="10"/>
  <c r="K24" i="10"/>
  <c r="F26" i="10"/>
  <c r="H42" i="10"/>
  <c r="H27" i="10"/>
  <c r="K26" i="10"/>
  <c r="L27" i="10"/>
  <c r="F9" i="10"/>
  <c r="F15" i="10"/>
  <c r="J10" i="10"/>
  <c r="I21" i="10"/>
  <c r="H18" i="10"/>
  <c r="I19" i="10"/>
  <c r="H12" i="10"/>
  <c r="L24" i="10"/>
  <c r="K12" i="10"/>
  <c r="F27" i="10"/>
  <c r="H26" i="10"/>
  <c r="I27" i="10"/>
  <c r="L26" i="10"/>
  <c r="M27" i="10"/>
  <c r="G14" i="10"/>
  <c r="F10" i="10"/>
  <c r="F19" i="10"/>
  <c r="H11" i="10"/>
  <c r="J21" i="10"/>
  <c r="J19" i="10"/>
  <c r="M24" i="10"/>
  <c r="M40" i="10"/>
  <c r="F42" i="10"/>
  <c r="J27" i="10"/>
  <c r="M26" i="10"/>
  <c r="J31" i="10"/>
  <c r="G15" i="10"/>
  <c r="F11" i="10"/>
  <c r="H10" i="10"/>
  <c r="I11" i="10"/>
  <c r="J18" i="10"/>
  <c r="F12" i="10"/>
  <c r="J12" i="10"/>
  <c r="E42" i="10"/>
  <c r="G42" i="10"/>
  <c r="J26" i="10"/>
  <c r="I42" i="10"/>
  <c r="K27" i="10"/>
  <c r="L22" i="10" l="1"/>
  <c r="F21" i="10"/>
  <c r="M22" i="10"/>
  <c r="K22" i="10"/>
  <c r="H22" i="10"/>
  <c r="J22" i="10"/>
  <c r="I22" i="10"/>
  <c r="F22" i="10" l="1"/>
  <c r="G43" i="9" l="1"/>
  <c r="G42" i="9"/>
  <c r="H25" i="9"/>
  <c r="H24" i="9"/>
  <c r="H23" i="9"/>
  <c r="F41" i="9"/>
  <c r="F40" i="9"/>
  <c r="F39" i="9"/>
  <c r="H18" i="9"/>
  <c r="H21" i="9"/>
  <c r="H10" i="9"/>
  <c r="I25" i="9"/>
  <c r="I24" i="9"/>
  <c r="I23" i="9"/>
  <c r="G41" i="9"/>
  <c r="G40" i="9"/>
  <c r="G39" i="9"/>
  <c r="I21" i="9"/>
  <c r="H22" i="9" l="1"/>
  <c r="I22" i="9"/>
  <c r="H31" i="9"/>
  <c r="F9" i="3" l="1"/>
  <c r="G14" i="9" l="1"/>
  <c r="F11" i="3" l="1"/>
  <c r="F12" i="3" l="1"/>
  <c r="L30" i="3"/>
  <c r="G25" i="3"/>
  <c r="G9" i="3"/>
  <c r="I55" i="11" l="1"/>
  <c r="H54" i="3"/>
  <c r="K33" i="3"/>
  <c r="L34" i="3"/>
  <c r="F31" i="3"/>
  <c r="F34" i="3"/>
  <c r="K34" i="3"/>
  <c r="L31" i="3"/>
  <c r="M31" i="3"/>
  <c r="M32" i="3"/>
  <c r="K31" i="3"/>
  <c r="M34" i="3"/>
  <c r="L32" i="3"/>
  <c r="F33" i="3"/>
  <c r="F32" i="3"/>
  <c r="K32" i="3"/>
  <c r="H34" i="3"/>
  <c r="F38" i="11" l="1"/>
  <c r="F38" i="3"/>
  <c r="F54" i="11"/>
  <c r="E53" i="3"/>
  <c r="H35" i="3"/>
  <c r="D51" i="3"/>
  <c r="D52" i="11"/>
  <c r="F55" i="11"/>
  <c r="E54" i="3"/>
  <c r="I51" i="11"/>
  <c r="H50" i="3"/>
  <c r="D50" i="3"/>
  <c r="D51" i="11"/>
  <c r="M52" i="11"/>
  <c r="L51" i="3"/>
  <c r="H52" i="3"/>
  <c r="I53" i="11"/>
  <c r="H51" i="3"/>
  <c r="I52" i="11"/>
  <c r="F35" i="3"/>
  <c r="I54" i="11"/>
  <c r="H53" i="3"/>
  <c r="K35" i="3"/>
  <c r="M35" i="3"/>
  <c r="D54" i="11"/>
  <c r="D53" i="3"/>
  <c r="L35" i="3"/>
  <c r="D54" i="3"/>
  <c r="D55" i="11"/>
  <c r="M55" i="11"/>
  <c r="L54" i="3"/>
  <c r="M30" i="3"/>
  <c r="K30" i="3"/>
  <c r="H28" i="9"/>
  <c r="J27" i="9"/>
  <c r="J26" i="9"/>
  <c r="I34" i="3"/>
  <c r="H43" i="9"/>
  <c r="H42" i="9"/>
  <c r="J25" i="9"/>
  <c r="J24" i="9"/>
  <c r="J23" i="9"/>
  <c r="H41" i="9"/>
  <c r="H40" i="9"/>
  <c r="H39" i="9"/>
  <c r="J18" i="9"/>
  <c r="I18" i="9"/>
  <c r="H19" i="9"/>
  <c r="J21" i="9"/>
  <c r="J10" i="9"/>
  <c r="I10" i="9"/>
  <c r="H11" i="9"/>
  <c r="G15" i="9"/>
  <c r="G55" i="11" l="1"/>
  <c r="F54" i="3"/>
  <c r="I35" i="3"/>
  <c r="F53" i="3"/>
  <c r="G54" i="11"/>
  <c r="J31" i="9"/>
  <c r="I31" i="9"/>
  <c r="J22" i="9"/>
  <c r="I11" i="9"/>
  <c r="J19" i="9"/>
  <c r="J11" i="9"/>
  <c r="I19" i="9"/>
  <c r="H12" i="9"/>
  <c r="H11" i="3"/>
  <c r="H20" i="9"/>
  <c r="H27" i="3"/>
  <c r="J33" i="3"/>
  <c r="H31" i="3"/>
  <c r="J32" i="3"/>
  <c r="H29" i="3"/>
  <c r="I32" i="3"/>
  <c r="J29" i="3"/>
  <c r="I31" i="3"/>
  <c r="H33" i="3"/>
  <c r="J34" i="3"/>
  <c r="G14" i="3"/>
  <c r="J10" i="3"/>
  <c r="J26" i="3"/>
  <c r="G15" i="3"/>
  <c r="I29" i="3"/>
  <c r="H10" i="3"/>
  <c r="H26" i="3"/>
  <c r="I10" i="3"/>
  <c r="I26" i="3"/>
  <c r="J31" i="3"/>
  <c r="H32" i="3"/>
  <c r="I33" i="3"/>
  <c r="F31" i="10" l="1"/>
  <c r="E51" i="3"/>
  <c r="F52" i="11"/>
  <c r="G52" i="11"/>
  <c r="F51" i="3"/>
  <c r="G38" i="11"/>
  <c r="G38" i="3"/>
  <c r="H52" i="11"/>
  <c r="G51" i="3"/>
  <c r="F53" i="11"/>
  <c r="E52" i="3"/>
  <c r="G51" i="11"/>
  <c r="F50" i="3"/>
  <c r="H39" i="11"/>
  <c r="H39" i="3"/>
  <c r="J35" i="3"/>
  <c r="I39" i="11"/>
  <c r="I39" i="3"/>
  <c r="G53" i="3"/>
  <c r="H54" i="11"/>
  <c r="F51" i="11"/>
  <c r="E50" i="3"/>
  <c r="G53" i="11"/>
  <c r="F52" i="3"/>
  <c r="H51" i="11"/>
  <c r="G50" i="3"/>
  <c r="H55" i="11"/>
  <c r="G54" i="3"/>
  <c r="H53" i="11"/>
  <c r="G52" i="3"/>
  <c r="I12" i="9"/>
  <c r="J11" i="3"/>
  <c r="I11" i="3"/>
  <c r="I27" i="3"/>
  <c r="J27" i="3"/>
  <c r="J20" i="9"/>
  <c r="J30" i="3"/>
  <c r="H30" i="3"/>
  <c r="I20" i="9"/>
  <c r="H12" i="3"/>
  <c r="I30" i="3"/>
  <c r="I12" i="3"/>
  <c r="H28" i="3"/>
  <c r="J39" i="11" l="1"/>
  <c r="J39" i="3"/>
  <c r="J12" i="3"/>
  <c r="J12" i="9"/>
  <c r="F39" i="3"/>
  <c r="F39" i="11"/>
  <c r="I28" i="3"/>
  <c r="J28" i="3"/>
  <c r="F25" i="3" l="1"/>
  <c r="F29" i="3" l="1"/>
  <c r="F14" i="3"/>
  <c r="F10" i="3" l="1"/>
  <c r="F15" i="3"/>
  <c r="F26" i="3"/>
  <c r="F30" i="3"/>
  <c r="F27" i="3" l="1"/>
  <c r="F28" i="3"/>
  <c r="L36" i="3" l="1"/>
  <c r="H36" i="3"/>
  <c r="J36" i="3"/>
  <c r="K36" i="3"/>
  <c r="I36" i="3"/>
  <c r="F36" i="3"/>
  <c r="M36" i="3"/>
  <c r="K12" i="3" l="1"/>
  <c r="K28" i="3"/>
  <c r="D52" i="3" l="1"/>
  <c r="D53" i="11"/>
  <c r="M53" i="11" l="1"/>
  <c r="L52" i="3"/>
  <c r="E36" i="11" l="1"/>
  <c r="D36" i="11"/>
  <c r="B36" i="11"/>
  <c r="E35" i="11"/>
  <c r="D35" i="11"/>
  <c r="B35" i="11"/>
  <c r="E34" i="11"/>
  <c r="D34" i="11"/>
  <c r="B34" i="11"/>
  <c r="E33" i="11"/>
  <c r="D33" i="11"/>
  <c r="B33" i="11"/>
  <c r="E32" i="11"/>
  <c r="D32" i="11"/>
  <c r="B32" i="11"/>
  <c r="E31" i="11"/>
  <c r="D31" i="11"/>
  <c r="B31" i="11"/>
  <c r="E30" i="11"/>
  <c r="D30" i="11"/>
  <c r="B30" i="11"/>
  <c r="E29" i="11"/>
  <c r="D29" i="11"/>
  <c r="C29" i="11"/>
  <c r="B29" i="11"/>
  <c r="E28" i="11"/>
  <c r="D28" i="11"/>
  <c r="B28" i="11"/>
  <c r="E27" i="11"/>
  <c r="D27" i="11"/>
  <c r="B27" i="11"/>
  <c r="E26" i="11"/>
  <c r="D26" i="11"/>
  <c r="B26" i="11"/>
  <c r="E25" i="11"/>
  <c r="D25" i="11"/>
  <c r="B25" i="11"/>
  <c r="E23" i="11"/>
  <c r="D23" i="11"/>
  <c r="E22" i="11"/>
  <c r="D22" i="11"/>
  <c r="E21" i="11"/>
  <c r="D21" i="11"/>
  <c r="E20" i="11"/>
  <c r="D20" i="11"/>
  <c r="E19" i="11"/>
  <c r="D19" i="11"/>
  <c r="E18" i="11"/>
  <c r="D18" i="11"/>
  <c r="E17" i="11"/>
  <c r="D17" i="11"/>
  <c r="B23" i="11"/>
  <c r="B22" i="11"/>
  <c r="B21" i="11"/>
  <c r="B20" i="11"/>
  <c r="B19" i="11"/>
  <c r="B18" i="11"/>
  <c r="B17" i="11"/>
  <c r="E15" i="11"/>
  <c r="D15" i="11"/>
  <c r="B15" i="11"/>
  <c r="E14" i="11"/>
  <c r="D14" i="11"/>
  <c r="B14" i="11"/>
  <c r="E12" i="11"/>
  <c r="D12" i="11"/>
  <c r="B12" i="11"/>
  <c r="E11" i="11"/>
  <c r="D11" i="11"/>
  <c r="B11" i="11"/>
  <c r="E10" i="11"/>
  <c r="D10" i="11"/>
  <c r="B10" i="11"/>
  <c r="E9" i="11"/>
  <c r="D9" i="11"/>
  <c r="B9" i="11"/>
  <c r="G14" i="11" l="1"/>
  <c r="F14" i="11"/>
  <c r="J12" i="11"/>
  <c r="I12" i="11"/>
  <c r="H12" i="11"/>
  <c r="K12" i="11"/>
  <c r="F12" i="11"/>
  <c r="F27" i="11"/>
  <c r="J27" i="11"/>
  <c r="I27" i="11"/>
  <c r="H27" i="11"/>
  <c r="L32" i="11"/>
  <c r="H32" i="11"/>
  <c r="K32" i="11"/>
  <c r="F32" i="11"/>
  <c r="J32" i="11"/>
  <c r="M32" i="11"/>
  <c r="I32" i="11"/>
  <c r="J36" i="11"/>
  <c r="M36" i="11"/>
  <c r="I36" i="11"/>
  <c r="L36" i="11"/>
  <c r="H36" i="11"/>
  <c r="K36" i="11"/>
  <c r="F36" i="11"/>
  <c r="K28" i="11"/>
  <c r="F28" i="11"/>
  <c r="J28" i="11"/>
  <c r="I28" i="11"/>
  <c r="H28" i="11"/>
  <c r="I33" i="11"/>
  <c r="H33" i="11"/>
  <c r="K33" i="11"/>
  <c r="F33" i="11"/>
  <c r="J33" i="11"/>
  <c r="J11" i="11"/>
  <c r="I11" i="11"/>
  <c r="H11" i="11"/>
  <c r="F11" i="11"/>
  <c r="F26" i="11"/>
  <c r="J26" i="11"/>
  <c r="I26" i="11"/>
  <c r="H26" i="11"/>
  <c r="K31" i="11"/>
  <c r="F31" i="11"/>
  <c r="J31" i="11"/>
  <c r="M31" i="11"/>
  <c r="I31" i="11"/>
  <c r="L31" i="11"/>
  <c r="H31" i="11"/>
  <c r="M35" i="11"/>
  <c r="I35" i="11"/>
  <c r="L35" i="11"/>
  <c r="H35" i="11"/>
  <c r="K35" i="11"/>
  <c r="F35" i="11"/>
  <c r="J35" i="11"/>
  <c r="G9" i="11"/>
  <c r="F9" i="11"/>
  <c r="J10" i="11"/>
  <c r="I10" i="11"/>
  <c r="H10" i="11"/>
  <c r="F10" i="11"/>
  <c r="F15" i="11"/>
  <c r="G15" i="11"/>
  <c r="G25" i="11"/>
  <c r="F25" i="11"/>
  <c r="J29" i="11"/>
  <c r="I29" i="11"/>
  <c r="H29" i="11"/>
  <c r="F29" i="11"/>
  <c r="J30" i="11"/>
  <c r="M30" i="11"/>
  <c r="I30" i="11"/>
  <c r="L30" i="11"/>
  <c r="H30" i="11"/>
  <c r="K30" i="11"/>
  <c r="F30" i="11"/>
  <c r="L34" i="11"/>
  <c r="H34" i="11"/>
  <c r="K34" i="11"/>
  <c r="F34" i="11"/>
  <c r="J34" i="11"/>
  <c r="M34" i="11"/>
  <c r="I34" i="11"/>
  <c r="B44" i="11"/>
  <c r="B3" i="11"/>
  <c r="B44" i="3"/>
  <c r="E56" i="11" l="1"/>
</calcChain>
</file>

<file path=xl/sharedStrings.xml><?xml version="1.0" encoding="utf-8"?>
<sst xmlns="http://schemas.openxmlformats.org/spreadsheetml/2006/main" count="906" uniqueCount="204">
  <si>
    <t>Tariff</t>
  </si>
  <si>
    <t>Network</t>
  </si>
  <si>
    <t>Energy</t>
  </si>
  <si>
    <t>Demand</t>
  </si>
  <si>
    <t>Peak</t>
  </si>
  <si>
    <t>Shoulder</t>
  </si>
  <si>
    <t>Off-Peak</t>
  </si>
  <si>
    <t>Capacity</t>
  </si>
  <si>
    <t>Code</t>
  </si>
  <si>
    <t>Description</t>
  </si>
  <si>
    <t>Access</t>
  </si>
  <si>
    <t>All</t>
  </si>
  <si>
    <t>Charge</t>
  </si>
  <si>
    <t>$/Day</t>
  </si>
  <si>
    <t>c/kWh</t>
  </si>
  <si>
    <t>$/kVA/M</t>
  </si>
  <si>
    <t>Residential Tariffs</t>
  </si>
  <si>
    <t>BLNE2AU</t>
  </si>
  <si>
    <t>Business Tariffs</t>
  </si>
  <si>
    <t>Controlled Load Tariffs</t>
  </si>
  <si>
    <t>BLND1SR</t>
  </si>
  <si>
    <t>BLND1SU</t>
  </si>
  <si>
    <t>BHND1CO</t>
  </si>
  <si>
    <t>BSSD3AO</t>
  </si>
  <si>
    <t>Obsolete tariffs on same rate</t>
  </si>
  <si>
    <t>BLNN2AU</t>
  </si>
  <si>
    <t>BLNT3AU</t>
  </si>
  <si>
    <t>BLNC1AU</t>
  </si>
  <si>
    <t>BLNC2AU</t>
  </si>
  <si>
    <t>BLNN1AU</t>
  </si>
  <si>
    <t>BLNT2AU</t>
  </si>
  <si>
    <t>BLNT1AO</t>
  </si>
  <si>
    <t>BLND3AO</t>
  </si>
  <si>
    <t>BLNS1AO</t>
  </si>
  <si>
    <t>BHND3AO</t>
  </si>
  <si>
    <t>BHNS1AO</t>
  </si>
  <si>
    <t>BLNP1AO</t>
  </si>
  <si>
    <t>BLNP3AO</t>
  </si>
  <si>
    <t>Sub Trans 3 Rate Demand</t>
  </si>
  <si>
    <t>Controlled Load 1</t>
  </si>
  <si>
    <t>Controlled Load 2</t>
  </si>
  <si>
    <t>HV TOU mthly Demand</t>
  </si>
  <si>
    <t>LV Residential TOU</t>
  </si>
  <si>
    <t xml:space="preserve">LV TOU &lt;100MWh </t>
  </si>
  <si>
    <t>BLNN3AO</t>
  </si>
  <si>
    <t>Unmetered Tariffs</t>
  </si>
  <si>
    <t>Obsolete Tariffs - Not applicable to new connections</t>
  </si>
  <si>
    <t>LV TOU Demand 3 Rate</t>
  </si>
  <si>
    <t>LV TOU Demand 1 Rate</t>
  </si>
  <si>
    <t>Application</t>
  </si>
  <si>
    <t>Customer specific prices</t>
  </si>
  <si>
    <t>Subtransmission or Inter Distributor Transfers</t>
  </si>
  <si>
    <t>Various</t>
  </si>
  <si>
    <t>Obsolete</t>
  </si>
  <si>
    <t>LV 1 Rate Demand Sth Urban</t>
  </si>
  <si>
    <t>LV 1 Rate Demand Sth Rural</t>
  </si>
  <si>
    <t>HV 1 Rate Demand Cent Urban TOU</t>
  </si>
  <si>
    <t>HV 1 Rate Demand Sth Urban</t>
  </si>
  <si>
    <t>LV TOU avg daily Demand</t>
  </si>
  <si>
    <t>HV TOU avg daily Demand</t>
  </si>
  <si>
    <t>BLNE1AU</t>
  </si>
  <si>
    <t>BLND3TO</t>
  </si>
  <si>
    <t>BLNE3AU</t>
  </si>
  <si>
    <t>BLNE4AU</t>
  </si>
  <si>
    <t>BLNE12AU</t>
  </si>
  <si>
    <t>BLNE14AU</t>
  </si>
  <si>
    <t>BLNE11AU</t>
  </si>
  <si>
    <t>NSW Solar Bonus Scheme Net</t>
  </si>
  <si>
    <t>NSW Solar Bonus Scheme Gross</t>
  </si>
  <si>
    <t>Essential Energy Customer Specific</t>
  </si>
  <si>
    <t xml:space="preserve">NSW Solar bonus scheme rebate for net metering introduced by the NSW Government and applicable to residential customers who submitted an application on or before 18th November 2010 and purchased a system on or before 27th October 2010. Refer to Section 1.1 for GST application. </t>
  </si>
  <si>
    <t xml:space="preserve">NSW Solar bonus scheme rebate for gross metering introduced by the NSW Government and applicable to residential customers who submitted an application on or before 18th November 2010 and purchased a system on or before 27th October 2010. Refer to Section 1.1 for GST application. </t>
  </si>
  <si>
    <t xml:space="preserve">NSW Solar bonus scheme rebate for net metering introduced by the NSW Government and applicable to business customers who submitted an application on or before 18th November 2010 and purchased a system on or before 27th October 2010. Refer to Section 1.1 for GST application. </t>
  </si>
  <si>
    <t xml:space="preserve">NSW Solar bonus scheme rebate for gross metering introduced by the NSW Government and applicable to business customers who submitted an application on or before 18th November 2010 and purchased a system on or before 27th October 2010. Refer to Section 1.1 for GST application. </t>
  </si>
  <si>
    <t>LV TOU Demand Alternative tariff</t>
  </si>
  <si>
    <t xml:space="preserve">BLNE13AU
</t>
  </si>
  <si>
    <t>NSW Solar bonus scheme rebate for net metering introduced by the NSW Government and applicable to residential customers who joined the scheme after 18th November 2010 or purchased a system after 27th October 2010. Refer to Section 1.1 for GST application. Discontinued from 29 April 2011.</t>
  </si>
  <si>
    <t>NSW Solar bonus scheme rebate for gross metering introduced by the NSW Government and applicable to residential customers who joined the scheme after 18th November 2010 or purchased a system after 27th October 2010.  Refer to Section 1.1 for GST application. Discontinued from 29 April 2011.</t>
  </si>
  <si>
    <t>NSW Solar bonus scheme rebate for net metering introduced by the NSW Government and applicable to business customers who joined the scheme after 18th November 2010 or purchased a system after 27th October 2010. Refer to Section 1.1 for GST application. Discontinued from 1 April 2011.</t>
  </si>
  <si>
    <t>NSW Solar bonus scheme rebate for gross metering introduced by the NSW Government and applicable to business customers who joined the scheme after 18th November 2010 or purchased a system after 27th October 2010. Refer to Section 1.1 for GST application. Discontinued from 1 April 2011.</t>
  </si>
  <si>
    <t>BHND1SO
BHTD1SO</t>
  </si>
  <si>
    <t>BLND1CO
BLND1NO</t>
  </si>
  <si>
    <t>BLNE20AU</t>
  </si>
  <si>
    <t>BLNE22AU</t>
  </si>
  <si>
    <t>BLNE21AU</t>
  </si>
  <si>
    <t>BLNE23AU</t>
  </si>
  <si>
    <t>Excluding GST</t>
  </si>
  <si>
    <t>Export Tariffs</t>
  </si>
  <si>
    <t>BLNE0AU</t>
  </si>
  <si>
    <t>Ineligible Export</t>
  </si>
  <si>
    <t>Generally for larger business use whose consumption exceeds 100 MWh per year.  The charges include a monthly maximum demand charge.  The maximum demand charge is metered on a half hour basis in kVA, which reflects the customer’s power factor.  New customers should be connected on BLND3AO.</t>
  </si>
  <si>
    <t>To all premises whose demand exceeds 72 kVA. New customers should be connected on BLND3AO.</t>
  </si>
  <si>
    <t>For larger business metered at HV Distribution System.  The charges include a monthly maximum demand charge.  The maximum demand is metered on a half hour basis in kVA, which reflects the customer’s power factor. New customers should be connected on BHND3AO.</t>
  </si>
  <si>
    <t>To business premises whose consumption is connected to the HV Distribution System. New customers should be connected on BHND3AO.</t>
  </si>
  <si>
    <t>BLNE30AU</t>
  </si>
  <si>
    <t>BLNE24AU</t>
  </si>
  <si>
    <t>BLNE25AU</t>
  </si>
  <si>
    <t>QLD Government Solar Bonus Scheme</t>
  </si>
  <si>
    <t>BLNE26AU</t>
  </si>
  <si>
    <t>BLNE27AU</t>
  </si>
  <si>
    <t xml:space="preserve">QLD Government Solar Bonus </t>
  </si>
  <si>
    <t>QLD Government Solar bonus scheme rebate for eligible residential customers located in Qld but connected to Essential Energy's Distribution Network. Discontinued 9 July 2012.</t>
  </si>
  <si>
    <t>QLD Government Solar bonus scheme rebate for eligible business customers located in Qld but connected to Essential Energy's Distribution Network. Discontinued 9 July 2012.</t>
  </si>
  <si>
    <t>QLD Government Solar bonus scheme rebate for eligible business customers located in Qld but connected to Essential Energy's Distribution Network. Discontinued 9 July 2012. This solar tariff has GST applied, please refer to Section 1.1 for GST application for other solar tariffs.</t>
  </si>
  <si>
    <t>NSW Solar Bonus Scheme Retailer Contribution</t>
  </si>
  <si>
    <t>BLND1CO
 BLND1NO</t>
  </si>
  <si>
    <t>BHND1SO
 BHTD1SO</t>
  </si>
  <si>
    <t>Tariff Code</t>
  </si>
  <si>
    <t>Obsolete Tariff Code</t>
  </si>
  <si>
    <t>LV Unmetered NUOS</t>
  </si>
  <si>
    <t>LV Public Street Lighting TOU NUOS</t>
  </si>
  <si>
    <t>Business Anytime Export gross metered</t>
  </si>
  <si>
    <t>Business Anytime Export net metered</t>
  </si>
  <si>
    <t>Residential Anytime Export gross metered</t>
  </si>
  <si>
    <t>Residential Anytime Export net metered</t>
  </si>
  <si>
    <t>Effective 1 July 2015</t>
  </si>
  <si>
    <t xml:space="preserve">LV TOU &lt;160MWh </t>
  </si>
  <si>
    <t>NSW Solar bonus scheme retailer contribution applicable to retailers who have customers on the Solar bonus scheme. Refer to Section 1.1 for GST application. From IPARTs Solar Feed-in Tariffs, dated June 2014. To be confirmed by IPART</t>
  </si>
  <si>
    <t>Essential Energy Interim Network Price List (Excluding GST)</t>
  </si>
  <si>
    <t>Explanation</t>
  </si>
  <si>
    <t xml:space="preserve">BLNT3AU LV Residential TOU  </t>
  </si>
  <si>
    <t>Premises wholly used as a private dwelling where consumption does not exceed 160 MWh per year and they have a TOU capable meter.</t>
  </si>
  <si>
    <t>BLNC1AU Controlled Load 1</t>
  </si>
  <si>
    <t>To all residential and business premises where the premise has another primary metering point present at the same metering point as the secondary load and the load is remotely controlled.  Applicable to loads such as water heating, swimming pool pumps etc.  Loads must be permanently connected or on a dedicated power circuit with indicators to show when supply is available.  Supply will be made available for 5 to 9 hours overnight on weekdays and extra hours on weekends except where the load is controlled by a time clock.  Note: This tariff is not available for the top boost element of a two element water heater for new connections.</t>
  </si>
  <si>
    <t>BLNC2AU Controlled Load 2</t>
  </si>
  <si>
    <t>To all residential and business premises where the premise has another primary metering point present and at the same metering point as the secondary load and the load is remotely controlled.  Applicable to loads such as water heating, swimming pool pumps, heat pumps etc.  Loads must be permanently connected or on a dedicated power circuit with indicators to show when supply is available.  Supply will be made available for 10 to 18 hours per day on weekdays and all hours on weekends except where the load is controlled by a time clock.</t>
  </si>
  <si>
    <t>BLNE21AU Anytime Export Gross metered</t>
  </si>
  <si>
    <t>Residential premises with a gross metered export tariff and no rebate applicable</t>
  </si>
  <si>
    <t>BLNE23AU Anytime Export Net metered</t>
  </si>
  <si>
    <t>Residential premises with a net metered export tariff and no rebate applicable</t>
  </si>
  <si>
    <t>BLNE20AU Anytime Export Gross metered</t>
  </si>
  <si>
    <t>Business premises with a gross metered export tariff and no rebate applicable</t>
  </si>
  <si>
    <t>BLNE22AU Anytime Export Net metered</t>
  </si>
  <si>
    <t>Business premises with a net metered export tariff and no rebate applicable</t>
  </si>
  <si>
    <t>BLNE0AU Ineligible Export</t>
  </si>
  <si>
    <t>Where application to connect to grid has not yet been approved.</t>
  </si>
  <si>
    <t>BLNE26AU QLD Government Solar Bonus</t>
  </si>
  <si>
    <t>BLNE27AU QLD Government Solar Bonus</t>
  </si>
  <si>
    <r>
      <t>QLD Government Solar bonus scheme for eligible business customers located in</t>
    </r>
    <r>
      <rPr>
        <b/>
        <sz val="9"/>
        <rFont val="Arial"/>
        <family val="2"/>
      </rPr>
      <t xml:space="preserve"> </t>
    </r>
    <r>
      <rPr>
        <sz val="9"/>
        <rFont val="Arial"/>
        <family val="2"/>
      </rPr>
      <t>Qld but connected to Essential Energy's Distribution Network.</t>
    </r>
  </si>
  <si>
    <t>BLNT2AU LV TOU &lt;100MWh</t>
  </si>
  <si>
    <t>Business premises whose consumption does not exceed 100 MWh per year and they have a TOU capable meter.</t>
  </si>
  <si>
    <t>BLNT1AO LV TOU &lt;160MWh</t>
  </si>
  <si>
    <t>Only available to business premises whose consumption does not exceed 160 MWh per year.</t>
  </si>
  <si>
    <r>
      <t>BLND3AO LV TOU Demand 3</t>
    </r>
    <r>
      <rPr>
        <sz val="9"/>
        <rFont val="Arial"/>
        <family val="2"/>
      </rPr>
      <t xml:space="preserve"> </t>
    </r>
    <r>
      <rPr>
        <b/>
        <sz val="9"/>
        <rFont val="Arial"/>
        <family val="2"/>
      </rPr>
      <t>Rate</t>
    </r>
    <r>
      <rPr>
        <sz val="9"/>
        <rFont val="Arial"/>
        <family val="2"/>
      </rPr>
      <t xml:space="preserve">  </t>
    </r>
  </si>
  <si>
    <t xml:space="preserve">Business premises whose consumption exceeds 160MWh per year and connected to the LV Distribution System. </t>
  </si>
  <si>
    <r>
      <t>BLNS1AO LV TOU Avg daily Demand</t>
    </r>
    <r>
      <rPr>
        <sz val="9"/>
        <rFont val="Arial"/>
        <family val="2"/>
      </rPr>
      <t xml:space="preserve">  </t>
    </r>
  </si>
  <si>
    <t>Available to customers who have a monthly load factor greater than 60% for at least 4 of the most recent 12 months coinciding with a minimum on season anytime monthly demand of 1500 kVA. This is intended for customers with a seasonal demand. Demand Charges will be calculated as follows:</t>
  </si>
  <si>
    <t>1.  The daily kVA maximum demand in each of the Peak, Shoulder and Off Peak periods will be metered for each day of the month.</t>
  </si>
  <si>
    <t>2.  The metered kVA Demand for each day of the Peak, Shoulder and Off-Peak periods will be summed for the month and divided by the number of days in the month when the load occurs.  This means that Peak and Shoulder Demand will be divided by the number of week days, and Off Peak Demand by the total number of days.</t>
  </si>
  <si>
    <t>3.  The average TOU Demand calculated above will be multiplied by the TOU Demand rates.</t>
  </si>
  <si>
    <t xml:space="preserve">4.  No adjustments to billable demand shall be made for pre-season “test runs”.          </t>
  </si>
  <si>
    <r>
      <t>BLND3TO LV TOU Demand Alternative Tariff</t>
    </r>
    <r>
      <rPr>
        <sz val="9"/>
        <rFont val="Arial"/>
        <family val="2"/>
      </rPr>
      <t xml:space="preserve">  </t>
    </r>
  </si>
  <si>
    <t xml:space="preserve">The Demand Charge is based on the highest measured half-hour kVA demand registered in either the peak or shoulder periods during the month.  </t>
  </si>
  <si>
    <t>BHND3AO HV TOU Mthly Demand</t>
  </si>
  <si>
    <t>Business premises whose consumption is connected to the HV Distribution System and metered at HV.</t>
  </si>
  <si>
    <r>
      <t>BHNS1AO</t>
    </r>
    <r>
      <rPr>
        <b/>
        <sz val="11"/>
        <rFont val="Franklin Gothic Book"/>
        <family val="2"/>
      </rPr>
      <t xml:space="preserve"> </t>
    </r>
    <r>
      <rPr>
        <b/>
        <sz val="9"/>
        <rFont val="Arial"/>
        <family val="2"/>
      </rPr>
      <t>HV TOU Avg daily Demand</t>
    </r>
    <r>
      <rPr>
        <sz val="9"/>
        <rFont val="Arial"/>
        <family val="2"/>
      </rPr>
      <t xml:space="preserve">  </t>
    </r>
  </si>
  <si>
    <t>Business premises whose consumption is connected to the HV Distribution System and metered at HV. Available to customers who have a monthly load factor greater than 60% for at least 4 of the most recent 12 months coinciding with a minimum on season anytime monthly demand of 1500 kVA. (The minimum demand and load factor requirements will be waived where a generator supports a substantial part of the load on the load side of the meter.) This is intended for customers with a seasonal demand. Demand Charges will be calculated as follows:</t>
  </si>
  <si>
    <t>2.  The metered kVA Demand for each day of the Peak, Shoulder and Off-Peak periods will be summed for the month and divided by the number of days in the month when the load occurs.  This means that Peak and Shoulder Demand will be divided by the number of week days.  Off Peak Demand by the total number of days.</t>
  </si>
  <si>
    <t xml:space="preserve">4.  No adjustments to billable demand shall be made for pre-season “test runs”.       </t>
  </si>
  <si>
    <t>BSSD3AO Sub Trans 3 Rate Demand</t>
  </si>
  <si>
    <t>Applicable to connections at a subtransmission voltage as defined by Essential Energy.  Please note that this tariff is not applicable for connection to dual purpose subtransmission/distribution circuits</t>
  </si>
  <si>
    <t>BLNP1AO LV Unmetered NUOS</t>
  </si>
  <si>
    <t>Refer to Unmetered Supply section 2 Definitions. All new unmetered supply connections will have this tariff applied.</t>
  </si>
  <si>
    <t>BLNP3AO LV Public Street Lighting TOU NUOS</t>
  </si>
  <si>
    <t>Refer to Unmetered Supply section 2 Definitions. All new public street lighting connections will have this tariff applied.</t>
  </si>
  <si>
    <t xml:space="preserve">Customer specific prices </t>
  </si>
  <si>
    <t>Refer Explanatory Notes 1.7 Customer Specific (cost reflective network prices)</t>
  </si>
  <si>
    <t>EXPLANATION OF NETWORK TARIFFS</t>
  </si>
  <si>
    <r>
      <rPr>
        <sz val="9"/>
        <rFont val="Arial"/>
        <family val="2"/>
      </rPr>
      <t>QLD Government Solar bonus scheme for eligible residential customers located in</t>
    </r>
    <r>
      <rPr>
        <b/>
        <sz val="9"/>
        <rFont val="Arial"/>
        <family val="2"/>
      </rPr>
      <t xml:space="preserve"> </t>
    </r>
    <r>
      <rPr>
        <sz val="9"/>
        <rFont val="Arial"/>
        <family val="2"/>
      </rPr>
      <t>Qld but connected to Essential Energy's Distribution Network.</t>
    </r>
  </si>
  <si>
    <t>Effective 1 July 2017</t>
  </si>
  <si>
    <t>BLNT3AL</t>
  </si>
  <si>
    <t>LV Residential TOU_Interval meter</t>
  </si>
  <si>
    <t>BLND1AR</t>
  </si>
  <si>
    <t>BLNT1SU</t>
  </si>
  <si>
    <t>BLNT2AL</t>
  </si>
  <si>
    <t>LV Business TOU_Interval meter</t>
  </si>
  <si>
    <t>BLND1AB</t>
  </si>
  <si>
    <t>Anytime</t>
  </si>
  <si>
    <t>BLNDTRS</t>
  </si>
  <si>
    <t>Transitional Demand</t>
  </si>
  <si>
    <r>
      <t xml:space="preserve">Essential Energy </t>
    </r>
    <r>
      <rPr>
        <sz val="26"/>
        <color indexed="9"/>
        <rFont val="Arial"/>
        <family val="2"/>
      </rPr>
      <t>Network Price List - DUOS Component (Excluding GST)</t>
    </r>
  </si>
  <si>
    <t>Essential Energy Network Price List - TUOS Component (Excluding GST)</t>
  </si>
  <si>
    <t>Essential Energy Network Price List - CCF Component (Excluding GST)</t>
  </si>
  <si>
    <t>Essential Energy Network Price List - QSS Component (Excluding GST)</t>
  </si>
  <si>
    <t>LV Residential Anytime</t>
  </si>
  <si>
    <t>LV Small Business Anytime</t>
  </si>
  <si>
    <t>Small Residential - Opt in Demand</t>
  </si>
  <si>
    <t>Small Business - Opt in Demand</t>
  </si>
  <si>
    <t>BLNN2AU  LV Residential Anytime</t>
  </si>
  <si>
    <t xml:space="preserve">Premises wholly used as a private dwelling where consumption does not exceed 160 MWh per year. </t>
  </si>
  <si>
    <t>BLNT3AL LV Residential TOU_Interval meter</t>
  </si>
  <si>
    <t>BLND1AR Small Residential - Opt in Demand</t>
  </si>
  <si>
    <r>
      <t>BLNN1AU</t>
    </r>
    <r>
      <rPr>
        <b/>
        <sz val="11"/>
        <rFont val="Franklin Gothic Book"/>
        <family val="2"/>
      </rPr>
      <t xml:space="preserve"> </t>
    </r>
    <r>
      <rPr>
        <b/>
        <sz val="9"/>
        <rFont val="Arial"/>
        <family val="2"/>
      </rPr>
      <t>LV Small Business Anytime</t>
    </r>
  </si>
  <si>
    <t xml:space="preserve">Business premises whose consumption does not exceed 100 MWh per year.  </t>
  </si>
  <si>
    <t>BLNT2AL LV Business TOU_Interval meter</t>
  </si>
  <si>
    <t>BLND1AB Small Business - Opt in Demand</t>
  </si>
  <si>
    <t>BLNDTRS Transitional Demand</t>
  </si>
  <si>
    <t>Premises wholly used as a private dwelling where consumption does not exceed 160 MWh per year and they have an Interval capable meter.</t>
  </si>
  <si>
    <t>Business premises whose consumption does not exceed 100 MWh per year and they have an Interval capable meter.</t>
  </si>
  <si>
    <t xml:space="preserve">Eligible customers will be automatically assigned to this tariff by Essential Energy and it is not available by request. 
This tariff is for customers that have been identified on an Anytime tariff or Time-of-Use tariff but do not meet the associated eligibility requirements for those tariffs. 
Applies from 1 July 2017 and will be assigned to customers who would otherwise be worse off from being moved to the applicable Demand tariff at that date. The tariff will transition over 5 years to the rate of BLND3AO
1. Low voltage connection
2. Premises where consumption exceeds 160 MWh per year
3. Interval capable meter </t>
  </si>
  <si>
    <r>
      <t xml:space="preserve">Essential Energy </t>
    </r>
    <r>
      <rPr>
        <sz val="26"/>
        <color indexed="9"/>
        <rFont val="Arial"/>
        <family val="2"/>
      </rPr>
      <t>Network Price List (Excluding GST)</t>
    </r>
  </si>
  <si>
    <t>Essential Energy Network Price List (Excluding GST)</t>
  </si>
  <si>
    <t>Essential Energy Network Price List (Including GST)</t>
  </si>
  <si>
    <t>Effective 1 July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</si>
</sst>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00_-;\-* #,##0.0000_-;_-* &quot;-&quot;??_-;_-@_-"/>
    <numFmt numFmtId="165" formatCode="#,##0.0000_ ;[Red]\-#,##0.0000\ "/>
    <numFmt numFmtId="166" formatCode="#,##0.0000;\-#,##0.0000"/>
  </numFmts>
  <fonts count="27" x14ac:knownFonts="1">
    <font>
      <sz val="11"/>
      <name val="Franklin Gothic Book"/>
    </font>
    <font>
      <sz val="11"/>
      <name val="Franklin Gothic Book"/>
      <family val="2"/>
    </font>
    <font>
      <sz val="10"/>
      <name val="Arial"/>
      <family val="2"/>
    </font>
    <font>
      <sz val="11"/>
      <color indexed="9"/>
      <name val="Arial"/>
      <family val="2"/>
    </font>
    <font>
      <sz val="26"/>
      <color indexed="9"/>
      <name val="Arial"/>
      <family val="2"/>
    </font>
    <font>
      <b/>
      <sz val="12"/>
      <color indexed="9"/>
      <name val="Arial"/>
      <family val="2"/>
    </font>
    <font>
      <sz val="11"/>
      <name val="Arial"/>
      <family val="2"/>
    </font>
    <font>
      <sz val="12"/>
      <color indexed="9"/>
      <name val="Arial"/>
      <family val="2"/>
    </font>
    <font>
      <b/>
      <sz val="11"/>
      <color indexed="9"/>
      <name val="Arial"/>
      <family val="2"/>
    </font>
    <font>
      <b/>
      <sz val="10"/>
      <color indexed="9"/>
      <name val="Arial"/>
      <family val="2"/>
    </font>
    <font>
      <b/>
      <sz val="11"/>
      <color indexed="8"/>
      <name val="Arial"/>
      <family val="2"/>
    </font>
    <font>
      <sz val="11"/>
      <color indexed="8"/>
      <name val="Arial"/>
      <family val="2"/>
    </font>
    <font>
      <sz val="11"/>
      <color rgb="FFFF0000"/>
      <name val="Arial"/>
      <family val="2"/>
    </font>
    <font>
      <sz val="11"/>
      <color theme="1"/>
      <name val="Arial"/>
      <family val="2"/>
    </font>
    <font>
      <sz val="11"/>
      <color indexed="10"/>
      <name val="Arial"/>
      <family val="2"/>
    </font>
    <font>
      <sz val="14"/>
      <name val="Arial"/>
      <family val="2"/>
    </font>
    <font>
      <b/>
      <sz val="14"/>
      <color indexed="8"/>
      <name val="Arial"/>
      <family val="2"/>
    </font>
    <font>
      <sz val="14"/>
      <color indexed="8"/>
      <name val="Arial"/>
      <family val="2"/>
    </font>
    <font>
      <b/>
      <sz val="11"/>
      <name val="Franklin Gothic Book"/>
      <family val="2"/>
    </font>
    <font>
      <b/>
      <sz val="11"/>
      <color rgb="FFFFFFFF"/>
      <name val="Arial"/>
      <family val="2"/>
    </font>
    <font>
      <b/>
      <sz val="9"/>
      <name val="Arial"/>
      <family val="2"/>
    </font>
    <font>
      <sz val="9"/>
      <name val="Arial"/>
      <family val="2"/>
    </font>
    <font>
      <sz val="26"/>
      <color theme="0"/>
      <name val="Arial"/>
      <family val="2"/>
    </font>
    <font>
      <sz val="11"/>
      <color theme="0"/>
      <name val="Arial"/>
      <family val="2"/>
    </font>
    <font>
      <b/>
      <sz val="12"/>
      <color theme="0"/>
      <name val="Arial"/>
      <family val="2"/>
    </font>
    <font>
      <sz val="12"/>
      <color theme="0"/>
      <name val="Arial"/>
      <family val="2"/>
    </font>
    <font>
      <b/>
      <sz val="11"/>
      <color theme="0"/>
      <name val="Arial"/>
      <family val="2"/>
    </font>
  </fonts>
  <fills count="9">
    <fill>
      <patternFill patternType="none"/>
    </fill>
    <fill>
      <patternFill patternType="gray125"/>
    </fill>
    <fill>
      <patternFill patternType="solid">
        <fgColor indexed="41"/>
        <bgColor indexed="64"/>
      </patternFill>
    </fill>
    <fill>
      <patternFill patternType="solid">
        <fgColor indexed="23"/>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rgb="FF006A71"/>
        <bgColor indexed="64"/>
      </patternFill>
    </fill>
    <fill>
      <patternFill patternType="solid">
        <fgColor rgb="FF808080"/>
        <bgColor indexed="64"/>
      </patternFill>
    </fill>
  </fills>
  <borders count="23">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rgb="FF006A71"/>
      </left>
      <right style="medium">
        <color rgb="FF006A71"/>
      </right>
      <top style="medium">
        <color rgb="FF006A71"/>
      </top>
      <bottom style="medium">
        <color rgb="FF006A71"/>
      </bottom>
      <diagonal/>
    </border>
    <border>
      <left/>
      <right style="medium">
        <color rgb="FF006A71"/>
      </right>
      <top style="medium">
        <color rgb="FF006A71"/>
      </top>
      <bottom style="medium">
        <color rgb="FF006A71"/>
      </bottom>
      <diagonal/>
    </border>
    <border>
      <left style="medium">
        <color rgb="FF006A71"/>
      </left>
      <right style="medium">
        <color rgb="FF006A71"/>
      </right>
      <top/>
      <bottom style="medium">
        <color rgb="FF006A71"/>
      </bottom>
      <diagonal/>
    </border>
    <border>
      <left style="medium">
        <color rgb="FF006A71"/>
      </left>
      <right style="medium">
        <color rgb="FF006A71"/>
      </right>
      <top/>
      <bottom/>
      <diagonal/>
    </border>
    <border>
      <left/>
      <right style="medium">
        <color rgb="FF006A71"/>
      </right>
      <top/>
      <bottom style="medium">
        <color rgb="FF006A71"/>
      </bottom>
      <diagonal/>
    </border>
    <border>
      <left/>
      <right style="medium">
        <color rgb="FF006A71"/>
      </right>
      <top/>
      <bottom/>
      <diagonal/>
    </border>
    <border>
      <left style="medium">
        <color rgb="FF006A71"/>
      </left>
      <right style="medium">
        <color rgb="FF006A71"/>
      </right>
      <top style="medium">
        <color rgb="FF006A71"/>
      </top>
      <bottom/>
      <diagonal/>
    </border>
  </borders>
  <cellStyleXfs count="3">
    <xf numFmtId="0" fontId="0" fillId="0" borderId="0"/>
    <xf numFmtId="43" fontId="1" fillId="0" borderId="0" applyFont="0" applyFill="0" applyBorder="0" applyAlignment="0" applyProtection="0"/>
    <xf numFmtId="3" fontId="2" fillId="2" borderId="0" applyNumberFormat="0" applyFont="0" applyBorder="0" applyAlignment="0">
      <alignment horizontal="right"/>
      <protection locked="0"/>
    </xf>
  </cellStyleXfs>
  <cellXfs count="164">
    <xf numFmtId="0" fontId="0" fillId="0" borderId="0" xfId="0"/>
    <xf numFmtId="0" fontId="3" fillId="5" borderId="0" xfId="0" applyFont="1" applyFill="1"/>
    <xf numFmtId="0" fontId="4" fillId="3" borderId="1" xfId="0" applyFont="1" applyFill="1" applyBorder="1" applyAlignment="1">
      <alignment horizontal="left"/>
    </xf>
    <xf numFmtId="0" fontId="4" fillId="3" borderId="14" xfId="0" applyFont="1" applyFill="1" applyBorder="1" applyAlignment="1">
      <alignment horizontal="left"/>
    </xf>
    <xf numFmtId="0" fontId="3" fillId="3" borderId="14" xfId="0" applyFont="1" applyFill="1" applyBorder="1" applyAlignment="1"/>
    <xf numFmtId="0" fontId="5" fillId="3" borderId="14" xfId="0" applyFont="1" applyFill="1" applyBorder="1" applyAlignment="1">
      <alignment horizontal="center"/>
    </xf>
    <xf numFmtId="0" fontId="3" fillId="3" borderId="14" xfId="0" applyFont="1" applyFill="1" applyBorder="1"/>
    <xf numFmtId="0" fontId="3" fillId="3" borderId="3" xfId="0" applyFont="1" applyFill="1" applyBorder="1"/>
    <xf numFmtId="0" fontId="6" fillId="0" borderId="0" xfId="0" applyFont="1"/>
    <xf numFmtId="0" fontId="3" fillId="3" borderId="0" xfId="0" applyFont="1" applyFill="1" applyBorder="1"/>
    <xf numFmtId="0" fontId="3" fillId="3" borderId="6" xfId="0" applyFont="1" applyFill="1" applyBorder="1"/>
    <xf numFmtId="0" fontId="8" fillId="3" borderId="7" xfId="0" applyFont="1" applyFill="1" applyBorder="1"/>
    <xf numFmtId="0" fontId="8" fillId="3" borderId="15" xfId="0" applyFont="1" applyFill="1" applyBorder="1"/>
    <xf numFmtId="0" fontId="3" fillId="3" borderId="15" xfId="0" applyFont="1" applyFill="1" applyBorder="1"/>
    <xf numFmtId="0" fontId="3" fillId="3" borderId="9" xfId="0" applyFont="1" applyFill="1" applyBorder="1"/>
    <xf numFmtId="0" fontId="6" fillId="5" borderId="0" xfId="0" applyFont="1" applyFill="1"/>
    <xf numFmtId="0" fontId="6" fillId="5" borderId="0" xfId="0" applyFont="1" applyFill="1" applyAlignment="1">
      <alignment wrapText="1"/>
    </xf>
    <xf numFmtId="0" fontId="9" fillId="3" borderId="8" xfId="0" applyFont="1" applyFill="1" applyBorder="1" applyAlignment="1" applyProtection="1">
      <alignment horizontal="center" wrapText="1"/>
    </xf>
    <xf numFmtId="0" fontId="6" fillId="0" borderId="0" xfId="0" applyFont="1" applyAlignment="1">
      <alignment wrapText="1"/>
    </xf>
    <xf numFmtId="43" fontId="11" fillId="0" borderId="10" xfId="1" applyFont="1" applyFill="1" applyBorder="1" applyAlignment="1" applyProtection="1">
      <alignment horizontal="left" vertical="center"/>
      <protection locked="0"/>
    </xf>
    <xf numFmtId="43" fontId="11" fillId="0" borderId="10" xfId="1" applyFont="1" applyFill="1" applyBorder="1" applyAlignment="1" applyProtection="1">
      <alignment horizontal="left" vertical="center" wrapText="1"/>
      <protection locked="0"/>
    </xf>
    <xf numFmtId="164" fontId="6" fillId="0" borderId="10" xfId="1" applyNumberFormat="1" applyFont="1" applyFill="1" applyBorder="1" applyAlignment="1" applyProtection="1">
      <alignment horizontal="center" vertical="center"/>
      <protection locked="0"/>
    </xf>
    <xf numFmtId="0" fontId="6" fillId="0" borderId="0" xfId="0" applyFont="1" applyFill="1" applyBorder="1"/>
    <xf numFmtId="0" fontId="10" fillId="4" borderId="2" xfId="0" applyFont="1" applyFill="1" applyBorder="1" applyProtection="1">
      <protection locked="0"/>
    </xf>
    <xf numFmtId="0" fontId="11" fillId="4" borderId="1" xfId="0" applyFont="1" applyFill="1" applyBorder="1" applyProtection="1">
      <protection locked="0"/>
    </xf>
    <xf numFmtId="164" fontId="11" fillId="4" borderId="2" xfId="1" applyNumberFormat="1" applyFont="1" applyFill="1" applyBorder="1" applyAlignment="1" applyProtection="1">
      <alignment horizontal="left"/>
      <protection locked="0"/>
    </xf>
    <xf numFmtId="43" fontId="13" fillId="5" borderId="10" xfId="1" applyFont="1" applyFill="1" applyBorder="1" applyAlignment="1" applyProtection="1">
      <alignment horizontal="left" vertical="center"/>
      <protection locked="0"/>
    </xf>
    <xf numFmtId="164" fontId="11" fillId="0" borderId="10" xfId="1" applyNumberFormat="1" applyFont="1" applyFill="1" applyBorder="1" applyAlignment="1" applyProtection="1">
      <alignment horizontal="center" vertical="center"/>
      <protection locked="0"/>
    </xf>
    <xf numFmtId="0" fontId="12" fillId="5" borderId="6" xfId="0" applyFont="1" applyFill="1" applyBorder="1" applyAlignment="1">
      <alignment vertical="center" wrapText="1"/>
    </xf>
    <xf numFmtId="0" fontId="12" fillId="0" borderId="6" xfId="0" applyFont="1" applyFill="1" applyBorder="1" applyAlignment="1">
      <alignment vertical="center" wrapText="1"/>
    </xf>
    <xf numFmtId="43" fontId="13" fillId="0" borderId="10" xfId="1" applyFont="1" applyFill="1" applyBorder="1" applyAlignment="1" applyProtection="1">
      <alignment horizontal="left" vertical="center"/>
      <protection locked="0"/>
    </xf>
    <xf numFmtId="165" fontId="11" fillId="0" borderId="10" xfId="1" applyNumberFormat="1" applyFont="1" applyFill="1" applyBorder="1" applyAlignment="1" applyProtection="1">
      <alignment horizontal="center" vertical="center"/>
      <protection locked="0"/>
    </xf>
    <xf numFmtId="0" fontId="6" fillId="0" borderId="0" xfId="0" applyFont="1" applyFill="1"/>
    <xf numFmtId="43" fontId="11" fillId="0" borderId="11" xfId="1" applyFont="1" applyFill="1" applyBorder="1" applyAlignment="1" applyProtection="1">
      <alignment horizontal="left" vertical="center" wrapText="1"/>
      <protection locked="0"/>
    </xf>
    <xf numFmtId="43" fontId="11" fillId="0" borderId="0" xfId="1" applyFont="1" applyFill="1" applyBorder="1" applyAlignment="1" applyProtection="1">
      <alignment horizontal="left" vertical="center" wrapText="1"/>
      <protection locked="0"/>
    </xf>
    <xf numFmtId="43" fontId="11" fillId="0" borderId="0" xfId="1" applyFont="1" applyFill="1" applyBorder="1" applyAlignment="1" applyProtection="1">
      <alignment horizontal="center" vertical="center" wrapText="1"/>
      <protection locked="0"/>
    </xf>
    <xf numFmtId="164" fontId="11" fillId="0" borderId="0" xfId="1" applyNumberFormat="1" applyFont="1" applyFill="1" applyBorder="1" applyAlignment="1" applyProtection="1">
      <alignment horizontal="center" vertical="center"/>
      <protection locked="0"/>
    </xf>
    <xf numFmtId="1" fontId="8" fillId="3" borderId="2" xfId="0" applyNumberFormat="1" applyFont="1" applyFill="1" applyBorder="1" applyAlignment="1" applyProtection="1">
      <alignment horizontal="center"/>
    </xf>
    <xf numFmtId="0" fontId="8" fillId="3" borderId="2" xfId="0" applyFont="1" applyFill="1" applyBorder="1" applyAlignment="1" applyProtection="1">
      <alignment horizontal="center"/>
    </xf>
    <xf numFmtId="1" fontId="8" fillId="3" borderId="2" xfId="0" applyNumberFormat="1" applyFont="1" applyFill="1" applyBorder="1" applyAlignment="1" applyProtection="1">
      <alignment horizontal="left"/>
    </xf>
    <xf numFmtId="0" fontId="8" fillId="3" borderId="5" xfId="0" applyFont="1" applyFill="1" applyBorder="1" applyAlignment="1" applyProtection="1">
      <alignment horizontal="center"/>
    </xf>
    <xf numFmtId="0" fontId="8" fillId="3" borderId="5" xfId="0" applyFont="1" applyFill="1" applyBorder="1" applyAlignment="1" applyProtection="1">
      <alignment horizontal="left"/>
    </xf>
    <xf numFmtId="0" fontId="6" fillId="5" borderId="0" xfId="0" applyFont="1" applyFill="1" applyBorder="1" applyAlignment="1">
      <alignment wrapText="1"/>
    </xf>
    <xf numFmtId="0" fontId="6" fillId="0" borderId="0" xfId="0" applyFont="1" applyBorder="1" applyAlignment="1">
      <alignment wrapText="1"/>
    </xf>
    <xf numFmtId="164" fontId="11" fillId="4" borderId="3" xfId="1" applyNumberFormat="1" applyFont="1" applyFill="1" applyBorder="1" applyAlignment="1" applyProtection="1">
      <alignment horizontal="left"/>
      <protection locked="0"/>
    </xf>
    <xf numFmtId="0" fontId="14" fillId="5" borderId="0" xfId="0" applyFont="1" applyFill="1"/>
    <xf numFmtId="0" fontId="14" fillId="0" borderId="0" xfId="0" applyFont="1"/>
    <xf numFmtId="0" fontId="3" fillId="3" borderId="1" xfId="0" applyFont="1" applyFill="1" applyBorder="1" applyAlignment="1" applyProtection="1">
      <alignment horizontal="left"/>
    </xf>
    <xf numFmtId="0" fontId="3" fillId="3" borderId="3" xfId="0" applyFont="1" applyFill="1" applyBorder="1" applyAlignment="1" applyProtection="1">
      <alignment horizontal="left"/>
    </xf>
    <xf numFmtId="0" fontId="8" fillId="3" borderId="4" xfId="0" applyFont="1" applyFill="1" applyBorder="1" applyProtection="1"/>
    <xf numFmtId="0" fontId="3" fillId="3" borderId="4" xfId="0" applyFont="1" applyFill="1" applyBorder="1" applyAlignment="1" applyProtection="1">
      <alignment horizontal="left"/>
    </xf>
    <xf numFmtId="0" fontId="3" fillId="3" borderId="6" xfId="0" applyFont="1" applyFill="1" applyBorder="1" applyAlignment="1" applyProtection="1">
      <alignment horizontal="left"/>
    </xf>
    <xf numFmtId="0" fontId="3" fillId="3" borderId="7" xfId="0" applyFont="1" applyFill="1" applyBorder="1" applyAlignment="1" applyProtection="1">
      <alignment horizontal="left" wrapText="1"/>
    </xf>
    <xf numFmtId="0" fontId="8" fillId="3" borderId="2" xfId="0" applyFont="1" applyFill="1" applyBorder="1" applyAlignment="1" applyProtection="1">
      <alignment horizontal="left"/>
    </xf>
    <xf numFmtId="0" fontId="8" fillId="3" borderId="5" xfId="0" applyFont="1" applyFill="1" applyBorder="1" applyProtection="1"/>
    <xf numFmtId="0" fontId="8" fillId="3" borderId="7" xfId="0" applyFont="1" applyFill="1" applyBorder="1" applyAlignment="1" applyProtection="1">
      <alignment horizontal="left" wrapText="1"/>
    </xf>
    <xf numFmtId="164" fontId="6" fillId="0" borderId="0" xfId="0" applyNumberFormat="1" applyFont="1" applyFill="1" applyBorder="1"/>
    <xf numFmtId="1" fontId="8" fillId="3" borderId="5" xfId="0" applyNumberFormat="1" applyFont="1" applyFill="1" applyBorder="1" applyAlignment="1" applyProtection="1">
      <alignment horizontal="center"/>
    </xf>
    <xf numFmtId="0" fontId="8" fillId="3" borderId="8" xfId="0" applyFont="1" applyFill="1" applyBorder="1" applyAlignment="1" applyProtection="1">
      <alignment horizontal="center" wrapText="1"/>
    </xf>
    <xf numFmtId="0" fontId="15" fillId="5" borderId="0" xfId="0" applyFont="1" applyFill="1"/>
    <xf numFmtId="0" fontId="16" fillId="4" borderId="2" xfId="0" applyFont="1" applyFill="1" applyBorder="1" applyProtection="1"/>
    <xf numFmtId="0" fontId="16" fillId="4" borderId="5" xfId="0" applyFont="1" applyFill="1" applyBorder="1" applyProtection="1"/>
    <xf numFmtId="0" fontId="17" fillId="4" borderId="1" xfId="0" applyFont="1" applyFill="1" applyBorder="1" applyProtection="1"/>
    <xf numFmtId="0" fontId="17" fillId="4" borderId="3" xfId="0" applyFont="1" applyFill="1" applyBorder="1" applyProtection="1"/>
    <xf numFmtId="0" fontId="16" fillId="4" borderId="2" xfId="0" applyFont="1" applyFill="1" applyBorder="1" applyAlignment="1" applyProtection="1">
      <alignment horizontal="center"/>
    </xf>
    <xf numFmtId="0" fontId="15" fillId="0" borderId="0" xfId="0" applyFont="1"/>
    <xf numFmtId="43" fontId="17" fillId="4" borderId="4" xfId="1" applyFont="1" applyFill="1" applyBorder="1" applyAlignment="1" applyProtection="1">
      <alignment horizontal="left"/>
      <protection locked="0"/>
    </xf>
    <xf numFmtId="43" fontId="17" fillId="4" borderId="6" xfId="1" applyFont="1" applyFill="1" applyBorder="1" applyAlignment="1" applyProtection="1">
      <alignment horizontal="left"/>
      <protection locked="0"/>
    </xf>
    <xf numFmtId="164" fontId="17" fillId="4" borderId="5" xfId="1" applyNumberFormat="1" applyFont="1" applyFill="1" applyBorder="1" applyAlignment="1" applyProtection="1">
      <alignment horizontal="right"/>
      <protection locked="0"/>
    </xf>
    <xf numFmtId="164" fontId="17" fillId="4" borderId="5" xfId="1" applyNumberFormat="1" applyFont="1" applyFill="1" applyBorder="1" applyAlignment="1" applyProtection="1">
      <alignment horizontal="left"/>
      <protection locked="0"/>
    </xf>
    <xf numFmtId="0" fontId="15" fillId="0" borderId="0" xfId="0" applyFont="1" applyFill="1" applyBorder="1"/>
    <xf numFmtId="0" fontId="16" fillId="4" borderId="2" xfId="0" applyFont="1" applyFill="1" applyBorder="1" applyProtection="1">
      <protection locked="0"/>
    </xf>
    <xf numFmtId="0" fontId="17" fillId="4" borderId="1" xfId="0" applyFont="1" applyFill="1" applyBorder="1" applyProtection="1">
      <protection locked="0"/>
    </xf>
    <xf numFmtId="0" fontId="17" fillId="4" borderId="3" xfId="0" applyFont="1" applyFill="1" applyBorder="1" applyProtection="1">
      <protection locked="0"/>
    </xf>
    <xf numFmtId="164" fontId="17" fillId="4" borderId="2" xfId="1" applyNumberFormat="1" applyFont="1" applyFill="1" applyBorder="1" applyAlignment="1" applyProtection="1">
      <alignment horizontal="left"/>
      <protection locked="0"/>
    </xf>
    <xf numFmtId="164" fontId="17" fillId="4" borderId="2" xfId="1" applyNumberFormat="1" applyFont="1" applyFill="1" applyBorder="1" applyAlignment="1" applyProtection="1">
      <alignment horizontal="center"/>
      <protection locked="0"/>
    </xf>
    <xf numFmtId="164" fontId="17" fillId="4" borderId="3" xfId="1" applyNumberFormat="1" applyFont="1" applyFill="1" applyBorder="1" applyAlignment="1" applyProtection="1">
      <alignment horizontal="left"/>
      <protection locked="0"/>
    </xf>
    <xf numFmtId="0" fontId="7" fillId="3" borderId="7" xfId="0" applyFont="1" applyFill="1" applyBorder="1" applyAlignment="1">
      <alignment horizontal="left"/>
    </xf>
    <xf numFmtId="0" fontId="7" fillId="3" borderId="15" xfId="0" applyFont="1" applyFill="1" applyBorder="1" applyAlignment="1">
      <alignment horizontal="left"/>
    </xf>
    <xf numFmtId="0" fontId="5" fillId="3" borderId="15" xfId="0" applyFont="1" applyFill="1" applyBorder="1" applyAlignment="1">
      <alignment horizontal="center"/>
    </xf>
    <xf numFmtId="43" fontId="11" fillId="6" borderId="10" xfId="1" applyFont="1" applyFill="1" applyBorder="1" applyAlignment="1" applyProtection="1">
      <alignment horizontal="left" vertical="center"/>
      <protection locked="0"/>
    </xf>
    <xf numFmtId="43" fontId="11" fillId="6" borderId="10" xfId="1" applyFont="1" applyFill="1" applyBorder="1" applyAlignment="1" applyProtection="1">
      <alignment horizontal="left" vertical="center" wrapText="1"/>
      <protection locked="0"/>
    </xf>
    <xf numFmtId="43" fontId="11" fillId="6" borderId="10" xfId="1" applyFont="1" applyFill="1" applyBorder="1" applyAlignment="1" applyProtection="1">
      <alignment vertical="center" wrapText="1"/>
      <protection locked="0"/>
    </xf>
    <xf numFmtId="0" fontId="8" fillId="3" borderId="5" xfId="0" applyFont="1" applyFill="1" applyBorder="1" applyAlignment="1" applyProtection="1">
      <alignment horizontal="center" vertical="top"/>
    </xf>
    <xf numFmtId="0" fontId="19" fillId="7" borderId="16" xfId="0" applyFont="1" applyFill="1" applyBorder="1" applyAlignment="1">
      <alignment horizontal="left" vertical="center" wrapText="1"/>
    </xf>
    <xf numFmtId="0" fontId="19" fillId="7" borderId="17" xfId="0" applyFont="1" applyFill="1" applyBorder="1" applyAlignment="1">
      <alignment horizontal="left" vertical="center" wrapText="1"/>
    </xf>
    <xf numFmtId="0" fontId="20" fillId="0" borderId="19" xfId="0" applyFont="1" applyBorder="1" applyAlignment="1">
      <alignment horizontal="left" vertical="center" wrapText="1"/>
    </xf>
    <xf numFmtId="0" fontId="21" fillId="0" borderId="21" xfId="0" applyFont="1" applyBorder="1" applyAlignment="1">
      <alignment horizontal="left" vertical="center" wrapText="1"/>
    </xf>
    <xf numFmtId="0" fontId="20" fillId="0" borderId="18" xfId="0" applyFont="1" applyBorder="1" applyAlignment="1">
      <alignment horizontal="left" vertical="center" wrapText="1"/>
    </xf>
    <xf numFmtId="0" fontId="21" fillId="0" borderId="20" xfId="0" applyFont="1" applyBorder="1" applyAlignment="1">
      <alignment horizontal="left" vertical="center" wrapText="1"/>
    </xf>
    <xf numFmtId="0" fontId="21" fillId="0" borderId="20" xfId="0" applyFont="1" applyBorder="1" applyAlignment="1">
      <alignment horizontal="justify" vertical="center" wrapText="1"/>
    </xf>
    <xf numFmtId="0" fontId="20" fillId="0" borderId="20" xfId="0" applyFont="1" applyBorder="1" applyAlignment="1">
      <alignment horizontal="justify" vertical="center" wrapText="1"/>
    </xf>
    <xf numFmtId="0" fontId="21" fillId="0" borderId="21" xfId="0" applyFont="1" applyBorder="1" applyAlignment="1">
      <alignment horizontal="justify" vertical="center" wrapText="1"/>
    </xf>
    <xf numFmtId="165" fontId="11" fillId="0" borderId="10" xfId="1" applyNumberFormat="1" applyFont="1" applyFill="1" applyBorder="1" applyAlignment="1" applyProtection="1">
      <alignment horizontal="right" vertical="center"/>
      <protection locked="0"/>
    </xf>
    <xf numFmtId="164" fontId="11" fillId="0" borderId="10" xfId="1" applyNumberFormat="1" applyFont="1" applyFill="1" applyBorder="1" applyAlignment="1" applyProtection="1">
      <alignment horizontal="right" vertical="center"/>
      <protection locked="0"/>
    </xf>
    <xf numFmtId="0" fontId="20" fillId="0" borderId="22" xfId="0" applyFont="1" applyBorder="1" applyAlignment="1">
      <alignment horizontal="left" vertical="center" wrapText="1"/>
    </xf>
    <xf numFmtId="0" fontId="20" fillId="0" borderId="18" xfId="0" applyFont="1" applyBorder="1" applyAlignment="1">
      <alignment horizontal="left" vertical="center" wrapText="1"/>
    </xf>
    <xf numFmtId="43" fontId="6" fillId="0" borderId="0" xfId="0" applyNumberFormat="1" applyFont="1" applyFill="1" applyBorder="1"/>
    <xf numFmtId="0" fontId="8" fillId="3" borderId="6" xfId="0" applyFont="1" applyFill="1" applyBorder="1" applyProtection="1"/>
    <xf numFmtId="0" fontId="8" fillId="3" borderId="9" xfId="0" applyFont="1" applyFill="1" applyBorder="1" applyAlignment="1" applyProtection="1">
      <alignment horizontal="left" wrapText="1"/>
    </xf>
    <xf numFmtId="0" fontId="11" fillId="4" borderId="13" xfId="0" applyFont="1" applyFill="1" applyBorder="1" applyProtection="1">
      <protection locked="0"/>
    </xf>
    <xf numFmtId="0" fontId="6" fillId="0" borderId="12" xfId="0" applyFont="1" applyBorder="1"/>
    <xf numFmtId="0" fontId="14" fillId="0" borderId="12" xfId="0" applyFont="1" applyBorder="1"/>
    <xf numFmtId="0" fontId="5" fillId="3" borderId="0" xfId="0" applyFont="1" applyFill="1" applyBorder="1" applyAlignment="1">
      <alignment horizontal="center"/>
    </xf>
    <xf numFmtId="0" fontId="21" fillId="0" borderId="20" xfId="0" applyFont="1" applyFill="1" applyBorder="1" applyAlignment="1">
      <alignment horizontal="left" vertical="center" wrapText="1"/>
    </xf>
    <xf numFmtId="0" fontId="21" fillId="0" borderId="20" xfId="0" applyFont="1" applyFill="1" applyBorder="1" applyAlignment="1">
      <alignment horizontal="justify" vertical="center" wrapText="1"/>
    </xf>
    <xf numFmtId="0" fontId="22" fillId="8" borderId="1" xfId="0" applyFont="1" applyFill="1" applyBorder="1" applyAlignment="1">
      <alignment horizontal="left"/>
    </xf>
    <xf numFmtId="0" fontId="22" fillId="8" borderId="14" xfId="0" applyFont="1" applyFill="1" applyBorder="1" applyAlignment="1">
      <alignment horizontal="left"/>
    </xf>
    <xf numFmtId="0" fontId="23" fillId="8" borderId="14" xfId="0" applyFont="1" applyFill="1" applyBorder="1" applyAlignment="1"/>
    <xf numFmtId="0" fontId="24" fillId="8" borderId="14" xfId="0" applyFont="1" applyFill="1" applyBorder="1" applyAlignment="1">
      <alignment horizontal="center"/>
    </xf>
    <xf numFmtId="0" fontId="23" fillId="8" borderId="14" xfId="0" applyFont="1" applyFill="1" applyBorder="1"/>
    <xf numFmtId="0" fontId="23" fillId="8" borderId="3" xfId="0" applyFont="1" applyFill="1" applyBorder="1"/>
    <xf numFmtId="0" fontId="23" fillId="8" borderId="0" xfId="0" applyFont="1" applyFill="1" applyBorder="1"/>
    <xf numFmtId="0" fontId="23" fillId="8" borderId="6" xfId="0" applyFont="1" applyFill="1" applyBorder="1"/>
    <xf numFmtId="0" fontId="25" fillId="8" borderId="7" xfId="0" applyFont="1" applyFill="1" applyBorder="1" applyAlignment="1">
      <alignment horizontal="left"/>
    </xf>
    <xf numFmtId="0" fontId="25" fillId="8" borderId="15" xfId="0" applyFont="1" applyFill="1" applyBorder="1" applyAlignment="1">
      <alignment horizontal="left"/>
    </xf>
    <xf numFmtId="0" fontId="23" fillId="8" borderId="15" xfId="0" applyFont="1" applyFill="1" applyBorder="1"/>
    <xf numFmtId="0" fontId="24" fillId="8" borderId="15" xfId="0" applyFont="1" applyFill="1" applyBorder="1" applyAlignment="1">
      <alignment horizontal="center"/>
    </xf>
    <xf numFmtId="0" fontId="23" fillId="8" borderId="9" xfId="0" applyFont="1" applyFill="1" applyBorder="1"/>
    <xf numFmtId="1" fontId="26" fillId="8" borderId="2" xfId="0" applyNumberFormat="1" applyFont="1" applyFill="1" applyBorder="1" applyAlignment="1" applyProtection="1">
      <alignment horizontal="center"/>
    </xf>
    <xf numFmtId="0" fontId="26" fillId="8" borderId="2" xfId="0" applyFont="1" applyFill="1" applyBorder="1" applyAlignment="1" applyProtection="1">
      <alignment horizontal="center"/>
    </xf>
    <xf numFmtId="0" fontId="26" fillId="8" borderId="5" xfId="0" applyFont="1" applyFill="1" applyBorder="1" applyAlignment="1" applyProtection="1">
      <alignment horizontal="center"/>
    </xf>
    <xf numFmtId="0" fontId="26" fillId="8" borderId="8" xfId="0" applyFont="1" applyFill="1" applyBorder="1" applyAlignment="1" applyProtection="1">
      <alignment horizontal="center" wrapText="1"/>
    </xf>
    <xf numFmtId="43" fontId="11" fillId="0" borderId="11" xfId="1" applyFont="1" applyFill="1" applyBorder="1" applyAlignment="1" applyProtection="1">
      <alignment horizontal="center" vertical="center" wrapText="1"/>
      <protection locked="0"/>
    </xf>
    <xf numFmtId="43" fontId="11" fillId="0" borderId="12" xfId="1" applyFont="1" applyFill="1" applyBorder="1" applyAlignment="1" applyProtection="1">
      <alignment horizontal="center" vertical="center" wrapText="1"/>
      <protection locked="0"/>
    </xf>
    <xf numFmtId="166" fontId="6" fillId="0" borderId="11" xfId="1" applyNumberFormat="1" applyFont="1" applyFill="1" applyBorder="1" applyAlignment="1" applyProtection="1">
      <alignment horizontal="center" vertical="center"/>
      <protection locked="0"/>
    </xf>
    <xf numFmtId="166" fontId="6" fillId="0" borderId="12" xfId="1" applyNumberFormat="1" applyFont="1" applyFill="1" applyBorder="1" applyAlignment="1" applyProtection="1">
      <alignment horizontal="center" vertical="center"/>
      <protection locked="0"/>
    </xf>
    <xf numFmtId="0" fontId="8" fillId="3" borderId="2"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6" fillId="0" borderId="0" xfId="0" applyFont="1" applyAlignment="1">
      <alignment horizontal="left" wrapText="1"/>
    </xf>
    <xf numFmtId="0" fontId="5" fillId="3" borderId="0" xfId="0" applyFont="1" applyFill="1" applyBorder="1" applyAlignment="1">
      <alignment horizontal="center"/>
    </xf>
    <xf numFmtId="0" fontId="8" fillId="3" borderId="10" xfId="0" applyFont="1" applyFill="1" applyBorder="1" applyAlignment="1" applyProtection="1">
      <alignment horizontal="center" vertical="center"/>
    </xf>
    <xf numFmtId="164" fontId="17" fillId="4" borderId="10" xfId="1" applyNumberFormat="1" applyFont="1" applyFill="1" applyBorder="1" applyAlignment="1" applyProtection="1">
      <alignment horizontal="center"/>
      <protection locked="0"/>
    </xf>
    <xf numFmtId="0" fontId="6" fillId="0" borderId="10" xfId="0" applyFont="1" applyBorder="1" applyAlignment="1">
      <alignment horizontal="left" vertical="top" wrapText="1"/>
    </xf>
    <xf numFmtId="0" fontId="12" fillId="5" borderId="6" xfId="0" applyFont="1" applyFill="1" applyBorder="1" applyAlignment="1">
      <alignment horizontal="left" vertical="center" wrapText="1"/>
    </xf>
    <xf numFmtId="0" fontId="7" fillId="3" borderId="4" xfId="0" applyFont="1" applyFill="1" applyBorder="1" applyAlignment="1">
      <alignment horizontal="left"/>
    </xf>
    <xf numFmtId="0" fontId="7" fillId="3" borderId="0" xfId="0" applyFont="1" applyFill="1" applyBorder="1" applyAlignment="1">
      <alignment horizontal="left"/>
    </xf>
    <xf numFmtId="164" fontId="11" fillId="0" borderId="11" xfId="1" applyNumberFormat="1" applyFont="1" applyFill="1" applyBorder="1" applyAlignment="1" applyProtection="1">
      <alignment horizontal="center" vertical="center" wrapText="1"/>
      <protection locked="0"/>
    </xf>
    <xf numFmtId="164" fontId="11" fillId="0" borderId="12" xfId="1" applyNumberFormat="1" applyFont="1" applyFill="1" applyBorder="1" applyAlignment="1" applyProtection="1">
      <alignment horizontal="center" vertical="center" wrapText="1"/>
      <protection locked="0"/>
    </xf>
    <xf numFmtId="0" fontId="8" fillId="3" borderId="4" xfId="0" applyFont="1" applyFill="1" applyBorder="1" applyAlignment="1" applyProtection="1">
      <alignment horizontal="center" vertical="center"/>
    </xf>
    <xf numFmtId="0" fontId="8" fillId="3" borderId="6" xfId="0" applyFont="1" applyFill="1" applyBorder="1" applyAlignment="1" applyProtection="1">
      <alignment horizontal="center" vertical="center"/>
    </xf>
    <xf numFmtId="0" fontId="25" fillId="8" borderId="4" xfId="0" applyFont="1" applyFill="1" applyBorder="1" applyAlignment="1">
      <alignment horizontal="left"/>
    </xf>
    <xf numFmtId="0" fontId="25" fillId="8" borderId="0" xfId="0" applyFont="1" applyFill="1" applyBorder="1" applyAlignment="1">
      <alignment horizontal="left"/>
    </xf>
    <xf numFmtId="0" fontId="24" fillId="8" borderId="0" xfId="0" applyFont="1" applyFill="1" applyBorder="1" applyAlignment="1">
      <alignment horizontal="center"/>
    </xf>
    <xf numFmtId="0" fontId="26" fillId="8" borderId="10" xfId="0" applyFont="1" applyFill="1" applyBorder="1" applyAlignment="1" applyProtection="1">
      <alignment horizontal="center" vertical="center"/>
    </xf>
    <xf numFmtId="164" fontId="17" fillId="4" borderId="11" xfId="1" applyNumberFormat="1" applyFont="1" applyFill="1" applyBorder="1" applyAlignment="1" applyProtection="1">
      <alignment horizontal="center"/>
      <protection locked="0"/>
    </xf>
    <xf numFmtId="164" fontId="17" fillId="4" borderId="13" xfId="1" applyNumberFormat="1" applyFont="1" applyFill="1" applyBorder="1" applyAlignment="1" applyProtection="1">
      <alignment horizontal="center"/>
      <protection locked="0"/>
    </xf>
    <xf numFmtId="164" fontId="17" fillId="4" borderId="12" xfId="1" applyNumberFormat="1" applyFont="1" applyFill="1" applyBorder="1" applyAlignment="1" applyProtection="1">
      <alignment horizontal="center"/>
      <protection locked="0"/>
    </xf>
    <xf numFmtId="0" fontId="26" fillId="8" borderId="2" xfId="0" applyFont="1" applyFill="1" applyBorder="1" applyAlignment="1" applyProtection="1">
      <alignment horizontal="center" vertical="center"/>
    </xf>
    <xf numFmtId="0" fontId="26" fillId="8" borderId="5" xfId="0" applyFont="1" applyFill="1" applyBorder="1" applyAlignment="1" applyProtection="1">
      <alignment horizontal="center" vertical="center"/>
    </xf>
    <xf numFmtId="0" fontId="26" fillId="8" borderId="8" xfId="0" applyFont="1" applyFill="1" applyBorder="1" applyAlignment="1" applyProtection="1">
      <alignment horizontal="center" vertical="center"/>
    </xf>
    <xf numFmtId="0" fontId="26" fillId="8" borderId="2" xfId="0" applyFont="1" applyFill="1" applyBorder="1" applyAlignment="1" applyProtection="1">
      <alignment horizontal="center" vertical="center" wrapText="1"/>
    </xf>
    <xf numFmtId="0" fontId="26" fillId="8" borderId="5" xfId="0" applyFont="1" applyFill="1" applyBorder="1" applyAlignment="1" applyProtection="1">
      <alignment horizontal="center" vertical="center" wrapText="1"/>
    </xf>
    <xf numFmtId="0" fontId="26" fillId="8" borderId="8"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xf>
    <xf numFmtId="0" fontId="8" fillId="3" borderId="3" xfId="0" applyFont="1" applyFill="1" applyBorder="1" applyAlignment="1" applyProtection="1">
      <alignment horizontal="center" vertical="center"/>
    </xf>
    <xf numFmtId="0" fontId="8" fillId="3" borderId="7" xfId="0" applyFont="1" applyFill="1" applyBorder="1" applyAlignment="1" applyProtection="1">
      <alignment horizontal="center" vertical="center"/>
    </xf>
    <xf numFmtId="0" fontId="8" fillId="3" borderId="9" xfId="0" applyFont="1" applyFill="1" applyBorder="1" applyAlignment="1" applyProtection="1">
      <alignment horizontal="center" vertical="center"/>
    </xf>
    <xf numFmtId="0" fontId="20" fillId="0" borderId="22" xfId="0" applyFont="1" applyBorder="1" applyAlignment="1">
      <alignment horizontal="left" vertical="center" wrapText="1"/>
    </xf>
    <xf numFmtId="0" fontId="20" fillId="0" borderId="19" xfId="0" applyFont="1" applyBorder="1" applyAlignment="1">
      <alignment horizontal="left" vertical="center" wrapText="1"/>
    </xf>
    <xf numFmtId="0" fontId="20" fillId="0" borderId="18" xfId="0" applyFont="1" applyBorder="1" applyAlignment="1">
      <alignment horizontal="left" vertical="center" wrapText="1"/>
    </xf>
    <xf numFmtId="0" fontId="21" fillId="0" borderId="22" xfId="0" applyFont="1" applyBorder="1" applyAlignment="1">
      <alignment horizontal="justify" vertical="center" wrapText="1"/>
    </xf>
    <xf numFmtId="0" fontId="21" fillId="0" borderId="18" xfId="0" applyFont="1" applyBorder="1" applyAlignment="1">
      <alignment horizontal="justify" vertical="center" wrapText="1"/>
    </xf>
  </cellXfs>
  <cellStyles count="3">
    <cellStyle name="Comma" xfId="1" builtinId="3"/>
    <cellStyle name="Input1" xfId="2" xr:uid="{00000000-0005-0000-0000-000001000000}"/>
    <cellStyle name="Normal" xfId="0" builtinId="0"/>
  </cellStyles>
  <dxfs count="0"/>
  <tableStyles count="0" defaultTableStyle="TableStyleMedium9" defaultPivotStyle="PivotStyleLight16"/>
  <colors>
    <mruColors>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891722</xdr:colOff>
      <xdr:row>0</xdr:row>
      <xdr:rowOff>170088</xdr:rowOff>
    </xdr:from>
    <xdr:to>
      <xdr:col>13</xdr:col>
      <xdr:colOff>93890</xdr:colOff>
      <xdr:row>3</xdr:row>
      <xdr:rowOff>163285</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2722" y="170088"/>
          <a:ext cx="1916793" cy="786947"/>
        </a:xfrm>
        <a:prstGeom prst="rect">
          <a:avLst/>
        </a:prstGeom>
        <a:noFill/>
      </xdr:spPr>
    </xdr:pic>
    <xdr:clientData/>
  </xdr:twoCellAnchor>
  <xdr:twoCellAnchor editAs="oneCell">
    <xdr:from>
      <xdr:col>14</xdr:col>
      <xdr:colOff>979714</xdr:colOff>
      <xdr:row>42</xdr:row>
      <xdr:rowOff>54428</xdr:rowOff>
    </xdr:from>
    <xdr:to>
      <xdr:col>15</xdr:col>
      <xdr:colOff>1814739</xdr:colOff>
      <xdr:row>44</xdr:row>
      <xdr:rowOff>140607</xdr:rowOff>
    </xdr:to>
    <xdr:pic>
      <xdr:nvPicPr>
        <xdr:cNvPr id="5" name="Picture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9857" y="8885464"/>
          <a:ext cx="1909989" cy="7937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762000</xdr:colOff>
      <xdr:row>1</xdr:row>
      <xdr:rowOff>31750</xdr:rowOff>
    </xdr:from>
    <xdr:to>
      <xdr:col>12</xdr:col>
      <xdr:colOff>862239</xdr:colOff>
      <xdr:row>4</xdr:row>
      <xdr:rowOff>15875</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88750" y="206375"/>
          <a:ext cx="1909989" cy="793750"/>
        </a:xfrm>
        <a:prstGeom prst="rect">
          <a:avLst/>
        </a:prstGeom>
        <a:noFill/>
      </xdr:spPr>
    </xdr:pic>
    <xdr:clientData/>
  </xdr:twoCellAnchor>
  <xdr:twoCellAnchor editAs="oneCell">
    <xdr:from>
      <xdr:col>14</xdr:col>
      <xdr:colOff>247650</xdr:colOff>
      <xdr:row>42</xdr:row>
      <xdr:rowOff>25400</xdr:rowOff>
    </xdr:from>
    <xdr:to>
      <xdr:col>15</xdr:col>
      <xdr:colOff>1078139</xdr:colOff>
      <xdr:row>44</xdr:row>
      <xdr:rowOff>200025</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68525" y="8645525"/>
          <a:ext cx="1909989" cy="79375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714829</xdr:colOff>
      <xdr:row>1</xdr:row>
      <xdr:rowOff>0</xdr:rowOff>
    </xdr:from>
    <xdr:to>
      <xdr:col>12</xdr:col>
      <xdr:colOff>828675</xdr:colOff>
      <xdr:row>3</xdr:row>
      <xdr:rowOff>183697</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1615" y="0"/>
          <a:ext cx="1937203" cy="807358"/>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714829</xdr:colOff>
      <xdr:row>1</xdr:row>
      <xdr:rowOff>1</xdr:rowOff>
    </xdr:from>
    <xdr:to>
      <xdr:col>12</xdr:col>
      <xdr:colOff>828675</xdr:colOff>
      <xdr:row>3</xdr:row>
      <xdr:rowOff>163287</xdr:rowOff>
    </xdr:to>
    <xdr:pic>
      <xdr:nvPicPr>
        <xdr:cNvPr id="3" name="Picture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1615" y="176894"/>
          <a:ext cx="1937203" cy="789214"/>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714829</xdr:colOff>
      <xdr:row>1</xdr:row>
      <xdr:rowOff>1</xdr:rowOff>
    </xdr:from>
    <xdr:to>
      <xdr:col>12</xdr:col>
      <xdr:colOff>828675</xdr:colOff>
      <xdr:row>3</xdr:row>
      <xdr:rowOff>166688</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585485" y="178595"/>
          <a:ext cx="1923596" cy="785812"/>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714829</xdr:colOff>
      <xdr:row>1</xdr:row>
      <xdr:rowOff>0</xdr:rowOff>
    </xdr:from>
    <xdr:to>
      <xdr:col>12</xdr:col>
      <xdr:colOff>828675</xdr:colOff>
      <xdr:row>3</xdr:row>
      <xdr:rowOff>119062</xdr:rowOff>
    </xdr:to>
    <xdr:pic>
      <xdr:nvPicPr>
        <xdr:cNvPr id="3" name="Picture 2">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585485" y="178594"/>
          <a:ext cx="1923596" cy="738187"/>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8705850</xdr:colOff>
      <xdr:row>0</xdr:row>
      <xdr:rowOff>28575</xdr:rowOff>
    </xdr:from>
    <xdr:to>
      <xdr:col>2</xdr:col>
      <xdr:colOff>3628</xdr:colOff>
      <xdr:row>2</xdr:row>
      <xdr:rowOff>200025</xdr:rowOff>
    </xdr:to>
    <xdr:pic>
      <xdr:nvPicPr>
        <xdr:cNvPr id="3" name="Picture 2">
          <a:extLst>
            <a:ext uri="{FF2B5EF4-FFF2-40B4-BE49-F238E27FC236}">
              <a16:creationId xmlns:a16="http://schemas.microsoft.com/office/drawing/2014/main" id="{E758F9D3-9613-4C46-B33B-363C98A00D3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11050" y="28575"/>
          <a:ext cx="1794328" cy="57150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1\sbarlow\LOCALS~1\Temp\notesC51760\FY2009%20WAPC%20model%20_%20Country%20Energy_working_TUOS%20adj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ssential%20Energy%20Revenue%20Cap%20model%202018-19_work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alcs"/>
      <sheetName val="Outcomes"/>
      <sheetName val="WAPC"/>
      <sheetName val="Trans"/>
      <sheetName val="DUOS (t+1)"/>
      <sheetName val="Network (t+1)"/>
      <sheetName val="NUOS (t+1)"/>
      <sheetName val="Equal_Bus"/>
      <sheetName val="Equal_Res"/>
      <sheetName val="DUOS (t)"/>
      <sheetName val="Network (t)"/>
      <sheetName val="Q (t-1) act"/>
      <sheetName val="Q (t+1)"/>
      <sheetName val="Q (t-1) adj (t+1)"/>
      <sheetName val="Q (t-1) adj (t)"/>
      <sheetName val="TCR(t+1) working"/>
      <sheetName val="TCR (t+1)"/>
      <sheetName val="Price Limits"/>
      <sheetName val="Qty for cpt"/>
      <sheetName val="Add DUOS for cpt"/>
      <sheetName val="cpt rev"/>
      <sheetName val="ESF"/>
      <sheetName val="ESF Revenue"/>
      <sheetName val="NUOS (t+1) incl cpt"/>
      <sheetName val="RE (t+1)"/>
      <sheetName val="RE (t)"/>
      <sheetName val="RE rev"/>
      <sheetName val="RE rev for PL"/>
    </sheetNames>
    <sheetDataSet>
      <sheetData sheetId="0" refreshError="1"/>
      <sheetData sheetId="1" refreshError="1"/>
      <sheetData sheetId="2" refreshError="1">
        <row r="4">
          <cell r="B4">
            <v>2009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ard paper"/>
      <sheetName val="Summary tables for report"/>
      <sheetName val="Outcomes"/>
      <sheetName val="Side Constraint"/>
      <sheetName val="NUOS (t)"/>
      <sheetName val="NUOS (t-1)"/>
      <sheetName val="ARR"/>
      <sheetName val="DUOS (t)"/>
      <sheetName val="DUOS (t-1)"/>
      <sheetName val="Trans"/>
      <sheetName val="TUOS (t)"/>
      <sheetName val="TUOS (t-1)"/>
      <sheetName val="CCF"/>
      <sheetName val="CCF (t)"/>
      <sheetName val="CCF (t-1)"/>
      <sheetName val="QSS"/>
      <sheetName val="QSS (t)"/>
      <sheetName val="QSS (t-1)"/>
      <sheetName val="Q (t)"/>
      <sheetName val="Checks"/>
      <sheetName val="Q (t)_changes"/>
    </sheetNames>
    <sheetDataSet>
      <sheetData sheetId="0"/>
      <sheetData sheetId="1"/>
      <sheetData sheetId="2"/>
      <sheetData sheetId="3"/>
      <sheetData sheetId="4">
        <row r="10">
          <cell r="B10" t="str">
            <v>BLNN2AU</v>
          </cell>
          <cell r="C10" t="str">
            <v>LV Residential Anytime</v>
          </cell>
          <cell r="D10" t="str">
            <v>t-2</v>
          </cell>
          <cell r="E10">
            <v>290.22712664956146</v>
          </cell>
          <cell r="F10">
            <v>10.282490614172582</v>
          </cell>
          <cell r="G10">
            <v>0</v>
          </cell>
          <cell r="H10">
            <v>0</v>
          </cell>
          <cell r="I10">
            <v>0</v>
          </cell>
          <cell r="J10">
            <v>0</v>
          </cell>
          <cell r="K10">
            <v>0</v>
          </cell>
          <cell r="L10">
            <v>0</v>
          </cell>
          <cell r="M10">
            <v>0</v>
          </cell>
          <cell r="N10">
            <v>0</v>
          </cell>
          <cell r="O10">
            <v>0</v>
          </cell>
        </row>
        <row r="11">
          <cell r="B11" t="str">
            <v>BLNT3AU</v>
          </cell>
          <cell r="C11" t="str">
            <v>LV Residential TOU</v>
          </cell>
          <cell r="D11" t="str">
            <v>t-2</v>
          </cell>
          <cell r="E11">
            <v>290.22712664956146</v>
          </cell>
          <cell r="F11">
            <v>0</v>
          </cell>
          <cell r="G11">
            <v>13.12898540726394</v>
          </cell>
          <cell r="H11">
            <v>11.849907082622456</v>
          </cell>
          <cell r="I11">
            <v>4.3514140220284441</v>
          </cell>
          <cell r="J11">
            <v>0</v>
          </cell>
          <cell r="K11">
            <v>0</v>
          </cell>
          <cell r="L11">
            <v>0</v>
          </cell>
          <cell r="M11">
            <v>0</v>
          </cell>
          <cell r="N11">
            <v>0</v>
          </cell>
          <cell r="O11">
            <v>0</v>
          </cell>
        </row>
        <row r="12">
          <cell r="B12" t="str">
            <v>BLNT3AL</v>
          </cell>
          <cell r="C12" t="str">
            <v>LV Residential TOU_Interval meter</v>
          </cell>
          <cell r="D12" t="str">
            <v>t</v>
          </cell>
          <cell r="E12">
            <v>290.22712664956146</v>
          </cell>
          <cell r="F12">
            <v>0</v>
          </cell>
          <cell r="G12">
            <v>13.629804194079753</v>
          </cell>
          <cell r="H12">
            <v>11.396785323122433</v>
          </cell>
          <cell r="I12">
            <v>4.3514140220284441</v>
          </cell>
          <cell r="J12">
            <v>0</v>
          </cell>
          <cell r="K12">
            <v>0</v>
          </cell>
          <cell r="L12">
            <v>0</v>
          </cell>
          <cell r="M12">
            <v>0</v>
          </cell>
          <cell r="N12">
            <v>0</v>
          </cell>
          <cell r="O12">
            <v>0</v>
          </cell>
        </row>
        <row r="13">
          <cell r="B13" t="str">
            <v>BLND1AR</v>
          </cell>
          <cell r="C13" t="str">
            <v>Small Residential-Opt in Demand</v>
          </cell>
          <cell r="D13" t="str">
            <v>t</v>
          </cell>
          <cell r="E13">
            <v>290.22712664956146</v>
          </cell>
          <cell r="F13">
            <v>0</v>
          </cell>
          <cell r="G13">
            <v>3.9292904504537121</v>
          </cell>
          <cell r="H13">
            <v>3.2978973798132993</v>
          </cell>
          <cell r="I13">
            <v>2.043555672442352</v>
          </cell>
          <cell r="J13">
            <v>0</v>
          </cell>
          <cell r="K13">
            <v>3.908175415580013</v>
          </cell>
          <cell r="L13">
            <v>0</v>
          </cell>
          <cell r="M13">
            <v>0</v>
          </cell>
          <cell r="N13">
            <v>0</v>
          </cell>
          <cell r="O13">
            <v>0</v>
          </cell>
        </row>
        <row r="14">
          <cell r="B14" t="str">
            <v>BLNC1AU</v>
          </cell>
          <cell r="C14" t="str">
            <v>Controlled Load 1</v>
          </cell>
          <cell r="D14" t="str">
            <v>t-2</v>
          </cell>
          <cell r="E14">
            <v>32.454609853763792</v>
          </cell>
          <cell r="F14">
            <v>2.1494791695442861</v>
          </cell>
          <cell r="G14">
            <v>0</v>
          </cell>
          <cell r="H14">
            <v>0</v>
          </cell>
          <cell r="I14">
            <v>0</v>
          </cell>
          <cell r="J14">
            <v>0</v>
          </cell>
          <cell r="K14">
            <v>0</v>
          </cell>
          <cell r="L14">
            <v>0</v>
          </cell>
          <cell r="M14">
            <v>0</v>
          </cell>
          <cell r="N14">
            <v>0</v>
          </cell>
          <cell r="O14">
            <v>0</v>
          </cell>
        </row>
        <row r="15">
          <cell r="B15" t="str">
            <v>BLNC2AU</v>
          </cell>
          <cell r="C15" t="str">
            <v>Controlled Load 2</v>
          </cell>
          <cell r="D15" t="str">
            <v>t-2</v>
          </cell>
          <cell r="E15">
            <v>32.454609853763792</v>
          </cell>
          <cell r="F15">
            <v>4.6174696108913063</v>
          </cell>
          <cell r="G15">
            <v>0</v>
          </cell>
          <cell r="H15">
            <v>0</v>
          </cell>
          <cell r="I15">
            <v>0</v>
          </cell>
          <cell r="J15">
            <v>0</v>
          </cell>
          <cell r="K15">
            <v>0</v>
          </cell>
          <cell r="L15">
            <v>0</v>
          </cell>
          <cell r="M15">
            <v>0</v>
          </cell>
          <cell r="N15">
            <v>0</v>
          </cell>
          <cell r="O15">
            <v>0</v>
          </cell>
        </row>
        <row r="16">
          <cell r="B16" t="str">
            <v>BLNN1AU</v>
          </cell>
          <cell r="C16" t="str">
            <v>LV Small Business Anytime</v>
          </cell>
          <cell r="D16" t="str">
            <v>t-2</v>
          </cell>
          <cell r="E16">
            <v>290.22712664956146</v>
          </cell>
          <cell r="F16">
            <v>14.212662542632721</v>
          </cell>
          <cell r="G16">
            <v>0</v>
          </cell>
          <cell r="H16">
            <v>0</v>
          </cell>
          <cell r="I16">
            <v>0</v>
          </cell>
          <cell r="J16">
            <v>0</v>
          </cell>
          <cell r="K16">
            <v>0</v>
          </cell>
          <cell r="L16">
            <v>0</v>
          </cell>
          <cell r="M16">
            <v>0</v>
          </cell>
          <cell r="N16">
            <v>0</v>
          </cell>
          <cell r="O16">
            <v>0</v>
          </cell>
        </row>
        <row r="17">
          <cell r="B17" t="str">
            <v>BLNT2AU</v>
          </cell>
          <cell r="C17" t="str">
            <v>LV TOU &lt; 100MWh Cent Urban</v>
          </cell>
          <cell r="D17" t="str">
            <v>t-2</v>
          </cell>
          <cell r="E17">
            <v>2296.9146923607505</v>
          </cell>
          <cell r="F17">
            <v>0</v>
          </cell>
          <cell r="G17">
            <v>13.994402768671916</v>
          </cell>
          <cell r="H17">
            <v>12.672897937885873</v>
          </cell>
          <cell r="I17">
            <v>6.3828152949401833</v>
          </cell>
          <cell r="J17">
            <v>0</v>
          </cell>
          <cell r="K17">
            <v>0</v>
          </cell>
          <cell r="L17">
            <v>0</v>
          </cell>
          <cell r="M17">
            <v>0</v>
          </cell>
          <cell r="N17">
            <v>0</v>
          </cell>
          <cell r="O17">
            <v>0</v>
          </cell>
        </row>
        <row r="18">
          <cell r="B18" t="str">
            <v>BLNT2AL</v>
          </cell>
          <cell r="C18" t="str">
            <v>LV Business TOU_Interval meter</v>
          </cell>
          <cell r="D18" t="str">
            <v>t</v>
          </cell>
          <cell r="E18">
            <v>510.42548719127791</v>
          </cell>
          <cell r="F18">
            <v>0</v>
          </cell>
          <cell r="G18">
            <v>14.517495471213627</v>
          </cell>
          <cell r="H18">
            <v>12.199623587967183</v>
          </cell>
          <cell r="I18">
            <v>6.1740886289800132</v>
          </cell>
          <cell r="J18">
            <v>0</v>
          </cell>
          <cell r="K18">
            <v>0</v>
          </cell>
          <cell r="L18">
            <v>0</v>
          </cell>
          <cell r="M18">
            <v>0</v>
          </cell>
          <cell r="N18">
            <v>0</v>
          </cell>
          <cell r="O18">
            <v>0</v>
          </cell>
        </row>
        <row r="19">
          <cell r="B19" t="str">
            <v>BLNT1AO</v>
          </cell>
          <cell r="C19" t="str">
            <v>LV TOU &gt; 100 MWh/yr</v>
          </cell>
          <cell r="D19" t="str">
            <v>t-2</v>
          </cell>
          <cell r="E19">
            <v>2296.9146923607505</v>
          </cell>
          <cell r="F19">
            <v>0</v>
          </cell>
          <cell r="G19">
            <v>13.994402768671916</v>
          </cell>
          <cell r="H19">
            <v>12.672897937885873</v>
          </cell>
          <cell r="I19">
            <v>6.3828152949401833</v>
          </cell>
          <cell r="J19">
            <v>0</v>
          </cell>
          <cell r="K19">
            <v>0</v>
          </cell>
          <cell r="L19">
            <v>0</v>
          </cell>
          <cell r="M19">
            <v>0</v>
          </cell>
          <cell r="N19">
            <v>0</v>
          </cell>
          <cell r="O19">
            <v>0</v>
          </cell>
        </row>
        <row r="20">
          <cell r="B20" t="str">
            <v>BLND1AB</v>
          </cell>
          <cell r="C20" t="str">
            <v>Small Business-Opt in Demand</v>
          </cell>
          <cell r="D20" t="str">
            <v>t</v>
          </cell>
          <cell r="E20">
            <v>510.42548719127791</v>
          </cell>
          <cell r="F20">
            <v>0</v>
          </cell>
          <cell r="G20">
            <v>5.1325487178377331</v>
          </cell>
          <cell r="H20">
            <v>4.2074109395120871</v>
          </cell>
          <cell r="I20">
            <v>2.5832819757367789</v>
          </cell>
          <cell r="J20">
            <v>0</v>
          </cell>
          <cell r="K20">
            <v>6.3507850503175218</v>
          </cell>
          <cell r="L20">
            <v>0</v>
          </cell>
          <cell r="M20">
            <v>0</v>
          </cell>
          <cell r="N20">
            <v>0</v>
          </cell>
          <cell r="O20">
            <v>0</v>
          </cell>
        </row>
        <row r="21">
          <cell r="B21" t="str">
            <v>BLNT1SU</v>
          </cell>
          <cell r="C21" t="str">
            <v>LV TOU &gt; 100 MWh/yr Sth U</v>
          </cell>
          <cell r="D21" t="str">
            <v>t-2</v>
          </cell>
          <cell r="E21">
            <v>2353.5938846056324</v>
          </cell>
          <cell r="F21">
            <v>0</v>
          </cell>
          <cell r="G21">
            <v>14.212542619479898</v>
          </cell>
          <cell r="H21">
            <v>12.672897937885873</v>
          </cell>
          <cell r="I21">
            <v>6.3828152949401833</v>
          </cell>
          <cell r="J21">
            <v>0</v>
          </cell>
          <cell r="K21">
            <v>0</v>
          </cell>
          <cell r="L21">
            <v>0</v>
          </cell>
          <cell r="M21">
            <v>0</v>
          </cell>
          <cell r="N21">
            <v>0</v>
          </cell>
          <cell r="O21">
            <v>0</v>
          </cell>
        </row>
        <row r="23">
          <cell r="B23" t="str">
            <v>Tariff Class B; Low voltage - Large Business</v>
          </cell>
        </row>
        <row r="24">
          <cell r="B24" t="str">
            <v>BLND3AO</v>
          </cell>
          <cell r="C24" t="str">
            <v>LV TOU Demand 3 Rate</v>
          </cell>
          <cell r="D24" t="str">
            <v>t-2</v>
          </cell>
          <cell r="E24">
            <v>5374.3478749233964</v>
          </cell>
          <cell r="F24">
            <v>0</v>
          </cell>
          <cell r="G24">
            <v>3.9485308663153158</v>
          </cell>
          <cell r="H24">
            <v>3.5907206581682938</v>
          </cell>
          <cell r="I24">
            <v>2.3417757200499127</v>
          </cell>
          <cell r="J24">
            <v>0</v>
          </cell>
          <cell r="K24">
            <v>9.8688250792514438</v>
          </cell>
          <cell r="L24">
            <v>8.9289369764655913</v>
          </cell>
          <cell r="M24">
            <v>2.1481736433258454</v>
          </cell>
          <cell r="N24">
            <v>0</v>
          </cell>
          <cell r="O24">
            <v>0</v>
          </cell>
        </row>
        <row r="25">
          <cell r="B25" t="str">
            <v>BLND3TO</v>
          </cell>
          <cell r="C25" t="str">
            <v>LV TOU Demand-alternate tariff</v>
          </cell>
          <cell r="D25" t="str">
            <v>t-2</v>
          </cell>
          <cell r="E25">
            <v>5374.3478749233964</v>
          </cell>
          <cell r="F25">
            <v>0</v>
          </cell>
          <cell r="G25">
            <v>12.303896590074313</v>
          </cell>
          <cell r="H25">
            <v>11.150337265378814</v>
          </cell>
          <cell r="I25">
            <v>4.646119867334372</v>
          </cell>
          <cell r="J25">
            <v>0</v>
          </cell>
          <cell r="K25">
            <v>11.655076903842172</v>
          </cell>
          <cell r="L25">
            <v>0</v>
          </cell>
          <cell r="M25">
            <v>0</v>
          </cell>
          <cell r="N25">
            <v>0</v>
          </cell>
          <cell r="O25">
            <v>0</v>
          </cell>
        </row>
        <row r="26">
          <cell r="B26" t="str">
            <v>BLNDTRS</v>
          </cell>
          <cell r="C26" t="str">
            <v>Transitional Demand</v>
          </cell>
          <cell r="D26" t="str">
            <v>t</v>
          </cell>
          <cell r="E26">
            <v>3527.8879653858089</v>
          </cell>
          <cell r="F26">
            <v>0</v>
          </cell>
          <cell r="G26">
            <v>9.9760540077292763</v>
          </cell>
          <cell r="H26">
            <v>9.0400270259988407</v>
          </cell>
          <cell r="I26">
            <v>4.766399464984076</v>
          </cell>
          <cell r="J26">
            <v>0</v>
          </cell>
          <cell r="K26">
            <v>3.9475300317005777</v>
          </cell>
          <cell r="L26">
            <v>3.5715747905862365</v>
          </cell>
          <cell r="M26">
            <v>0.8592694573303381</v>
          </cell>
          <cell r="N26">
            <v>0</v>
          </cell>
          <cell r="O26">
            <v>0</v>
          </cell>
        </row>
        <row r="27">
          <cell r="B27" t="str">
            <v>BLNS1AO</v>
          </cell>
          <cell r="C27" t="str">
            <v>LV TOU avg daily Demand</v>
          </cell>
          <cell r="D27" t="str">
            <v>t-2</v>
          </cell>
          <cell r="E27">
            <v>5374.3478749233964</v>
          </cell>
          <cell r="F27">
            <v>0</v>
          </cell>
          <cell r="G27">
            <v>3.6117118601763449</v>
          </cell>
          <cell r="H27">
            <v>3.2859796526139875</v>
          </cell>
          <cell r="I27">
            <v>2.2207019201934077</v>
          </cell>
          <cell r="J27">
            <v>0</v>
          </cell>
          <cell r="K27">
            <v>10.598202102451046</v>
          </cell>
          <cell r="L27">
            <v>9.5888495212652298</v>
          </cell>
          <cell r="M27">
            <v>2.4507043809045497</v>
          </cell>
          <cell r="N27">
            <v>0</v>
          </cell>
          <cell r="O27">
            <v>0</v>
          </cell>
        </row>
        <row r="28">
          <cell r="B28" t="str">
            <v>BLND1CO</v>
          </cell>
          <cell r="C28" t="str">
            <v>LV 1 Rate Dmd Cent</v>
          </cell>
          <cell r="D28" t="str">
            <v>t-2</v>
          </cell>
          <cell r="E28">
            <v>6929.4191173695162</v>
          </cell>
          <cell r="F28">
            <v>0</v>
          </cell>
          <cell r="G28">
            <v>5.5626489906420842</v>
          </cell>
          <cell r="H28">
            <v>5.0384006938579207</v>
          </cell>
          <cell r="I28">
            <v>2.7208594046665033</v>
          </cell>
          <cell r="J28">
            <v>15.757319898884306</v>
          </cell>
          <cell r="K28">
            <v>0</v>
          </cell>
          <cell r="L28">
            <v>0</v>
          </cell>
          <cell r="M28">
            <v>0</v>
          </cell>
          <cell r="N28">
            <v>0</v>
          </cell>
          <cell r="O28">
            <v>0</v>
          </cell>
        </row>
        <row r="29">
          <cell r="B29" t="str">
            <v>BLND1SR</v>
          </cell>
          <cell r="C29" t="str">
            <v>LV 1 Rate Dmd Sth Rural</v>
          </cell>
          <cell r="D29" t="str">
            <v>t-2</v>
          </cell>
          <cell r="E29">
            <v>5374.3478749233964</v>
          </cell>
          <cell r="F29">
            <v>0</v>
          </cell>
          <cell r="G29">
            <v>11.517004341418803</v>
          </cell>
          <cell r="H29">
            <v>10.410055504776059</v>
          </cell>
          <cell r="I29">
            <v>4.2332343135442096</v>
          </cell>
          <cell r="J29">
            <v>10.465815774766687</v>
          </cell>
          <cell r="K29">
            <v>0</v>
          </cell>
          <cell r="L29">
            <v>0</v>
          </cell>
          <cell r="M29">
            <v>0</v>
          </cell>
          <cell r="N29">
            <v>3.8047599165466246</v>
          </cell>
          <cell r="O29">
            <v>0</v>
          </cell>
        </row>
        <row r="30">
          <cell r="B30" t="str">
            <v>BLND1SU</v>
          </cell>
          <cell r="C30" t="str">
            <v>LV 1 Rate Dmd Sth Urban</v>
          </cell>
          <cell r="D30" t="str">
            <v>t-2</v>
          </cell>
          <cell r="E30">
            <v>1446.0148906422194</v>
          </cell>
          <cell r="F30">
            <v>0</v>
          </cell>
          <cell r="G30">
            <v>12.984871745253942</v>
          </cell>
          <cell r="H30">
            <v>11.738126013007856</v>
          </cell>
          <cell r="I30">
            <v>5.5654276741083901</v>
          </cell>
          <cell r="J30">
            <v>10.265004887796241</v>
          </cell>
          <cell r="K30">
            <v>0</v>
          </cell>
          <cell r="L30">
            <v>0</v>
          </cell>
          <cell r="M30">
            <v>0</v>
          </cell>
          <cell r="N30">
            <v>3.8095796915854723</v>
          </cell>
          <cell r="O30">
            <v>0</v>
          </cell>
        </row>
        <row r="31">
          <cell r="B31" t="str">
            <v>TLD</v>
          </cell>
          <cell r="C31" t="str">
            <v>Time of Day - LV Demand - FW</v>
          </cell>
          <cell r="D31" t="str">
            <v>t-2</v>
          </cell>
          <cell r="E31">
            <v>5374.3478749233964</v>
          </cell>
          <cell r="F31">
            <v>0</v>
          </cell>
          <cell r="G31">
            <v>11.660056652306483</v>
          </cell>
          <cell r="H31">
            <v>10.533958943365391</v>
          </cell>
          <cell r="I31">
            <v>3.8471326239275343</v>
          </cell>
          <cell r="J31">
            <v>16.977177411006554</v>
          </cell>
          <cell r="K31">
            <v>0</v>
          </cell>
          <cell r="L31">
            <v>0</v>
          </cell>
          <cell r="M31">
            <v>0</v>
          </cell>
          <cell r="N31">
            <v>0</v>
          </cell>
          <cell r="O31">
            <v>0</v>
          </cell>
        </row>
        <row r="32">
          <cell r="B32" t="str">
            <v/>
          </cell>
          <cell r="C32" t="str">
            <v/>
          </cell>
          <cell r="D32" t="str">
            <v/>
          </cell>
          <cell r="E32">
            <v>0</v>
          </cell>
          <cell r="F32">
            <v>0</v>
          </cell>
          <cell r="G32">
            <v>0</v>
          </cell>
          <cell r="H32">
            <v>0</v>
          </cell>
          <cell r="I32">
            <v>0</v>
          </cell>
          <cell r="J32">
            <v>0</v>
          </cell>
          <cell r="K32">
            <v>0</v>
          </cell>
          <cell r="L32">
            <v>0</v>
          </cell>
          <cell r="M32">
            <v>0</v>
          </cell>
          <cell r="N32">
            <v>0</v>
          </cell>
          <cell r="O32">
            <v>0</v>
          </cell>
        </row>
        <row r="34">
          <cell r="B34" t="str">
            <v>Tariff Class C; High voltage - demand</v>
          </cell>
        </row>
        <row r="35">
          <cell r="B35" t="str">
            <v>BHND3AO</v>
          </cell>
          <cell r="C35" t="str">
            <v>HV TOU mthly Demand</v>
          </cell>
          <cell r="D35" t="str">
            <v>t-2</v>
          </cell>
          <cell r="E35">
            <v>6652.5802934104295</v>
          </cell>
          <cell r="F35">
            <v>0</v>
          </cell>
          <cell r="G35">
            <v>3.0267096193665677</v>
          </cell>
          <cell r="H35">
            <v>2.7711598734816705</v>
          </cell>
          <cell r="I35">
            <v>2.2596799354938866</v>
          </cell>
          <cell r="J35">
            <v>0</v>
          </cell>
          <cell r="K35">
            <v>8.6574768352414697</v>
          </cell>
          <cell r="L35">
            <v>7.8329552318851388</v>
          </cell>
          <cell r="M35">
            <v>2.3439835402683422</v>
          </cell>
          <cell r="N35">
            <v>0</v>
          </cell>
          <cell r="O35">
            <v>0</v>
          </cell>
        </row>
        <row r="36">
          <cell r="B36" t="str">
            <v>BHNS1AO</v>
          </cell>
          <cell r="C36" t="str">
            <v>HV TOU avg daily Demand</v>
          </cell>
          <cell r="D36" t="str">
            <v>t-2</v>
          </cell>
          <cell r="E36">
            <v>6466.1068681256747</v>
          </cell>
          <cell r="F36">
            <v>0</v>
          </cell>
          <cell r="G36">
            <v>3.0110002315304945</v>
          </cell>
          <cell r="H36">
            <v>2.7569466178204611</v>
          </cell>
          <cell r="I36">
            <v>2.2523651823458875</v>
          </cell>
          <cell r="J36">
            <v>0</v>
          </cell>
          <cell r="K36">
            <v>9.1675106389521002</v>
          </cell>
          <cell r="L36">
            <v>8.2944143876233269</v>
          </cell>
          <cell r="M36">
            <v>2.4819980976259144</v>
          </cell>
          <cell r="N36">
            <v>0</v>
          </cell>
          <cell r="O36">
            <v>0</v>
          </cell>
        </row>
        <row r="37">
          <cell r="B37" t="str">
            <v>BHND1CO</v>
          </cell>
          <cell r="C37" t="str">
            <v>HV 1 Rate Dmd Cent U</v>
          </cell>
          <cell r="D37" t="str">
            <v>t-2</v>
          </cell>
          <cell r="E37">
            <v>8891.6233339987466</v>
          </cell>
          <cell r="F37">
            <v>0</v>
          </cell>
          <cell r="G37">
            <v>6.0331044179653608</v>
          </cell>
          <cell r="H37">
            <v>6.0331044179653608</v>
          </cell>
          <cell r="I37">
            <v>2.8212120312696709</v>
          </cell>
          <cell r="J37">
            <v>11.486962253083808</v>
          </cell>
          <cell r="K37">
            <v>0</v>
          </cell>
          <cell r="L37">
            <v>0</v>
          </cell>
          <cell r="M37">
            <v>0</v>
          </cell>
          <cell r="N37">
            <v>0</v>
          </cell>
          <cell r="O37">
            <v>0</v>
          </cell>
        </row>
        <row r="38">
          <cell r="B38" t="str">
            <v>BHND1SO</v>
          </cell>
          <cell r="C38" t="str">
            <v>HV 1 Rate Dmd Sth U</v>
          </cell>
          <cell r="D38" t="str">
            <v>t-2</v>
          </cell>
          <cell r="E38">
            <v>6627.7595398288158</v>
          </cell>
          <cell r="F38">
            <v>0</v>
          </cell>
          <cell r="G38">
            <v>5.4773566899551414</v>
          </cell>
          <cell r="H38">
            <v>5.4773566899551414</v>
          </cell>
          <cell r="I38">
            <v>4.0633590723816582</v>
          </cell>
          <cell r="J38">
            <v>8.2954709832538782</v>
          </cell>
          <cell r="K38">
            <v>0</v>
          </cell>
          <cell r="L38">
            <v>0</v>
          </cell>
          <cell r="M38">
            <v>0</v>
          </cell>
          <cell r="N38">
            <v>3.0550689601233927</v>
          </cell>
          <cell r="O38">
            <v>0</v>
          </cell>
        </row>
        <row r="40">
          <cell r="B40" t="str">
            <v>Tariff Class D; Subtransmission</v>
          </cell>
          <cell r="E40">
            <v>0</v>
          </cell>
        </row>
        <row r="41">
          <cell r="B41" t="str">
            <v>BSSD3AO</v>
          </cell>
          <cell r="C41" t="str">
            <v>SUB TRANS 3 RATE DEMAND</v>
          </cell>
          <cell r="D41" t="str">
            <v>t-2</v>
          </cell>
          <cell r="E41">
            <v>6603.6649276908229</v>
          </cell>
          <cell r="F41">
            <v>0</v>
          </cell>
          <cell r="G41">
            <v>3.7740177452694743</v>
          </cell>
          <cell r="H41">
            <v>2.2770286693681507</v>
          </cell>
          <cell r="I41">
            <v>1.8934460941384383</v>
          </cell>
          <cell r="J41">
            <v>0</v>
          </cell>
          <cell r="K41">
            <v>3.3409011444599988</v>
          </cell>
          <cell r="L41">
            <v>2.3817432497099991</v>
          </cell>
          <cell r="M41">
            <v>0.94943564033999961</v>
          </cell>
          <cell r="N41">
            <v>0</v>
          </cell>
          <cell r="O41">
            <v>0</v>
          </cell>
        </row>
        <row r="42">
          <cell r="B42" t="str">
            <v/>
          </cell>
          <cell r="C42" t="str">
            <v/>
          </cell>
          <cell r="D42" t="str">
            <v/>
          </cell>
          <cell r="E42">
            <v>0</v>
          </cell>
          <cell r="F42">
            <v>0</v>
          </cell>
          <cell r="G42">
            <v>0</v>
          </cell>
          <cell r="H42">
            <v>0</v>
          </cell>
          <cell r="I42">
            <v>0</v>
          </cell>
          <cell r="J42">
            <v>0</v>
          </cell>
          <cell r="K42">
            <v>0</v>
          </cell>
          <cell r="L42">
            <v>0</v>
          </cell>
          <cell r="M42">
            <v>0</v>
          </cell>
          <cell r="N42">
            <v>0</v>
          </cell>
          <cell r="O42">
            <v>0</v>
          </cell>
        </row>
        <row r="43">
          <cell r="B43" t="str">
            <v>BSS04CU</v>
          </cell>
          <cell r="C43" t="str">
            <v>Peak Gold Mines</v>
          </cell>
          <cell r="D43" t="str">
            <v>t-2</v>
          </cell>
          <cell r="E43">
            <v>470201.29197943053</v>
          </cell>
          <cell r="F43">
            <v>0</v>
          </cell>
          <cell r="G43">
            <v>0.27380277164821359</v>
          </cell>
          <cell r="H43">
            <v>0.24149979731821364</v>
          </cell>
          <cell r="I43">
            <v>0.23428651178821364</v>
          </cell>
          <cell r="J43">
            <v>6.2083222724961757</v>
          </cell>
          <cell r="K43">
            <v>0</v>
          </cell>
          <cell r="L43">
            <v>0</v>
          </cell>
          <cell r="M43">
            <v>0</v>
          </cell>
          <cell r="N43">
            <v>0</v>
          </cell>
          <cell r="O43">
            <v>0</v>
          </cell>
        </row>
        <row r="44">
          <cell r="B44" t="str">
            <v>BSS05CU</v>
          </cell>
          <cell r="C44" t="str">
            <v>Oberon Timber Complex</v>
          </cell>
          <cell r="D44" t="str">
            <v>t-2</v>
          </cell>
          <cell r="E44">
            <v>485044.33370025037</v>
          </cell>
          <cell r="F44">
            <v>0</v>
          </cell>
          <cell r="G44">
            <v>0.26240787131821364</v>
          </cell>
          <cell r="H44">
            <v>0.23533191548821364</v>
          </cell>
          <cell r="I44">
            <v>0.22874587217821363</v>
          </cell>
          <cell r="J44">
            <v>3.1448639916675285</v>
          </cell>
          <cell r="K44">
            <v>0</v>
          </cell>
          <cell r="L44">
            <v>0</v>
          </cell>
          <cell r="M44">
            <v>0</v>
          </cell>
          <cell r="N44">
            <v>0</v>
          </cell>
          <cell r="O44">
            <v>0</v>
          </cell>
        </row>
        <row r="45">
          <cell r="B45" t="str">
            <v>BSS05NO</v>
          </cell>
          <cell r="C45" t="str">
            <v>Harwood Sugar</v>
          </cell>
          <cell r="D45" t="str">
            <v>t-2</v>
          </cell>
          <cell r="E45">
            <v>33238.723632148016</v>
          </cell>
          <cell r="F45">
            <v>0</v>
          </cell>
          <cell r="G45">
            <v>0.99711759167821323</v>
          </cell>
          <cell r="H45">
            <v>1.7858746833282126</v>
          </cell>
          <cell r="I45">
            <v>1.084722421738213</v>
          </cell>
          <cell r="J45">
            <v>6.2116222046170062</v>
          </cell>
          <cell r="K45">
            <v>0</v>
          </cell>
          <cell r="L45">
            <v>0</v>
          </cell>
          <cell r="M45">
            <v>0</v>
          </cell>
          <cell r="N45">
            <v>0</v>
          </cell>
          <cell r="O45">
            <v>0</v>
          </cell>
        </row>
        <row r="46">
          <cell r="B46" t="str">
            <v>BSS06CU</v>
          </cell>
          <cell r="C46" t="str">
            <v>Fletcher International Exports</v>
          </cell>
          <cell r="D46" t="str">
            <v>t-2</v>
          </cell>
          <cell r="E46">
            <v>294974.74899925938</v>
          </cell>
          <cell r="F46">
            <v>0</v>
          </cell>
          <cell r="G46">
            <v>0.2745345542382136</v>
          </cell>
          <cell r="H46">
            <v>0.24191795879821362</v>
          </cell>
          <cell r="I46">
            <v>0.23407743104821363</v>
          </cell>
          <cell r="J46">
            <v>5.6342936430047628</v>
          </cell>
          <cell r="K46">
            <v>0</v>
          </cell>
          <cell r="L46">
            <v>0</v>
          </cell>
          <cell r="M46">
            <v>0</v>
          </cell>
          <cell r="N46">
            <v>0</v>
          </cell>
          <cell r="O46">
            <v>0</v>
          </cell>
        </row>
        <row r="47">
          <cell r="B47" t="str">
            <v>BSS08CU</v>
          </cell>
          <cell r="C47" t="str">
            <v>Cadia Mine</v>
          </cell>
          <cell r="D47" t="str">
            <v>t-2</v>
          </cell>
          <cell r="E47">
            <v>3159920.2240400529</v>
          </cell>
          <cell r="F47">
            <v>0</v>
          </cell>
          <cell r="G47">
            <v>0.14842828041481601</v>
          </cell>
          <cell r="H47">
            <v>0.14842828041481601</v>
          </cell>
          <cell r="I47">
            <v>0.14842828041481601</v>
          </cell>
          <cell r="J47">
            <v>3.3410339870908956</v>
          </cell>
          <cell r="K47">
            <v>0</v>
          </cell>
          <cell r="L47">
            <v>0</v>
          </cell>
          <cell r="M47">
            <v>0</v>
          </cell>
          <cell r="N47">
            <v>0</v>
          </cell>
          <cell r="O47">
            <v>0</v>
          </cell>
        </row>
        <row r="48">
          <cell r="B48" t="str">
            <v>BSS10CU</v>
          </cell>
          <cell r="C48" t="str">
            <v>Ulan Coal Mine Cassilis Road</v>
          </cell>
          <cell r="D48" t="str">
            <v>t-2</v>
          </cell>
          <cell r="E48">
            <v>851759.08675238735</v>
          </cell>
          <cell r="F48">
            <v>0</v>
          </cell>
          <cell r="G48">
            <v>0.26167608872821363</v>
          </cell>
          <cell r="H48">
            <v>0.23407743104821363</v>
          </cell>
          <cell r="I48">
            <v>0.22832771069821364</v>
          </cell>
          <cell r="J48">
            <v>3.3959296643368555</v>
          </cell>
          <cell r="K48">
            <v>0</v>
          </cell>
          <cell r="L48">
            <v>0</v>
          </cell>
          <cell r="M48">
            <v>0</v>
          </cell>
          <cell r="N48">
            <v>0</v>
          </cell>
          <cell r="O48">
            <v>0</v>
          </cell>
        </row>
        <row r="49">
          <cell r="B49" t="str">
            <v>BSS11CU</v>
          </cell>
          <cell r="C49" t="str">
            <v>Cobar Mine</v>
          </cell>
          <cell r="D49" t="str">
            <v>t-2</v>
          </cell>
          <cell r="E49">
            <v>388707.32643763378</v>
          </cell>
          <cell r="F49">
            <v>0</v>
          </cell>
          <cell r="G49">
            <v>0.66687456284821345</v>
          </cell>
          <cell r="H49">
            <v>0.57979243463821351</v>
          </cell>
          <cell r="I49">
            <v>0.39831035231821355</v>
          </cell>
          <cell r="J49">
            <v>7.3325492722328374</v>
          </cell>
          <cell r="K49">
            <v>0</v>
          </cell>
          <cell r="L49">
            <v>0</v>
          </cell>
          <cell r="M49">
            <v>0</v>
          </cell>
          <cell r="N49">
            <v>0</v>
          </cell>
          <cell r="O49">
            <v>0</v>
          </cell>
        </row>
        <row r="50">
          <cell r="B50" t="str">
            <v>BSS12CU</v>
          </cell>
          <cell r="C50" t="str">
            <v>Endeavor Operations Pty Ltd</v>
          </cell>
          <cell r="D50" t="str">
            <v>t-2</v>
          </cell>
          <cell r="E50">
            <v>952804.12366040749</v>
          </cell>
          <cell r="F50">
            <v>0</v>
          </cell>
          <cell r="G50">
            <v>0.46647067355821348</v>
          </cell>
          <cell r="H50">
            <v>0.35105810507821356</v>
          </cell>
          <cell r="I50">
            <v>0.32345944739821358</v>
          </cell>
          <cell r="J50">
            <v>5.6243820188006604</v>
          </cell>
          <cell r="K50">
            <v>0</v>
          </cell>
          <cell r="L50">
            <v>0</v>
          </cell>
          <cell r="M50">
            <v>0</v>
          </cell>
          <cell r="N50">
            <v>0</v>
          </cell>
          <cell r="O50">
            <v>0</v>
          </cell>
        </row>
        <row r="51">
          <cell r="B51" t="str">
            <v>BSS13CU</v>
          </cell>
          <cell r="C51" t="str">
            <v>Uncle Bens-Bathurst</v>
          </cell>
          <cell r="D51" t="str">
            <v>t-2</v>
          </cell>
          <cell r="E51">
            <v>321065.24029614934</v>
          </cell>
          <cell r="F51">
            <v>0</v>
          </cell>
          <cell r="G51">
            <v>0.36046673837821358</v>
          </cell>
          <cell r="H51">
            <v>0.29105193269821361</v>
          </cell>
          <cell r="I51">
            <v>0.27432547349821357</v>
          </cell>
          <cell r="J51">
            <v>3.7495599315416359</v>
          </cell>
          <cell r="K51">
            <v>0</v>
          </cell>
          <cell r="L51">
            <v>0</v>
          </cell>
          <cell r="M51">
            <v>0</v>
          </cell>
          <cell r="N51">
            <v>0</v>
          </cell>
          <cell r="O51">
            <v>0</v>
          </cell>
        </row>
        <row r="52">
          <cell r="B52" t="str">
            <v>BSS20CU</v>
          </cell>
          <cell r="C52" t="str">
            <v>Nth Parkes Mine</v>
          </cell>
          <cell r="D52" t="str">
            <v>t-2</v>
          </cell>
          <cell r="E52">
            <v>1045955.5332741392</v>
          </cell>
          <cell r="F52">
            <v>0</v>
          </cell>
          <cell r="G52">
            <v>0.19801100339821365</v>
          </cell>
          <cell r="H52">
            <v>0.19801100339821365</v>
          </cell>
          <cell r="I52">
            <v>0.19801100339821365</v>
          </cell>
          <cell r="J52">
            <v>5.6109172627268498</v>
          </cell>
          <cell r="K52">
            <v>0</v>
          </cell>
          <cell r="L52">
            <v>0</v>
          </cell>
          <cell r="M52">
            <v>0</v>
          </cell>
          <cell r="N52">
            <v>0</v>
          </cell>
          <cell r="O52">
            <v>0</v>
          </cell>
        </row>
        <row r="53">
          <cell r="B53" t="str">
            <v>BSS25AO</v>
          </cell>
          <cell r="C53" t="str">
            <v>Tritton Mine</v>
          </cell>
          <cell r="D53" t="str">
            <v>t-2</v>
          </cell>
          <cell r="E53">
            <v>217314.12360797176</v>
          </cell>
          <cell r="F53">
            <v>0</v>
          </cell>
          <cell r="G53">
            <v>0.19801100339821365</v>
          </cell>
          <cell r="H53">
            <v>0.19801100339821365</v>
          </cell>
          <cell r="I53">
            <v>0.19801100339821365</v>
          </cell>
          <cell r="J53">
            <v>0</v>
          </cell>
          <cell r="K53">
            <v>3.7457388466130515</v>
          </cell>
          <cell r="L53">
            <v>3.6247856385230519</v>
          </cell>
          <cell r="M53">
            <v>3.0048991672297887</v>
          </cell>
          <cell r="N53">
            <v>0</v>
          </cell>
          <cell r="O53">
            <v>0</v>
          </cell>
        </row>
        <row r="54">
          <cell r="B54" t="str">
            <v>BSS26AO</v>
          </cell>
          <cell r="C54" t="str">
            <v>Lake Cowell Mine</v>
          </cell>
          <cell r="D54" t="str">
            <v>t-2</v>
          </cell>
          <cell r="E54">
            <v>886147.16748007142</v>
          </cell>
          <cell r="F54">
            <v>0</v>
          </cell>
          <cell r="G54">
            <v>0.20930136335821364</v>
          </cell>
          <cell r="H54">
            <v>0.20585153114821364</v>
          </cell>
          <cell r="I54">
            <v>0.20428342559821364</v>
          </cell>
          <cell r="J54">
            <v>0</v>
          </cell>
          <cell r="K54">
            <v>1.2326253747301419</v>
          </cell>
          <cell r="L54">
            <v>1.1796234071401419</v>
          </cell>
          <cell r="M54">
            <v>0.88986616857760636</v>
          </cell>
          <cell r="N54">
            <v>0</v>
          </cell>
          <cell r="O54">
            <v>0</v>
          </cell>
        </row>
        <row r="55">
          <cell r="B55" t="str">
            <v>BSS27AO</v>
          </cell>
          <cell r="C55" t="str">
            <v>Manildra Flour Mill</v>
          </cell>
          <cell r="D55" t="str">
            <v>t-1</v>
          </cell>
          <cell r="E55">
            <v>289654.08658574324</v>
          </cell>
          <cell r="F55">
            <v>0</v>
          </cell>
          <cell r="G55">
            <v>0.43469040107821355</v>
          </cell>
          <cell r="H55">
            <v>0.43469040107821355</v>
          </cell>
          <cell r="I55">
            <v>0.43469040107821355</v>
          </cell>
          <cell r="J55">
            <v>6.7345687034201065</v>
          </cell>
          <cell r="K55">
            <v>0</v>
          </cell>
          <cell r="L55">
            <v>0</v>
          </cell>
          <cell r="M55">
            <v>0</v>
          </cell>
          <cell r="N55">
            <v>0</v>
          </cell>
          <cell r="O55">
            <v>0</v>
          </cell>
        </row>
        <row r="56">
          <cell r="B56" t="str">
            <v>CRNP1</v>
          </cell>
          <cell r="C56" t="str">
            <v>Perilya Mine, Broken Hill          </v>
          </cell>
          <cell r="D56" t="str">
            <v>t-2</v>
          </cell>
          <cell r="E56">
            <v>649471.29049471521</v>
          </cell>
          <cell r="F56">
            <v>0</v>
          </cell>
          <cell r="G56">
            <v>0.14842828041481601</v>
          </cell>
          <cell r="H56">
            <v>0.14842828041481601</v>
          </cell>
          <cell r="I56">
            <v>0.14842828041481601</v>
          </cell>
          <cell r="J56">
            <v>0</v>
          </cell>
          <cell r="K56">
            <v>0</v>
          </cell>
          <cell r="L56">
            <v>0</v>
          </cell>
          <cell r="M56">
            <v>0</v>
          </cell>
          <cell r="N56">
            <v>0</v>
          </cell>
          <cell r="O56">
            <v>9.1220920450895449</v>
          </cell>
        </row>
        <row r="57">
          <cell r="B57" t="str">
            <v>CRNP2</v>
          </cell>
          <cell r="C57" t="str">
            <v>Bemax and Snapper      </v>
          </cell>
          <cell r="D57" t="str">
            <v>t-2</v>
          </cell>
          <cell r="E57">
            <v>405879.50430281437</v>
          </cell>
          <cell r="F57">
            <v>0</v>
          </cell>
          <cell r="G57">
            <v>3.0325177264585337</v>
          </cell>
          <cell r="H57">
            <v>3.0325177264585337</v>
          </cell>
          <cell r="I57">
            <v>0.79209900564985147</v>
          </cell>
          <cell r="J57">
            <v>0</v>
          </cell>
          <cell r="K57">
            <v>0</v>
          </cell>
          <cell r="L57">
            <v>0</v>
          </cell>
          <cell r="M57">
            <v>0</v>
          </cell>
          <cell r="N57">
            <v>0</v>
          </cell>
          <cell r="O57">
            <v>2.2314633586318249</v>
          </cell>
        </row>
        <row r="58">
          <cell r="B58" t="str">
            <v>BSS21SU</v>
          </cell>
          <cell r="C58" t="str">
            <v>IDT Blowering Dam</v>
          </cell>
          <cell r="D58" t="str">
            <v>t-2</v>
          </cell>
          <cell r="E58">
            <v>0</v>
          </cell>
          <cell r="F58">
            <v>0</v>
          </cell>
          <cell r="G58">
            <v>2.1454742959226283</v>
          </cell>
          <cell r="H58">
            <v>2.1454742959226283</v>
          </cell>
          <cell r="I58">
            <v>1.0638381218470043</v>
          </cell>
          <cell r="J58">
            <v>0</v>
          </cell>
          <cell r="K58">
            <v>0</v>
          </cell>
          <cell r="L58">
            <v>0</v>
          </cell>
          <cell r="M58">
            <v>0</v>
          </cell>
          <cell r="N58">
            <v>0</v>
          </cell>
          <cell r="O58">
            <v>0</v>
          </cell>
        </row>
        <row r="59">
          <cell r="B59" t="str">
            <v>BSS22SU</v>
          </cell>
          <cell r="C59" t="str">
            <v>IDT Cabramurra Aux</v>
          </cell>
          <cell r="D59" t="str">
            <v>t-2</v>
          </cell>
          <cell r="E59">
            <v>0</v>
          </cell>
          <cell r="F59">
            <v>0</v>
          </cell>
          <cell r="G59">
            <v>4.4296557261558993</v>
          </cell>
          <cell r="H59">
            <v>4.4296557261558993</v>
          </cell>
          <cell r="I59">
            <v>2.1091427347617278</v>
          </cell>
          <cell r="J59">
            <v>0</v>
          </cell>
          <cell r="K59">
            <v>0</v>
          </cell>
          <cell r="L59">
            <v>0</v>
          </cell>
          <cell r="M59">
            <v>0</v>
          </cell>
          <cell r="N59">
            <v>0</v>
          </cell>
          <cell r="O59">
            <v>0</v>
          </cell>
        </row>
        <row r="60">
          <cell r="B60" t="str">
            <v>BSS24NU</v>
          </cell>
          <cell r="C60" t="str">
            <v>Kirra - IDC</v>
          </cell>
          <cell r="D60" t="str">
            <v>t-2</v>
          </cell>
          <cell r="E60">
            <v>18186.958186407013</v>
          </cell>
          <cell r="F60">
            <v>0</v>
          </cell>
          <cell r="G60">
            <v>2.8984283500326504</v>
          </cell>
          <cell r="H60">
            <v>1.6693755320406352</v>
          </cell>
          <cell r="I60">
            <v>1.374244197011443</v>
          </cell>
          <cell r="J60">
            <v>0</v>
          </cell>
          <cell r="K60">
            <v>5.2175395038065409</v>
          </cell>
          <cell r="L60">
            <v>3.7644720866224048</v>
          </cell>
          <cell r="M60">
            <v>1.4415679764841351</v>
          </cell>
          <cell r="N60">
            <v>0</v>
          </cell>
          <cell r="O60">
            <v>0</v>
          </cell>
        </row>
        <row r="61">
          <cell r="B61" t="str">
            <v/>
          </cell>
          <cell r="C61" t="str">
            <v/>
          </cell>
          <cell r="D61" t="str">
            <v/>
          </cell>
          <cell r="E61">
            <v>0</v>
          </cell>
          <cell r="F61">
            <v>0</v>
          </cell>
          <cell r="G61">
            <v>0</v>
          </cell>
          <cell r="H61">
            <v>0</v>
          </cell>
          <cell r="I61">
            <v>0</v>
          </cell>
          <cell r="J61">
            <v>0</v>
          </cell>
          <cell r="K61">
            <v>0</v>
          </cell>
          <cell r="L61">
            <v>0</v>
          </cell>
          <cell r="M61">
            <v>0</v>
          </cell>
          <cell r="N61">
            <v>0</v>
          </cell>
          <cell r="O61">
            <v>0</v>
          </cell>
        </row>
        <row r="62">
          <cell r="B62" t="str">
            <v/>
          </cell>
          <cell r="C62" t="str">
            <v/>
          </cell>
          <cell r="D62" t="str">
            <v/>
          </cell>
          <cell r="E62">
            <v>0</v>
          </cell>
          <cell r="F62">
            <v>0</v>
          </cell>
          <cell r="G62">
            <v>0</v>
          </cell>
          <cell r="H62">
            <v>0</v>
          </cell>
          <cell r="I62">
            <v>0</v>
          </cell>
          <cell r="J62">
            <v>0</v>
          </cell>
          <cell r="K62">
            <v>0</v>
          </cell>
          <cell r="L62">
            <v>0</v>
          </cell>
          <cell r="M62">
            <v>0</v>
          </cell>
          <cell r="N62">
            <v>0</v>
          </cell>
          <cell r="O62">
            <v>0</v>
          </cell>
        </row>
        <row r="63">
          <cell r="B63" t="str">
            <v/>
          </cell>
          <cell r="C63" t="str">
            <v/>
          </cell>
          <cell r="D63" t="str">
            <v/>
          </cell>
          <cell r="E63">
            <v>0</v>
          </cell>
          <cell r="F63">
            <v>0</v>
          </cell>
          <cell r="G63">
            <v>0</v>
          </cell>
          <cell r="H63">
            <v>0</v>
          </cell>
          <cell r="I63">
            <v>0</v>
          </cell>
          <cell r="J63">
            <v>0</v>
          </cell>
          <cell r="K63">
            <v>0</v>
          </cell>
          <cell r="L63">
            <v>0</v>
          </cell>
          <cell r="M63">
            <v>0</v>
          </cell>
          <cell r="N63">
            <v>0</v>
          </cell>
          <cell r="O63">
            <v>0</v>
          </cell>
        </row>
        <row r="64">
          <cell r="B64" t="str">
            <v>Tariff Class E; unmetered</v>
          </cell>
          <cell r="E64">
            <v>0</v>
          </cell>
        </row>
        <row r="65">
          <cell r="B65" t="str">
            <v>BLNP1AO</v>
          </cell>
          <cell r="C65" t="str">
            <v>LV Public Lighting NUOS</v>
          </cell>
          <cell r="D65" t="str">
            <v>t-2</v>
          </cell>
          <cell r="E65">
            <v>257.49185884960946</v>
          </cell>
          <cell r="F65">
            <v>15.37890774426894</v>
          </cell>
          <cell r="G65">
            <v>0</v>
          </cell>
          <cell r="H65">
            <v>0</v>
          </cell>
          <cell r="I65">
            <v>0</v>
          </cell>
          <cell r="J65">
            <v>0</v>
          </cell>
          <cell r="K65">
            <v>0</v>
          </cell>
          <cell r="L65">
            <v>0</v>
          </cell>
          <cell r="M65">
            <v>0</v>
          </cell>
          <cell r="N65">
            <v>0</v>
          </cell>
          <cell r="O65">
            <v>0</v>
          </cell>
        </row>
        <row r="66">
          <cell r="B66" t="str">
            <v>BLNP3AO</v>
          </cell>
          <cell r="C66" t="str">
            <v>LV Public Lighting TOU NUOS</v>
          </cell>
          <cell r="D66" t="str">
            <v>t-2</v>
          </cell>
          <cell r="E66">
            <v>0</v>
          </cell>
          <cell r="F66">
            <v>0</v>
          </cell>
          <cell r="G66">
            <v>15.743961249584052</v>
          </cell>
          <cell r="H66">
            <v>14.254112900795434</v>
          </cell>
          <cell r="I66">
            <v>6.6550433519373788</v>
          </cell>
          <cell r="J66">
            <v>0</v>
          </cell>
          <cell r="K66">
            <v>0</v>
          </cell>
          <cell r="L66">
            <v>0</v>
          </cell>
          <cell r="M66">
            <v>0</v>
          </cell>
          <cell r="N66">
            <v>0</v>
          </cell>
          <cell r="O66">
            <v>0</v>
          </cell>
        </row>
      </sheetData>
      <sheetData sheetId="5"/>
      <sheetData sheetId="6"/>
      <sheetData sheetId="7">
        <row r="10">
          <cell r="B10" t="str">
            <v>BLNN2AU</v>
          </cell>
          <cell r="C10" t="str">
            <v>LV Residential Anytime</v>
          </cell>
          <cell r="D10" t="str">
            <v>t-2</v>
          </cell>
          <cell r="E10">
            <v>290.22712664956146</v>
          </cell>
          <cell r="F10">
            <v>7.9624414876361085</v>
          </cell>
        </row>
        <row r="11">
          <cell r="B11" t="str">
            <v>BLNT3AU</v>
          </cell>
          <cell r="C11" t="str">
            <v>LV Residential TOU</v>
          </cell>
          <cell r="D11" t="str">
            <v>t-2</v>
          </cell>
          <cell r="E11">
            <v>290.22712664956146</v>
          </cell>
          <cell r="G11">
            <v>10.016375736316274</v>
          </cell>
          <cell r="H11">
            <v>9.0624351900004356</v>
          </cell>
          <cell r="I11">
            <v>2.5630710931817302</v>
          </cell>
        </row>
        <row r="12">
          <cell r="B12" t="str">
            <v>BLNT3AL</v>
          </cell>
          <cell r="C12" t="str">
            <v>LV Residential TOU_Interval meter</v>
          </cell>
          <cell r="D12" t="str">
            <v>t</v>
          </cell>
          <cell r="E12">
            <v>290.22712664956146</v>
          </cell>
          <cell r="G12">
            <v>10.517194523132087</v>
          </cell>
          <cell r="H12">
            <v>8.6093134305004124</v>
          </cell>
          <cell r="I12">
            <v>2.5630710931817302</v>
          </cell>
        </row>
        <row r="13">
          <cell r="B13" t="str">
            <v>BLND1AR</v>
          </cell>
          <cell r="C13" t="str">
            <v>Small Residential-Opt in Demand</v>
          </cell>
          <cell r="D13" t="str">
            <v>t</v>
          </cell>
          <cell r="E13">
            <v>290.22712664956146</v>
          </cell>
          <cell r="G13">
            <v>0.81668077950604467</v>
          </cell>
          <cell r="H13">
            <v>0.51042548719127789</v>
          </cell>
          <cell r="I13">
            <v>0.25521274359563895</v>
          </cell>
          <cell r="K13">
            <v>3.908175415580013</v>
          </cell>
          <cell r="L13">
            <v>0</v>
          </cell>
          <cell r="M13">
            <v>0</v>
          </cell>
        </row>
        <row r="14">
          <cell r="B14" t="str">
            <v>BLNC1AU</v>
          </cell>
          <cell r="C14" t="str">
            <v>Controlled Load 1</v>
          </cell>
          <cell r="D14" t="str">
            <v>t-2</v>
          </cell>
          <cell r="E14">
            <v>32.454609853763792</v>
          </cell>
          <cell r="F14">
            <v>0.36113624069757294</v>
          </cell>
        </row>
        <row r="15">
          <cell r="B15" t="str">
            <v>BLNC2AU</v>
          </cell>
          <cell r="C15" t="str">
            <v>Controlled Load 2</v>
          </cell>
          <cell r="D15" t="str">
            <v>t-2</v>
          </cell>
          <cell r="E15">
            <v>32.454609853763792</v>
          </cell>
          <cell r="F15">
            <v>2.4095486326054516</v>
          </cell>
        </row>
        <row r="16">
          <cell r="B16" t="str">
            <v>BLNN1AU</v>
          </cell>
          <cell r="C16" t="str">
            <v>LV Small Business Anytime</v>
          </cell>
          <cell r="D16" t="str">
            <v>t-2</v>
          </cell>
          <cell r="E16">
            <v>290.22712664956146</v>
          </cell>
          <cell r="F16">
            <v>11.472674369206182</v>
          </cell>
          <cell r="G16">
            <v>0</v>
          </cell>
          <cell r="H16">
            <v>0</v>
          </cell>
          <cell r="I16">
            <v>0</v>
          </cell>
        </row>
        <row r="17">
          <cell r="B17" t="str">
            <v>BLNT2AU</v>
          </cell>
          <cell r="C17" t="str">
            <v>LV TOU &lt; 100MWh Cent Urban</v>
          </cell>
          <cell r="D17" t="str">
            <v>t-2</v>
          </cell>
          <cell r="E17">
            <v>2296.9146923607505</v>
          </cell>
          <cell r="G17">
            <v>10.461854050834186</v>
          </cell>
          <cell r="H17">
            <v>9.4654869983737875</v>
          </cell>
          <cell r="I17">
            <v>4.1745333192034044</v>
          </cell>
        </row>
        <row r="18">
          <cell r="B18" t="str">
            <v>BLNT2AL</v>
          </cell>
          <cell r="C18" t="str">
            <v>LV Business TOU_Interval meter</v>
          </cell>
          <cell r="D18" t="str">
            <v>t</v>
          </cell>
          <cell r="E18">
            <v>510.42548719127791</v>
          </cell>
          <cell r="G18">
            <v>10.984946753375896</v>
          </cell>
          <cell r="H18">
            <v>8.9922126484550979</v>
          </cell>
          <cell r="I18">
            <v>3.9658066532432343</v>
          </cell>
        </row>
        <row r="19">
          <cell r="B19" t="str">
            <v>BLNT1AO</v>
          </cell>
          <cell r="C19" t="str">
            <v>LV TOU &gt; 100 MWh/yr</v>
          </cell>
          <cell r="D19" t="str">
            <v>t-2</v>
          </cell>
          <cell r="E19">
            <v>2296.9146923607505</v>
          </cell>
          <cell r="G19">
            <v>10.461854050834186</v>
          </cell>
          <cell r="H19">
            <v>9.4654869983737875</v>
          </cell>
          <cell r="I19">
            <v>4.1745333192034044</v>
          </cell>
        </row>
        <row r="20">
          <cell r="B20" t="str">
            <v>BLND1AB</v>
          </cell>
          <cell r="C20" t="str">
            <v>Small Business-Opt in Demand</v>
          </cell>
          <cell r="D20" t="str">
            <v>t</v>
          </cell>
          <cell r="E20">
            <v>510.42548719127791</v>
          </cell>
          <cell r="G20">
            <v>1.6</v>
          </cell>
          <cell r="H20">
            <v>1</v>
          </cell>
          <cell r="I20">
            <v>0.375</v>
          </cell>
          <cell r="K20">
            <v>6.3507850503175218</v>
          </cell>
          <cell r="L20">
            <v>0</v>
          </cell>
          <cell r="M20">
            <v>0</v>
          </cell>
        </row>
        <row r="21">
          <cell r="B21" t="str">
            <v>BLNT1SU</v>
          </cell>
          <cell r="C21" t="str">
            <v>LV TOU &gt; 100 MWh/yr Sth U</v>
          </cell>
          <cell r="D21" t="str">
            <v>t-2</v>
          </cell>
          <cell r="E21">
            <v>2353.5938846056324</v>
          </cell>
          <cell r="G21">
            <v>10.679993901642167</v>
          </cell>
          <cell r="H21">
            <v>9.4654869983737875</v>
          </cell>
          <cell r="I21">
            <v>4.1745333192034044</v>
          </cell>
        </row>
        <row r="23">
          <cell r="B23" t="str">
            <v>Tariff Class B; Low voltage - Large Business</v>
          </cell>
        </row>
        <row r="24">
          <cell r="B24" t="str">
            <v>BLND3AO</v>
          </cell>
          <cell r="C24" t="str">
            <v>LV TOU Demand 3 Rate</v>
          </cell>
          <cell r="D24" t="str">
            <v>t-2</v>
          </cell>
          <cell r="E24">
            <v>5374.3478749233964</v>
          </cell>
          <cell r="G24">
            <v>0.73069657473849192</v>
          </cell>
          <cell r="H24">
            <v>0.66110642476339732</v>
          </cell>
          <cell r="I24">
            <v>0.17387031734417474</v>
          </cell>
          <cell r="K24">
            <v>9.8688250792514438</v>
          </cell>
          <cell r="L24">
            <v>8.9289369764655913</v>
          </cell>
          <cell r="M24">
            <v>2.1481736433258454</v>
          </cell>
        </row>
        <row r="25">
          <cell r="B25" t="str">
            <v>BLND3TO</v>
          </cell>
          <cell r="C25" t="str">
            <v>LV TOU Demand-alternate tariff</v>
          </cell>
          <cell r="D25" t="str">
            <v>t-2</v>
          </cell>
          <cell r="E25">
            <v>5374.3478749233964</v>
          </cell>
          <cell r="G25">
            <v>9.0860622984974899</v>
          </cell>
          <cell r="H25">
            <v>8.22072303197392</v>
          </cell>
          <cell r="I25">
            <v>2.4782144646286337</v>
          </cell>
          <cell r="K25">
            <v>11.655076903842172</v>
          </cell>
          <cell r="L25">
            <v>0</v>
          </cell>
          <cell r="M25">
            <v>0</v>
          </cell>
        </row>
        <row r="26">
          <cell r="B26" t="str">
            <v>BLNDTRS</v>
          </cell>
          <cell r="C26" t="str">
            <v>Transitional Demand</v>
          </cell>
          <cell r="D26" t="str">
            <v>t</v>
          </cell>
          <cell r="E26">
            <v>3527.8879653858089</v>
          </cell>
          <cell r="G26">
            <v>6.5693910603959083</v>
          </cell>
          <cell r="H26">
            <v>5.943734768929632</v>
          </cell>
          <cell r="I26">
            <v>2.5742681184597127</v>
          </cell>
          <cell r="K26">
            <v>3.9475300317005777</v>
          </cell>
          <cell r="L26">
            <v>3.5715747905862365</v>
          </cell>
          <cell r="M26">
            <v>0.8592694573303381</v>
          </cell>
        </row>
        <row r="27">
          <cell r="B27" t="str">
            <v>BLNS1AO</v>
          </cell>
          <cell r="C27" t="str">
            <v>LV TOU avg daily Demand</v>
          </cell>
          <cell r="D27" t="str">
            <v>t-2</v>
          </cell>
          <cell r="E27">
            <v>5374.3478749233964</v>
          </cell>
          <cell r="G27">
            <v>0.39387756859952122</v>
          </cell>
          <cell r="H27">
            <v>0.35636541920909059</v>
          </cell>
          <cell r="I27">
            <v>5.2789402463313526E-2</v>
          </cell>
          <cell r="K27">
            <v>10.598202102451046</v>
          </cell>
          <cell r="L27">
            <v>9.5888495212652298</v>
          </cell>
          <cell r="M27">
            <v>2.4507043809045497</v>
          </cell>
        </row>
        <row r="28">
          <cell r="B28" t="str">
            <v>BLND1CO</v>
          </cell>
          <cell r="C28" t="str">
            <v>LV 1 Rate Dmd Cent</v>
          </cell>
          <cell r="D28" t="str">
            <v>t-2</v>
          </cell>
          <cell r="E28">
            <v>6929.4191173695162</v>
          </cell>
          <cell r="G28">
            <v>1.7687353242345514</v>
          </cell>
          <cell r="H28">
            <v>1.6002843409741174</v>
          </cell>
          <cell r="I28">
            <v>0.30797337397097108</v>
          </cell>
          <cell r="J28">
            <v>15.757319898884306</v>
          </cell>
        </row>
        <row r="29">
          <cell r="B29" t="str">
            <v>BLND1SR</v>
          </cell>
          <cell r="C29" t="str">
            <v>LV 1 Rate Dmd Sth Rural</v>
          </cell>
          <cell r="D29" t="str">
            <v>t-2</v>
          </cell>
          <cell r="E29">
            <v>5374.3478749233964</v>
          </cell>
          <cell r="G29">
            <v>7.0152998300351532</v>
          </cell>
          <cell r="H29">
            <v>6.347176036698472</v>
          </cell>
          <cell r="I29">
            <v>1.772984871132848</v>
          </cell>
          <cell r="J29">
            <v>10.465815774766687</v>
          </cell>
          <cell r="N29">
            <v>3.8047599165466246</v>
          </cell>
        </row>
        <row r="30">
          <cell r="B30" t="str">
            <v>BLND1SU</v>
          </cell>
          <cell r="C30" t="str">
            <v>LV 1 Rate Dmd Sth Urban</v>
          </cell>
          <cell r="D30" t="str">
            <v>t-2</v>
          </cell>
          <cell r="E30">
            <v>1446.0148906422194</v>
          </cell>
          <cell r="G30">
            <v>8.4831672338702937</v>
          </cell>
          <cell r="H30">
            <v>7.6752465449302676</v>
          </cell>
          <cell r="I30">
            <v>3.1051782316970278</v>
          </cell>
          <cell r="J30">
            <v>10.265004887796241</v>
          </cell>
          <cell r="N30">
            <v>3.8095796915854723</v>
          </cell>
        </row>
        <row r="31">
          <cell r="B31" t="str">
            <v>TLD</v>
          </cell>
          <cell r="C31" t="str">
            <v>Time of Day - LV Demand - FW</v>
          </cell>
          <cell r="D31" t="str">
            <v>t-2</v>
          </cell>
          <cell r="E31">
            <v>5374.3478749233964</v>
          </cell>
          <cell r="G31">
            <v>6.9079895327077301</v>
          </cell>
          <cell r="H31">
            <v>6.2500857676879447</v>
          </cell>
          <cell r="I31">
            <v>1.3868831815161731</v>
          </cell>
          <cell r="J31">
            <v>16.977177411006554</v>
          </cell>
        </row>
        <row r="34">
          <cell r="B34" t="str">
            <v>Tariff Class C; High voltage - demand</v>
          </cell>
        </row>
        <row r="35">
          <cell r="B35" t="str">
            <v>BHND3AO</v>
          </cell>
          <cell r="C35" t="str">
            <v>HV TOU mthly Demand</v>
          </cell>
          <cell r="D35" t="str">
            <v>t-2</v>
          </cell>
          <cell r="E35">
            <v>6652.5802934104295</v>
          </cell>
          <cell r="G35">
            <v>0.56044427660517149</v>
          </cell>
          <cell r="H35">
            <v>0.50706863121420265</v>
          </cell>
          <cell r="I35">
            <v>0.260959343505548</v>
          </cell>
          <cell r="K35">
            <v>8.6574768352414697</v>
          </cell>
          <cell r="L35">
            <v>7.8329552318851388</v>
          </cell>
          <cell r="M35">
            <v>2.3439835402683422</v>
          </cell>
        </row>
        <row r="36">
          <cell r="B36" t="str">
            <v>BHNS1AO</v>
          </cell>
          <cell r="C36" t="str">
            <v>HV TOU avg daily Demand</v>
          </cell>
          <cell r="D36" t="str">
            <v>t-2</v>
          </cell>
          <cell r="E36">
            <v>6466.1068681256747</v>
          </cell>
          <cell r="G36">
            <v>0.54473488876909815</v>
          </cell>
          <cell r="H36">
            <v>0.49285537555299347</v>
          </cell>
          <cell r="I36">
            <v>0.25364459035754894</v>
          </cell>
          <cell r="K36">
            <v>9.1675106389521002</v>
          </cell>
          <cell r="L36">
            <v>8.2944143876233269</v>
          </cell>
          <cell r="M36">
            <v>2.4819980976259144</v>
          </cell>
        </row>
        <row r="37">
          <cell r="B37" t="str">
            <v>BHND1CO</v>
          </cell>
          <cell r="C37" t="str">
            <v>HV 1 Rate Dmd Cent U</v>
          </cell>
          <cell r="D37" t="str">
            <v>t-2</v>
          </cell>
          <cell r="E37">
            <v>8891.6233339987466</v>
          </cell>
          <cell r="G37">
            <v>2.2451809612580638</v>
          </cell>
          <cell r="H37">
            <v>2.2451809612580638</v>
          </cell>
          <cell r="I37">
            <v>0.46814839945700704</v>
          </cell>
          <cell r="J37">
            <v>11.486962253083808</v>
          </cell>
        </row>
        <row r="38">
          <cell r="B38" t="str">
            <v>BHND1SO</v>
          </cell>
          <cell r="C38" t="str">
            <v>HV 1 Rate Dmd Sth U</v>
          </cell>
          <cell r="D38" t="str">
            <v>t-2</v>
          </cell>
          <cell r="E38">
            <v>6627.7595398288158</v>
          </cell>
          <cell r="G38">
            <v>1.6894332332478443</v>
          </cell>
          <cell r="H38">
            <v>1.6894332332478443</v>
          </cell>
          <cell r="I38">
            <v>1.7102954405689945</v>
          </cell>
          <cell r="J38">
            <v>8.2954709832538782</v>
          </cell>
          <cell r="N38">
            <v>3.0550689601233927</v>
          </cell>
        </row>
        <row r="40">
          <cell r="B40" t="str">
            <v>Tariff Class D; Subtransmission</v>
          </cell>
        </row>
        <row r="41">
          <cell r="B41" t="str">
            <v>BSSD3AO</v>
          </cell>
          <cell r="C41" t="str">
            <v>SUB TRANS 3 RATE DEMAND</v>
          </cell>
          <cell r="D41" t="str">
            <v>t-2</v>
          </cell>
          <cell r="E41">
            <v>6603.6649276908229</v>
          </cell>
          <cell r="G41">
            <v>0.19967210669999991</v>
          </cell>
          <cell r="H41">
            <v>0.11509894736999995</v>
          </cell>
          <cell r="I41">
            <v>9.4713575219999957E-2</v>
          </cell>
          <cell r="K41">
            <v>3.3409011444599988</v>
          </cell>
          <cell r="L41">
            <v>2.3817432497099991</v>
          </cell>
          <cell r="M41">
            <v>0.94943564033999961</v>
          </cell>
        </row>
        <row r="42">
          <cell r="E42">
            <v>0</v>
          </cell>
          <cell r="J42">
            <v>0</v>
          </cell>
        </row>
        <row r="43">
          <cell r="B43" t="str">
            <v>BSS04CU</v>
          </cell>
          <cell r="C43" t="str">
            <v>Peak Gold Mines</v>
          </cell>
          <cell r="D43" t="str">
            <v>t-2</v>
          </cell>
          <cell r="E43">
            <v>358972.24095487408</v>
          </cell>
          <cell r="G43">
            <v>7.5791768249999961E-2</v>
          </cell>
          <cell r="H43">
            <v>4.3488793919999977E-2</v>
          </cell>
          <cell r="I43">
            <v>3.6275508389999982E-2</v>
          </cell>
          <cell r="J43">
            <v>3.4682313151199984</v>
          </cell>
        </row>
        <row r="44">
          <cell r="B44" t="str">
            <v>BSS05CU</v>
          </cell>
          <cell r="C44" t="str">
            <v>Oberon Timber Complex</v>
          </cell>
          <cell r="D44" t="str">
            <v>t-2</v>
          </cell>
          <cell r="E44">
            <v>230228.32497814173</v>
          </cell>
          <cell r="G44">
            <v>6.4396867919999962E-2</v>
          </cell>
          <cell r="H44">
            <v>3.7320912089999984E-2</v>
          </cell>
          <cell r="I44">
            <v>3.0734868779999983E-2</v>
          </cell>
          <cell r="J44">
            <v>1.5544107615299994</v>
          </cell>
        </row>
        <row r="45">
          <cell r="B45" t="str">
            <v>BSS05NO</v>
          </cell>
          <cell r="C45" t="str">
            <v>Harwood Sugar</v>
          </cell>
          <cell r="D45" t="str">
            <v>t-2</v>
          </cell>
          <cell r="E45">
            <v>244.75838201396985</v>
          </cell>
          <cell r="G45">
            <v>0.79910658827999959</v>
          </cell>
          <cell r="H45">
            <v>1.587863679929999</v>
          </cell>
          <cell r="I45">
            <v>0.88671141833999945</v>
          </cell>
          <cell r="J45">
            <v>3.2428422773999985</v>
          </cell>
        </row>
        <row r="46">
          <cell r="B46" t="str">
            <v>BSS06CU</v>
          </cell>
          <cell r="C46" t="str">
            <v>Fletcher International Exports</v>
          </cell>
          <cell r="D46" t="str">
            <v>t-2</v>
          </cell>
          <cell r="E46">
            <v>206376.04164881408</v>
          </cell>
          <cell r="G46">
            <v>7.6523550839999968E-2</v>
          </cell>
          <cell r="H46">
            <v>4.3906955399999982E-2</v>
          </cell>
          <cell r="I46">
            <v>3.6066427649999983E-2</v>
          </cell>
          <cell r="J46">
            <v>2.8942001434499982</v>
          </cell>
        </row>
        <row r="47">
          <cell r="B47" t="str">
            <v>BSS08CU</v>
          </cell>
          <cell r="C47" t="str">
            <v>Cadia Mine</v>
          </cell>
          <cell r="D47" t="str">
            <v>t-2</v>
          </cell>
          <cell r="E47">
            <v>111250.25570029563</v>
          </cell>
          <cell r="G47">
            <v>0</v>
          </cell>
          <cell r="H47">
            <v>0</v>
          </cell>
          <cell r="I47">
            <v>0</v>
          </cell>
          <cell r="J47">
            <v>0.14457933170999995</v>
          </cell>
        </row>
        <row r="48">
          <cell r="B48" t="str">
            <v>BSS10CU</v>
          </cell>
          <cell r="C48" t="str">
            <v>Ulan Coal Mine Cassilis Road</v>
          </cell>
          <cell r="D48" t="str">
            <v>t-2</v>
          </cell>
          <cell r="E48">
            <v>229117.98853628512</v>
          </cell>
          <cell r="G48">
            <v>6.3665085329999968E-2</v>
          </cell>
          <cell r="H48">
            <v>3.6066427649999983E-2</v>
          </cell>
          <cell r="I48">
            <v>3.0316707299999988E-2</v>
          </cell>
          <cell r="J48">
            <v>0.18461829341999991</v>
          </cell>
        </row>
        <row r="49">
          <cell r="B49" t="str">
            <v>BSS11CU</v>
          </cell>
          <cell r="C49" t="str">
            <v>Cobar Mine</v>
          </cell>
          <cell r="D49" t="str">
            <v>t-2</v>
          </cell>
          <cell r="E49">
            <v>2870.3459127426586</v>
          </cell>
          <cell r="G49">
            <v>0.4688635594499998</v>
          </cell>
          <cell r="H49">
            <v>0.38178143123999986</v>
          </cell>
          <cell r="I49">
            <v>0.2002993489199999</v>
          </cell>
          <cell r="J49">
            <v>4.5924584540999973</v>
          </cell>
        </row>
        <row r="50">
          <cell r="B50" t="str">
            <v>BSS12CU</v>
          </cell>
          <cell r="C50" t="str">
            <v>Endeavor Operations Pty Ltd</v>
          </cell>
          <cell r="D50" t="str">
            <v>t-2</v>
          </cell>
          <cell r="E50">
            <v>730444.67377242935</v>
          </cell>
          <cell r="G50">
            <v>0.26845967015999983</v>
          </cell>
          <cell r="H50">
            <v>0.15304710167999994</v>
          </cell>
          <cell r="I50">
            <v>0.12544844399999994</v>
          </cell>
          <cell r="J50">
            <v>3.8797022114399979</v>
          </cell>
        </row>
        <row r="51">
          <cell r="B51" t="str">
            <v>BSS13CU</v>
          </cell>
          <cell r="C51" t="str">
            <v>Uncle Bens-Bathurst</v>
          </cell>
          <cell r="D51" t="str">
            <v>t-2</v>
          </cell>
          <cell r="E51">
            <v>256739.17696590821</v>
          </cell>
          <cell r="G51">
            <v>0.16245573497999993</v>
          </cell>
          <cell r="H51">
            <v>9.304092929999995E-2</v>
          </cell>
          <cell r="I51">
            <v>7.6314470099999948E-2</v>
          </cell>
          <cell r="J51">
            <v>0.86465340026999948</v>
          </cell>
        </row>
        <row r="52">
          <cell r="B52" t="str">
            <v>BSS20CU</v>
          </cell>
          <cell r="C52" t="str">
            <v>Nth Parkes Mine</v>
          </cell>
          <cell r="D52" t="str">
            <v>t-2</v>
          </cell>
          <cell r="E52">
            <v>251733.97462740273</v>
          </cell>
          <cell r="G52">
            <v>0</v>
          </cell>
          <cell r="H52">
            <v>0</v>
          </cell>
          <cell r="I52">
            <v>0</v>
          </cell>
          <cell r="J52">
            <v>0.86528064248999959</v>
          </cell>
        </row>
        <row r="53">
          <cell r="B53" t="str">
            <v>BSS25AO</v>
          </cell>
          <cell r="C53" t="str">
            <v>Tritton Mine</v>
          </cell>
          <cell r="D53" t="str">
            <v>t-2</v>
          </cell>
          <cell r="E53">
            <v>3400.7173669877084</v>
          </cell>
          <cell r="G53">
            <v>0</v>
          </cell>
          <cell r="H53">
            <v>0</v>
          </cell>
          <cell r="I53">
            <v>0</v>
          </cell>
          <cell r="J53">
            <v>0</v>
          </cell>
          <cell r="K53">
            <v>2.7305944643999984</v>
          </cell>
          <cell r="L53">
            <v>2.6096412563099989</v>
          </cell>
          <cell r="M53">
            <v>2.243540880569999</v>
          </cell>
        </row>
        <row r="54">
          <cell r="B54" t="str">
            <v>BSS26AO</v>
          </cell>
          <cell r="C54" t="str">
            <v>Lake Cowell Mine</v>
          </cell>
          <cell r="D54" t="str">
            <v>t-2</v>
          </cell>
          <cell r="E54">
            <v>107553.29016015602</v>
          </cell>
          <cell r="G54">
            <v>1.1290359959999996E-2</v>
          </cell>
          <cell r="H54">
            <v>7.840527749999996E-3</v>
          </cell>
          <cell r="I54">
            <v>6.2724221999999963E-3</v>
          </cell>
          <cell r="J54">
            <v>0</v>
          </cell>
          <cell r="K54">
            <v>0.18148208231999993</v>
          </cell>
          <cell r="L54">
            <v>0.12848011472999993</v>
          </cell>
          <cell r="M54">
            <v>0.10150869926999996</v>
          </cell>
        </row>
        <row r="55">
          <cell r="B55" t="str">
            <v>BSS27AO</v>
          </cell>
          <cell r="C55" t="str">
            <v>Manildra Flour Mill</v>
          </cell>
          <cell r="D55" t="str">
            <v>t-1</v>
          </cell>
          <cell r="E55">
            <v>133230.10694937961</v>
          </cell>
          <cell r="G55">
            <v>0.23667939767999988</v>
          </cell>
          <cell r="H55">
            <v>0.23667939767999988</v>
          </cell>
          <cell r="I55">
            <v>0.23667939767999988</v>
          </cell>
          <cell r="J55">
            <v>2.9722917998399989</v>
          </cell>
        </row>
        <row r="56">
          <cell r="B56" t="str">
            <v>CRNP1</v>
          </cell>
          <cell r="C56" t="str">
            <v>Perilya Mine, Broken Hill          </v>
          </cell>
          <cell r="D56" t="str">
            <v>t-2</v>
          </cell>
          <cell r="E56">
            <v>115404.41558562439</v>
          </cell>
          <cell r="G56">
            <v>0</v>
          </cell>
          <cell r="H56">
            <v>0</v>
          </cell>
          <cell r="I56">
            <v>0</v>
          </cell>
        </row>
        <row r="57">
          <cell r="B57" t="str">
            <v>CRNP2</v>
          </cell>
          <cell r="C57" t="str">
            <v>Bemax and Snapper      </v>
          </cell>
          <cell r="D57" t="str">
            <v>t-2</v>
          </cell>
          <cell r="E57">
            <v>314789.26677964017</v>
          </cell>
          <cell r="G57">
            <v>0</v>
          </cell>
          <cell r="H57">
            <v>0</v>
          </cell>
          <cell r="I57">
            <v>0</v>
          </cell>
        </row>
        <row r="58">
          <cell r="B58" t="str">
            <v>BSS21SU</v>
          </cell>
          <cell r="C58" t="str">
            <v>IDT Blowering Dam</v>
          </cell>
          <cell r="D58" t="str">
            <v>t-2</v>
          </cell>
          <cell r="E58">
            <v>0</v>
          </cell>
          <cell r="G58">
            <v>0</v>
          </cell>
          <cell r="H58">
            <v>0</v>
          </cell>
          <cell r="I58">
            <v>0</v>
          </cell>
        </row>
        <row r="59">
          <cell r="B59" t="str">
            <v>BSS22SU</v>
          </cell>
          <cell r="C59" t="str">
            <v>IDT Cabramurra Aux</v>
          </cell>
          <cell r="D59" t="str">
            <v>t-2</v>
          </cell>
          <cell r="E59">
            <v>0</v>
          </cell>
          <cell r="G59">
            <v>0</v>
          </cell>
          <cell r="H59">
            <v>0</v>
          </cell>
          <cell r="I59">
            <v>0</v>
          </cell>
        </row>
        <row r="60">
          <cell r="B60" t="str">
            <v>BSS24NU</v>
          </cell>
          <cell r="C60" t="str">
            <v>Kirra - IDC</v>
          </cell>
          <cell r="D60" t="str">
            <v>t-2</v>
          </cell>
          <cell r="E60">
            <v>7785.994639493133</v>
          </cell>
          <cell r="G60">
            <v>0.23992014914999987</v>
          </cell>
          <cell r="H60">
            <v>0.13830690950999994</v>
          </cell>
          <cell r="I60">
            <v>0.11384446292999993</v>
          </cell>
          <cell r="K60">
            <v>4.0113185372699984</v>
          </cell>
          <cell r="L60">
            <v>2.8598063617199982</v>
          </cell>
          <cell r="M60">
            <v>1.1400127348499995</v>
          </cell>
        </row>
        <row r="64">
          <cell r="B64" t="str">
            <v>Tariff Class E; unmetered</v>
          </cell>
        </row>
        <row r="65">
          <cell r="B65" t="str">
            <v>BLNP1AO</v>
          </cell>
          <cell r="C65" t="str">
            <v>LV Public Lighting NUOS</v>
          </cell>
          <cell r="D65" t="str">
            <v>t-2</v>
          </cell>
          <cell r="E65">
            <v>257.49185884960946</v>
          </cell>
          <cell r="F65">
            <v>12.656968028957269</v>
          </cell>
          <cell r="G65">
            <v>0</v>
          </cell>
          <cell r="H65">
            <v>0</v>
          </cell>
          <cell r="I65">
            <v>0</v>
          </cell>
        </row>
        <row r="66">
          <cell r="B66" t="str">
            <v>BLNP3AO</v>
          </cell>
          <cell r="C66" t="str">
            <v>LV Public Lighting TOU NUOS</v>
          </cell>
          <cell r="D66" t="str">
            <v>t-2</v>
          </cell>
          <cell r="E66">
            <v>0</v>
          </cell>
          <cell r="F66">
            <v>0</v>
          </cell>
          <cell r="G66">
            <v>12.22946098986119</v>
          </cell>
          <cell r="H66">
            <v>11.064750419398218</v>
          </cell>
          <cell r="I66">
            <v>4.4648098343154698</v>
          </cell>
        </row>
      </sheetData>
      <sheetData sheetId="8"/>
      <sheetData sheetId="9"/>
      <sheetData sheetId="10">
        <row r="10">
          <cell r="B10" t="str">
            <v>BLNN2AU</v>
          </cell>
          <cell r="C10" t="str">
            <v>LV Residential Anytime</v>
          </cell>
          <cell r="D10" t="str">
            <v>t-2</v>
          </cell>
          <cell r="F10">
            <v>1.9791585361668365</v>
          </cell>
        </row>
        <row r="11">
          <cell r="B11" t="str">
            <v>BLNT3AU</v>
          </cell>
          <cell r="C11" t="str">
            <v>LV Residential TOU</v>
          </cell>
          <cell r="D11" t="str">
            <v>t-2</v>
          </cell>
          <cell r="G11">
            <v>2.7717190805780292</v>
          </cell>
          <cell r="H11">
            <v>2.4465813022523837</v>
          </cell>
          <cell r="I11">
            <v>1.4474523384770752</v>
          </cell>
        </row>
        <row r="12">
          <cell r="B12" t="str">
            <v>BLNT3AL</v>
          </cell>
          <cell r="C12" t="str">
            <v>LV Residential TOU_Interval meter</v>
          </cell>
          <cell r="D12" t="str">
            <v>t</v>
          </cell>
          <cell r="G12">
            <v>2.7717190805780292</v>
          </cell>
          <cell r="H12">
            <v>2.4465813022523837</v>
          </cell>
          <cell r="I12">
            <v>1.4474523384770752</v>
          </cell>
        </row>
        <row r="13">
          <cell r="B13" t="str">
            <v>BLND1AR</v>
          </cell>
          <cell r="C13" t="str">
            <v>Small Residential-Opt in Demand</v>
          </cell>
          <cell r="D13" t="str">
            <v>t</v>
          </cell>
          <cell r="G13">
            <v>2.7717190805780292</v>
          </cell>
          <cell r="H13">
            <v>2.4465813022523837</v>
          </cell>
          <cell r="I13">
            <v>1.4474523384770752</v>
          </cell>
        </row>
        <row r="14">
          <cell r="B14" t="str">
            <v>BLNC1AU</v>
          </cell>
          <cell r="C14" t="str">
            <v>Controlled Load 1</v>
          </cell>
          <cell r="D14" t="str">
            <v>t-2</v>
          </cell>
          <cell r="F14">
            <v>1.4474523384770752</v>
          </cell>
        </row>
        <row r="15">
          <cell r="B15" t="str">
            <v>BLNC2AU</v>
          </cell>
          <cell r="C15" t="str">
            <v>Controlled Load 2</v>
          </cell>
          <cell r="D15" t="str">
            <v>t-2</v>
          </cell>
          <cell r="F15">
            <v>1.8670303879162158</v>
          </cell>
        </row>
        <row r="16">
          <cell r="B16" t="str">
            <v>BLNN1AU</v>
          </cell>
          <cell r="C16" t="str">
            <v>LV Small Business Anytime</v>
          </cell>
          <cell r="D16" t="str">
            <v>t-2</v>
          </cell>
          <cell r="F16">
            <v>1.9791585361668365</v>
          </cell>
        </row>
        <row r="17">
          <cell r="B17" t="str">
            <v>BLNT2AU</v>
          </cell>
          <cell r="C17" t="str">
            <v>LV TOU &lt; 100MWh Cent Urban</v>
          </cell>
          <cell r="D17" t="str">
            <v>t-2</v>
          </cell>
          <cell r="G17">
            <v>2.7717190805780292</v>
          </cell>
          <cell r="H17">
            <v>2.4465813022523837</v>
          </cell>
          <cell r="I17">
            <v>1.4474523384770752</v>
          </cell>
        </row>
        <row r="18">
          <cell r="B18" t="str">
            <v>BLNT2AL</v>
          </cell>
          <cell r="C18" t="str">
            <v>LV Business TOU_Interval meter</v>
          </cell>
          <cell r="D18" t="str">
            <v>t</v>
          </cell>
          <cell r="G18">
            <v>2.7717190805780292</v>
          </cell>
          <cell r="H18">
            <v>2.4465813022523837</v>
          </cell>
          <cell r="I18">
            <v>1.4474523384770752</v>
          </cell>
        </row>
        <row r="19">
          <cell r="B19" t="str">
            <v>BLNT1AO</v>
          </cell>
          <cell r="C19" t="str">
            <v>LV TOU &gt; 100 MWh/yr</v>
          </cell>
          <cell r="D19" t="str">
            <v>t-2</v>
          </cell>
          <cell r="G19">
            <v>2.7717190805780292</v>
          </cell>
          <cell r="H19">
            <v>2.4465813022523837</v>
          </cell>
          <cell r="I19">
            <v>1.4474523384770752</v>
          </cell>
        </row>
        <row r="20">
          <cell r="B20" t="str">
            <v>BLND1AB</v>
          </cell>
          <cell r="C20" t="str">
            <v>Small Business-Opt in Demand</v>
          </cell>
          <cell r="D20" t="str">
            <v>t</v>
          </cell>
          <cell r="G20">
            <v>2.7717190805780292</v>
          </cell>
          <cell r="H20">
            <v>2.4465813022523837</v>
          </cell>
          <cell r="I20">
            <v>1.4474523384770752</v>
          </cell>
        </row>
        <row r="21">
          <cell r="B21" t="str">
            <v>BLNT1SU</v>
          </cell>
          <cell r="C21" t="str">
            <v>LV TOU &gt; 100 MWh/yr Sth U</v>
          </cell>
          <cell r="D21" t="str">
            <v>t-2</v>
          </cell>
          <cell r="G21">
            <v>2.7717190805780292</v>
          </cell>
          <cell r="H21">
            <v>2.4465813022523837</v>
          </cell>
          <cell r="I21">
            <v>1.4474523384770752</v>
          </cell>
        </row>
        <row r="23">
          <cell r="B23" t="str">
            <v>Tariff Class B; Low voltage - Large Business</v>
          </cell>
        </row>
        <row r="24">
          <cell r="B24" t="str">
            <v>BLND3AO</v>
          </cell>
          <cell r="C24" t="str">
            <v>LV TOU Demand 3 Rate</v>
          </cell>
          <cell r="D24" t="str">
            <v>t-2</v>
          </cell>
          <cell r="G24">
            <v>2.4570046543171205</v>
          </cell>
          <cell r="H24">
            <v>2.1687845961451933</v>
          </cell>
          <cell r="I24">
            <v>1.4070757654460346</v>
          </cell>
        </row>
        <row r="25">
          <cell r="B25" t="str">
            <v>BLND3TO</v>
          </cell>
          <cell r="C25" t="str">
            <v>LV TOU Demand-alternate tariff</v>
          </cell>
          <cell r="D25" t="str">
            <v>t-2</v>
          </cell>
          <cell r="G25">
            <v>2.4570046543171205</v>
          </cell>
          <cell r="H25">
            <v>2.1687845961451933</v>
          </cell>
          <cell r="I25">
            <v>1.4070757654460346</v>
          </cell>
        </row>
        <row r="26">
          <cell r="B26" t="str">
            <v>BLNDTRS</v>
          </cell>
          <cell r="C26" t="str">
            <v>Transitional Demand</v>
          </cell>
          <cell r="D26" t="str">
            <v>t</v>
          </cell>
          <cell r="G26">
            <v>2.6458333100736655</v>
          </cell>
          <cell r="H26">
            <v>2.3354626198095074</v>
          </cell>
          <cell r="I26">
            <v>1.4313017092646589</v>
          </cell>
        </row>
        <row r="27">
          <cell r="B27" t="str">
            <v>BLNS1AO</v>
          </cell>
          <cell r="C27" t="str">
            <v>LV TOU avg daily Demand</v>
          </cell>
          <cell r="D27" t="str">
            <v>t-2</v>
          </cell>
          <cell r="G27">
            <v>2.4570046543171205</v>
          </cell>
          <cell r="H27">
            <v>2.1687845961451933</v>
          </cell>
          <cell r="I27">
            <v>1.4070828804703908</v>
          </cell>
        </row>
        <row r="28">
          <cell r="B28" t="str">
            <v>BLND1CO</v>
          </cell>
          <cell r="C28" t="str">
            <v>LV 1 Rate Dmd Cent</v>
          </cell>
          <cell r="D28" t="str">
            <v>t-2</v>
          </cell>
          <cell r="G28">
            <v>3.0330840291478287</v>
          </cell>
          <cell r="H28">
            <v>2.6772867156240991</v>
          </cell>
          <cell r="I28">
            <v>1.6520563934358288</v>
          </cell>
        </row>
        <row r="29">
          <cell r="B29" t="str">
            <v>BLND1SR</v>
          </cell>
          <cell r="C29" t="str">
            <v>LV 1 Rate Dmd Sth Rural</v>
          </cell>
          <cell r="D29" t="str">
            <v>t-2</v>
          </cell>
          <cell r="G29">
            <v>3.7408748741239464</v>
          </cell>
          <cell r="H29">
            <v>3.3020498308178854</v>
          </cell>
          <cell r="I29">
            <v>1.699419805151658</v>
          </cell>
        </row>
        <row r="30">
          <cell r="B30" t="str">
            <v>BLND1SU</v>
          </cell>
          <cell r="C30" t="str">
            <v>LV 1 Rate Dmd Sth Urban</v>
          </cell>
          <cell r="D30" t="str">
            <v>t-2</v>
          </cell>
          <cell r="G30">
            <v>3.7408748741239464</v>
          </cell>
          <cell r="H30">
            <v>3.3020498308178854</v>
          </cell>
          <cell r="I30">
            <v>1.699419805151658</v>
          </cell>
        </row>
        <row r="31">
          <cell r="B31" t="str">
            <v>TLD</v>
          </cell>
          <cell r="C31" t="str">
            <v>Time of Day - LV Demand - FW</v>
          </cell>
          <cell r="D31" t="str">
            <v>t-2</v>
          </cell>
          <cell r="G31">
            <v>3.9912374823390508</v>
          </cell>
          <cell r="H31">
            <v>3.523043538417745</v>
          </cell>
          <cell r="I31">
            <v>1.699419805151658</v>
          </cell>
        </row>
        <row r="32">
          <cell r="B32" t="str">
            <v/>
          </cell>
          <cell r="C32" t="str">
            <v/>
          </cell>
          <cell r="D32" t="str">
            <v/>
          </cell>
        </row>
        <row r="34">
          <cell r="B34" t="str">
            <v>Tariff Class C; High voltage - demand</v>
          </cell>
        </row>
        <row r="35">
          <cell r="B35" t="str">
            <v>BHND3AO</v>
          </cell>
          <cell r="C35" t="str">
            <v>HV TOU mthly Demand</v>
          </cell>
          <cell r="D35" t="str">
            <v>t-2</v>
          </cell>
          <cell r="G35">
            <v>1.7234841636165628</v>
          </cell>
          <cell r="H35">
            <v>1.5213100631226342</v>
          </cell>
          <cell r="I35">
            <v>1.2559394128435051</v>
          </cell>
        </row>
        <row r="36">
          <cell r="B36" t="str">
            <v>BHNS1AO</v>
          </cell>
          <cell r="C36" t="str">
            <v>HV TOU avg daily Demand</v>
          </cell>
          <cell r="D36" t="str">
            <v>t-2</v>
          </cell>
          <cell r="G36">
            <v>1.7234841636165628</v>
          </cell>
          <cell r="H36">
            <v>1.5213100631226342</v>
          </cell>
          <cell r="I36">
            <v>1.2559394128435051</v>
          </cell>
        </row>
        <row r="37">
          <cell r="B37" t="str">
            <v>BHND1CO</v>
          </cell>
          <cell r="C37" t="str">
            <v>HV 1 Rate Dmd Cent U</v>
          </cell>
          <cell r="D37" t="str">
            <v>t-2</v>
          </cell>
          <cell r="G37">
            <v>3.0451422775624626</v>
          </cell>
          <cell r="H37">
            <v>3.0451422775624626</v>
          </cell>
          <cell r="I37">
            <v>1.6102824526678301</v>
          </cell>
        </row>
        <row r="38">
          <cell r="B38" t="str">
            <v>BHND1SO</v>
          </cell>
          <cell r="C38" t="str">
            <v>HV 1 Rate Dmd Sth U</v>
          </cell>
          <cell r="D38" t="str">
            <v>t-2</v>
          </cell>
          <cell r="G38">
            <v>3.0451422775624626</v>
          </cell>
          <cell r="H38">
            <v>3.0451422775624626</v>
          </cell>
          <cell r="I38">
            <v>1.6102824526678301</v>
          </cell>
        </row>
        <row r="40">
          <cell r="B40" t="str">
            <v>Tariff Class D; Subtransmission</v>
          </cell>
        </row>
        <row r="41">
          <cell r="B41" t="str">
            <v>BSSD3AO</v>
          </cell>
          <cell r="C41" t="str">
            <v>SUB TRANS 3 RATE DEMAND</v>
          </cell>
          <cell r="D41" t="str">
            <v>t-2</v>
          </cell>
          <cell r="G41">
            <v>3.3763346351712604</v>
          </cell>
          <cell r="H41">
            <v>1.9639187185999369</v>
          </cell>
          <cell r="I41">
            <v>1.6007215155202248</v>
          </cell>
        </row>
        <row r="42">
          <cell r="B42" t="str">
            <v/>
          </cell>
          <cell r="C42" t="str">
            <v/>
          </cell>
          <cell r="D42" t="str">
            <v/>
          </cell>
        </row>
        <row r="43">
          <cell r="B43" t="str">
            <v>BSS04CU</v>
          </cell>
          <cell r="C43" t="str">
            <v>Peak Gold Mines</v>
          </cell>
          <cell r="D43" t="str">
            <v>t-2</v>
          </cell>
          <cell r="E43">
            <v>111229.05102455645</v>
          </cell>
          <cell r="J43">
            <v>2.7400909573761778</v>
          </cell>
        </row>
        <row r="44">
          <cell r="B44" t="str">
            <v>BSS05CU</v>
          </cell>
          <cell r="C44" t="str">
            <v>Oberon Timber Complex</v>
          </cell>
          <cell r="D44" t="str">
            <v>t-2</v>
          </cell>
          <cell r="E44">
            <v>254816.00872210861</v>
          </cell>
          <cell r="J44">
            <v>1.5904532301375289</v>
          </cell>
        </row>
        <row r="45">
          <cell r="B45" t="str">
            <v>BSS05NO</v>
          </cell>
          <cell r="C45" t="str">
            <v>Harwood Sugar</v>
          </cell>
          <cell r="D45" t="str">
            <v>t-2</v>
          </cell>
          <cell r="E45">
            <v>32993.965250134046</v>
          </cell>
          <cell r="J45">
            <v>2.9687799272170081</v>
          </cell>
        </row>
        <row r="46">
          <cell r="B46" t="str">
            <v>BSS06CU</v>
          </cell>
          <cell r="C46" t="str">
            <v>Fletcher International Exports</v>
          </cell>
          <cell r="D46" t="str">
            <v>t-2</v>
          </cell>
          <cell r="E46">
            <v>88598.7073504453</v>
          </cell>
          <cell r="J46">
            <v>2.7400934995547646</v>
          </cell>
        </row>
        <row r="47">
          <cell r="B47" t="str">
            <v>BSS08CU</v>
          </cell>
          <cell r="C47" t="str">
            <v>Cadia Mine</v>
          </cell>
          <cell r="D47" t="str">
            <v>t-2</v>
          </cell>
          <cell r="E47">
            <v>3048669.9683397571</v>
          </cell>
          <cell r="J47">
            <v>3.1964546553808955</v>
          </cell>
        </row>
        <row r="48">
          <cell r="B48" t="str">
            <v>BSS10CU</v>
          </cell>
          <cell r="C48" t="str">
            <v>Ulan Coal Mine Cassilis Road</v>
          </cell>
          <cell r="D48" t="str">
            <v>t-2</v>
          </cell>
          <cell r="E48">
            <v>622641.09821610223</v>
          </cell>
          <cell r="J48">
            <v>3.2113113709168557</v>
          </cell>
        </row>
        <row r="49">
          <cell r="B49" t="str">
            <v>BSS11CU</v>
          </cell>
          <cell r="C49" t="str">
            <v>Cobar Mine</v>
          </cell>
          <cell r="D49" t="str">
            <v>t-2</v>
          </cell>
          <cell r="E49">
            <v>385836.98052489111</v>
          </cell>
          <cell r="J49">
            <v>2.7400908181328405</v>
          </cell>
        </row>
        <row r="50">
          <cell r="B50" t="str">
            <v>BSS12CU</v>
          </cell>
          <cell r="C50" t="str">
            <v>Endeavor Operations Pty Ltd</v>
          </cell>
          <cell r="D50" t="str">
            <v>t-2</v>
          </cell>
          <cell r="E50">
            <v>222359.4498879782</v>
          </cell>
          <cell r="J50">
            <v>1.7446798073606622</v>
          </cell>
        </row>
        <row r="51">
          <cell r="B51" t="str">
            <v>BSS13CU</v>
          </cell>
          <cell r="C51" t="str">
            <v>Uncle Bens-Bathurst</v>
          </cell>
          <cell r="D51" t="str">
            <v>t-2</v>
          </cell>
          <cell r="E51">
            <v>64326.063330241115</v>
          </cell>
          <cell r="J51">
            <v>2.8849065312716364</v>
          </cell>
        </row>
        <row r="52">
          <cell r="B52" t="str">
            <v>BSS20CU</v>
          </cell>
          <cell r="C52" t="str">
            <v>Nth Parkes Mine</v>
          </cell>
          <cell r="D52" t="str">
            <v>t-2</v>
          </cell>
          <cell r="E52">
            <v>794221.55864673643</v>
          </cell>
          <cell r="J52">
            <v>4.7456366202368505</v>
          </cell>
        </row>
        <row r="53">
          <cell r="B53" t="str">
            <v>BSS25AO</v>
          </cell>
          <cell r="C53" t="str">
            <v>Tritton Mine</v>
          </cell>
          <cell r="D53" t="str">
            <v>t-2</v>
          </cell>
          <cell r="E53">
            <v>213913.40624098404</v>
          </cell>
          <cell r="K53">
            <v>1.015144382213053</v>
          </cell>
          <cell r="L53">
            <v>1.015144382213053</v>
          </cell>
          <cell r="M53">
            <v>0.76135828665978977</v>
          </cell>
        </row>
        <row r="54">
          <cell r="B54" t="str">
            <v>BSS26AO</v>
          </cell>
          <cell r="C54" t="str">
            <v>Lake Cowell Mine</v>
          </cell>
          <cell r="D54" t="str">
            <v>t-2</v>
          </cell>
          <cell r="E54">
            <v>778593.87731991545</v>
          </cell>
          <cell r="K54">
            <v>1.051143292410142</v>
          </cell>
          <cell r="L54">
            <v>1.051143292410142</v>
          </cell>
          <cell r="M54">
            <v>0.78835746930760642</v>
          </cell>
        </row>
        <row r="55">
          <cell r="B55" t="str">
            <v>BSS27AO</v>
          </cell>
          <cell r="C55" t="str">
            <v>Manildra Flour Mill</v>
          </cell>
          <cell r="D55" t="str">
            <v>t-1</v>
          </cell>
          <cell r="E55">
            <v>156423.9796363636</v>
          </cell>
          <cell r="J55">
            <v>3.7622769035801076</v>
          </cell>
        </row>
        <row r="56">
          <cell r="B56" t="str">
            <v>CRNP1</v>
          </cell>
          <cell r="C56" t="str">
            <v>Perilya Mine, Broken Hill          </v>
          </cell>
          <cell r="D56" t="str">
            <v>t-2</v>
          </cell>
          <cell r="E56">
            <v>534066.87490909081</v>
          </cell>
          <cell r="O56">
            <v>9.1220920450895449</v>
          </cell>
        </row>
        <row r="57">
          <cell r="B57" t="str">
            <v>CRNP2</v>
          </cell>
          <cell r="C57" t="str">
            <v>Bemax and Snapper      </v>
          </cell>
          <cell r="D57" t="str">
            <v>t-2</v>
          </cell>
          <cell r="E57">
            <v>91090.237523174219</v>
          </cell>
          <cell r="G57">
            <v>2.8345067230603203</v>
          </cell>
          <cell r="H57">
            <v>2.8345067230603203</v>
          </cell>
          <cell r="I57">
            <v>0.59408800225163783</v>
          </cell>
          <cell r="O57">
            <v>2.2314633586318249</v>
          </cell>
        </row>
        <row r="58">
          <cell r="B58" t="str">
            <v>BSS21SU</v>
          </cell>
          <cell r="C58" t="str">
            <v>IDT Blowering Dam</v>
          </cell>
          <cell r="D58" t="str">
            <v>t-2</v>
          </cell>
          <cell r="G58">
            <v>2.1454742959226283</v>
          </cell>
          <cell r="H58">
            <v>2.1454742959226283</v>
          </cell>
          <cell r="I58">
            <v>1.0638381218470043</v>
          </cell>
        </row>
        <row r="59">
          <cell r="B59" t="str">
            <v>BSS22SU</v>
          </cell>
          <cell r="C59" t="str">
            <v>IDT Cabramurra Aux</v>
          </cell>
          <cell r="D59" t="str">
            <v>t-2</v>
          </cell>
          <cell r="G59">
            <v>4.4296557261558993</v>
          </cell>
          <cell r="H59">
            <v>4.4296557261558993</v>
          </cell>
          <cell r="I59">
            <v>2.1091427347617278</v>
          </cell>
        </row>
        <row r="60">
          <cell r="B60" t="str">
            <v>BSS24NU</v>
          </cell>
          <cell r="C60" t="str">
            <v>Kirra - IDC</v>
          </cell>
          <cell r="D60" t="str">
            <v>t-2</v>
          </cell>
          <cell r="E60">
            <v>10400.963546913879</v>
          </cell>
          <cell r="G60">
            <v>2.6585082008826504</v>
          </cell>
          <cell r="H60">
            <v>1.5310686225306351</v>
          </cell>
          <cell r="I60">
            <v>1.260399734081443</v>
          </cell>
          <cell r="K60">
            <v>1.2062209665365424</v>
          </cell>
          <cell r="L60">
            <v>0.90466572490240682</v>
          </cell>
          <cell r="M60">
            <v>0.30155524163413561</v>
          </cell>
        </row>
        <row r="61">
          <cell r="B61" t="str">
            <v/>
          </cell>
          <cell r="C61" t="str">
            <v/>
          </cell>
          <cell r="D61" t="str">
            <v/>
          </cell>
        </row>
        <row r="62">
          <cell r="B62" t="str">
            <v/>
          </cell>
          <cell r="C62" t="str">
            <v/>
          </cell>
          <cell r="D62" t="str">
            <v/>
          </cell>
        </row>
        <row r="63">
          <cell r="B63" t="str">
            <v/>
          </cell>
          <cell r="C63" t="str">
            <v/>
          </cell>
          <cell r="D63" t="str">
            <v/>
          </cell>
        </row>
        <row r="64">
          <cell r="B64" t="str">
            <v>Tariff Class E; unmetered</v>
          </cell>
        </row>
        <row r="65">
          <cell r="B65" t="str">
            <v>BLNP1AO</v>
          </cell>
          <cell r="C65" t="str">
            <v>LV Public Lighting NUOS</v>
          </cell>
          <cell r="D65" t="str">
            <v>t-2</v>
          </cell>
          <cell r="F65">
            <v>1.9791585361668365</v>
          </cell>
        </row>
        <row r="66">
          <cell r="B66" t="str">
            <v>BLNP3AO</v>
          </cell>
          <cell r="C66" t="str">
            <v>LV Public Lighting TOU NUOS</v>
          </cell>
          <cell r="D66" t="str">
            <v>t-2</v>
          </cell>
          <cell r="G66">
            <v>2.7717190805780292</v>
          </cell>
          <cell r="H66">
            <v>2.4465813022523837</v>
          </cell>
          <cell r="I66">
            <v>1.4474523384770752</v>
          </cell>
        </row>
      </sheetData>
      <sheetData sheetId="11"/>
      <sheetData sheetId="12"/>
      <sheetData sheetId="13">
        <row r="10">
          <cell r="B10" t="str">
            <v>BLNN2AU</v>
          </cell>
          <cell r="C10" t="str">
            <v>LV Residential Anytime</v>
          </cell>
          <cell r="D10" t="str">
            <v>t-2</v>
          </cell>
          <cell r="F10">
            <v>0.3228421322547681</v>
          </cell>
        </row>
        <row r="11">
          <cell r="B11" t="str">
            <v>BLNT3AU</v>
          </cell>
          <cell r="C11" t="str">
            <v>LV Residential TOU</v>
          </cell>
          <cell r="D11" t="str">
            <v>t-2</v>
          </cell>
          <cell r="G11">
            <v>0.3228421322547681</v>
          </cell>
          <cell r="H11">
            <v>0.3228421322547681</v>
          </cell>
          <cell r="I11">
            <v>0.3228421322547681</v>
          </cell>
        </row>
        <row r="12">
          <cell r="B12" t="str">
            <v>BLNT3AL</v>
          </cell>
          <cell r="C12" t="str">
            <v>LV Residential TOU_Interval meter</v>
          </cell>
          <cell r="D12" t="str">
            <v>t</v>
          </cell>
          <cell r="G12">
            <v>0.3228421322547681</v>
          </cell>
          <cell r="H12">
            <v>0.3228421322547681</v>
          </cell>
          <cell r="I12">
            <v>0.3228421322547681</v>
          </cell>
        </row>
        <row r="13">
          <cell r="B13" t="str">
            <v>BLND1AR</v>
          </cell>
          <cell r="C13" t="str">
            <v>Small Residential-Opt in Demand</v>
          </cell>
          <cell r="D13" t="str">
            <v>t</v>
          </cell>
          <cell r="G13">
            <v>0.3228421322547681</v>
          </cell>
          <cell r="H13">
            <v>0.3228421322547681</v>
          </cell>
          <cell r="I13">
            <v>0.3228421322547681</v>
          </cell>
        </row>
        <row r="14">
          <cell r="B14" t="str">
            <v>BLNC1AU</v>
          </cell>
          <cell r="C14" t="str">
            <v>Controlled Load 1</v>
          </cell>
          <cell r="D14" t="str">
            <v>t-2</v>
          </cell>
          <cell r="F14">
            <v>0.3228421322547681</v>
          </cell>
        </row>
        <row r="15">
          <cell r="B15" t="str">
            <v>BLNC2AU</v>
          </cell>
          <cell r="C15" t="str">
            <v>Controlled Load 2</v>
          </cell>
          <cell r="D15" t="str">
            <v>t-2</v>
          </cell>
          <cell r="F15">
            <v>0.3228421322547681</v>
          </cell>
        </row>
        <row r="16">
          <cell r="B16" t="str">
            <v>BLNN1AU</v>
          </cell>
          <cell r="C16" t="str">
            <v>LV Small Business Anytime</v>
          </cell>
          <cell r="D16" t="str">
            <v>t-2</v>
          </cell>
          <cell r="F16">
            <v>0.74278117914483366</v>
          </cell>
        </row>
        <row r="17">
          <cell r="B17" t="str">
            <v>BLNT2AU</v>
          </cell>
          <cell r="C17" t="str">
            <v>LV TOU &lt; 100MWh Cent Urban</v>
          </cell>
          <cell r="D17" t="str">
            <v>t-2</v>
          </cell>
          <cell r="G17">
            <v>0.74278117914483366</v>
          </cell>
          <cell r="H17">
            <v>0.74278117914483366</v>
          </cell>
          <cell r="I17">
            <v>0.74278117914483366</v>
          </cell>
        </row>
        <row r="18">
          <cell r="B18" t="str">
            <v>BLNT2AL</v>
          </cell>
          <cell r="C18" t="str">
            <v>LV Business TOU_Interval meter</v>
          </cell>
          <cell r="D18" t="str">
            <v>t</v>
          </cell>
          <cell r="G18">
            <v>0.74278117914483366</v>
          </cell>
          <cell r="H18">
            <v>0.74278117914483366</v>
          </cell>
          <cell r="I18">
            <v>0.74278117914483366</v>
          </cell>
        </row>
        <row r="19">
          <cell r="B19" t="str">
            <v>BLNT1AO</v>
          </cell>
          <cell r="C19" t="str">
            <v>LV TOU &gt; 100 MWh/yr</v>
          </cell>
          <cell r="D19" t="str">
            <v>t-2</v>
          </cell>
          <cell r="G19">
            <v>0.74278117914483366</v>
          </cell>
          <cell r="H19">
            <v>0.74278117914483366</v>
          </cell>
          <cell r="I19">
            <v>0.74278117914483366</v>
          </cell>
        </row>
        <row r="20">
          <cell r="B20" t="str">
            <v>BLND1AB</v>
          </cell>
          <cell r="C20" t="str">
            <v>Small Business-Opt in Demand</v>
          </cell>
          <cell r="D20" t="str">
            <v>t</v>
          </cell>
          <cell r="G20">
            <v>0.74278117914483366</v>
          </cell>
          <cell r="H20">
            <v>0.74278117914483366</v>
          </cell>
          <cell r="I20">
            <v>0.74278117914483366</v>
          </cell>
        </row>
        <row r="21">
          <cell r="B21" t="str">
            <v>BLNT1SU</v>
          </cell>
          <cell r="C21" t="str">
            <v>LV TOU &gt; 100 MWh/yr Sth U</v>
          </cell>
          <cell r="D21" t="str">
            <v>t-2</v>
          </cell>
          <cell r="G21">
            <v>0.74278117914483366</v>
          </cell>
          <cell r="H21">
            <v>0.74278117914483366</v>
          </cell>
          <cell r="I21">
            <v>0.74278117914483366</v>
          </cell>
        </row>
        <row r="23">
          <cell r="B23" t="str">
            <v>Tariff Class B; Low voltage - Large Business</v>
          </cell>
        </row>
        <row r="24">
          <cell r="B24" t="str">
            <v>BLND3AO</v>
          </cell>
          <cell r="C24" t="str">
            <v>LV TOU Demand 3 Rate</v>
          </cell>
          <cell r="D24" t="str">
            <v>t-2</v>
          </cell>
          <cell r="G24">
            <v>0.74278117914483366</v>
          </cell>
          <cell r="H24">
            <v>0.74278117914483366</v>
          </cell>
          <cell r="I24">
            <v>0.74278117914483366</v>
          </cell>
        </row>
        <row r="25">
          <cell r="B25" t="str">
            <v>BLND3TO</v>
          </cell>
          <cell r="C25" t="str">
            <v>LV TOU Demand-alternate tariff</v>
          </cell>
          <cell r="D25" t="str">
            <v>t-2</v>
          </cell>
          <cell r="G25">
            <v>0.74278117914483366</v>
          </cell>
          <cell r="H25">
            <v>0.74278117914483366</v>
          </cell>
          <cell r="I25">
            <v>0.74278117914483366</v>
          </cell>
        </row>
        <row r="26">
          <cell r="B26" t="str">
            <v>BLNDTRS</v>
          </cell>
          <cell r="C26" t="str">
            <v>Transitional Demand</v>
          </cell>
          <cell r="D26" t="str">
            <v>t</v>
          </cell>
          <cell r="G26">
            <v>0.74278117914483366</v>
          </cell>
          <cell r="H26">
            <v>0.74278117914483366</v>
          </cell>
          <cell r="I26">
            <v>0.74278117914483366</v>
          </cell>
        </row>
        <row r="27">
          <cell r="B27" t="str">
            <v>BLNS1AO</v>
          </cell>
          <cell r="C27" t="str">
            <v>LV TOU avg daily Demand</v>
          </cell>
          <cell r="D27" t="str">
            <v>t-2</v>
          </cell>
          <cell r="G27">
            <v>0.74278117914483366</v>
          </cell>
          <cell r="H27">
            <v>0.74278117914483366</v>
          </cell>
          <cell r="I27">
            <v>0.74278117914483366</v>
          </cell>
        </row>
        <row r="28">
          <cell r="B28" t="str">
            <v>BLND1CO</v>
          </cell>
          <cell r="C28" t="str">
            <v>LV 1 Rate Dmd Cent</v>
          </cell>
          <cell r="D28" t="str">
            <v>t-2</v>
          </cell>
          <cell r="G28">
            <v>0.74278117914483366</v>
          </cell>
          <cell r="H28">
            <v>0.74278117914483366</v>
          </cell>
          <cell r="I28">
            <v>0.74278117914483366</v>
          </cell>
        </row>
        <row r="29">
          <cell r="B29" t="str">
            <v>BLND1SR</v>
          </cell>
          <cell r="C29" t="str">
            <v>LV 1 Rate Dmd Sth Rural</v>
          </cell>
          <cell r="D29" t="str">
            <v>t-2</v>
          </cell>
          <cell r="G29">
            <v>0.74278117914483366</v>
          </cell>
          <cell r="H29">
            <v>0.74278117914483366</v>
          </cell>
          <cell r="I29">
            <v>0.74278117914483366</v>
          </cell>
        </row>
        <row r="30">
          <cell r="B30" t="str">
            <v>BLND1SU</v>
          </cell>
          <cell r="C30" t="str">
            <v>LV 1 Rate Dmd Sth Urban</v>
          </cell>
          <cell r="D30" t="str">
            <v>t-2</v>
          </cell>
          <cell r="G30">
            <v>0.74278117914483366</v>
          </cell>
          <cell r="H30">
            <v>0.74278117914483366</v>
          </cell>
          <cell r="I30">
            <v>0.74278117914483366</v>
          </cell>
        </row>
        <row r="31">
          <cell r="B31" t="str">
            <v>TLD</v>
          </cell>
          <cell r="C31" t="str">
            <v>Time of Day - LV Demand - FW</v>
          </cell>
          <cell r="D31" t="str">
            <v>t-2</v>
          </cell>
          <cell r="G31">
            <v>0.74278117914483366</v>
          </cell>
          <cell r="H31">
            <v>0.74278117914483366</v>
          </cell>
          <cell r="I31">
            <v>0.74278117914483366</v>
          </cell>
        </row>
        <row r="32">
          <cell r="B32" t="str">
            <v/>
          </cell>
          <cell r="C32" t="str">
            <v/>
          </cell>
          <cell r="D32" t="str">
            <v/>
          </cell>
        </row>
        <row r="34">
          <cell r="B34" t="str">
            <v>Tariff Class C; High voltage - demand</v>
          </cell>
        </row>
        <row r="35">
          <cell r="B35" t="str">
            <v>BHND3AO</v>
          </cell>
          <cell r="C35" t="str">
            <v>HV TOU mthly Demand</v>
          </cell>
          <cell r="D35" t="str">
            <v>t-2</v>
          </cell>
          <cell r="G35">
            <v>0.74278117914483366</v>
          </cell>
          <cell r="H35">
            <v>0.74278117914483366</v>
          </cell>
          <cell r="I35">
            <v>0.74278117914483366</v>
          </cell>
        </row>
        <row r="36">
          <cell r="B36" t="str">
            <v>BHNS1AO</v>
          </cell>
          <cell r="C36" t="str">
            <v>HV TOU avg daily Demand</v>
          </cell>
          <cell r="D36" t="str">
            <v>t-2</v>
          </cell>
          <cell r="G36">
            <v>0.74278117914483366</v>
          </cell>
          <cell r="H36">
            <v>0.74278117914483366</v>
          </cell>
          <cell r="I36">
            <v>0.74278117914483366</v>
          </cell>
        </row>
        <row r="37">
          <cell r="B37" t="str">
            <v>BHND1CO</v>
          </cell>
          <cell r="C37" t="str">
            <v>HV 1 Rate Dmd Cent U</v>
          </cell>
          <cell r="D37" t="str">
            <v>t-2</v>
          </cell>
          <cell r="G37">
            <v>0.74278117914483366</v>
          </cell>
          <cell r="H37">
            <v>0.74278117914483366</v>
          </cell>
          <cell r="I37">
            <v>0.74278117914483366</v>
          </cell>
        </row>
        <row r="38">
          <cell r="B38" t="str">
            <v>BHND1SO</v>
          </cell>
          <cell r="C38" t="str">
            <v>HV 1 Rate Dmd Sth U</v>
          </cell>
          <cell r="D38" t="str">
            <v>t-2</v>
          </cell>
          <cell r="G38">
            <v>0.74278117914483366</v>
          </cell>
          <cell r="H38">
            <v>0.74278117914483366</v>
          </cell>
          <cell r="I38">
            <v>0.74278117914483366</v>
          </cell>
        </row>
        <row r="40">
          <cell r="B40" t="str">
            <v>Tariff Class D; Subtransmission</v>
          </cell>
        </row>
        <row r="41">
          <cell r="B41" t="str">
            <v>BSSD3AO</v>
          </cell>
          <cell r="C41" t="str">
            <v>SUB TRANS 3 RATE DEMAND</v>
          </cell>
          <cell r="D41" t="str">
            <v>t-2</v>
          </cell>
          <cell r="G41">
            <v>0.19801100339821365</v>
          </cell>
          <cell r="H41">
            <v>0.19801100339821365</v>
          </cell>
          <cell r="I41">
            <v>0.19801100339821365</v>
          </cell>
        </row>
        <row r="42">
          <cell r="B42" t="str">
            <v/>
          </cell>
          <cell r="C42" t="str">
            <v/>
          </cell>
          <cell r="D42" t="str">
            <v/>
          </cell>
        </row>
        <row r="43">
          <cell r="B43" t="str">
            <v>BSS04CU</v>
          </cell>
          <cell r="C43" t="str">
            <v>Peak Gold Mines</v>
          </cell>
          <cell r="D43" t="str">
            <v>t-2</v>
          </cell>
          <cell r="G43">
            <v>0.19801100339821365</v>
          </cell>
          <cell r="H43">
            <v>0.19801100339821365</v>
          </cell>
          <cell r="I43">
            <v>0.19801100339821365</v>
          </cell>
        </row>
        <row r="44">
          <cell r="B44" t="str">
            <v>BSS05CU</v>
          </cell>
          <cell r="C44" t="str">
            <v>Oberon Timber Complex</v>
          </cell>
          <cell r="D44" t="str">
            <v>t-2</v>
          </cell>
          <cell r="G44">
            <v>0.19801100339821365</v>
          </cell>
          <cell r="H44">
            <v>0.19801100339821365</v>
          </cell>
          <cell r="I44">
            <v>0.19801100339821365</v>
          </cell>
        </row>
        <row r="45">
          <cell r="B45" t="str">
            <v>BSS05NO</v>
          </cell>
          <cell r="C45" t="str">
            <v>Harwood Sugar</v>
          </cell>
          <cell r="D45" t="str">
            <v>t-2</v>
          </cell>
          <cell r="G45">
            <v>0.19801100339821365</v>
          </cell>
          <cell r="H45">
            <v>0.19801100339821365</v>
          </cell>
          <cell r="I45">
            <v>0.19801100339821365</v>
          </cell>
        </row>
        <row r="46">
          <cell r="B46" t="str">
            <v>BSS06CU</v>
          </cell>
          <cell r="C46" t="str">
            <v>Fletcher International Exports</v>
          </cell>
          <cell r="D46" t="str">
            <v>t-2</v>
          </cell>
          <cell r="G46">
            <v>0.19801100339821365</v>
          </cell>
          <cell r="H46">
            <v>0.19801100339821365</v>
          </cell>
          <cell r="I46">
            <v>0.19801100339821365</v>
          </cell>
        </row>
        <row r="47">
          <cell r="B47" t="str">
            <v>BSS08CU</v>
          </cell>
          <cell r="C47" t="str">
            <v>Cadia Mine</v>
          </cell>
          <cell r="D47" t="str">
            <v>t-2</v>
          </cell>
          <cell r="G47">
            <v>0.14842828041481601</v>
          </cell>
          <cell r="H47">
            <v>0.14842828041481601</v>
          </cell>
          <cell r="I47">
            <v>0.14842828041481601</v>
          </cell>
        </row>
        <row r="48">
          <cell r="B48" t="str">
            <v>BSS10CU</v>
          </cell>
          <cell r="C48" t="str">
            <v>Ulan Coal Mine Cassilis Road</v>
          </cell>
          <cell r="D48" t="str">
            <v>t-2</v>
          </cell>
          <cell r="G48">
            <v>0.19801100339821365</v>
          </cell>
          <cell r="H48">
            <v>0.19801100339821365</v>
          </cell>
          <cell r="I48">
            <v>0.19801100339821365</v>
          </cell>
        </row>
        <row r="49">
          <cell r="B49" t="str">
            <v>BSS11CU</v>
          </cell>
          <cell r="C49" t="str">
            <v>Cobar Mine</v>
          </cell>
          <cell r="D49" t="str">
            <v>t-2</v>
          </cell>
          <cell r="G49">
            <v>0.19801100339821365</v>
          </cell>
          <cell r="H49">
            <v>0.19801100339821365</v>
          </cell>
          <cell r="I49">
            <v>0.19801100339821365</v>
          </cell>
        </row>
        <row r="50">
          <cell r="B50" t="str">
            <v>BSS12CU</v>
          </cell>
          <cell r="C50" t="str">
            <v>Endeavor Operations Pty Ltd</v>
          </cell>
          <cell r="D50" t="str">
            <v>t-2</v>
          </cell>
          <cell r="G50">
            <v>0.19801100339821365</v>
          </cell>
          <cell r="H50">
            <v>0.19801100339821365</v>
          </cell>
          <cell r="I50">
            <v>0.19801100339821365</v>
          </cell>
        </row>
        <row r="51">
          <cell r="B51" t="str">
            <v>BSS13CU</v>
          </cell>
          <cell r="C51" t="str">
            <v>Uncle Bens-Bathurst</v>
          </cell>
          <cell r="D51" t="str">
            <v>t-2</v>
          </cell>
          <cell r="G51">
            <v>0.19801100339821365</v>
          </cell>
          <cell r="H51">
            <v>0.19801100339821365</v>
          </cell>
          <cell r="I51">
            <v>0.19801100339821365</v>
          </cell>
        </row>
        <row r="52">
          <cell r="B52" t="str">
            <v>BSS20CU</v>
          </cell>
          <cell r="C52" t="str">
            <v>Nth Parkes Mine</v>
          </cell>
          <cell r="D52" t="str">
            <v>t-2</v>
          </cell>
          <cell r="G52">
            <v>0.19801100339821365</v>
          </cell>
          <cell r="H52">
            <v>0.19801100339821365</v>
          </cell>
          <cell r="I52">
            <v>0.19801100339821365</v>
          </cell>
        </row>
        <row r="53">
          <cell r="B53" t="str">
            <v>BSS25AO</v>
          </cell>
          <cell r="C53" t="str">
            <v>Tritton Mine</v>
          </cell>
          <cell r="D53" t="str">
            <v>t-2</v>
          </cell>
          <cell r="G53">
            <v>0.19801100339821365</v>
          </cell>
          <cell r="H53">
            <v>0.19801100339821365</v>
          </cell>
          <cell r="I53">
            <v>0.19801100339821365</v>
          </cell>
        </row>
        <row r="54">
          <cell r="B54" t="str">
            <v>BSS26AO</v>
          </cell>
          <cell r="C54" t="str">
            <v>Lake Cowell Mine</v>
          </cell>
          <cell r="D54" t="str">
            <v>t-2</v>
          </cell>
          <cell r="G54">
            <v>0.19801100339821365</v>
          </cell>
          <cell r="H54">
            <v>0.19801100339821365</v>
          </cell>
          <cell r="I54">
            <v>0.19801100339821365</v>
          </cell>
        </row>
        <row r="55">
          <cell r="B55" t="str">
            <v>BSS27AO</v>
          </cell>
          <cell r="C55" t="str">
            <v>Manildra Flour Mill</v>
          </cell>
          <cell r="D55" t="str">
            <v>t-1</v>
          </cell>
          <cell r="G55">
            <v>0.19801100339821365</v>
          </cell>
          <cell r="H55">
            <v>0.19801100339821365</v>
          </cell>
          <cell r="I55">
            <v>0.19801100339821365</v>
          </cell>
        </row>
        <row r="56">
          <cell r="B56" t="str">
            <v>CRNP1</v>
          </cell>
          <cell r="C56" t="str">
            <v>Perilya Mine, Broken Hill          </v>
          </cell>
          <cell r="D56" t="str">
            <v>t-2</v>
          </cell>
          <cell r="G56">
            <v>0.14842828041481601</v>
          </cell>
          <cell r="H56">
            <v>0.14842828041481601</v>
          </cell>
          <cell r="I56">
            <v>0.14842828041481601</v>
          </cell>
        </row>
        <row r="57">
          <cell r="B57" t="str">
            <v>CRNP2</v>
          </cell>
          <cell r="C57" t="str">
            <v>Bemax and Snapper      </v>
          </cell>
          <cell r="D57" t="str">
            <v>t-2</v>
          </cell>
          <cell r="G57">
            <v>0.19801100339821365</v>
          </cell>
          <cell r="H57">
            <v>0.19801100339821365</v>
          </cell>
          <cell r="I57">
            <v>0.19801100339821365</v>
          </cell>
        </row>
        <row r="58">
          <cell r="B58" t="str">
            <v>BSS21SU</v>
          </cell>
          <cell r="C58" t="str">
            <v>IDT Blowering Dam</v>
          </cell>
          <cell r="D58" t="str">
            <v>t-2</v>
          </cell>
          <cell r="F58">
            <v>0</v>
          </cell>
          <cell r="G58">
            <v>0</v>
          </cell>
          <cell r="H58">
            <v>0</v>
          </cell>
          <cell r="I58">
            <v>0</v>
          </cell>
        </row>
        <row r="59">
          <cell r="B59" t="str">
            <v>BSS22SU</v>
          </cell>
          <cell r="C59" t="str">
            <v>IDT Cabramurra Aux</v>
          </cell>
          <cell r="D59" t="str">
            <v>t-2</v>
          </cell>
          <cell r="F59">
            <v>0</v>
          </cell>
          <cell r="G59">
            <v>0</v>
          </cell>
          <cell r="H59">
            <v>0</v>
          </cell>
          <cell r="I59">
            <v>0</v>
          </cell>
        </row>
        <row r="60">
          <cell r="B60" t="str">
            <v>BSS24NU</v>
          </cell>
          <cell r="C60" t="str">
            <v>Kirra - IDC</v>
          </cell>
          <cell r="D60" t="str">
            <v>t-2</v>
          </cell>
          <cell r="F60">
            <v>0</v>
          </cell>
          <cell r="G60">
            <v>0</v>
          </cell>
          <cell r="H60">
            <v>0</v>
          </cell>
          <cell r="I60">
            <v>0</v>
          </cell>
        </row>
        <row r="61">
          <cell r="B61" t="str">
            <v/>
          </cell>
          <cell r="C61" t="str">
            <v/>
          </cell>
          <cell r="D61" t="str">
            <v/>
          </cell>
        </row>
        <row r="62">
          <cell r="B62" t="str">
            <v/>
          </cell>
          <cell r="C62" t="str">
            <v/>
          </cell>
          <cell r="D62" t="str">
            <v/>
          </cell>
        </row>
        <row r="63">
          <cell r="B63" t="str">
            <v/>
          </cell>
          <cell r="C63" t="str">
            <v/>
          </cell>
          <cell r="D63" t="str">
            <v/>
          </cell>
        </row>
        <row r="64">
          <cell r="B64" t="str">
            <v>Tariff Class E; unmetered</v>
          </cell>
        </row>
        <row r="65">
          <cell r="B65" t="str">
            <v>BLNP1AO</v>
          </cell>
          <cell r="C65" t="str">
            <v>LV Public Lighting NUOS</v>
          </cell>
          <cell r="D65" t="str">
            <v>t-2</v>
          </cell>
          <cell r="F65">
            <v>0.74278117914483366</v>
          </cell>
        </row>
        <row r="66">
          <cell r="B66" t="str">
            <v>BLNP3AO</v>
          </cell>
          <cell r="C66" t="str">
            <v>LV Public Lighting TOU NUOS</v>
          </cell>
          <cell r="D66" t="str">
            <v>t-2</v>
          </cell>
          <cell r="G66">
            <v>0.74278117914483366</v>
          </cell>
          <cell r="H66">
            <v>0.74278117914483366</v>
          </cell>
          <cell r="I66">
            <v>0.74278117914483366</v>
          </cell>
        </row>
      </sheetData>
      <sheetData sheetId="14"/>
      <sheetData sheetId="15"/>
      <sheetData sheetId="16">
        <row r="10">
          <cell r="B10" t="str">
            <v>BLNN2AU</v>
          </cell>
          <cell r="C10" t="str">
            <v>LV Residential Anytime</v>
          </cell>
          <cell r="D10" t="str">
            <v>t-2</v>
          </cell>
          <cell r="F10">
            <v>1.8048458114869756E-2</v>
          </cell>
        </row>
        <row r="11">
          <cell r="B11" t="str">
            <v>BLNT3AU</v>
          </cell>
          <cell r="C11" t="str">
            <v>LV Residential TOU</v>
          </cell>
          <cell r="D11" t="str">
            <v>t-2</v>
          </cell>
          <cell r="G11">
            <v>1.8048458114869756E-2</v>
          </cell>
          <cell r="H11">
            <v>1.8048458114869756E-2</v>
          </cell>
          <cell r="I11">
            <v>1.8048458114869756E-2</v>
          </cell>
        </row>
        <row r="12">
          <cell r="B12" t="str">
            <v>BLNT3AL</v>
          </cell>
          <cell r="C12" t="str">
            <v>LV Residential TOU_Interval meter</v>
          </cell>
          <cell r="D12" t="str">
            <v>t</v>
          </cell>
          <cell r="G12">
            <v>1.8048458114869756E-2</v>
          </cell>
          <cell r="H12">
            <v>1.8048458114869756E-2</v>
          </cell>
          <cell r="I12">
            <v>1.8048458114869756E-2</v>
          </cell>
        </row>
        <row r="13">
          <cell r="B13" t="str">
            <v>BLND1AR</v>
          </cell>
          <cell r="C13" t="str">
            <v>Small Residential-Opt in Demand</v>
          </cell>
          <cell r="D13" t="str">
            <v>t</v>
          </cell>
          <cell r="G13">
            <v>1.8048458114869756E-2</v>
          </cell>
          <cell r="H13">
            <v>1.8048458114869756E-2</v>
          </cell>
          <cell r="I13">
            <v>1.8048458114869756E-2</v>
          </cell>
        </row>
        <row r="14">
          <cell r="B14" t="str">
            <v>BLNC1AU</v>
          </cell>
          <cell r="C14" t="str">
            <v>Controlled Load 1</v>
          </cell>
          <cell r="D14" t="str">
            <v>t-2</v>
          </cell>
          <cell r="F14">
            <v>1.8048458114869756E-2</v>
          </cell>
        </row>
        <row r="15">
          <cell r="B15" t="str">
            <v>BLNC2AU</v>
          </cell>
          <cell r="C15" t="str">
            <v>Controlled Load 2</v>
          </cell>
          <cell r="D15" t="str">
            <v>t-2</v>
          </cell>
          <cell r="F15">
            <v>1.8048458114869756E-2</v>
          </cell>
        </row>
        <row r="16">
          <cell r="B16" t="str">
            <v>BLNN1AU</v>
          </cell>
          <cell r="C16" t="str">
            <v>LV Small Business Anytime</v>
          </cell>
          <cell r="D16" t="str">
            <v>t-2</v>
          </cell>
          <cell r="F16">
            <v>1.8048458114869756E-2</v>
          </cell>
        </row>
        <row r="17">
          <cell r="B17" t="str">
            <v>BLNT2AU</v>
          </cell>
          <cell r="C17" t="str">
            <v>LV TOU &lt; 100MWh Cent Urban</v>
          </cell>
          <cell r="D17" t="str">
            <v>t-2</v>
          </cell>
          <cell r="G17">
            <v>1.8048458114869756E-2</v>
          </cell>
          <cell r="H17">
            <v>1.8048458114869756E-2</v>
          </cell>
          <cell r="I17">
            <v>1.8048458114869756E-2</v>
          </cell>
        </row>
        <row r="18">
          <cell r="B18" t="str">
            <v>BLNT2AL</v>
          </cell>
          <cell r="C18" t="str">
            <v>LV Business TOU_Interval meter</v>
          </cell>
          <cell r="D18" t="str">
            <v>t</v>
          </cell>
          <cell r="G18">
            <v>1.8048458114869756E-2</v>
          </cell>
          <cell r="H18">
            <v>1.8048458114869756E-2</v>
          </cell>
          <cell r="I18">
            <v>1.8048458114869756E-2</v>
          </cell>
        </row>
        <row r="19">
          <cell r="B19" t="str">
            <v>BLNT1AO</v>
          </cell>
          <cell r="C19" t="str">
            <v>LV TOU &gt; 100 MWh/yr</v>
          </cell>
          <cell r="D19" t="str">
            <v>t-2</v>
          </cell>
          <cell r="G19">
            <v>1.8048458114869756E-2</v>
          </cell>
          <cell r="H19">
            <v>1.8048458114869756E-2</v>
          </cell>
          <cell r="I19">
            <v>1.8048458114869756E-2</v>
          </cell>
        </row>
        <row r="20">
          <cell r="B20" t="str">
            <v>BLND1AB</v>
          </cell>
          <cell r="C20" t="str">
            <v>Small Business-Opt in Demand</v>
          </cell>
          <cell r="D20" t="str">
            <v>t</v>
          </cell>
          <cell r="G20">
            <v>1.8048458114869756E-2</v>
          </cell>
          <cell r="H20">
            <v>1.8048458114869756E-2</v>
          </cell>
          <cell r="I20">
            <v>1.8048458114869756E-2</v>
          </cell>
        </row>
        <row r="21">
          <cell r="B21" t="str">
            <v>BLNT1SU</v>
          </cell>
          <cell r="C21" t="str">
            <v>LV TOU &gt; 100 MWh/yr Sth U</v>
          </cell>
          <cell r="D21" t="str">
            <v>t-2</v>
          </cell>
          <cell r="G21">
            <v>1.8048458114869756E-2</v>
          </cell>
          <cell r="H21">
            <v>1.8048458114869756E-2</v>
          </cell>
          <cell r="I21">
            <v>1.8048458114869756E-2</v>
          </cell>
        </row>
        <row r="23">
          <cell r="B23" t="str">
            <v>Tariff Class B; Low voltage - Large Business</v>
          </cell>
        </row>
        <row r="24">
          <cell r="B24" t="str">
            <v>BLND3AO</v>
          </cell>
          <cell r="C24" t="str">
            <v>LV TOU Demand 3 Rate</v>
          </cell>
          <cell r="D24" t="str">
            <v>t-2</v>
          </cell>
          <cell r="G24">
            <v>1.8048458114869756E-2</v>
          </cell>
          <cell r="H24">
            <v>1.8048458114869756E-2</v>
          </cell>
          <cell r="I24">
            <v>1.8048458114869756E-2</v>
          </cell>
        </row>
        <row r="25">
          <cell r="B25" t="str">
            <v>BLND3TO</v>
          </cell>
          <cell r="C25" t="str">
            <v>LV TOU Demand-alternate tariff</v>
          </cell>
          <cell r="D25" t="str">
            <v>t-2</v>
          </cell>
          <cell r="G25">
            <v>1.8048458114869756E-2</v>
          </cell>
          <cell r="H25">
            <v>1.8048458114869756E-2</v>
          </cell>
          <cell r="I25">
            <v>1.8048458114869756E-2</v>
          </cell>
        </row>
        <row r="26">
          <cell r="B26" t="str">
            <v>BLNDTRS</v>
          </cell>
          <cell r="C26" t="str">
            <v>Transitional Demand</v>
          </cell>
          <cell r="D26" t="str">
            <v>t</v>
          </cell>
          <cell r="G26">
            <v>1.8048458114869756E-2</v>
          </cell>
          <cell r="H26">
            <v>1.8048458114869756E-2</v>
          </cell>
          <cell r="I26">
            <v>1.8048458114869756E-2</v>
          </cell>
        </row>
        <row r="27">
          <cell r="B27" t="str">
            <v>BLNS1AO</v>
          </cell>
          <cell r="C27" t="str">
            <v>LV TOU avg daily Demand</v>
          </cell>
          <cell r="D27" t="str">
            <v>t-2</v>
          </cell>
          <cell r="G27">
            <v>1.8048458114869756E-2</v>
          </cell>
          <cell r="H27">
            <v>1.8048458114869756E-2</v>
          </cell>
          <cell r="I27">
            <v>1.8048458114869756E-2</v>
          </cell>
        </row>
        <row r="28">
          <cell r="B28" t="str">
            <v>BLND1CO</v>
          </cell>
          <cell r="C28" t="str">
            <v>LV 1 Rate Dmd Cent</v>
          </cell>
          <cell r="D28" t="str">
            <v>t-2</v>
          </cell>
          <cell r="G28">
            <v>1.8048458114869756E-2</v>
          </cell>
          <cell r="H28">
            <v>1.8048458114869756E-2</v>
          </cell>
          <cell r="I28">
            <v>1.8048458114869756E-2</v>
          </cell>
        </row>
        <row r="29">
          <cell r="B29" t="str">
            <v>BLND1SR</v>
          </cell>
          <cell r="C29" t="str">
            <v>LV 1 Rate Dmd Sth Rural</v>
          </cell>
          <cell r="D29" t="str">
            <v>t-2</v>
          </cell>
          <cell r="G29">
            <v>1.8048458114869756E-2</v>
          </cell>
          <cell r="H29">
            <v>1.8048458114869756E-2</v>
          </cell>
          <cell r="I29">
            <v>1.8048458114869756E-2</v>
          </cell>
        </row>
        <row r="30">
          <cell r="B30" t="str">
            <v>BLND1SU</v>
          </cell>
          <cell r="C30" t="str">
            <v>LV 1 Rate Dmd Sth Urban</v>
          </cell>
          <cell r="D30" t="str">
            <v>t-2</v>
          </cell>
          <cell r="G30">
            <v>1.8048458114869756E-2</v>
          </cell>
          <cell r="H30">
            <v>1.8048458114869756E-2</v>
          </cell>
          <cell r="I30">
            <v>1.8048458114869756E-2</v>
          </cell>
        </row>
        <row r="31">
          <cell r="B31" t="str">
            <v>TLD</v>
          </cell>
          <cell r="C31" t="str">
            <v>Time of Day - LV Demand - FW</v>
          </cell>
          <cell r="D31" t="str">
            <v>t-2</v>
          </cell>
          <cell r="G31">
            <v>1.8048458114869756E-2</v>
          </cell>
          <cell r="H31">
            <v>1.8048458114869756E-2</v>
          </cell>
          <cell r="I31">
            <v>1.8048458114869756E-2</v>
          </cell>
        </row>
        <row r="32">
          <cell r="B32" t="str">
            <v/>
          </cell>
          <cell r="C32" t="str">
            <v/>
          </cell>
          <cell r="D32" t="str">
            <v/>
          </cell>
        </row>
        <row r="34">
          <cell r="B34" t="str">
            <v>Tariff Class C; High voltage - demand</v>
          </cell>
        </row>
        <row r="35">
          <cell r="B35" t="str">
            <v>BHND3AO</v>
          </cell>
          <cell r="C35" t="str">
            <v>HV TOU mthly Demand</v>
          </cell>
          <cell r="D35" t="str">
            <v>t-2</v>
          </cell>
        </row>
        <row r="36">
          <cell r="B36" t="str">
            <v>BHNS1AO</v>
          </cell>
          <cell r="C36" t="str">
            <v>HV TOU avg daily Demand</v>
          </cell>
          <cell r="D36" t="str">
            <v>t-2</v>
          </cell>
        </row>
        <row r="37">
          <cell r="B37" t="str">
            <v>BHND1CO</v>
          </cell>
          <cell r="C37" t="str">
            <v>HV 1 Rate Dmd Cent U</v>
          </cell>
          <cell r="D37" t="str">
            <v>t-2</v>
          </cell>
        </row>
        <row r="38">
          <cell r="B38" t="str">
            <v>BHND1SO</v>
          </cell>
          <cell r="C38" t="str">
            <v>HV 1 Rate Dmd Sth U</v>
          </cell>
          <cell r="D38" t="str">
            <v>t-2</v>
          </cell>
        </row>
        <row r="40">
          <cell r="B40" t="str">
            <v>Tariff Class D; Subtransmission</v>
          </cell>
        </row>
        <row r="41">
          <cell r="B41" t="str">
            <v>BSSD3AO</v>
          </cell>
          <cell r="C41" t="str">
            <v>SUB TRANS 3 RATE DEMAND</v>
          </cell>
          <cell r="D41" t="str">
            <v>t-2</v>
          </cell>
        </row>
        <row r="42">
          <cell r="B42" t="str">
            <v/>
          </cell>
          <cell r="C42" t="str">
            <v/>
          </cell>
          <cell r="D42" t="str">
            <v/>
          </cell>
        </row>
        <row r="43">
          <cell r="B43" t="str">
            <v>BSS04CU</v>
          </cell>
          <cell r="C43" t="str">
            <v>Peak Gold Mines</v>
          </cell>
          <cell r="D43" t="str">
            <v>t-2</v>
          </cell>
        </row>
        <row r="44">
          <cell r="B44" t="str">
            <v>BSS05CU</v>
          </cell>
          <cell r="C44" t="str">
            <v>Oberon Timber Complex</v>
          </cell>
          <cell r="D44" t="str">
            <v>t-2</v>
          </cell>
        </row>
        <row r="45">
          <cell r="B45" t="str">
            <v>BSS05NO</v>
          </cell>
          <cell r="C45" t="str">
            <v>Harwood Sugar</v>
          </cell>
          <cell r="D45" t="str">
            <v>t-2</v>
          </cell>
        </row>
        <row r="46">
          <cell r="B46" t="str">
            <v>BSS06CU</v>
          </cell>
          <cell r="C46" t="str">
            <v>Fletcher International Exports</v>
          </cell>
          <cell r="D46" t="str">
            <v>t-2</v>
          </cell>
        </row>
        <row r="47">
          <cell r="B47" t="str">
            <v>BSS08CU</v>
          </cell>
          <cell r="C47" t="str">
            <v>Cadia Mine</v>
          </cell>
          <cell r="D47" t="str">
            <v>t-2</v>
          </cell>
        </row>
        <row r="48">
          <cell r="B48" t="str">
            <v>BSS10CU</v>
          </cell>
          <cell r="C48" t="str">
            <v>Ulan Coal Mine Cassilis Road</v>
          </cell>
          <cell r="D48" t="str">
            <v>t-2</v>
          </cell>
        </row>
        <row r="49">
          <cell r="B49" t="str">
            <v>BSS11CU</v>
          </cell>
          <cell r="C49" t="str">
            <v>Cobar Mine</v>
          </cell>
          <cell r="D49" t="str">
            <v>t-2</v>
          </cell>
        </row>
        <row r="50">
          <cell r="B50" t="str">
            <v>BSS12CU</v>
          </cell>
          <cell r="C50" t="str">
            <v>Endeavor Operations Pty Ltd</v>
          </cell>
          <cell r="D50" t="str">
            <v>t-2</v>
          </cell>
        </row>
        <row r="51">
          <cell r="B51" t="str">
            <v>BSS13CU</v>
          </cell>
          <cell r="C51" t="str">
            <v>Uncle Bens-Bathurst</v>
          </cell>
          <cell r="D51" t="str">
            <v>t-2</v>
          </cell>
        </row>
        <row r="52">
          <cell r="B52" t="str">
            <v>BSS20CU</v>
          </cell>
          <cell r="C52" t="str">
            <v>Nth Parkes Mine</v>
          </cell>
          <cell r="D52" t="str">
            <v>t-2</v>
          </cell>
        </row>
        <row r="53">
          <cell r="B53" t="str">
            <v>BSS25AO</v>
          </cell>
          <cell r="C53" t="str">
            <v>Tritton Mine</v>
          </cell>
          <cell r="D53" t="str">
            <v>t-2</v>
          </cell>
        </row>
        <row r="54">
          <cell r="B54" t="str">
            <v>BSS26AO</v>
          </cell>
          <cell r="C54" t="str">
            <v>Lake Cowell Mine</v>
          </cell>
          <cell r="D54" t="str">
            <v>t-2</v>
          </cell>
        </row>
        <row r="55">
          <cell r="B55" t="str">
            <v>BSS27AO</v>
          </cell>
          <cell r="C55" t="str">
            <v>Manildra Flour Mill</v>
          </cell>
          <cell r="D55" t="str">
            <v>t-1</v>
          </cell>
        </row>
        <row r="56">
          <cell r="B56" t="str">
            <v>CRNP1</v>
          </cell>
          <cell r="C56" t="str">
            <v>Perilya Mine, Broken Hill          </v>
          </cell>
          <cell r="D56" t="str">
            <v>t-2</v>
          </cell>
        </row>
        <row r="57">
          <cell r="B57" t="str">
            <v>CRNP2</v>
          </cell>
          <cell r="C57" t="str">
            <v>Bemax and Snapper      </v>
          </cell>
          <cell r="D57" t="str">
            <v>t-2</v>
          </cell>
        </row>
        <row r="58">
          <cell r="B58" t="str">
            <v>BSS21SU</v>
          </cell>
          <cell r="C58" t="str">
            <v>IDT Blowering Dam</v>
          </cell>
          <cell r="D58" t="str">
            <v>t-2</v>
          </cell>
        </row>
        <row r="59">
          <cell r="B59" t="str">
            <v>BSS22SU</v>
          </cell>
          <cell r="C59" t="str">
            <v>IDT Cabramurra Aux</v>
          </cell>
          <cell r="D59" t="str">
            <v>t-2</v>
          </cell>
        </row>
        <row r="60">
          <cell r="B60" t="str">
            <v>BSS24NU</v>
          </cell>
          <cell r="C60" t="str">
            <v>Kirra - IDC</v>
          </cell>
          <cell r="D60" t="str">
            <v>t-2</v>
          </cell>
        </row>
        <row r="61">
          <cell r="B61" t="str">
            <v/>
          </cell>
          <cell r="C61" t="str">
            <v/>
          </cell>
          <cell r="D61" t="str">
            <v/>
          </cell>
        </row>
        <row r="62">
          <cell r="B62" t="str">
            <v/>
          </cell>
          <cell r="C62" t="str">
            <v/>
          </cell>
          <cell r="D62" t="str">
            <v/>
          </cell>
        </row>
        <row r="63">
          <cell r="B63" t="str">
            <v/>
          </cell>
          <cell r="C63" t="str">
            <v/>
          </cell>
          <cell r="D63" t="str">
            <v/>
          </cell>
        </row>
        <row r="64">
          <cell r="B64" t="str">
            <v>Tariff Class E; unmetered</v>
          </cell>
        </row>
        <row r="65">
          <cell r="B65" t="str">
            <v>BLNP1AO</v>
          </cell>
          <cell r="C65" t="str">
            <v>LV Public Lighting NUOS</v>
          </cell>
          <cell r="D65" t="str">
            <v>t-2</v>
          </cell>
        </row>
        <row r="66">
          <cell r="B66" t="str">
            <v>BLNP3AO</v>
          </cell>
          <cell r="C66" t="str">
            <v>LV Public Lighting TOU NUOS</v>
          </cell>
          <cell r="D66" t="str">
            <v>t-2</v>
          </cell>
        </row>
      </sheetData>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S82"/>
  <sheetViews>
    <sheetView showGridLines="0" tabSelected="1" zoomScale="60" zoomScaleNormal="60" workbookViewId="0">
      <selection activeCell="Y48" sqref="Y48"/>
    </sheetView>
  </sheetViews>
  <sheetFormatPr defaultRowHeight="14.25" x14ac:dyDescent="0.2"/>
  <cols>
    <col min="1" max="1" width="1.88671875" style="15" customWidth="1"/>
    <col min="2" max="2" width="12.21875" style="8" customWidth="1"/>
    <col min="3" max="3" width="26.44140625" style="8" customWidth="1"/>
    <col min="4" max="4" width="11.21875" style="8" customWidth="1"/>
    <col min="5" max="5" width="22.5546875" style="8" customWidth="1"/>
    <col min="6" max="13" width="10.5546875" style="8" customWidth="1"/>
    <col min="14" max="15" width="12.5546875" style="8" customWidth="1"/>
    <col min="16" max="16" width="21.33203125" style="8" customWidth="1"/>
    <col min="17" max="17" width="2.6640625" style="8" customWidth="1"/>
    <col min="18" max="16384" width="8.88671875" style="8"/>
  </cols>
  <sheetData>
    <row r="2" spans="1:16" ht="33" x14ac:dyDescent="0.45">
      <c r="A2" s="1"/>
      <c r="B2" s="2" t="s">
        <v>200</v>
      </c>
      <c r="C2" s="3"/>
      <c r="D2" s="3"/>
      <c r="E2" s="3"/>
      <c r="F2" s="3"/>
      <c r="G2" s="4"/>
      <c r="H2" s="5"/>
      <c r="I2" s="5"/>
      <c r="J2" s="5"/>
      <c r="K2" s="4"/>
      <c r="L2" s="6"/>
      <c r="M2" s="7"/>
    </row>
    <row r="3" spans="1:16" ht="15.75" x14ac:dyDescent="0.25">
      <c r="A3" s="1"/>
      <c r="B3" s="136" t="s">
        <v>203</v>
      </c>
      <c r="C3" s="137"/>
      <c r="D3" s="137"/>
      <c r="E3" s="137"/>
      <c r="F3" s="137"/>
      <c r="G3" s="9"/>
      <c r="H3" s="9"/>
      <c r="I3" s="131"/>
      <c r="J3" s="103"/>
      <c r="K3" s="9"/>
      <c r="L3" s="9"/>
      <c r="M3" s="10"/>
    </row>
    <row r="4" spans="1:16" ht="15" x14ac:dyDescent="0.25">
      <c r="A4" s="1"/>
      <c r="B4" s="11"/>
      <c r="C4" s="12"/>
      <c r="D4" s="13"/>
      <c r="E4" s="13"/>
      <c r="F4" s="13"/>
      <c r="G4" s="13"/>
      <c r="H4" s="13"/>
      <c r="I4" s="13"/>
      <c r="J4" s="13"/>
      <c r="K4" s="13"/>
      <c r="L4" s="13"/>
      <c r="M4" s="14"/>
    </row>
    <row r="5" spans="1:16" ht="26.25" customHeight="1" x14ac:dyDescent="0.25">
      <c r="B5" s="128" t="s">
        <v>107</v>
      </c>
      <c r="C5" s="127" t="s">
        <v>24</v>
      </c>
      <c r="D5" s="140" t="s">
        <v>9</v>
      </c>
      <c r="E5" s="141"/>
      <c r="F5" s="57" t="s">
        <v>1</v>
      </c>
      <c r="G5" s="57" t="s">
        <v>2</v>
      </c>
      <c r="H5" s="40" t="s">
        <v>2</v>
      </c>
      <c r="I5" s="40" t="s">
        <v>2</v>
      </c>
      <c r="J5" s="40" t="s">
        <v>2</v>
      </c>
      <c r="K5" s="40" t="s">
        <v>4</v>
      </c>
      <c r="L5" s="40" t="s">
        <v>5</v>
      </c>
      <c r="M5" s="40" t="s">
        <v>6</v>
      </c>
    </row>
    <row r="6" spans="1:16" ht="15" x14ac:dyDescent="0.2">
      <c r="B6" s="128"/>
      <c r="C6" s="128"/>
      <c r="D6" s="140"/>
      <c r="E6" s="141"/>
      <c r="F6" s="83" t="s">
        <v>10</v>
      </c>
      <c r="G6" s="83" t="s">
        <v>177</v>
      </c>
      <c r="H6" s="83" t="s">
        <v>4</v>
      </c>
      <c r="I6" s="83" t="s">
        <v>5</v>
      </c>
      <c r="J6" s="83" t="s">
        <v>6</v>
      </c>
      <c r="K6" s="83" t="s">
        <v>3</v>
      </c>
      <c r="L6" s="83" t="s">
        <v>3</v>
      </c>
      <c r="M6" s="83" t="s">
        <v>3</v>
      </c>
    </row>
    <row r="7" spans="1:16" ht="22.5" customHeight="1" x14ac:dyDescent="0.2">
      <c r="B7" s="128"/>
      <c r="C7" s="129"/>
      <c r="D7" s="140"/>
      <c r="E7" s="141"/>
      <c r="F7" s="83" t="s">
        <v>13</v>
      </c>
      <c r="G7" s="83" t="s">
        <v>14</v>
      </c>
      <c r="H7" s="83" t="s">
        <v>14</v>
      </c>
      <c r="I7" s="83" t="s">
        <v>14</v>
      </c>
      <c r="J7" s="83" t="s">
        <v>14</v>
      </c>
      <c r="K7" s="83" t="s">
        <v>15</v>
      </c>
      <c r="L7" s="83" t="s">
        <v>15</v>
      </c>
      <c r="M7" s="83" t="s">
        <v>15</v>
      </c>
    </row>
    <row r="8" spans="1:16" s="65" customFormat="1" ht="18" x14ac:dyDescent="0.25">
      <c r="A8" s="59"/>
      <c r="B8" s="60" t="s">
        <v>16</v>
      </c>
      <c r="C8" s="61"/>
      <c r="D8" s="62"/>
      <c r="E8" s="63"/>
      <c r="F8" s="64"/>
      <c r="G8" s="64"/>
      <c r="H8" s="64"/>
      <c r="I8" s="64"/>
      <c r="J8" s="64"/>
      <c r="K8" s="64"/>
      <c r="L8" s="64"/>
      <c r="M8" s="64"/>
    </row>
    <row r="9" spans="1:16" ht="18" customHeight="1" x14ac:dyDescent="0.2">
      <c r="B9" s="19" t="s">
        <v>25</v>
      </c>
      <c r="C9" s="20"/>
      <c r="D9" s="123" t="s">
        <v>184</v>
      </c>
      <c r="E9" s="124"/>
      <c r="F9" s="21">
        <f>ROUND(VLOOKUP($B9,'[2]NUOS (t)'!$B$10:$O$66,4,FALSE)/365,4)</f>
        <v>0.79510000000000003</v>
      </c>
      <c r="G9" s="21">
        <f>ROUND(VLOOKUP($B9,'[2]NUOS (t)'!$B$10:$O$66,5,FALSE),4)</f>
        <v>10.282500000000001</v>
      </c>
      <c r="H9" s="21"/>
      <c r="I9" s="21"/>
      <c r="J9" s="21"/>
      <c r="K9" s="21"/>
      <c r="L9" s="21"/>
      <c r="M9" s="21"/>
      <c r="N9" s="22"/>
      <c r="O9" s="22"/>
    </row>
    <row r="10" spans="1:16" ht="18" customHeight="1" x14ac:dyDescent="0.2">
      <c r="B10" s="19" t="s">
        <v>26</v>
      </c>
      <c r="C10" s="20"/>
      <c r="D10" s="123" t="s">
        <v>42</v>
      </c>
      <c r="E10" s="124"/>
      <c r="F10" s="21">
        <f>ROUND(VLOOKUP($B10,'[2]NUOS (t)'!$B$10:$O$66,4,FALSE)/365,4)</f>
        <v>0.79510000000000003</v>
      </c>
      <c r="G10" s="21"/>
      <c r="H10" s="21">
        <f>ROUND(VLOOKUP($B10,'[2]NUOS (t)'!$B$10:$O$66,6,FALSE),4)</f>
        <v>13.129</v>
      </c>
      <c r="I10" s="21">
        <f>ROUND(VLOOKUP($B10,'[2]NUOS (t)'!$B$10:$O$66,7,FALSE),4)</f>
        <v>11.8499</v>
      </c>
      <c r="J10" s="21">
        <f>ROUND(VLOOKUP($B10,'[2]NUOS (t)'!$B$10:$O$66,8,FALSE),4)</f>
        <v>4.3513999999999999</v>
      </c>
      <c r="K10" s="21"/>
      <c r="L10" s="21"/>
      <c r="M10" s="21"/>
      <c r="N10" s="22"/>
      <c r="O10" s="22"/>
      <c r="P10" s="22"/>
    </row>
    <row r="11" spans="1:16" ht="18" customHeight="1" x14ac:dyDescent="0.2">
      <c r="B11" s="19" t="s">
        <v>170</v>
      </c>
      <c r="C11" s="20"/>
      <c r="D11" s="123" t="s">
        <v>171</v>
      </c>
      <c r="E11" s="124"/>
      <c r="F11" s="21">
        <f>ROUND(VLOOKUP($B11,'[2]NUOS (t)'!$B$10:$O$66,4,FALSE)/365,4)</f>
        <v>0.79510000000000003</v>
      </c>
      <c r="G11" s="21"/>
      <c r="H11" s="21">
        <f>ROUND(VLOOKUP($B11,'[2]NUOS (t)'!$B$10:$O$66,6,FALSE),4)</f>
        <v>13.629799999999999</v>
      </c>
      <c r="I11" s="21">
        <f>ROUND(VLOOKUP($B11,'[2]NUOS (t)'!$B$10:$O$66,7,FALSE),4)</f>
        <v>11.396800000000001</v>
      </c>
      <c r="J11" s="21">
        <f>ROUND(VLOOKUP($B11,'[2]NUOS (t)'!$B$10:$O$66,8,FALSE),4)</f>
        <v>4.3513999999999999</v>
      </c>
      <c r="K11" s="21"/>
      <c r="L11" s="21"/>
      <c r="M11" s="21"/>
      <c r="N11" s="22"/>
      <c r="O11" s="22"/>
      <c r="P11" s="22"/>
    </row>
    <row r="12" spans="1:16" ht="18" customHeight="1" x14ac:dyDescent="0.2">
      <c r="B12" s="19" t="s">
        <v>172</v>
      </c>
      <c r="C12" s="20"/>
      <c r="D12" s="123" t="s">
        <v>186</v>
      </c>
      <c r="E12" s="124"/>
      <c r="F12" s="21">
        <f>ROUND(VLOOKUP($B12,'[2]NUOS (t)'!$B$10:$O$66,4,FALSE)/365,4)</f>
        <v>0.79510000000000003</v>
      </c>
      <c r="G12" s="21"/>
      <c r="H12" s="21">
        <f>ROUND(VLOOKUP($B12,'[2]NUOS (t)'!$B$10:$O$66,6,FALSE),4)</f>
        <v>3.9293</v>
      </c>
      <c r="I12" s="21">
        <f>ROUND(VLOOKUP($B12,'[2]NUOS (t)'!$B$10:$O$66,7,FALSE),4)</f>
        <v>3.2978999999999998</v>
      </c>
      <c r="J12" s="21">
        <f>ROUND(VLOOKUP($B12,'[2]NUOS (t)'!$B$10:$O$66,8,FALSE),4)</f>
        <v>2.0436000000000001</v>
      </c>
      <c r="K12" s="125">
        <f>ROUND(VLOOKUP($B12,'[2]NUOS (t)'!$B$10:$O$66,10,FALSE),4)</f>
        <v>3.9081999999999999</v>
      </c>
      <c r="L12" s="126"/>
      <c r="M12" s="21"/>
      <c r="N12" s="22"/>
      <c r="O12" s="22"/>
      <c r="P12" s="22"/>
    </row>
    <row r="13" spans="1:16" s="65" customFormat="1" ht="18" x14ac:dyDescent="0.25">
      <c r="A13" s="59"/>
      <c r="B13" s="61" t="s">
        <v>19</v>
      </c>
      <c r="C13" s="61"/>
      <c r="D13" s="66"/>
      <c r="E13" s="67"/>
      <c r="F13" s="68"/>
      <c r="G13" s="69"/>
      <c r="H13" s="69"/>
      <c r="I13" s="69"/>
      <c r="J13" s="69"/>
      <c r="K13" s="69"/>
      <c r="L13" s="69"/>
      <c r="M13" s="69"/>
      <c r="N13" s="70"/>
      <c r="O13" s="70"/>
      <c r="P13" s="70"/>
    </row>
    <row r="14" spans="1:16" ht="18" customHeight="1" x14ac:dyDescent="0.2">
      <c r="B14" s="19" t="s">
        <v>27</v>
      </c>
      <c r="C14" s="20"/>
      <c r="D14" s="123" t="s">
        <v>39</v>
      </c>
      <c r="E14" s="124"/>
      <c r="F14" s="21">
        <f>ROUND(VLOOKUP($B14,'[2]NUOS (t)'!$B$10:$O$66,4,FALSE)/365,4)</f>
        <v>8.8900000000000007E-2</v>
      </c>
      <c r="G14" s="21">
        <f>ROUND(VLOOKUP($B14,'[2]NUOS (t)'!$B$10:$O$66,5,FALSE),4)</f>
        <v>2.1495000000000002</v>
      </c>
      <c r="H14" s="21"/>
      <c r="I14" s="21"/>
      <c r="J14" s="21"/>
      <c r="K14" s="21"/>
      <c r="L14" s="21"/>
      <c r="M14" s="21"/>
      <c r="N14" s="22"/>
      <c r="O14" s="22"/>
    </row>
    <row r="15" spans="1:16" ht="18" customHeight="1" x14ac:dyDescent="0.2">
      <c r="B15" s="19" t="s">
        <v>28</v>
      </c>
      <c r="C15" s="20"/>
      <c r="D15" s="123" t="s">
        <v>40</v>
      </c>
      <c r="E15" s="124"/>
      <c r="F15" s="21">
        <f>ROUND(VLOOKUP($B15,'[2]NUOS (t)'!$B$10:$O$66,4,FALSE)/365,4)</f>
        <v>8.8900000000000007E-2</v>
      </c>
      <c r="G15" s="21">
        <f>ROUND(VLOOKUP($B15,'[2]NUOS (t)'!$B$10:$O$66,5,FALSE),4)</f>
        <v>4.6174999999999997</v>
      </c>
      <c r="H15" s="21"/>
      <c r="I15" s="21"/>
      <c r="J15" s="21"/>
      <c r="K15" s="21"/>
      <c r="L15" s="21"/>
      <c r="M15" s="21"/>
      <c r="N15" s="22"/>
      <c r="O15" s="22"/>
    </row>
    <row r="16" spans="1:16" s="65" customFormat="1" ht="18" x14ac:dyDescent="0.25">
      <c r="A16" s="59"/>
      <c r="B16" s="71" t="s">
        <v>87</v>
      </c>
      <c r="C16" s="71"/>
      <c r="D16" s="72"/>
      <c r="E16" s="73"/>
      <c r="F16" s="74"/>
      <c r="G16" s="74"/>
      <c r="H16" s="74"/>
      <c r="I16" s="74"/>
      <c r="J16" s="74"/>
      <c r="K16" s="74"/>
      <c r="L16" s="74"/>
      <c r="M16" s="74"/>
      <c r="N16" s="70"/>
      <c r="O16" s="70"/>
      <c r="P16" s="70"/>
    </row>
    <row r="17" spans="1:17" ht="18" customHeight="1" x14ac:dyDescent="0.2">
      <c r="A17" s="135"/>
      <c r="B17" s="26" t="s">
        <v>84</v>
      </c>
      <c r="C17" s="20"/>
      <c r="D17" s="123" t="s">
        <v>113</v>
      </c>
      <c r="E17" s="124"/>
      <c r="F17" s="27"/>
      <c r="G17" s="31">
        <v>0</v>
      </c>
      <c r="H17" s="27"/>
      <c r="I17" s="27"/>
      <c r="J17" s="27"/>
      <c r="K17" s="27"/>
      <c r="L17" s="27"/>
      <c r="M17" s="27"/>
      <c r="N17" s="22"/>
      <c r="O17" s="22"/>
      <c r="P17" s="22"/>
    </row>
    <row r="18" spans="1:17" ht="18" customHeight="1" x14ac:dyDescent="0.2">
      <c r="A18" s="135"/>
      <c r="B18" s="26" t="s">
        <v>85</v>
      </c>
      <c r="C18" s="20"/>
      <c r="D18" s="123" t="s">
        <v>114</v>
      </c>
      <c r="E18" s="124"/>
      <c r="F18" s="27"/>
      <c r="G18" s="31">
        <v>0</v>
      </c>
      <c r="H18" s="27"/>
      <c r="I18" s="27"/>
      <c r="J18" s="27"/>
      <c r="K18" s="27"/>
      <c r="L18" s="27"/>
      <c r="M18" s="27"/>
      <c r="N18" s="22"/>
      <c r="O18" s="22"/>
      <c r="P18" s="22"/>
    </row>
    <row r="19" spans="1:17" ht="18" customHeight="1" x14ac:dyDescent="0.2">
      <c r="A19" s="28"/>
      <c r="B19" s="26" t="s">
        <v>82</v>
      </c>
      <c r="C19" s="20"/>
      <c r="D19" s="123" t="s">
        <v>111</v>
      </c>
      <c r="E19" s="124"/>
      <c r="F19" s="27"/>
      <c r="G19" s="31">
        <v>0</v>
      </c>
      <c r="H19" s="27"/>
      <c r="I19" s="27"/>
      <c r="J19" s="27"/>
      <c r="K19" s="27"/>
      <c r="L19" s="27"/>
      <c r="M19" s="27"/>
      <c r="N19" s="22"/>
      <c r="O19" s="22"/>
      <c r="P19" s="22"/>
    </row>
    <row r="20" spans="1:17" ht="18" customHeight="1" x14ac:dyDescent="0.2">
      <c r="A20" s="28"/>
      <c r="B20" s="26" t="s">
        <v>83</v>
      </c>
      <c r="C20" s="20"/>
      <c r="D20" s="123" t="s">
        <v>112</v>
      </c>
      <c r="E20" s="124"/>
      <c r="F20" s="27"/>
      <c r="G20" s="31">
        <v>0</v>
      </c>
      <c r="H20" s="27"/>
      <c r="I20" s="27"/>
      <c r="J20" s="27"/>
      <c r="K20" s="27"/>
      <c r="L20" s="27"/>
      <c r="M20" s="27"/>
      <c r="N20" s="22"/>
      <c r="O20" s="22"/>
      <c r="P20" s="22"/>
    </row>
    <row r="21" spans="1:17" ht="18" customHeight="1" x14ac:dyDescent="0.2">
      <c r="A21" s="28"/>
      <c r="B21" s="26" t="s">
        <v>88</v>
      </c>
      <c r="C21" s="20"/>
      <c r="D21" s="123" t="s">
        <v>89</v>
      </c>
      <c r="E21" s="124"/>
      <c r="F21" s="27"/>
      <c r="G21" s="31">
        <v>0</v>
      </c>
      <c r="H21" s="27"/>
      <c r="I21" s="27"/>
      <c r="J21" s="27"/>
      <c r="K21" s="27"/>
      <c r="L21" s="27"/>
      <c r="M21" s="27"/>
      <c r="N21" s="22"/>
      <c r="O21" s="22"/>
      <c r="P21" s="22"/>
    </row>
    <row r="22" spans="1:17" s="32" customFormat="1" ht="18" customHeight="1" x14ac:dyDescent="0.2">
      <c r="A22" s="29"/>
      <c r="B22" s="30" t="s">
        <v>98</v>
      </c>
      <c r="C22" s="20"/>
      <c r="D22" s="123" t="s">
        <v>100</v>
      </c>
      <c r="E22" s="124"/>
      <c r="F22" s="21"/>
      <c r="G22" s="31">
        <v>0</v>
      </c>
      <c r="H22" s="21"/>
      <c r="I22" s="21"/>
      <c r="J22" s="21"/>
      <c r="K22" s="21"/>
      <c r="L22" s="21"/>
      <c r="M22" s="21"/>
      <c r="N22" s="22"/>
      <c r="O22" s="22"/>
      <c r="P22" s="22"/>
    </row>
    <row r="23" spans="1:17" s="32" customFormat="1" ht="18" customHeight="1" x14ac:dyDescent="0.2">
      <c r="B23" s="19" t="s">
        <v>99</v>
      </c>
      <c r="C23" s="33"/>
      <c r="D23" s="123" t="s">
        <v>100</v>
      </c>
      <c r="E23" s="124"/>
      <c r="F23" s="27"/>
      <c r="G23" s="31">
        <v>0</v>
      </c>
      <c r="H23" s="27"/>
      <c r="I23" s="27"/>
      <c r="J23" s="27"/>
      <c r="K23" s="27"/>
      <c r="L23" s="27"/>
      <c r="M23" s="27"/>
      <c r="N23" s="22"/>
      <c r="O23" s="22"/>
      <c r="P23" s="22"/>
    </row>
    <row r="24" spans="1:17" s="65" customFormat="1" ht="18" x14ac:dyDescent="0.25">
      <c r="A24" s="59"/>
      <c r="B24" s="71" t="s">
        <v>18</v>
      </c>
      <c r="C24" s="71"/>
      <c r="D24" s="72"/>
      <c r="E24" s="73"/>
      <c r="F24" s="74"/>
      <c r="G24" s="74"/>
      <c r="H24" s="74"/>
      <c r="I24" s="74"/>
      <c r="J24" s="74"/>
      <c r="K24" s="74"/>
      <c r="L24" s="74"/>
      <c r="M24" s="74"/>
      <c r="N24" s="70"/>
      <c r="O24" s="70"/>
      <c r="P24" s="70"/>
    </row>
    <row r="25" spans="1:17" ht="18" customHeight="1" x14ac:dyDescent="0.2">
      <c r="B25" s="19" t="s">
        <v>29</v>
      </c>
      <c r="C25" s="20"/>
      <c r="D25" s="123" t="s">
        <v>185</v>
      </c>
      <c r="E25" s="124"/>
      <c r="F25" s="21">
        <f>ROUND(VLOOKUP($B25,'[2]NUOS (t)'!$B$10:$O$66,4,FALSE)/365,4)</f>
        <v>0.79510000000000003</v>
      </c>
      <c r="G25" s="21">
        <f>ROUND(VLOOKUP($B25,'[2]NUOS (t)'!$B$10:$O$66,5,FALSE),4)</f>
        <v>14.2127</v>
      </c>
      <c r="H25" s="21"/>
      <c r="I25" s="21"/>
      <c r="J25" s="21"/>
      <c r="K25" s="21"/>
      <c r="L25" s="21"/>
      <c r="M25" s="21"/>
      <c r="N25" s="22"/>
      <c r="O25" s="22"/>
    </row>
    <row r="26" spans="1:17" ht="18" customHeight="1" x14ac:dyDescent="0.2">
      <c r="B26" s="19" t="s">
        <v>30</v>
      </c>
      <c r="C26" s="20"/>
      <c r="D26" s="123" t="s">
        <v>43</v>
      </c>
      <c r="E26" s="124"/>
      <c r="F26" s="21">
        <f>ROUND(VLOOKUP($B26,'[2]NUOS (t)'!$B$10:$O$66,4,FALSE)/365,4)</f>
        <v>6.2929000000000004</v>
      </c>
      <c r="G26" s="21"/>
      <c r="H26" s="21">
        <f>ROUND(VLOOKUP($B26,'[2]NUOS (t)'!$B$10:$O$66,6,FALSE),4)</f>
        <v>13.994400000000001</v>
      </c>
      <c r="I26" s="21">
        <f>ROUND(VLOOKUP($B26,'[2]NUOS (t)'!$B$10:$O$66,7,FALSE),4)</f>
        <v>12.6729</v>
      </c>
      <c r="J26" s="21">
        <f>ROUND(VLOOKUP($B26,'[2]NUOS (t)'!$B$10:$O$66,8,FALSE),4)</f>
        <v>6.3827999999999996</v>
      </c>
      <c r="K26" s="21"/>
      <c r="L26" s="21"/>
      <c r="M26" s="21"/>
      <c r="N26" s="22"/>
      <c r="O26" s="22"/>
      <c r="P26" s="22"/>
    </row>
    <row r="27" spans="1:17" ht="18" customHeight="1" x14ac:dyDescent="0.2">
      <c r="B27" s="19" t="s">
        <v>174</v>
      </c>
      <c r="C27" s="20"/>
      <c r="D27" s="123" t="s">
        <v>175</v>
      </c>
      <c r="E27" s="124"/>
      <c r="F27" s="21">
        <f>ROUND(VLOOKUP($B27,'[2]NUOS (t)'!$B$10:$O$66,4,FALSE)/365,4)</f>
        <v>1.3984000000000001</v>
      </c>
      <c r="G27" s="21"/>
      <c r="H27" s="21">
        <f>ROUND(VLOOKUP($B27,'[2]NUOS (t)'!$B$10:$O$66,6,FALSE),4)</f>
        <v>14.5175</v>
      </c>
      <c r="I27" s="21">
        <f>ROUND(VLOOKUP($B27,'[2]NUOS (t)'!$B$10:$O$66,7,FALSE),4)</f>
        <v>12.1996</v>
      </c>
      <c r="J27" s="21">
        <f>ROUND(VLOOKUP($B27,'[2]NUOS (t)'!$B$10:$O$66,8,FALSE),4)</f>
        <v>6.1741000000000001</v>
      </c>
      <c r="K27" s="21"/>
      <c r="L27" s="21"/>
      <c r="M27" s="21"/>
      <c r="N27" s="22"/>
      <c r="O27" s="22"/>
      <c r="P27" s="22"/>
    </row>
    <row r="28" spans="1:17" ht="18" customHeight="1" x14ac:dyDescent="0.2">
      <c r="B28" s="19" t="s">
        <v>176</v>
      </c>
      <c r="C28" s="20"/>
      <c r="D28" s="123" t="s">
        <v>187</v>
      </c>
      <c r="E28" s="124"/>
      <c r="F28" s="21">
        <f>ROUND(VLOOKUP($B28,'[2]NUOS (t)'!$B$10:$O$66,4,FALSE)/365,4)</f>
        <v>1.3984000000000001</v>
      </c>
      <c r="G28" s="21"/>
      <c r="H28" s="21">
        <f>ROUND(VLOOKUP($B28,'[2]NUOS (t)'!$B$10:$O$66,6,FALSE),4)</f>
        <v>5.1325000000000003</v>
      </c>
      <c r="I28" s="21">
        <f>ROUND(VLOOKUP($B28,'[2]NUOS (t)'!$B$10:$O$66,7,FALSE),4)</f>
        <v>4.2073999999999998</v>
      </c>
      <c r="J28" s="21">
        <f>ROUND(VLOOKUP($B28,'[2]NUOS (t)'!$B$10:$O$66,8,FALSE),4)</f>
        <v>2.5832999999999999</v>
      </c>
      <c r="K28" s="125">
        <f>ROUND(VLOOKUP($B28,'[2]NUOS (t)'!$B$10:$O$66,10,FALSE),4)</f>
        <v>6.3507999999999996</v>
      </c>
      <c r="L28" s="126"/>
      <c r="M28" s="21"/>
      <c r="N28" s="22"/>
      <c r="O28" s="22"/>
      <c r="P28" s="22"/>
    </row>
    <row r="29" spans="1:17" ht="18" customHeight="1" x14ac:dyDescent="0.2">
      <c r="B29" s="19" t="s">
        <v>31</v>
      </c>
      <c r="C29" s="20" t="s">
        <v>173</v>
      </c>
      <c r="D29" s="123" t="s">
        <v>116</v>
      </c>
      <c r="E29" s="124"/>
      <c r="F29" s="21">
        <f>ROUND(VLOOKUP($B29,'[2]NUOS (t)'!$B$10:$O$66,4,FALSE)/365,4)</f>
        <v>6.2929000000000004</v>
      </c>
      <c r="G29" s="21"/>
      <c r="H29" s="21">
        <f>ROUND(VLOOKUP($B29,'[2]NUOS (t)'!$B$10:$O$66,6,FALSE),4)</f>
        <v>13.994400000000001</v>
      </c>
      <c r="I29" s="21">
        <f>ROUND(VLOOKUP($B29,'[2]NUOS (t)'!$B$10:$O$66,7,FALSE),4)</f>
        <v>12.6729</v>
      </c>
      <c r="J29" s="21">
        <f>ROUND(VLOOKUP($B29,'[2]NUOS (t)'!$B$10:$O$66,8,FALSE),4)</f>
        <v>6.3827999999999996</v>
      </c>
      <c r="K29" s="21"/>
      <c r="L29" s="21"/>
      <c r="M29" s="21"/>
      <c r="N29" s="22"/>
      <c r="O29" s="22"/>
      <c r="P29" s="22"/>
    </row>
    <row r="30" spans="1:17" ht="18" customHeight="1" x14ac:dyDescent="0.2">
      <c r="B30" s="19" t="s">
        <v>178</v>
      </c>
      <c r="C30" s="20"/>
      <c r="D30" s="123" t="s">
        <v>179</v>
      </c>
      <c r="E30" s="124"/>
      <c r="F30" s="21">
        <f>ROUND(VLOOKUP($B30,'[2]NUOS (t)'!$B$10:$O$66,4,FALSE)/365,4)</f>
        <v>9.6654</v>
      </c>
      <c r="G30" s="21"/>
      <c r="H30" s="21">
        <f>ROUND(VLOOKUP($B30,'[2]NUOS (t)'!$B$10:$O$66,6,FALSE),4)</f>
        <v>9.9761000000000006</v>
      </c>
      <c r="I30" s="21">
        <f>ROUND(VLOOKUP($B30,'[2]NUOS (t)'!$B$10:$O$66,7,FALSE),4)</f>
        <v>9.0399999999999991</v>
      </c>
      <c r="J30" s="21">
        <f>ROUND(VLOOKUP($B30,'[2]NUOS (t)'!$B$10:$O$66,8,FALSE),4)</f>
        <v>4.7664</v>
      </c>
      <c r="K30" s="21">
        <f>ROUND(VLOOKUP($B30,'[2]NUOS (t)'!$B$10:$O$66,10,FALSE),4)</f>
        <v>3.9474999999999998</v>
      </c>
      <c r="L30" s="21">
        <f>ROUND(VLOOKUP($B30,'[2]NUOS (t)'!$B$10:$O$66,11,FALSE),4)</f>
        <v>3.5716000000000001</v>
      </c>
      <c r="M30" s="21">
        <f>ROUND(VLOOKUP($B30,'[2]NUOS (t)'!$B$10:$O$66,12,FALSE),4)</f>
        <v>0.85929999999999995</v>
      </c>
      <c r="N30" s="22"/>
      <c r="O30" s="22"/>
      <c r="P30" s="22"/>
    </row>
    <row r="31" spans="1:17" ht="18" customHeight="1" x14ac:dyDescent="0.2">
      <c r="B31" s="19" t="s">
        <v>32</v>
      </c>
      <c r="C31" s="20"/>
      <c r="D31" s="123" t="s">
        <v>47</v>
      </c>
      <c r="E31" s="124"/>
      <c r="F31" s="21">
        <f>ROUND(VLOOKUP($B31,'[2]NUOS (t)'!$B$10:$O$66,4,FALSE)/365,4)</f>
        <v>14.7242</v>
      </c>
      <c r="G31" s="21"/>
      <c r="H31" s="21">
        <f>ROUND(VLOOKUP($B31,'[2]NUOS (t)'!$B$10:$O$66,6,FALSE),4)</f>
        <v>3.9485000000000001</v>
      </c>
      <c r="I31" s="21">
        <f>ROUND(VLOOKUP($B31,'[2]NUOS (t)'!$B$10:$O$66,7,FALSE),4)</f>
        <v>3.5907</v>
      </c>
      <c r="J31" s="21">
        <f>ROUND(VLOOKUP($B31,'[2]NUOS (t)'!$B$10:$O$66,8,FALSE),4)</f>
        <v>2.3418000000000001</v>
      </c>
      <c r="K31" s="21">
        <f>ROUND(VLOOKUP($B31,'[2]NUOS (t)'!$B$10:$O$66,10,FALSE),4)</f>
        <v>9.8688000000000002</v>
      </c>
      <c r="L31" s="21">
        <f>ROUND(VLOOKUP($B31,'[2]NUOS (t)'!$B$10:$O$66,11,FALSE),4)</f>
        <v>8.9289000000000005</v>
      </c>
      <c r="M31" s="21">
        <f>ROUND(VLOOKUP($B31,'[2]NUOS (t)'!$B$10:$O$66,12,FALSE),4)</f>
        <v>2.1482000000000001</v>
      </c>
      <c r="N31" s="22"/>
      <c r="O31" s="97"/>
      <c r="P31" s="97"/>
      <c r="Q31" s="97"/>
    </row>
    <row r="32" spans="1:17" ht="18" customHeight="1" x14ac:dyDescent="0.2">
      <c r="B32" s="19" t="s">
        <v>33</v>
      </c>
      <c r="C32" s="20"/>
      <c r="D32" s="123" t="s">
        <v>58</v>
      </c>
      <c r="E32" s="124"/>
      <c r="F32" s="21">
        <f>ROUND(VLOOKUP($B32,'[2]NUOS (t)'!$B$10:$O$66,4,FALSE)/365,4)</f>
        <v>14.7242</v>
      </c>
      <c r="G32" s="21"/>
      <c r="H32" s="21">
        <f>ROUND(VLOOKUP($B32,'[2]NUOS (t)'!$B$10:$O$66,6,FALSE),4)</f>
        <v>3.6116999999999999</v>
      </c>
      <c r="I32" s="21">
        <f>ROUND(VLOOKUP($B32,'[2]NUOS (t)'!$B$10:$O$66,7,FALSE),4)</f>
        <v>3.286</v>
      </c>
      <c r="J32" s="21">
        <f>ROUND(VLOOKUP($B32,'[2]NUOS (t)'!$B$10:$O$66,8,FALSE),4)</f>
        <v>2.2206999999999999</v>
      </c>
      <c r="K32" s="21">
        <f>ROUND(VLOOKUP($B32,'[2]NUOS (t)'!$B$10:$O$66,10,FALSE),4)</f>
        <v>10.5982</v>
      </c>
      <c r="L32" s="21">
        <f>ROUND(VLOOKUP($B32,'[2]NUOS (t)'!$B$10:$O$66,11,FALSE),4)</f>
        <v>9.5888000000000009</v>
      </c>
      <c r="M32" s="21">
        <f>ROUND(VLOOKUP($B32,'[2]NUOS (t)'!$B$10:$O$66,12,FALSE),4)</f>
        <v>2.4506999999999999</v>
      </c>
      <c r="N32" s="22"/>
      <c r="O32" s="22"/>
      <c r="P32" s="22"/>
    </row>
    <row r="33" spans="1:16" ht="18" customHeight="1" x14ac:dyDescent="0.2">
      <c r="B33" s="19" t="s">
        <v>61</v>
      </c>
      <c r="C33" s="20"/>
      <c r="D33" s="123" t="s">
        <v>74</v>
      </c>
      <c r="E33" s="124"/>
      <c r="F33" s="21">
        <f>ROUND(VLOOKUP($B33,'[2]NUOS (t)'!$B$10:$O$66,4,FALSE)/365,4)</f>
        <v>14.7242</v>
      </c>
      <c r="G33" s="21"/>
      <c r="H33" s="21">
        <f>ROUND(VLOOKUP($B33,'[2]NUOS (t)'!$B$10:$O$66,6,FALSE),4)</f>
        <v>12.303900000000001</v>
      </c>
      <c r="I33" s="21">
        <f>ROUND(VLOOKUP($B33,'[2]NUOS (t)'!$B$10:$O$66,7,FALSE),4)</f>
        <v>11.1503</v>
      </c>
      <c r="J33" s="21">
        <f>ROUND(VLOOKUP($B33,'[2]NUOS (t)'!$B$10:$O$66,8,FALSE),4)</f>
        <v>4.6460999999999997</v>
      </c>
      <c r="K33" s="125">
        <f>ROUND(VLOOKUP($B33,'[2]NUOS (t)'!$B$10:$O$66,10,FALSE),4)</f>
        <v>11.655099999999999</v>
      </c>
      <c r="L33" s="126"/>
      <c r="M33" s="21"/>
      <c r="N33" s="22"/>
      <c r="O33" s="22"/>
      <c r="P33" s="22"/>
    </row>
    <row r="34" spans="1:16" ht="18" customHeight="1" x14ac:dyDescent="0.2">
      <c r="B34" s="19" t="s">
        <v>34</v>
      </c>
      <c r="C34" s="20"/>
      <c r="D34" s="123" t="s">
        <v>41</v>
      </c>
      <c r="E34" s="124"/>
      <c r="F34" s="21">
        <f>ROUND(VLOOKUP($B34,'[2]NUOS (t)'!$B$10:$O$66,4,FALSE)/365,4)</f>
        <v>18.226199999999999</v>
      </c>
      <c r="G34" s="21"/>
      <c r="H34" s="21">
        <f>ROUND(VLOOKUP($B34,'[2]NUOS (t)'!$B$10:$O$66,6,FALSE),4)</f>
        <v>3.0266999999999999</v>
      </c>
      <c r="I34" s="21">
        <f>ROUND(VLOOKUP($B34,'[2]NUOS (t)'!$B$10:$O$66,7,FALSE),4)</f>
        <v>2.7711999999999999</v>
      </c>
      <c r="J34" s="21">
        <f>ROUND(VLOOKUP($B34,'[2]NUOS (t)'!$B$10:$O$66,8,FALSE),4)</f>
        <v>2.2597</v>
      </c>
      <c r="K34" s="21">
        <f>ROUND(VLOOKUP($B34,'[2]NUOS (t)'!$B$10:$O$66,10,FALSE),4)</f>
        <v>8.6575000000000006</v>
      </c>
      <c r="L34" s="21">
        <f>ROUND(VLOOKUP($B34,'[2]NUOS (t)'!$B$10:$O$66,11,FALSE),4)</f>
        <v>7.8330000000000002</v>
      </c>
      <c r="M34" s="21">
        <f>ROUND(VLOOKUP($B34,'[2]NUOS (t)'!$B$10:$O$66,12,FALSE),4)</f>
        <v>2.3439999999999999</v>
      </c>
      <c r="N34" s="22"/>
      <c r="O34" s="22"/>
      <c r="P34" s="22"/>
    </row>
    <row r="35" spans="1:16" ht="18" customHeight="1" x14ac:dyDescent="0.2">
      <c r="B35" s="19" t="s">
        <v>35</v>
      </c>
      <c r="C35" s="20"/>
      <c r="D35" s="138" t="s">
        <v>59</v>
      </c>
      <c r="E35" s="139"/>
      <c r="F35" s="21">
        <f>ROUND(VLOOKUP($B35,'[2]NUOS (t)'!$B$10:$O$66,4,FALSE)/365,4)</f>
        <v>17.715399999999999</v>
      </c>
      <c r="G35" s="21"/>
      <c r="H35" s="21">
        <f>ROUND(VLOOKUP($B35,'[2]NUOS (t)'!$B$10:$O$66,6,FALSE),4)</f>
        <v>3.0110000000000001</v>
      </c>
      <c r="I35" s="21">
        <f>ROUND(VLOOKUP($B35,'[2]NUOS (t)'!$B$10:$O$66,7,FALSE),4)</f>
        <v>2.7568999999999999</v>
      </c>
      <c r="J35" s="21">
        <f>ROUND(VLOOKUP($B35,'[2]NUOS (t)'!$B$10:$O$66,8,FALSE),4)</f>
        <v>2.2524000000000002</v>
      </c>
      <c r="K35" s="21">
        <f>ROUND(VLOOKUP($B35,'[2]NUOS (t)'!$B$10:$O$66,10,FALSE),4)</f>
        <v>9.1675000000000004</v>
      </c>
      <c r="L35" s="21">
        <f>ROUND(VLOOKUP($B35,'[2]NUOS (t)'!$B$10:$O$66,11,FALSE),4)</f>
        <v>8.2943999999999996</v>
      </c>
      <c r="M35" s="21">
        <f>ROUND(VLOOKUP($B35,'[2]NUOS (t)'!$B$10:$O$66,12,FALSE),4)</f>
        <v>2.4820000000000002</v>
      </c>
      <c r="N35" s="22"/>
      <c r="O35" s="22"/>
      <c r="P35" s="22"/>
    </row>
    <row r="36" spans="1:16" ht="18" customHeight="1" x14ac:dyDescent="0.2">
      <c r="B36" s="19" t="s">
        <v>23</v>
      </c>
      <c r="C36" s="20"/>
      <c r="D36" s="138" t="s">
        <v>38</v>
      </c>
      <c r="E36" s="139"/>
      <c r="F36" s="21">
        <f>ROUND(VLOOKUP($B36,'[2]NUOS (t)'!$B$10:$O$66,4,FALSE)/365,4)</f>
        <v>18.092199999999998</v>
      </c>
      <c r="G36" s="21"/>
      <c r="H36" s="21">
        <f>ROUND(VLOOKUP($B36,'[2]NUOS (t)'!$B$10:$O$66,6,FALSE),4)</f>
        <v>3.774</v>
      </c>
      <c r="I36" s="21">
        <f>ROUND(VLOOKUP($B36,'[2]NUOS (t)'!$B$10:$O$66,7,FALSE),4)</f>
        <v>2.2770000000000001</v>
      </c>
      <c r="J36" s="21">
        <f>ROUND(VLOOKUP($B36,'[2]NUOS (t)'!$B$10:$O$66,8,FALSE),4)</f>
        <v>1.8934</v>
      </c>
      <c r="K36" s="21">
        <f>ROUND(VLOOKUP($B36,'[2]NUOS (t)'!$B$10:$O$66,10,FALSE),4)</f>
        <v>3.3409</v>
      </c>
      <c r="L36" s="21">
        <f>ROUND(VLOOKUP($B36,'[2]NUOS (t)'!$B$10:$O$66,11,FALSE),4)</f>
        <v>2.3816999999999999</v>
      </c>
      <c r="M36" s="21">
        <f>ROUND(VLOOKUP($B36,'[2]NUOS (t)'!$B$10:$O$66,12,FALSE),4)</f>
        <v>0.94940000000000002</v>
      </c>
    </row>
    <row r="37" spans="1:16" s="65" customFormat="1" ht="18" x14ac:dyDescent="0.25">
      <c r="A37" s="59"/>
      <c r="B37" s="71" t="s">
        <v>45</v>
      </c>
      <c r="C37" s="71"/>
      <c r="D37" s="72"/>
      <c r="E37" s="73"/>
      <c r="F37" s="75"/>
      <c r="G37" s="75"/>
      <c r="H37" s="75"/>
      <c r="I37" s="75"/>
      <c r="J37" s="75"/>
      <c r="K37" s="75"/>
      <c r="L37" s="75"/>
      <c r="M37" s="75"/>
    </row>
    <row r="38" spans="1:16" ht="18" customHeight="1" x14ac:dyDescent="0.2">
      <c r="B38" s="19" t="s">
        <v>36</v>
      </c>
      <c r="C38" s="20" t="s">
        <v>44</v>
      </c>
      <c r="D38" s="123" t="s">
        <v>109</v>
      </c>
      <c r="E38" s="124"/>
      <c r="F38" s="21">
        <f>ROUND(VLOOKUP($B38,'[2]NUOS (t)'!$B$10:$O$66,4,FALSE)/365,4)</f>
        <v>0.70550000000000002</v>
      </c>
      <c r="G38" s="21">
        <f>ROUND(VLOOKUP($B38,'[2]NUOS (t)'!$B$10:$O$66,5,FALSE),4)</f>
        <v>15.3789</v>
      </c>
      <c r="H38" s="21"/>
      <c r="I38" s="21"/>
      <c r="J38" s="21"/>
      <c r="K38" s="21"/>
      <c r="L38" s="21"/>
      <c r="M38" s="21"/>
    </row>
    <row r="39" spans="1:16" ht="18" customHeight="1" x14ac:dyDescent="0.2">
      <c r="B39" s="19" t="s">
        <v>37</v>
      </c>
      <c r="C39" s="20"/>
      <c r="D39" s="123" t="s">
        <v>110</v>
      </c>
      <c r="E39" s="124"/>
      <c r="F39" s="21">
        <f>ROUND(VLOOKUP($B39,'[2]NUOS (t)'!$B$10:$O$66,4,FALSE)/365,4)</f>
        <v>0</v>
      </c>
      <c r="G39" s="21"/>
      <c r="H39" s="21">
        <f>ROUND(VLOOKUP($B39,'[2]NUOS (t)'!$B$10:$O$66,6,FALSE),4)</f>
        <v>15.744</v>
      </c>
      <c r="I39" s="21">
        <f>ROUND(VLOOKUP($B39,'[2]NUOS (t)'!$B$10:$O$66,7,FALSE),4)</f>
        <v>14.254099999999999</v>
      </c>
      <c r="J39" s="21">
        <f>ROUND(VLOOKUP($B39,'[2]NUOS (t)'!$B$10:$O$66,8,FALSE),4)</f>
        <v>6.6550000000000002</v>
      </c>
      <c r="K39" s="21"/>
      <c r="L39" s="21"/>
      <c r="M39" s="21"/>
    </row>
    <row r="40" spans="1:16" s="65" customFormat="1" ht="18" x14ac:dyDescent="0.25">
      <c r="A40" s="59"/>
      <c r="B40" s="71" t="s">
        <v>69</v>
      </c>
      <c r="C40" s="71"/>
      <c r="D40" s="72"/>
      <c r="E40" s="73"/>
      <c r="F40" s="75"/>
      <c r="G40" s="75"/>
      <c r="H40" s="75"/>
      <c r="I40" s="75"/>
      <c r="J40" s="75"/>
      <c r="K40" s="75"/>
      <c r="L40" s="75"/>
      <c r="M40" s="75"/>
    </row>
    <row r="41" spans="1:16" ht="28.5" x14ac:dyDescent="0.2">
      <c r="B41" s="20" t="s">
        <v>50</v>
      </c>
      <c r="C41" s="20"/>
      <c r="D41" s="123" t="s">
        <v>51</v>
      </c>
      <c r="E41" s="124"/>
      <c r="F41" s="27" t="s">
        <v>52</v>
      </c>
      <c r="G41" s="27" t="s">
        <v>52</v>
      </c>
      <c r="H41" s="27" t="s">
        <v>52</v>
      </c>
      <c r="I41" s="27" t="s">
        <v>52</v>
      </c>
      <c r="J41" s="27" t="s">
        <v>52</v>
      </c>
      <c r="K41" s="27" t="s">
        <v>52</v>
      </c>
      <c r="L41" s="27" t="s">
        <v>52</v>
      </c>
      <c r="M41" s="27" t="s">
        <v>52</v>
      </c>
    </row>
    <row r="42" spans="1:16" x14ac:dyDescent="0.2">
      <c r="B42" s="34"/>
      <c r="C42" s="34"/>
      <c r="D42" s="35"/>
      <c r="E42" s="35"/>
      <c r="F42" s="36"/>
      <c r="G42" s="36"/>
      <c r="H42" s="36"/>
      <c r="I42" s="36"/>
      <c r="J42" s="36"/>
      <c r="K42" s="36"/>
      <c r="L42" s="36"/>
      <c r="M42" s="36"/>
      <c r="N42" s="36"/>
      <c r="O42" s="36"/>
      <c r="P42" s="36"/>
    </row>
    <row r="43" spans="1:16" ht="33" x14ac:dyDescent="0.45">
      <c r="A43" s="1"/>
      <c r="B43" s="2" t="s">
        <v>201</v>
      </c>
      <c r="C43" s="3"/>
      <c r="D43" s="3"/>
      <c r="E43" s="3"/>
      <c r="F43" s="3"/>
      <c r="G43" s="4"/>
      <c r="H43" s="4"/>
      <c r="I43" s="4"/>
      <c r="J43" s="4"/>
      <c r="K43" s="5"/>
      <c r="L43" s="5"/>
      <c r="M43" s="5"/>
      <c r="N43" s="6"/>
      <c r="O43" s="6"/>
      <c r="P43" s="7"/>
    </row>
    <row r="44" spans="1:16" ht="22.5" customHeight="1" x14ac:dyDescent="0.25">
      <c r="A44" s="1"/>
      <c r="B44" s="136" t="str">
        <f>B3</f>
        <v>Effective 1 July 2018</v>
      </c>
      <c r="C44" s="137"/>
      <c r="D44" s="137"/>
      <c r="E44" s="137"/>
      <c r="F44" s="137"/>
      <c r="G44" s="9"/>
      <c r="H44" s="9"/>
      <c r="I44" s="9"/>
      <c r="J44" s="9"/>
      <c r="K44" s="9"/>
      <c r="L44" s="131"/>
      <c r="M44" s="131"/>
      <c r="N44" s="9"/>
      <c r="O44" s="9"/>
      <c r="P44" s="10"/>
    </row>
    <row r="45" spans="1:16" ht="11.25" customHeight="1" x14ac:dyDescent="0.25">
      <c r="A45" s="1"/>
      <c r="B45" s="77"/>
      <c r="C45" s="78"/>
      <c r="D45" s="78"/>
      <c r="E45" s="78"/>
      <c r="F45" s="78"/>
      <c r="G45" s="13"/>
      <c r="H45" s="13"/>
      <c r="I45" s="13"/>
      <c r="J45" s="13"/>
      <c r="K45" s="13"/>
      <c r="L45" s="79"/>
      <c r="M45" s="79"/>
      <c r="N45" s="13"/>
      <c r="O45" s="13"/>
      <c r="P45" s="14"/>
    </row>
    <row r="46" spans="1:16" ht="24" customHeight="1" x14ac:dyDescent="0.25">
      <c r="B46" s="127" t="s">
        <v>108</v>
      </c>
      <c r="C46" s="127" t="s">
        <v>9</v>
      </c>
      <c r="D46" s="37" t="s">
        <v>1</v>
      </c>
      <c r="E46" s="38" t="s">
        <v>2</v>
      </c>
      <c r="F46" s="38" t="s">
        <v>2</v>
      </c>
      <c r="G46" s="38" t="s">
        <v>2</v>
      </c>
      <c r="H46" s="37" t="s">
        <v>3</v>
      </c>
      <c r="I46" s="38" t="s">
        <v>4</v>
      </c>
      <c r="J46" s="38" t="s">
        <v>5</v>
      </c>
      <c r="K46" s="38" t="s">
        <v>6</v>
      </c>
      <c r="L46" s="37" t="s">
        <v>7</v>
      </c>
      <c r="M46" s="132" t="s">
        <v>49</v>
      </c>
      <c r="N46" s="132"/>
      <c r="O46" s="132"/>
      <c r="P46" s="132"/>
    </row>
    <row r="47" spans="1:16" ht="15" x14ac:dyDescent="0.25">
      <c r="B47" s="128"/>
      <c r="C47" s="128"/>
      <c r="D47" s="40" t="s">
        <v>10</v>
      </c>
      <c r="E47" s="40" t="s">
        <v>4</v>
      </c>
      <c r="F47" s="40" t="s">
        <v>5</v>
      </c>
      <c r="G47" s="40" t="s">
        <v>6</v>
      </c>
      <c r="H47" s="40" t="s">
        <v>12</v>
      </c>
      <c r="I47" s="40" t="s">
        <v>3</v>
      </c>
      <c r="J47" s="40" t="s">
        <v>3</v>
      </c>
      <c r="K47" s="40" t="s">
        <v>3</v>
      </c>
      <c r="L47" s="40" t="s">
        <v>12</v>
      </c>
      <c r="M47" s="132"/>
      <c r="N47" s="132"/>
      <c r="O47" s="132"/>
      <c r="P47" s="132"/>
    </row>
    <row r="48" spans="1:16" ht="24" customHeight="1" x14ac:dyDescent="0.2">
      <c r="B48" s="128"/>
      <c r="C48" s="128"/>
      <c r="D48" s="83" t="s">
        <v>13</v>
      </c>
      <c r="E48" s="83" t="s">
        <v>14</v>
      </c>
      <c r="F48" s="83" t="s">
        <v>14</v>
      </c>
      <c r="G48" s="83" t="s">
        <v>14</v>
      </c>
      <c r="H48" s="83" t="s">
        <v>15</v>
      </c>
      <c r="I48" s="83" t="s">
        <v>15</v>
      </c>
      <c r="J48" s="83" t="s">
        <v>15</v>
      </c>
      <c r="K48" s="83" t="s">
        <v>15</v>
      </c>
      <c r="L48" s="83" t="s">
        <v>15</v>
      </c>
      <c r="M48" s="132"/>
      <c r="N48" s="132"/>
      <c r="O48" s="132"/>
      <c r="P48" s="132"/>
    </row>
    <row r="49" spans="1:19" s="65" customFormat="1" ht="18" x14ac:dyDescent="0.25">
      <c r="A49" s="59"/>
      <c r="B49" s="71" t="s">
        <v>46</v>
      </c>
      <c r="C49" s="72"/>
      <c r="D49" s="76"/>
      <c r="E49" s="74"/>
      <c r="F49" s="74"/>
      <c r="G49" s="74"/>
      <c r="H49" s="74"/>
      <c r="I49" s="74"/>
      <c r="J49" s="74"/>
      <c r="K49" s="74"/>
      <c r="L49" s="74"/>
      <c r="M49" s="133"/>
      <c r="N49" s="133"/>
      <c r="O49" s="133"/>
      <c r="P49" s="133"/>
    </row>
    <row r="50" spans="1:19" ht="74.25" customHeight="1" x14ac:dyDescent="0.2">
      <c r="B50" s="81" t="s">
        <v>105</v>
      </c>
      <c r="C50" s="33" t="s">
        <v>48</v>
      </c>
      <c r="D50" s="21">
        <f>ROUND(VLOOKUP("BLND1CO",'[2]NUOS (t)'!$B$10:$O$66,4,FALSE)/365,4)</f>
        <v>18.9847</v>
      </c>
      <c r="E50" s="21">
        <f>ROUND(VLOOKUP("BLND1CO",'[2]NUOS (t)'!$B$10:$O$66,6,FALSE),4)</f>
        <v>5.5625999999999998</v>
      </c>
      <c r="F50" s="21">
        <f>ROUND(VLOOKUP("BLND1CO",'[2]NUOS (t)'!$B$10:$O$66,7,FALSE),4)</f>
        <v>5.0384000000000002</v>
      </c>
      <c r="G50" s="21">
        <f>ROUND(VLOOKUP("BLND1CO",'[2]NUOS (t)'!$B$10:$O$66,8,FALSE),4)</f>
        <v>2.7208999999999999</v>
      </c>
      <c r="H50" s="21">
        <f>ROUND(VLOOKUP("BLND1CO",'[2]NUOS (t)'!$B$10:$O$66,9,FALSE),4)</f>
        <v>15.757300000000001</v>
      </c>
      <c r="I50" s="21"/>
      <c r="J50" s="21"/>
      <c r="K50" s="21"/>
      <c r="L50" s="21"/>
      <c r="M50" s="134" t="s">
        <v>90</v>
      </c>
      <c r="N50" s="134"/>
      <c r="O50" s="134"/>
      <c r="P50" s="134"/>
    </row>
    <row r="51" spans="1:19" ht="30.75" customHeight="1" x14ac:dyDescent="0.2">
      <c r="B51" s="80" t="s">
        <v>20</v>
      </c>
      <c r="C51" s="33" t="s">
        <v>55</v>
      </c>
      <c r="D51" s="21">
        <f>ROUND(VLOOKUP($B51,'[2]NUOS (t)'!$B$10:$O$66,4,FALSE)/365,4)</f>
        <v>14.7242</v>
      </c>
      <c r="E51" s="21">
        <f>ROUND(VLOOKUP($B51,'[2]NUOS (t)'!$B$10:$O$66,6,FALSE),4)</f>
        <v>11.516999999999999</v>
      </c>
      <c r="F51" s="21">
        <f>ROUND(VLOOKUP($B51,'[2]NUOS (t)'!$B$10:$O$66,7,FALSE),4)</f>
        <v>10.4101</v>
      </c>
      <c r="G51" s="21">
        <f>ROUND(VLOOKUP($B51,'[2]NUOS (t)'!$B$10:$O$66,8,FALSE),4)</f>
        <v>4.2332000000000001</v>
      </c>
      <c r="H51" s="21">
        <f>ROUND(VLOOKUP($B51,'[2]NUOS (t)'!$B$10:$O$66,9,FALSE),4)</f>
        <v>10.4658</v>
      </c>
      <c r="I51" s="21"/>
      <c r="J51" s="21"/>
      <c r="K51" s="21"/>
      <c r="L51" s="21">
        <f>ROUND(VLOOKUP($B51,'[2]NUOS (t)'!$B$10:$O$66,13,FALSE),4)</f>
        <v>3.8048000000000002</v>
      </c>
      <c r="M51" s="134" t="s">
        <v>91</v>
      </c>
      <c r="N51" s="134"/>
      <c r="O51" s="134"/>
      <c r="P51" s="134"/>
    </row>
    <row r="52" spans="1:19" ht="31.5" customHeight="1" x14ac:dyDescent="0.2">
      <c r="B52" s="80" t="s">
        <v>21</v>
      </c>
      <c r="C52" s="33" t="s">
        <v>54</v>
      </c>
      <c r="D52" s="21">
        <f>ROUND(VLOOKUP($B52,'[2]NUOS (t)'!$B$10:$O$66,4,FALSE)/365,4)</f>
        <v>3.9617</v>
      </c>
      <c r="E52" s="21">
        <f>ROUND(VLOOKUP($B52,'[2]NUOS (t)'!$B$10:$O$66,6,FALSE),4)</f>
        <v>12.9849</v>
      </c>
      <c r="F52" s="21">
        <f>ROUND(VLOOKUP($B52,'[2]NUOS (t)'!$B$10:$O$66,7,FALSE),4)</f>
        <v>11.738099999999999</v>
      </c>
      <c r="G52" s="21">
        <f>ROUND(VLOOKUP($B52,'[2]NUOS (t)'!$B$10:$O$66,8,FALSE),4)</f>
        <v>5.5654000000000003</v>
      </c>
      <c r="H52" s="21">
        <f>ROUND(VLOOKUP($B52,'[2]NUOS (t)'!$B$10:$O$66,9,FALSE),4)</f>
        <v>10.265000000000001</v>
      </c>
      <c r="I52" s="21"/>
      <c r="J52" s="21"/>
      <c r="K52" s="21"/>
      <c r="L52" s="21">
        <f>ROUND(VLOOKUP($B52,'[2]NUOS (t)'!$B$10:$O$66,13,FALSE),4)</f>
        <v>3.8096000000000001</v>
      </c>
      <c r="M52" s="134" t="s">
        <v>91</v>
      </c>
      <c r="N52" s="134"/>
      <c r="O52" s="134"/>
      <c r="P52" s="134"/>
    </row>
    <row r="53" spans="1:19" ht="60" customHeight="1" x14ac:dyDescent="0.2">
      <c r="B53" s="80" t="s">
        <v>22</v>
      </c>
      <c r="C53" s="33" t="s">
        <v>56</v>
      </c>
      <c r="D53" s="21">
        <f>ROUND(VLOOKUP($B53,'[2]NUOS (t)'!$B$10:$O$66,4,FALSE)/365,4)</f>
        <v>24.360600000000002</v>
      </c>
      <c r="E53" s="21">
        <f>ROUND(VLOOKUP($B53,'[2]NUOS (t)'!$B$10:$O$66,6,FALSE),4)</f>
        <v>6.0331000000000001</v>
      </c>
      <c r="F53" s="21">
        <f>ROUND(VLOOKUP($B53,'[2]NUOS (t)'!$B$10:$O$66,7,FALSE),4)</f>
        <v>6.0331000000000001</v>
      </c>
      <c r="G53" s="21">
        <f>ROUND(VLOOKUP($B53,'[2]NUOS (t)'!$B$10:$O$66,8,FALSE),4)</f>
        <v>2.8212000000000002</v>
      </c>
      <c r="H53" s="21">
        <f>ROUND(VLOOKUP($B53,'[2]NUOS (t)'!$B$10:$O$66,9,FALSE),4)</f>
        <v>11.487</v>
      </c>
      <c r="I53" s="21"/>
      <c r="J53" s="21"/>
      <c r="K53" s="21"/>
      <c r="L53" s="21"/>
      <c r="M53" s="134" t="s">
        <v>92</v>
      </c>
      <c r="N53" s="134"/>
      <c r="O53" s="134"/>
      <c r="P53" s="134"/>
    </row>
    <row r="54" spans="1:19" ht="30.75" customHeight="1" x14ac:dyDescent="0.2">
      <c r="B54" s="81" t="s">
        <v>106</v>
      </c>
      <c r="C54" s="33" t="s">
        <v>57</v>
      </c>
      <c r="D54" s="21">
        <f>ROUND(VLOOKUP("BHND1SO",'[2]NUOS (t)'!$B$10:$O$66,4,FALSE)/365,4)</f>
        <v>18.158200000000001</v>
      </c>
      <c r="E54" s="21">
        <f>ROUND(VLOOKUP("BHND1SO",'[2]NUOS (t)'!$B$10:$O$66,6,FALSE),4)</f>
        <v>5.4774000000000003</v>
      </c>
      <c r="F54" s="21">
        <f>ROUND(VLOOKUP("BHND1SO",'[2]NUOS (t)'!$B$10:$O$66,7,FALSE),4)</f>
        <v>5.4774000000000003</v>
      </c>
      <c r="G54" s="21">
        <f>ROUND(VLOOKUP("BHND1SO",'[2]NUOS (t)'!$B$10:$O$66,8,FALSE),4)</f>
        <v>4.0633999999999997</v>
      </c>
      <c r="H54" s="21">
        <f>ROUND(VLOOKUP("BHND1SO",'[2]NUOS (t)'!$B$10:$O$66,9,FALSE),4)</f>
        <v>8.2955000000000005</v>
      </c>
      <c r="I54" s="21"/>
      <c r="J54" s="21"/>
      <c r="K54" s="21"/>
      <c r="L54" s="21">
        <f>ROUND(VLOOKUP("BHND1SO",'[2]NUOS (t)'!$B$10:$O$66,13,FALSE),4)</f>
        <v>3.0550999999999999</v>
      </c>
      <c r="M54" s="134" t="s">
        <v>93</v>
      </c>
      <c r="N54" s="134"/>
      <c r="O54" s="134"/>
      <c r="P54" s="134"/>
    </row>
    <row r="55" spans="1:19" ht="33" hidden="1" x14ac:dyDescent="0.45">
      <c r="A55" s="1"/>
      <c r="B55" s="2" t="s">
        <v>118</v>
      </c>
      <c r="C55" s="3"/>
      <c r="D55" s="3"/>
      <c r="E55" s="3"/>
      <c r="F55" s="3"/>
      <c r="G55" s="4"/>
      <c r="H55" s="4"/>
      <c r="I55" s="4"/>
      <c r="J55" s="4"/>
      <c r="K55" s="5"/>
      <c r="L55" s="5"/>
      <c r="M55" s="5"/>
      <c r="N55" s="6"/>
      <c r="O55" s="6"/>
      <c r="P55" s="7"/>
    </row>
    <row r="56" spans="1:19" ht="31.5" hidden="1" customHeight="1" x14ac:dyDescent="0.25">
      <c r="A56" s="1"/>
      <c r="B56" s="136" t="s">
        <v>115</v>
      </c>
      <c r="C56" s="137"/>
      <c r="D56" s="137"/>
      <c r="E56" s="137"/>
      <c r="F56" s="137"/>
      <c r="G56" s="9"/>
      <c r="H56" s="9"/>
      <c r="I56" s="9"/>
      <c r="J56" s="9"/>
      <c r="K56" s="9"/>
      <c r="L56" s="131"/>
      <c r="M56" s="131"/>
      <c r="N56" s="9"/>
      <c r="O56" s="9"/>
      <c r="P56" s="10"/>
    </row>
    <row r="57" spans="1:19" ht="14.25" hidden="1" customHeight="1" x14ac:dyDescent="0.25">
      <c r="A57" s="1"/>
      <c r="B57" s="77"/>
      <c r="C57" s="78"/>
      <c r="D57" s="78"/>
      <c r="E57" s="78"/>
      <c r="F57" s="78"/>
      <c r="G57" s="13"/>
      <c r="H57" s="13"/>
      <c r="I57" s="13"/>
      <c r="J57" s="13"/>
      <c r="K57" s="13"/>
      <c r="L57" s="79"/>
      <c r="M57" s="79"/>
      <c r="N57" s="13"/>
      <c r="O57" s="13"/>
      <c r="P57" s="14"/>
    </row>
    <row r="58" spans="1:19" ht="18" customHeight="1" x14ac:dyDescent="0.25">
      <c r="B58" s="127" t="s">
        <v>108</v>
      </c>
      <c r="C58" s="127" t="s">
        <v>9</v>
      </c>
      <c r="D58" s="37" t="s">
        <v>1</v>
      </c>
      <c r="E58" s="37" t="s">
        <v>2</v>
      </c>
      <c r="F58" s="132" t="s">
        <v>49</v>
      </c>
      <c r="G58" s="132"/>
      <c r="H58" s="132"/>
      <c r="I58" s="132"/>
      <c r="J58" s="132"/>
      <c r="K58" s="132"/>
      <c r="L58" s="132"/>
      <c r="M58" s="132"/>
      <c r="N58" s="132"/>
      <c r="O58" s="132"/>
      <c r="P58" s="132"/>
    </row>
    <row r="59" spans="1:19" ht="15" x14ac:dyDescent="0.25">
      <c r="B59" s="128"/>
      <c r="C59" s="128"/>
      <c r="D59" s="40" t="s">
        <v>10</v>
      </c>
      <c r="E59" s="40" t="s">
        <v>11</v>
      </c>
      <c r="F59" s="132"/>
      <c r="G59" s="132"/>
      <c r="H59" s="132"/>
      <c r="I59" s="132"/>
      <c r="J59" s="132"/>
      <c r="K59" s="132"/>
      <c r="L59" s="132"/>
      <c r="M59" s="132"/>
      <c r="N59" s="132"/>
      <c r="O59" s="132"/>
      <c r="P59" s="132"/>
    </row>
    <row r="60" spans="1:19" ht="12" customHeight="1" x14ac:dyDescent="0.25">
      <c r="B60" s="128"/>
      <c r="C60" s="128"/>
      <c r="D60" s="40" t="s">
        <v>13</v>
      </c>
      <c r="E60" s="40" t="s">
        <v>14</v>
      </c>
      <c r="F60" s="132"/>
      <c r="G60" s="132"/>
      <c r="H60" s="132"/>
      <c r="I60" s="132"/>
      <c r="J60" s="132"/>
      <c r="K60" s="132"/>
      <c r="L60" s="132"/>
      <c r="M60" s="132"/>
      <c r="N60" s="132"/>
      <c r="O60" s="132"/>
      <c r="P60" s="132"/>
    </row>
    <row r="61" spans="1:19" s="43" customFormat="1" ht="7.5" customHeight="1" x14ac:dyDescent="0.25">
      <c r="A61" s="42"/>
      <c r="B61" s="129"/>
      <c r="C61" s="129"/>
      <c r="D61" s="58"/>
      <c r="E61" s="58"/>
      <c r="F61" s="132"/>
      <c r="G61" s="132"/>
      <c r="H61" s="132"/>
      <c r="I61" s="132"/>
      <c r="J61" s="132"/>
      <c r="K61" s="132"/>
      <c r="L61" s="132"/>
      <c r="M61" s="132"/>
      <c r="N61" s="132"/>
      <c r="O61" s="132"/>
      <c r="P61" s="132"/>
    </row>
    <row r="62" spans="1:19" s="65" customFormat="1" ht="18" x14ac:dyDescent="0.25">
      <c r="A62" s="59"/>
      <c r="B62" s="71" t="s">
        <v>46</v>
      </c>
      <c r="C62" s="72"/>
      <c r="D62" s="76"/>
      <c r="E62" s="74"/>
      <c r="F62" s="133"/>
      <c r="G62" s="133"/>
      <c r="H62" s="133"/>
      <c r="I62" s="133"/>
      <c r="J62" s="133"/>
      <c r="K62" s="133"/>
      <c r="L62" s="133"/>
      <c r="M62" s="133"/>
      <c r="N62" s="133"/>
      <c r="O62" s="133"/>
      <c r="P62" s="133"/>
    </row>
    <row r="63" spans="1:19" ht="30.75" customHeight="1" x14ac:dyDescent="0.2">
      <c r="B63" s="80" t="s">
        <v>17</v>
      </c>
      <c r="C63" s="33" t="s">
        <v>67</v>
      </c>
      <c r="D63" s="27"/>
      <c r="E63" s="94">
        <v>0</v>
      </c>
      <c r="F63" s="134" t="s">
        <v>70</v>
      </c>
      <c r="G63" s="134"/>
      <c r="H63" s="134"/>
      <c r="I63" s="134"/>
      <c r="J63" s="134"/>
      <c r="K63" s="134"/>
      <c r="L63" s="134"/>
      <c r="M63" s="134"/>
      <c r="N63" s="134"/>
      <c r="O63" s="134"/>
      <c r="P63" s="134"/>
      <c r="Q63" s="22"/>
      <c r="R63" s="22"/>
      <c r="S63" s="22"/>
    </row>
    <row r="64" spans="1:19" ht="30.75" customHeight="1" x14ac:dyDescent="0.2">
      <c r="B64" s="80" t="s">
        <v>63</v>
      </c>
      <c r="C64" s="33" t="s">
        <v>68</v>
      </c>
      <c r="D64" s="27"/>
      <c r="E64" s="94">
        <v>0</v>
      </c>
      <c r="F64" s="134" t="s">
        <v>71</v>
      </c>
      <c r="G64" s="134"/>
      <c r="H64" s="134"/>
      <c r="I64" s="134"/>
      <c r="J64" s="134"/>
      <c r="K64" s="134"/>
      <c r="L64" s="134"/>
      <c r="M64" s="134"/>
      <c r="N64" s="134"/>
      <c r="O64" s="134"/>
      <c r="P64" s="134"/>
      <c r="Q64" s="22"/>
      <c r="R64" s="22"/>
      <c r="S64" s="22"/>
    </row>
    <row r="65" spans="2:19" ht="30.75" customHeight="1" x14ac:dyDescent="0.2">
      <c r="B65" s="80" t="s">
        <v>60</v>
      </c>
      <c r="C65" s="33" t="s">
        <v>67</v>
      </c>
      <c r="D65" s="27"/>
      <c r="E65" s="94">
        <v>0</v>
      </c>
      <c r="F65" s="134" t="s">
        <v>72</v>
      </c>
      <c r="G65" s="134"/>
      <c r="H65" s="134"/>
      <c r="I65" s="134"/>
      <c r="J65" s="134"/>
      <c r="K65" s="134"/>
      <c r="L65" s="134"/>
      <c r="M65" s="134"/>
      <c r="N65" s="134"/>
      <c r="O65" s="134"/>
      <c r="P65" s="134"/>
      <c r="Q65" s="22"/>
      <c r="R65" s="22"/>
      <c r="S65" s="22"/>
    </row>
    <row r="66" spans="2:19" ht="30.75" customHeight="1" x14ac:dyDescent="0.2">
      <c r="B66" s="80" t="s">
        <v>62</v>
      </c>
      <c r="C66" s="33" t="s">
        <v>68</v>
      </c>
      <c r="D66" s="27"/>
      <c r="E66" s="94">
        <v>0</v>
      </c>
      <c r="F66" s="134" t="s">
        <v>73</v>
      </c>
      <c r="G66" s="134"/>
      <c r="H66" s="134"/>
      <c r="I66" s="134"/>
      <c r="J66" s="134"/>
      <c r="K66" s="134"/>
      <c r="L66" s="134"/>
      <c r="M66" s="134"/>
      <c r="N66" s="134"/>
      <c r="O66" s="134"/>
      <c r="P66" s="134"/>
      <c r="Q66" s="22"/>
      <c r="R66" s="22"/>
      <c r="S66" s="22"/>
    </row>
    <row r="67" spans="2:19" ht="30.75" customHeight="1" x14ac:dyDescent="0.2">
      <c r="B67" s="82" t="s">
        <v>66</v>
      </c>
      <c r="C67" s="33" t="s">
        <v>67</v>
      </c>
      <c r="D67" s="20"/>
      <c r="E67" s="94">
        <v>0</v>
      </c>
      <c r="F67" s="134" t="s">
        <v>78</v>
      </c>
      <c r="G67" s="134"/>
      <c r="H67" s="134"/>
      <c r="I67" s="134"/>
      <c r="J67" s="134"/>
      <c r="K67" s="134"/>
      <c r="L67" s="134"/>
      <c r="M67" s="134"/>
      <c r="N67" s="134"/>
      <c r="O67" s="134"/>
      <c r="P67" s="134"/>
      <c r="Q67" s="22"/>
      <c r="R67" s="22"/>
      <c r="S67" s="22"/>
    </row>
    <row r="68" spans="2:19" ht="30.75" customHeight="1" x14ac:dyDescent="0.2">
      <c r="B68" s="81" t="s">
        <v>75</v>
      </c>
      <c r="C68" s="33" t="s">
        <v>68</v>
      </c>
      <c r="D68" s="20"/>
      <c r="E68" s="94">
        <v>0</v>
      </c>
      <c r="F68" s="134" t="s">
        <v>79</v>
      </c>
      <c r="G68" s="134"/>
      <c r="H68" s="134"/>
      <c r="I68" s="134"/>
      <c r="J68" s="134"/>
      <c r="K68" s="134"/>
      <c r="L68" s="134"/>
      <c r="M68" s="134"/>
      <c r="N68" s="134"/>
      <c r="O68" s="134"/>
      <c r="P68" s="134"/>
      <c r="Q68" s="22"/>
      <c r="R68" s="22"/>
      <c r="S68" s="22"/>
    </row>
    <row r="69" spans="2:19" ht="30.75" customHeight="1" x14ac:dyDescent="0.2">
      <c r="B69" s="80" t="s">
        <v>64</v>
      </c>
      <c r="C69" s="33" t="s">
        <v>67</v>
      </c>
      <c r="D69" s="20"/>
      <c r="E69" s="94">
        <v>0</v>
      </c>
      <c r="F69" s="134" t="s">
        <v>76</v>
      </c>
      <c r="G69" s="134"/>
      <c r="H69" s="134"/>
      <c r="I69" s="134"/>
      <c r="J69" s="134"/>
      <c r="K69" s="134"/>
      <c r="L69" s="134"/>
      <c r="M69" s="134"/>
      <c r="N69" s="134"/>
      <c r="O69" s="134"/>
      <c r="P69" s="134"/>
      <c r="Q69" s="22"/>
      <c r="R69" s="22"/>
      <c r="S69" s="22"/>
    </row>
    <row r="70" spans="2:19" ht="30.75" customHeight="1" x14ac:dyDescent="0.2">
      <c r="B70" s="80" t="s">
        <v>65</v>
      </c>
      <c r="C70" s="33" t="s">
        <v>68</v>
      </c>
      <c r="D70" s="20"/>
      <c r="E70" s="94">
        <v>0</v>
      </c>
      <c r="F70" s="134" t="s">
        <v>77</v>
      </c>
      <c r="G70" s="134"/>
      <c r="H70" s="134"/>
      <c r="I70" s="134"/>
      <c r="J70" s="134"/>
      <c r="K70" s="134"/>
      <c r="L70" s="134"/>
      <c r="M70" s="134"/>
      <c r="N70" s="134"/>
      <c r="O70" s="134"/>
      <c r="P70" s="134"/>
      <c r="Q70" s="22"/>
      <c r="R70" s="22"/>
      <c r="S70" s="22"/>
    </row>
    <row r="71" spans="2:19" ht="28.5" customHeight="1" x14ac:dyDescent="0.2">
      <c r="B71" s="80" t="s">
        <v>94</v>
      </c>
      <c r="C71" s="33" t="s">
        <v>104</v>
      </c>
      <c r="D71" s="20"/>
      <c r="E71" s="94">
        <v>0</v>
      </c>
      <c r="F71" s="134" t="s">
        <v>117</v>
      </c>
      <c r="G71" s="134"/>
      <c r="H71" s="134"/>
      <c r="I71" s="134"/>
      <c r="J71" s="134"/>
      <c r="K71" s="134"/>
      <c r="L71" s="134"/>
      <c r="M71" s="134"/>
      <c r="N71" s="134"/>
      <c r="O71" s="134"/>
      <c r="P71" s="134"/>
      <c r="Q71" s="22"/>
      <c r="R71" s="22"/>
      <c r="S71" s="22"/>
    </row>
    <row r="72" spans="2:19" s="32" customFormat="1" ht="28.5" customHeight="1" x14ac:dyDescent="0.2">
      <c r="B72" s="80" t="s">
        <v>95</v>
      </c>
      <c r="C72" s="33" t="s">
        <v>97</v>
      </c>
      <c r="D72" s="20"/>
      <c r="E72" s="93">
        <v>-44</v>
      </c>
      <c r="F72" s="134" t="s">
        <v>101</v>
      </c>
      <c r="G72" s="134"/>
      <c r="H72" s="134"/>
      <c r="I72" s="134"/>
      <c r="J72" s="134"/>
      <c r="K72" s="134"/>
      <c r="L72" s="134"/>
      <c r="M72" s="134"/>
      <c r="N72" s="134"/>
      <c r="O72" s="134"/>
      <c r="P72" s="134"/>
      <c r="Q72" s="22"/>
      <c r="R72" s="22"/>
      <c r="S72" s="22"/>
    </row>
    <row r="73" spans="2:19" s="32" customFormat="1" ht="28.5" customHeight="1" x14ac:dyDescent="0.2">
      <c r="B73" s="80" t="s">
        <v>96</v>
      </c>
      <c r="C73" s="33" t="s">
        <v>97</v>
      </c>
      <c r="D73" s="20"/>
      <c r="E73" s="93">
        <v>-40</v>
      </c>
      <c r="F73" s="134" t="s">
        <v>102</v>
      </c>
      <c r="G73" s="134"/>
      <c r="H73" s="134"/>
      <c r="I73" s="134"/>
      <c r="J73" s="134"/>
      <c r="K73" s="134"/>
      <c r="L73" s="134"/>
      <c r="M73" s="134"/>
      <c r="N73" s="134"/>
      <c r="O73" s="134"/>
      <c r="P73" s="134"/>
      <c r="Q73" s="22"/>
      <c r="R73" s="22"/>
      <c r="S73" s="22"/>
    </row>
    <row r="77" spans="2:19" x14ac:dyDescent="0.2">
      <c r="B77" s="130"/>
      <c r="C77" s="130"/>
      <c r="D77" s="130"/>
      <c r="E77" s="130"/>
      <c r="F77" s="130"/>
      <c r="G77" s="130"/>
      <c r="H77" s="130"/>
      <c r="I77" s="130"/>
      <c r="J77" s="130"/>
      <c r="K77" s="130"/>
      <c r="L77" s="130"/>
      <c r="M77" s="130"/>
      <c r="N77" s="130"/>
      <c r="O77" s="130"/>
      <c r="P77" s="130"/>
    </row>
    <row r="82" spans="1:1" s="46" customFormat="1" x14ac:dyDescent="0.2">
      <c r="A82" s="45"/>
    </row>
  </sheetData>
  <mergeCells count="66">
    <mergeCell ref="K33:L33"/>
    <mergeCell ref="M54:P54"/>
    <mergeCell ref="F58:P61"/>
    <mergeCell ref="F71:P71"/>
    <mergeCell ref="F72:P72"/>
    <mergeCell ref="F73:P73"/>
    <mergeCell ref="F62:P62"/>
    <mergeCell ref="F63:P63"/>
    <mergeCell ref="F64:P64"/>
    <mergeCell ref="F65:P65"/>
    <mergeCell ref="F66:P66"/>
    <mergeCell ref="F67:P67"/>
    <mergeCell ref="F68:P68"/>
    <mergeCell ref="F69:P69"/>
    <mergeCell ref="F70:P70"/>
    <mergeCell ref="B3:F3"/>
    <mergeCell ref="H3:I3"/>
    <mergeCell ref="D9:E9"/>
    <mergeCell ref="D10:E10"/>
    <mergeCell ref="D22:E22"/>
    <mergeCell ref="B5:B7"/>
    <mergeCell ref="C5:C7"/>
    <mergeCell ref="D5:E7"/>
    <mergeCell ref="D14:E14"/>
    <mergeCell ref="D15:E15"/>
    <mergeCell ref="D17:E17"/>
    <mergeCell ref="D18:E18"/>
    <mergeCell ref="D20:E20"/>
    <mergeCell ref="D11:E11"/>
    <mergeCell ref="D12:E12"/>
    <mergeCell ref="A17:A18"/>
    <mergeCell ref="D21:E21"/>
    <mergeCell ref="D39:E39"/>
    <mergeCell ref="D41:E41"/>
    <mergeCell ref="B56:F56"/>
    <mergeCell ref="D35:E35"/>
    <mergeCell ref="D36:E36"/>
    <mergeCell ref="D38:E38"/>
    <mergeCell ref="D32:E32"/>
    <mergeCell ref="D19:E19"/>
    <mergeCell ref="B44:F44"/>
    <mergeCell ref="B46:B48"/>
    <mergeCell ref="D23:E23"/>
    <mergeCell ref="D34:E34"/>
    <mergeCell ref="D26:E26"/>
    <mergeCell ref="D29:E29"/>
    <mergeCell ref="C46:C48"/>
    <mergeCell ref="B58:B61"/>
    <mergeCell ref="C58:C61"/>
    <mergeCell ref="D25:E25"/>
    <mergeCell ref="B77:P77"/>
    <mergeCell ref="L56:M56"/>
    <mergeCell ref="L44:M44"/>
    <mergeCell ref="M46:P48"/>
    <mergeCell ref="M49:P49"/>
    <mergeCell ref="M50:P50"/>
    <mergeCell ref="M51:P51"/>
    <mergeCell ref="D31:E31"/>
    <mergeCell ref="D33:E33"/>
    <mergeCell ref="M52:P52"/>
    <mergeCell ref="M53:P53"/>
    <mergeCell ref="D30:E30"/>
    <mergeCell ref="D27:E27"/>
    <mergeCell ref="D28:E28"/>
    <mergeCell ref="K12:L12"/>
    <mergeCell ref="K28:L28"/>
  </mergeCells>
  <pageMargins left="0.39370078740157483" right="0.39370078740157483" top="0.39370078740157483" bottom="0.39370078740157483" header="0.51181102362204722" footer="0.51181102362204722"/>
  <pageSetup paperSize="9" scale="59" fitToHeight="0" orientation="landscape" r:id="rId1"/>
  <headerFooter alignWithMargins="0"/>
  <rowBreaks count="1" manualBreakCount="1">
    <brk id="42" min="1" max="15" man="1"/>
  </rowBreaks>
  <ignoredErrors>
    <ignoredError sqref="I54:K54 I50:L50 I51:K51 I53:L53 H23:M23 H22:M22 H24:M24 H13:M13 H16:M16 H14:M14 H15:M15 H37:M37 H38:M38 H17:M21 H40:M40 F17:F21 F37 F16 F13 F24 F22 F23 G17:G21 G24 G13 H9:M9 G10 K10:M10 G16 G37 H25:M25 G26 K26:M26 G29 K29:M29 G31 G32 G33 M33 G34 G35 G36 G39 K39:M39 G23 G22 F40:G40 G30 G28 G11 K11:M11 M12 G27 K27:M27 M28"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2:S64"/>
  <sheetViews>
    <sheetView showGridLines="0" zoomScale="60" zoomScaleNormal="60" workbookViewId="0">
      <pane xSplit="2" ySplit="4" topLeftCell="C47" activePane="bottomRight" state="frozen"/>
      <selection activeCell="S53" sqref="S53"/>
      <selection pane="topRight" activeCell="S53" sqref="S53"/>
      <selection pane="bottomLeft" activeCell="S53" sqref="S53"/>
      <selection pane="bottomRight" activeCell="D51" sqref="D51:M56"/>
    </sheetView>
  </sheetViews>
  <sheetFormatPr defaultRowHeight="14.25" x14ac:dyDescent="0.2"/>
  <cols>
    <col min="1" max="1" width="1.88671875" style="15" customWidth="1"/>
    <col min="2" max="2" width="12.21875" style="8" customWidth="1"/>
    <col min="3" max="3" width="25.33203125" style="8" customWidth="1"/>
    <col min="4" max="4" width="15.33203125" style="8" customWidth="1"/>
    <col min="5" max="5" width="18.77734375" style="8" customWidth="1"/>
    <col min="6" max="13" width="10.5546875" style="8" customWidth="1"/>
    <col min="14" max="16" width="12.5546875" style="8" customWidth="1"/>
    <col min="17" max="17" width="8.77734375" style="8" customWidth="1"/>
    <col min="18" max="16384" width="8.88671875" style="8"/>
  </cols>
  <sheetData>
    <row r="2" spans="1:16" ht="33" x14ac:dyDescent="0.45">
      <c r="A2" s="1"/>
      <c r="B2" s="2" t="s">
        <v>202</v>
      </c>
      <c r="C2" s="3"/>
      <c r="D2" s="3"/>
      <c r="E2" s="3"/>
      <c r="F2" s="3"/>
      <c r="G2" s="4"/>
      <c r="H2" s="5"/>
      <c r="I2" s="5"/>
      <c r="J2" s="5"/>
      <c r="K2" s="4"/>
      <c r="L2" s="6"/>
      <c r="M2" s="7"/>
    </row>
    <row r="3" spans="1:16" ht="15.75" x14ac:dyDescent="0.25">
      <c r="A3" s="1"/>
      <c r="B3" s="136" t="str">
        <f>'Price List_Excl GST'!$B$3:$F$3</f>
        <v>Effective 1 July 2018</v>
      </c>
      <c r="C3" s="137"/>
      <c r="D3" s="137"/>
      <c r="E3" s="137"/>
      <c r="F3" s="137"/>
      <c r="G3" s="9"/>
      <c r="H3" s="9"/>
      <c r="I3" s="131"/>
      <c r="J3" s="131"/>
      <c r="K3" s="9"/>
      <c r="L3" s="9"/>
      <c r="M3" s="10"/>
    </row>
    <row r="4" spans="1:16" ht="15" x14ac:dyDescent="0.25">
      <c r="A4" s="1"/>
      <c r="B4" s="11"/>
      <c r="C4" s="12"/>
      <c r="D4" s="13"/>
      <c r="E4" s="13"/>
      <c r="F4" s="13"/>
      <c r="G4" s="13"/>
      <c r="H4" s="13"/>
      <c r="I4" s="13"/>
      <c r="J4" s="13"/>
      <c r="K4" s="13"/>
      <c r="L4" s="13"/>
      <c r="M4" s="14"/>
    </row>
    <row r="5" spans="1:16" ht="24" customHeight="1" x14ac:dyDescent="0.25">
      <c r="B5" s="128" t="s">
        <v>107</v>
      </c>
      <c r="C5" s="127" t="s">
        <v>24</v>
      </c>
      <c r="D5" s="140" t="s">
        <v>9</v>
      </c>
      <c r="E5" s="141"/>
      <c r="F5" s="57" t="s">
        <v>1</v>
      </c>
      <c r="G5" s="57" t="s">
        <v>2</v>
      </c>
      <c r="H5" s="40" t="s">
        <v>2</v>
      </c>
      <c r="I5" s="40" t="s">
        <v>2</v>
      </c>
      <c r="J5" s="40" t="s">
        <v>2</v>
      </c>
      <c r="K5" s="40" t="s">
        <v>4</v>
      </c>
      <c r="L5" s="40" t="s">
        <v>5</v>
      </c>
      <c r="M5" s="40" t="s">
        <v>6</v>
      </c>
    </row>
    <row r="6" spans="1:16" ht="15" x14ac:dyDescent="0.2">
      <c r="B6" s="128"/>
      <c r="C6" s="128"/>
      <c r="D6" s="140"/>
      <c r="E6" s="141"/>
      <c r="F6" s="83" t="s">
        <v>10</v>
      </c>
      <c r="G6" s="83" t="s">
        <v>177</v>
      </c>
      <c r="H6" s="83" t="s">
        <v>4</v>
      </c>
      <c r="I6" s="83" t="s">
        <v>5</v>
      </c>
      <c r="J6" s="83" t="s">
        <v>6</v>
      </c>
      <c r="K6" s="83" t="s">
        <v>3</v>
      </c>
      <c r="L6" s="83" t="s">
        <v>3</v>
      </c>
      <c r="M6" s="83" t="s">
        <v>3</v>
      </c>
    </row>
    <row r="7" spans="1:16" ht="15" x14ac:dyDescent="0.2">
      <c r="B7" s="128"/>
      <c r="C7" s="129"/>
      <c r="D7" s="140"/>
      <c r="E7" s="141"/>
      <c r="F7" s="83" t="s">
        <v>13</v>
      </c>
      <c r="G7" s="83" t="s">
        <v>14</v>
      </c>
      <c r="H7" s="83" t="s">
        <v>14</v>
      </c>
      <c r="I7" s="83" t="s">
        <v>14</v>
      </c>
      <c r="J7" s="83" t="s">
        <v>14</v>
      </c>
      <c r="K7" s="83" t="s">
        <v>15</v>
      </c>
      <c r="L7" s="83" t="s">
        <v>15</v>
      </c>
      <c r="M7" s="83" t="s">
        <v>15</v>
      </c>
    </row>
    <row r="8" spans="1:16" s="65" customFormat="1" ht="18" x14ac:dyDescent="0.25">
      <c r="A8" s="59"/>
      <c r="B8" s="60" t="s">
        <v>16</v>
      </c>
      <c r="C8" s="61"/>
      <c r="D8" s="62"/>
      <c r="E8" s="63"/>
      <c r="F8" s="64"/>
      <c r="G8" s="64"/>
      <c r="H8" s="64"/>
      <c r="I8" s="64"/>
      <c r="J8" s="64"/>
      <c r="K8" s="64"/>
      <c r="L8" s="64"/>
      <c r="M8" s="64"/>
    </row>
    <row r="9" spans="1:16" ht="18" customHeight="1" x14ac:dyDescent="0.2">
      <c r="B9" s="19" t="str">
        <f>'Price List_Excl GST'!B9</f>
        <v>BLNN2AU</v>
      </c>
      <c r="C9" s="20"/>
      <c r="D9" s="123" t="str">
        <f>'Price List_Excl GST'!D9</f>
        <v>LV Residential Anytime</v>
      </c>
      <c r="E9" s="124">
        <f>'Price List_Excl GST'!E9</f>
        <v>0</v>
      </c>
      <c r="F9" s="21">
        <f>ROUND(VLOOKUP($B9,'[2]NUOS (t)'!$B$10:$O$66,4,FALSE)/365,4)*1.1</f>
        <v>0.87461000000000011</v>
      </c>
      <c r="G9" s="21">
        <f>ROUND(VLOOKUP($B9,'[2]NUOS (t)'!$B$10:$O$66,5,FALSE),4)*1.1</f>
        <v>11.310750000000002</v>
      </c>
      <c r="H9" s="21"/>
      <c r="I9" s="21"/>
      <c r="J9" s="21"/>
      <c r="K9" s="21"/>
      <c r="L9" s="21"/>
      <c r="M9" s="21"/>
      <c r="N9" s="22"/>
      <c r="O9" s="22"/>
    </row>
    <row r="10" spans="1:16" ht="18" customHeight="1" x14ac:dyDescent="0.2">
      <c r="B10" s="19" t="str">
        <f>'Price List_Excl GST'!B10</f>
        <v>BLNT3AU</v>
      </c>
      <c r="C10" s="20"/>
      <c r="D10" s="123" t="str">
        <f>'Price List_Excl GST'!D10</f>
        <v>LV Residential TOU</v>
      </c>
      <c r="E10" s="124">
        <f>'Price List_Excl GST'!E10</f>
        <v>0</v>
      </c>
      <c r="F10" s="21">
        <f>ROUND(VLOOKUP($B10,'[2]NUOS (t)'!$B$10:$O$66,4,FALSE)/365,4)*1.1</f>
        <v>0.87461000000000011</v>
      </c>
      <c r="G10" s="21"/>
      <c r="H10" s="21">
        <f>ROUND(VLOOKUP($B10,'[2]NUOS (t)'!$B$10:$O$66,6,FALSE),4)*1.1</f>
        <v>14.4419</v>
      </c>
      <c r="I10" s="21">
        <f>ROUND(VLOOKUP($B10,'[2]NUOS (t)'!$B$10:$O$66,7,FALSE),4)*1.1</f>
        <v>13.034890000000001</v>
      </c>
      <c r="J10" s="21">
        <f>ROUND(VLOOKUP($B10,'[2]NUOS (t)'!$B$10:$O$66,8,FALSE),4)*1.1</f>
        <v>4.7865400000000005</v>
      </c>
      <c r="K10" s="21"/>
      <c r="L10" s="21"/>
      <c r="M10" s="21"/>
      <c r="N10" s="22"/>
      <c r="O10" s="22"/>
      <c r="P10" s="22"/>
    </row>
    <row r="11" spans="1:16" ht="18" customHeight="1" x14ac:dyDescent="0.2">
      <c r="B11" s="19" t="str">
        <f>'Price List_Excl GST'!B11</f>
        <v>BLNT3AL</v>
      </c>
      <c r="C11" s="20"/>
      <c r="D11" s="123" t="str">
        <f>'Price List_Excl GST'!D11</f>
        <v>LV Residential TOU_Interval meter</v>
      </c>
      <c r="E11" s="124">
        <f>'Price List_Excl GST'!E11</f>
        <v>0</v>
      </c>
      <c r="F11" s="21">
        <f>ROUND(VLOOKUP($B11,'[2]NUOS (t)'!$B$10:$O$66,4,FALSE)/365,4)*1.1</f>
        <v>0.87461000000000011</v>
      </c>
      <c r="G11" s="21"/>
      <c r="H11" s="21">
        <f>ROUND(VLOOKUP($B11,'[2]NUOS (t)'!$B$10:$O$66,6,FALSE),4)*1.1</f>
        <v>14.99278</v>
      </c>
      <c r="I11" s="21">
        <f>ROUND(VLOOKUP($B11,'[2]NUOS (t)'!$B$10:$O$66,7,FALSE),4)*1.1</f>
        <v>12.536480000000001</v>
      </c>
      <c r="J11" s="21">
        <f>ROUND(VLOOKUP($B11,'[2]NUOS (t)'!$B$10:$O$66,8,FALSE),4)*1.1</f>
        <v>4.7865400000000005</v>
      </c>
      <c r="K11" s="21"/>
      <c r="L11" s="21"/>
      <c r="M11" s="21"/>
      <c r="N11" s="22"/>
      <c r="O11" s="22"/>
      <c r="P11" s="22"/>
    </row>
    <row r="12" spans="1:16" ht="18" customHeight="1" x14ac:dyDescent="0.2">
      <c r="B12" s="19" t="str">
        <f>'Price List_Excl GST'!B12</f>
        <v>BLND1AR</v>
      </c>
      <c r="C12" s="20"/>
      <c r="D12" s="123" t="str">
        <f>'Price List_Excl GST'!D12</f>
        <v>Small Residential - Opt in Demand</v>
      </c>
      <c r="E12" s="124">
        <f>'Price List_Excl GST'!E12</f>
        <v>0</v>
      </c>
      <c r="F12" s="21">
        <f>ROUND(VLOOKUP($B12,'[2]NUOS (t)'!$B$10:$O$66,4,FALSE)/365,4)*1.1</f>
        <v>0.87461000000000011</v>
      </c>
      <c r="G12" s="21"/>
      <c r="H12" s="21">
        <f>ROUND(VLOOKUP($B12,'[2]NUOS (t)'!$B$10:$O$66,6,FALSE),4)*1.1</f>
        <v>4.3222300000000002</v>
      </c>
      <c r="I12" s="21">
        <f>ROUND(VLOOKUP($B12,'[2]NUOS (t)'!$B$10:$O$66,7,FALSE),4)*1.1</f>
        <v>3.6276900000000003</v>
      </c>
      <c r="J12" s="21">
        <f>ROUND(VLOOKUP($B12,'[2]NUOS (t)'!$B$10:$O$66,8,FALSE),4)*1.1</f>
        <v>2.2479600000000004</v>
      </c>
      <c r="K12" s="125">
        <f>ROUND(VLOOKUP($B12,'[2]NUOS (t)'!$B$10:$O$66,10,FALSE),4)*1.1</f>
        <v>4.2990200000000005</v>
      </c>
      <c r="L12" s="126"/>
      <c r="M12" s="21"/>
      <c r="N12" s="22"/>
      <c r="O12" s="22"/>
      <c r="P12" s="22"/>
    </row>
    <row r="13" spans="1:16" s="65" customFormat="1" ht="18" x14ac:dyDescent="0.25">
      <c r="A13" s="59"/>
      <c r="B13" s="61" t="s">
        <v>19</v>
      </c>
      <c r="C13" s="61"/>
      <c r="D13" s="66"/>
      <c r="E13" s="67"/>
      <c r="F13" s="68"/>
      <c r="G13" s="69"/>
      <c r="H13" s="69"/>
      <c r="I13" s="69"/>
      <c r="J13" s="69"/>
      <c r="K13" s="69"/>
      <c r="L13" s="69"/>
      <c r="M13" s="69"/>
      <c r="N13" s="70"/>
      <c r="O13" s="70"/>
      <c r="P13" s="70"/>
    </row>
    <row r="14" spans="1:16" ht="18" customHeight="1" x14ac:dyDescent="0.2">
      <c r="B14" s="19" t="str">
        <f>'Price List_Excl GST'!B14</f>
        <v>BLNC1AU</v>
      </c>
      <c r="C14" s="20"/>
      <c r="D14" s="123" t="str">
        <f>'Price List_Excl GST'!D14</f>
        <v>Controlled Load 1</v>
      </c>
      <c r="E14" s="124">
        <f>'Price List_Excl GST'!E14</f>
        <v>0</v>
      </c>
      <c r="F14" s="21">
        <f>ROUND(VLOOKUP($B14,'[2]NUOS (t)'!$B$10:$O$66,4,FALSE)/365,4)*1.1</f>
        <v>9.7790000000000016E-2</v>
      </c>
      <c r="G14" s="21">
        <f>ROUND(VLOOKUP($B14,'[2]NUOS (t)'!$B$10:$O$66,5,FALSE),4)*1.1</f>
        <v>2.3644500000000006</v>
      </c>
      <c r="H14" s="21"/>
      <c r="I14" s="21"/>
      <c r="J14" s="21"/>
      <c r="K14" s="21"/>
      <c r="L14" s="21"/>
      <c r="M14" s="21"/>
      <c r="N14" s="22"/>
      <c r="O14" s="22"/>
    </row>
    <row r="15" spans="1:16" ht="18" customHeight="1" x14ac:dyDescent="0.2">
      <c r="B15" s="19" t="str">
        <f>'Price List_Excl GST'!B15</f>
        <v>BLNC2AU</v>
      </c>
      <c r="C15" s="20"/>
      <c r="D15" s="123" t="str">
        <f>'Price List_Excl GST'!D15</f>
        <v>Controlled Load 2</v>
      </c>
      <c r="E15" s="124">
        <f>'Price List_Excl GST'!E15</f>
        <v>0</v>
      </c>
      <c r="F15" s="21">
        <f>ROUND(VLOOKUP($B15,'[2]NUOS (t)'!$B$10:$O$66,4,FALSE)/365,4)*1.1</f>
        <v>9.7790000000000016E-2</v>
      </c>
      <c r="G15" s="21">
        <f>ROUND(VLOOKUP($B15,'[2]NUOS (t)'!$B$10:$O$66,5,FALSE),4)*1.1</f>
        <v>5.07925</v>
      </c>
      <c r="H15" s="21"/>
      <c r="I15" s="21"/>
      <c r="J15" s="21"/>
      <c r="K15" s="21"/>
      <c r="L15" s="21"/>
      <c r="M15" s="21"/>
      <c r="N15" s="22"/>
      <c r="O15" s="22"/>
    </row>
    <row r="16" spans="1:16" s="65" customFormat="1" ht="18" x14ac:dyDescent="0.25">
      <c r="A16" s="59"/>
      <c r="B16" s="71" t="s">
        <v>87</v>
      </c>
      <c r="C16" s="71"/>
      <c r="D16" s="72"/>
      <c r="E16" s="73"/>
      <c r="F16" s="74"/>
      <c r="G16" s="74"/>
      <c r="H16" s="74"/>
      <c r="I16" s="74"/>
      <c r="J16" s="74"/>
      <c r="K16" s="74"/>
      <c r="L16" s="74"/>
      <c r="M16" s="74"/>
      <c r="N16" s="70"/>
      <c r="O16" s="70"/>
      <c r="P16" s="70"/>
    </row>
    <row r="17" spans="1:16" ht="18" customHeight="1" x14ac:dyDescent="0.2">
      <c r="A17" s="135"/>
      <c r="B17" s="26" t="str">
        <f>'Price List_Excl GST'!B17</f>
        <v>BLNE21AU</v>
      </c>
      <c r="C17" s="20"/>
      <c r="D17" s="123" t="str">
        <f>'Price List_Excl GST'!D17</f>
        <v>Residential Anytime Export gross metered</v>
      </c>
      <c r="E17" s="124">
        <f>'Price List_Excl GST'!E17</f>
        <v>0</v>
      </c>
      <c r="F17" s="27"/>
      <c r="G17" s="31">
        <v>0</v>
      </c>
      <c r="H17" s="27"/>
      <c r="I17" s="27"/>
      <c r="J17" s="27"/>
      <c r="K17" s="27"/>
      <c r="L17" s="27"/>
      <c r="M17" s="27"/>
      <c r="N17" s="22"/>
      <c r="O17" s="22"/>
      <c r="P17" s="22"/>
    </row>
    <row r="18" spans="1:16" ht="18" customHeight="1" x14ac:dyDescent="0.2">
      <c r="A18" s="135"/>
      <c r="B18" s="26" t="str">
        <f>'Price List_Excl GST'!B18</f>
        <v>BLNE23AU</v>
      </c>
      <c r="C18" s="20"/>
      <c r="D18" s="123" t="str">
        <f>'Price List_Excl GST'!D18</f>
        <v>Residential Anytime Export net metered</v>
      </c>
      <c r="E18" s="124">
        <f>'Price List_Excl GST'!E18</f>
        <v>0</v>
      </c>
      <c r="F18" s="27"/>
      <c r="G18" s="31">
        <v>0</v>
      </c>
      <c r="H18" s="27"/>
      <c r="I18" s="27"/>
      <c r="J18" s="27"/>
      <c r="K18" s="27"/>
      <c r="L18" s="27"/>
      <c r="M18" s="27"/>
      <c r="N18" s="22"/>
      <c r="O18" s="22"/>
      <c r="P18" s="22"/>
    </row>
    <row r="19" spans="1:16" ht="18" customHeight="1" x14ac:dyDescent="0.2">
      <c r="A19" s="28"/>
      <c r="B19" s="26" t="str">
        <f>'Price List_Excl GST'!B19</f>
        <v>BLNE20AU</v>
      </c>
      <c r="C19" s="20"/>
      <c r="D19" s="123" t="str">
        <f>'Price List_Excl GST'!D19</f>
        <v>Business Anytime Export gross metered</v>
      </c>
      <c r="E19" s="124">
        <f>'Price List_Excl GST'!E19</f>
        <v>0</v>
      </c>
      <c r="F19" s="27"/>
      <c r="G19" s="31">
        <v>0</v>
      </c>
      <c r="H19" s="27"/>
      <c r="I19" s="27"/>
      <c r="J19" s="27"/>
      <c r="K19" s="27"/>
      <c r="L19" s="27"/>
      <c r="M19" s="27"/>
      <c r="N19" s="22"/>
      <c r="O19" s="22"/>
      <c r="P19" s="22"/>
    </row>
    <row r="20" spans="1:16" ht="18" customHeight="1" x14ac:dyDescent="0.2">
      <c r="A20" s="28"/>
      <c r="B20" s="26" t="str">
        <f>'Price List_Excl GST'!B20</f>
        <v>BLNE22AU</v>
      </c>
      <c r="C20" s="20"/>
      <c r="D20" s="123" t="str">
        <f>'Price List_Excl GST'!D20</f>
        <v>Business Anytime Export net metered</v>
      </c>
      <c r="E20" s="124">
        <f>'Price List_Excl GST'!E20</f>
        <v>0</v>
      </c>
      <c r="F20" s="27"/>
      <c r="G20" s="31">
        <v>0</v>
      </c>
      <c r="H20" s="27"/>
      <c r="I20" s="27"/>
      <c r="J20" s="27"/>
      <c r="K20" s="27"/>
      <c r="L20" s="27"/>
      <c r="M20" s="27"/>
      <c r="N20" s="22"/>
      <c r="O20" s="22"/>
      <c r="P20" s="22"/>
    </row>
    <row r="21" spans="1:16" ht="18" customHeight="1" x14ac:dyDescent="0.2">
      <c r="A21" s="28"/>
      <c r="B21" s="26" t="str">
        <f>'Price List_Excl GST'!B21</f>
        <v>BLNE0AU</v>
      </c>
      <c r="C21" s="20"/>
      <c r="D21" s="123" t="str">
        <f>'Price List_Excl GST'!D21</f>
        <v>Ineligible Export</v>
      </c>
      <c r="E21" s="124">
        <f>'Price List_Excl GST'!E21</f>
        <v>0</v>
      </c>
      <c r="F21" s="27"/>
      <c r="G21" s="31">
        <v>0</v>
      </c>
      <c r="H21" s="27"/>
      <c r="I21" s="27"/>
      <c r="J21" s="27"/>
      <c r="K21" s="27"/>
      <c r="L21" s="27"/>
      <c r="M21" s="27"/>
      <c r="N21" s="22"/>
      <c r="O21" s="22"/>
      <c r="P21" s="22"/>
    </row>
    <row r="22" spans="1:16" s="32" customFormat="1" ht="18" customHeight="1" x14ac:dyDescent="0.2">
      <c r="A22" s="29"/>
      <c r="B22" s="30" t="str">
        <f>'Price List_Excl GST'!B22</f>
        <v>BLNE26AU</v>
      </c>
      <c r="C22" s="20"/>
      <c r="D22" s="123" t="str">
        <f>'Price List_Excl GST'!D22</f>
        <v xml:space="preserve">QLD Government Solar Bonus </v>
      </c>
      <c r="E22" s="124">
        <f>'Price List_Excl GST'!E22</f>
        <v>0</v>
      </c>
      <c r="F22" s="21"/>
      <c r="G22" s="31">
        <v>0</v>
      </c>
      <c r="H22" s="21"/>
      <c r="I22" s="21"/>
      <c r="J22" s="21"/>
      <c r="K22" s="21"/>
      <c r="L22" s="21"/>
      <c r="M22" s="21"/>
      <c r="N22" s="22"/>
      <c r="O22" s="22"/>
      <c r="P22" s="22"/>
    </row>
    <row r="23" spans="1:16" s="32" customFormat="1" ht="18" customHeight="1" x14ac:dyDescent="0.2">
      <c r="B23" s="19" t="str">
        <f>'Price List_Excl GST'!B23</f>
        <v>BLNE27AU</v>
      </c>
      <c r="C23" s="33"/>
      <c r="D23" s="123" t="str">
        <f>'Price List_Excl GST'!D23</f>
        <v xml:space="preserve">QLD Government Solar Bonus </v>
      </c>
      <c r="E23" s="124">
        <f>'Price List_Excl GST'!E23</f>
        <v>0</v>
      </c>
      <c r="F23" s="27"/>
      <c r="G23" s="31">
        <v>0</v>
      </c>
      <c r="H23" s="27"/>
      <c r="I23" s="27"/>
      <c r="J23" s="27"/>
      <c r="K23" s="27"/>
      <c r="L23" s="27"/>
      <c r="M23" s="27"/>
      <c r="N23" s="22"/>
      <c r="O23" s="22"/>
      <c r="P23" s="22"/>
    </row>
    <row r="24" spans="1:16" s="65" customFormat="1" ht="18" x14ac:dyDescent="0.25">
      <c r="A24" s="59"/>
      <c r="B24" s="71" t="s">
        <v>18</v>
      </c>
      <c r="C24" s="71"/>
      <c r="D24" s="72"/>
      <c r="E24" s="73"/>
      <c r="F24" s="74"/>
      <c r="G24" s="74"/>
      <c r="H24" s="74"/>
      <c r="I24" s="74"/>
      <c r="J24" s="74"/>
      <c r="K24" s="74"/>
      <c r="L24" s="74"/>
      <c r="M24" s="74"/>
      <c r="N24" s="70"/>
      <c r="O24" s="70"/>
      <c r="P24" s="70"/>
    </row>
    <row r="25" spans="1:16" ht="18" customHeight="1" x14ac:dyDescent="0.2">
      <c r="B25" s="19" t="str">
        <f>'Price List_Excl GST'!B25</f>
        <v>BLNN1AU</v>
      </c>
      <c r="C25" s="20"/>
      <c r="D25" s="123" t="str">
        <f>'Price List_Excl GST'!D25</f>
        <v>LV Small Business Anytime</v>
      </c>
      <c r="E25" s="124">
        <f>'Price List_Excl GST'!E25</f>
        <v>0</v>
      </c>
      <c r="F25" s="21">
        <f>ROUND(VLOOKUP($B25,'[2]NUOS (t)'!$B$10:$O$66,4,FALSE)/365,4)*1.1</f>
        <v>0.87461000000000011</v>
      </c>
      <c r="G25" s="21">
        <f>ROUND(VLOOKUP($B25,'[2]NUOS (t)'!$B$10:$O$66,5,FALSE),4)*1.1</f>
        <v>15.633970000000001</v>
      </c>
      <c r="H25" s="21"/>
      <c r="I25" s="21"/>
      <c r="J25" s="21"/>
      <c r="K25" s="21"/>
      <c r="L25" s="21"/>
      <c r="M25" s="21"/>
      <c r="N25" s="22"/>
      <c r="O25" s="22"/>
    </row>
    <row r="26" spans="1:16" ht="18" customHeight="1" x14ac:dyDescent="0.2">
      <c r="B26" s="19" t="str">
        <f>'Price List_Excl GST'!B26</f>
        <v>BLNT2AU</v>
      </c>
      <c r="C26" s="20"/>
      <c r="D26" s="123" t="str">
        <f>'Price List_Excl GST'!D26</f>
        <v xml:space="preserve">LV TOU &lt;100MWh </v>
      </c>
      <c r="E26" s="124">
        <f>'Price List_Excl GST'!E26</f>
        <v>0</v>
      </c>
      <c r="F26" s="21">
        <f>ROUND(VLOOKUP($B26,'[2]NUOS (t)'!$B$10:$O$66,4,FALSE)/365,4)*1.1</f>
        <v>6.9221900000000014</v>
      </c>
      <c r="G26" s="21"/>
      <c r="H26" s="21">
        <f>ROUND(VLOOKUP($B26,'[2]NUOS (t)'!$B$10:$O$66,6,FALSE),4)*1.1</f>
        <v>15.393840000000003</v>
      </c>
      <c r="I26" s="21">
        <f>ROUND(VLOOKUP($B26,'[2]NUOS (t)'!$B$10:$O$66,7,FALSE),4)*1.1</f>
        <v>13.940190000000001</v>
      </c>
      <c r="J26" s="21">
        <f>ROUND(VLOOKUP($B26,'[2]NUOS (t)'!$B$10:$O$66,8,FALSE),4)*1.1</f>
        <v>7.0210800000000004</v>
      </c>
      <c r="K26" s="21"/>
      <c r="L26" s="21"/>
      <c r="M26" s="21"/>
      <c r="N26" s="22"/>
      <c r="O26" s="22"/>
      <c r="P26" s="22"/>
    </row>
    <row r="27" spans="1:16" ht="18" customHeight="1" x14ac:dyDescent="0.2">
      <c r="B27" s="19" t="str">
        <f>'Price List_Excl GST'!B27</f>
        <v>BLNT2AL</v>
      </c>
      <c r="C27" s="20"/>
      <c r="D27" s="123" t="str">
        <f>'Price List_Excl GST'!D27</f>
        <v>LV Business TOU_Interval meter</v>
      </c>
      <c r="E27" s="124">
        <f>'Price List_Excl GST'!E27</f>
        <v>0</v>
      </c>
      <c r="F27" s="21">
        <f>ROUND(VLOOKUP($B27,'[2]NUOS (t)'!$B$10:$O$66,4,FALSE)/365,4)*1.1</f>
        <v>1.5382400000000003</v>
      </c>
      <c r="G27" s="21"/>
      <c r="H27" s="21">
        <f>ROUND(VLOOKUP($B27,'[2]NUOS (t)'!$B$10:$O$66,6,FALSE),4)*1.1</f>
        <v>15.969250000000001</v>
      </c>
      <c r="I27" s="21">
        <f>ROUND(VLOOKUP($B27,'[2]NUOS (t)'!$B$10:$O$66,7,FALSE),4)*1.1</f>
        <v>13.419560000000001</v>
      </c>
      <c r="J27" s="21">
        <f>ROUND(VLOOKUP($B27,'[2]NUOS (t)'!$B$10:$O$66,8,FALSE),4)*1.1</f>
        <v>6.7915100000000006</v>
      </c>
      <c r="K27" s="21"/>
      <c r="L27" s="21"/>
      <c r="M27" s="21"/>
      <c r="N27" s="22"/>
      <c r="O27" s="22"/>
      <c r="P27" s="22"/>
    </row>
    <row r="28" spans="1:16" ht="18" customHeight="1" x14ac:dyDescent="0.2">
      <c r="B28" s="19" t="str">
        <f>'Price List_Excl GST'!B28</f>
        <v>BLND1AB</v>
      </c>
      <c r="C28" s="20"/>
      <c r="D28" s="123" t="str">
        <f>'Price List_Excl GST'!D28</f>
        <v>Small Business - Opt in Demand</v>
      </c>
      <c r="E28" s="124">
        <f>'Price List_Excl GST'!E28</f>
        <v>0</v>
      </c>
      <c r="F28" s="21">
        <f>ROUND(VLOOKUP($B28,'[2]NUOS (t)'!$B$10:$O$66,4,FALSE)/365,4)*1.1</f>
        <v>1.5382400000000003</v>
      </c>
      <c r="G28" s="21"/>
      <c r="H28" s="21">
        <f>ROUND(VLOOKUP($B28,'[2]NUOS (t)'!$B$10:$O$66,6,FALSE),4)*1.1</f>
        <v>5.6457500000000005</v>
      </c>
      <c r="I28" s="21">
        <f>ROUND(VLOOKUP($B28,'[2]NUOS (t)'!$B$10:$O$66,7,FALSE),4)*1.1</f>
        <v>4.6281400000000001</v>
      </c>
      <c r="J28" s="21">
        <f>ROUND(VLOOKUP($B28,'[2]NUOS (t)'!$B$10:$O$66,8,FALSE),4)*1.1</f>
        <v>2.8416300000000003</v>
      </c>
      <c r="K28" s="125">
        <f>ROUND(VLOOKUP($B28,'[2]NUOS (t)'!$B$10:$O$66,10,FALSE),4)*1.1</f>
        <v>6.9858799999999999</v>
      </c>
      <c r="L28" s="126"/>
      <c r="M28" s="21"/>
      <c r="N28" s="22"/>
      <c r="O28" s="22"/>
      <c r="P28" s="22"/>
    </row>
    <row r="29" spans="1:16" ht="18" customHeight="1" x14ac:dyDescent="0.2">
      <c r="B29" s="19" t="str">
        <f>'Price List_Excl GST'!B29</f>
        <v>BLNT1AO</v>
      </c>
      <c r="C29" s="20" t="str">
        <f>'Price List_Excl GST'!C29</f>
        <v>BLNT1SU</v>
      </c>
      <c r="D29" s="123" t="str">
        <f>'Price List_Excl GST'!D29</f>
        <v xml:space="preserve">LV TOU &lt;160MWh </v>
      </c>
      <c r="E29" s="124">
        <f>'Price List_Excl GST'!E29</f>
        <v>0</v>
      </c>
      <c r="F29" s="21">
        <f>ROUND(VLOOKUP($B29,'[2]NUOS (t)'!$B$10:$O$66,4,FALSE)/365,4)*1.1</f>
        <v>6.9221900000000014</v>
      </c>
      <c r="G29" s="21"/>
      <c r="H29" s="21">
        <f>ROUND(VLOOKUP($B29,'[2]NUOS (t)'!$B$10:$O$66,6,FALSE),4)*1.1</f>
        <v>15.393840000000003</v>
      </c>
      <c r="I29" s="21">
        <f>ROUND(VLOOKUP($B29,'[2]NUOS (t)'!$B$10:$O$66,7,FALSE),4)*1.1</f>
        <v>13.940190000000001</v>
      </c>
      <c r="J29" s="21">
        <f>ROUND(VLOOKUP($B29,'[2]NUOS (t)'!$B$10:$O$66,8,FALSE),4)*1.1</f>
        <v>7.0210800000000004</v>
      </c>
      <c r="K29" s="21"/>
      <c r="L29" s="21"/>
      <c r="M29" s="21"/>
      <c r="N29" s="22"/>
      <c r="O29" s="22"/>
      <c r="P29" s="22"/>
    </row>
    <row r="30" spans="1:16" ht="18" customHeight="1" x14ac:dyDescent="0.2">
      <c r="B30" s="19" t="str">
        <f>'Price List_Excl GST'!B30</f>
        <v>BLNDTRS</v>
      </c>
      <c r="C30" s="20"/>
      <c r="D30" s="123" t="str">
        <f>'Price List_Excl GST'!D30</f>
        <v>Transitional Demand</v>
      </c>
      <c r="E30" s="124">
        <f>'Price List_Excl GST'!E30</f>
        <v>0</v>
      </c>
      <c r="F30" s="21">
        <f>ROUND(VLOOKUP($B30,'[2]NUOS (t)'!$B$10:$O$66,4,FALSE)/365,4)*1.1</f>
        <v>10.63194</v>
      </c>
      <c r="G30" s="21"/>
      <c r="H30" s="21">
        <f>ROUND(VLOOKUP($B30,'[2]NUOS (t)'!$B$10:$O$66,6,FALSE),4)*1.1</f>
        <v>10.973710000000002</v>
      </c>
      <c r="I30" s="21">
        <f>ROUND(VLOOKUP($B30,'[2]NUOS (t)'!$B$10:$O$66,7,FALSE),4)*1.1</f>
        <v>9.9439999999999991</v>
      </c>
      <c r="J30" s="21">
        <f>ROUND(VLOOKUP($B30,'[2]NUOS (t)'!$B$10:$O$66,8,FALSE),4)*1.1</f>
        <v>5.2430400000000006</v>
      </c>
      <c r="K30" s="21">
        <f>ROUND(VLOOKUP($B30,'[2]NUOS (t)'!$B$10:$O$66,10,FALSE),4)*1.1</f>
        <v>4.3422499999999999</v>
      </c>
      <c r="L30" s="21">
        <f>ROUND(VLOOKUP($B30,'[2]NUOS (t)'!$B$10:$O$66,11,FALSE),4)*1.1</f>
        <v>3.9287600000000005</v>
      </c>
      <c r="M30" s="21">
        <f>ROUND(VLOOKUP($B30,'[2]NUOS (t)'!$B$10:$O$66,12,FALSE),4)*1.1</f>
        <v>0.94523000000000001</v>
      </c>
      <c r="N30" s="22"/>
      <c r="O30" s="22"/>
      <c r="P30" s="22"/>
    </row>
    <row r="31" spans="1:16" ht="18" customHeight="1" x14ac:dyDescent="0.2">
      <c r="B31" s="19" t="str">
        <f>'Price List_Excl GST'!B31</f>
        <v>BLND3AO</v>
      </c>
      <c r="C31" s="20"/>
      <c r="D31" s="123" t="str">
        <f>'Price List_Excl GST'!D31</f>
        <v>LV TOU Demand 3 Rate</v>
      </c>
      <c r="E31" s="124">
        <f>'Price List_Excl GST'!E31</f>
        <v>0</v>
      </c>
      <c r="F31" s="21">
        <f>ROUND(VLOOKUP($B31,'[2]NUOS (t)'!$B$10:$O$66,4,FALSE)/365,4)*1.1</f>
        <v>16.196619999999999</v>
      </c>
      <c r="G31" s="21"/>
      <c r="H31" s="21">
        <f>ROUND(VLOOKUP($B31,'[2]NUOS (t)'!$B$10:$O$66,6,FALSE),4)*1.1</f>
        <v>4.34335</v>
      </c>
      <c r="I31" s="21">
        <f>ROUND(VLOOKUP($B31,'[2]NUOS (t)'!$B$10:$O$66,7,FALSE),4)*1.1</f>
        <v>3.9497700000000004</v>
      </c>
      <c r="J31" s="21">
        <f>ROUND(VLOOKUP($B31,'[2]NUOS (t)'!$B$10:$O$66,8,FALSE),4)*1.1</f>
        <v>2.5759800000000004</v>
      </c>
      <c r="K31" s="21">
        <f>ROUND(VLOOKUP($B31,'[2]NUOS (t)'!$B$10:$O$66,10,FALSE),4)*1.1</f>
        <v>10.855680000000001</v>
      </c>
      <c r="L31" s="21">
        <f>ROUND(VLOOKUP($B31,'[2]NUOS (t)'!$B$10:$O$66,11,FALSE),4)*1.1</f>
        <v>9.8217900000000018</v>
      </c>
      <c r="M31" s="21">
        <f>ROUND(VLOOKUP($B31,'[2]NUOS (t)'!$B$10:$O$66,12,FALSE),4)*1.1</f>
        <v>2.3630200000000001</v>
      </c>
      <c r="N31" s="22"/>
      <c r="O31" s="22"/>
      <c r="P31" s="22"/>
    </row>
    <row r="32" spans="1:16" ht="18" customHeight="1" x14ac:dyDescent="0.2">
      <c r="B32" s="19" t="str">
        <f>'Price List_Excl GST'!B32</f>
        <v>BLNS1AO</v>
      </c>
      <c r="C32" s="20"/>
      <c r="D32" s="123" t="str">
        <f>'Price List_Excl GST'!D32</f>
        <v>LV TOU avg daily Demand</v>
      </c>
      <c r="E32" s="124">
        <f>'Price List_Excl GST'!E32</f>
        <v>0</v>
      </c>
      <c r="F32" s="21">
        <f>ROUND(VLOOKUP($B32,'[2]NUOS (t)'!$B$10:$O$66,4,FALSE)/365,4)*1.1</f>
        <v>16.196619999999999</v>
      </c>
      <c r="G32" s="21"/>
      <c r="H32" s="21">
        <f>ROUND(VLOOKUP($B32,'[2]NUOS (t)'!$B$10:$O$66,6,FALSE),4)*1.1</f>
        <v>3.9728700000000003</v>
      </c>
      <c r="I32" s="21">
        <f>ROUND(VLOOKUP($B32,'[2]NUOS (t)'!$B$10:$O$66,7,FALSE),4)*1.1</f>
        <v>3.6146000000000003</v>
      </c>
      <c r="J32" s="21">
        <f>ROUND(VLOOKUP($B32,'[2]NUOS (t)'!$B$10:$O$66,8,FALSE),4)*1.1</f>
        <v>2.4427699999999999</v>
      </c>
      <c r="K32" s="21">
        <f>ROUND(VLOOKUP($B32,'[2]NUOS (t)'!$B$10:$O$66,10,FALSE),4)*1.1</f>
        <v>11.65802</v>
      </c>
      <c r="L32" s="21">
        <f>ROUND(VLOOKUP($B32,'[2]NUOS (t)'!$B$10:$O$66,11,FALSE),4)*1.1</f>
        <v>10.547680000000001</v>
      </c>
      <c r="M32" s="21">
        <f>ROUND(VLOOKUP($B32,'[2]NUOS (t)'!$B$10:$O$66,12,FALSE),4)*1.1</f>
        <v>2.69577</v>
      </c>
      <c r="N32" s="22"/>
      <c r="O32" s="22"/>
      <c r="P32" s="22"/>
    </row>
    <row r="33" spans="1:16" ht="18" customHeight="1" x14ac:dyDescent="0.2">
      <c r="B33" s="19" t="str">
        <f>'Price List_Excl GST'!B33</f>
        <v>BLND3TO</v>
      </c>
      <c r="C33" s="20"/>
      <c r="D33" s="123" t="str">
        <f>'Price List_Excl GST'!D33</f>
        <v>LV TOU Demand Alternative tariff</v>
      </c>
      <c r="E33" s="124">
        <f>'Price List_Excl GST'!E33</f>
        <v>0</v>
      </c>
      <c r="F33" s="21">
        <f>ROUND(VLOOKUP($B33,'[2]NUOS (t)'!$B$10:$O$66,4,FALSE)/365,4)*1.1</f>
        <v>16.196619999999999</v>
      </c>
      <c r="G33" s="21"/>
      <c r="H33" s="21">
        <f>ROUND(VLOOKUP($B33,'[2]NUOS (t)'!$B$10:$O$66,6,FALSE),4)*1.1</f>
        <v>13.534290000000002</v>
      </c>
      <c r="I33" s="21">
        <f>ROUND(VLOOKUP($B33,'[2]NUOS (t)'!$B$10:$O$66,7,FALSE),4)*1.1</f>
        <v>12.265330000000001</v>
      </c>
      <c r="J33" s="21">
        <f>ROUND(VLOOKUP($B33,'[2]NUOS (t)'!$B$10:$O$66,8,FALSE),4)*1.1</f>
        <v>5.1107100000000001</v>
      </c>
      <c r="K33" s="125">
        <f>ROUND(VLOOKUP($B33,'[2]NUOS (t)'!$B$10:$O$66,10,FALSE),4)*1.1</f>
        <v>12.82061</v>
      </c>
      <c r="L33" s="126"/>
      <c r="M33" s="21"/>
      <c r="N33" s="22"/>
      <c r="O33" s="22"/>
      <c r="P33" s="22"/>
    </row>
    <row r="34" spans="1:16" ht="18" customHeight="1" x14ac:dyDescent="0.2">
      <c r="B34" s="19" t="str">
        <f>'Price List_Excl GST'!B34</f>
        <v>BHND3AO</v>
      </c>
      <c r="C34" s="20"/>
      <c r="D34" s="123" t="str">
        <f>'Price List_Excl GST'!D34</f>
        <v>HV TOU mthly Demand</v>
      </c>
      <c r="E34" s="124">
        <f>'Price List_Excl GST'!E34</f>
        <v>0</v>
      </c>
      <c r="F34" s="21">
        <f>ROUND(VLOOKUP($B34,'[2]NUOS (t)'!$B$10:$O$66,4,FALSE)/365,4)*1.1</f>
        <v>20.048819999999999</v>
      </c>
      <c r="G34" s="21"/>
      <c r="H34" s="21">
        <f>ROUND(VLOOKUP($B34,'[2]NUOS (t)'!$B$10:$O$66,6,FALSE),4)*1.1</f>
        <v>3.3293700000000004</v>
      </c>
      <c r="I34" s="21">
        <f>ROUND(VLOOKUP($B34,'[2]NUOS (t)'!$B$10:$O$66,7,FALSE),4)*1.1</f>
        <v>3.0483199999999999</v>
      </c>
      <c r="J34" s="21">
        <f>ROUND(VLOOKUP($B34,'[2]NUOS (t)'!$B$10:$O$66,8,FALSE),4)*1.1</f>
        <v>2.4856700000000003</v>
      </c>
      <c r="K34" s="21">
        <f>ROUND(VLOOKUP($B34,'[2]NUOS (t)'!$B$10:$O$66,10,FALSE),4)*1.1</f>
        <v>9.5232500000000009</v>
      </c>
      <c r="L34" s="21">
        <f>ROUND(VLOOKUP($B34,'[2]NUOS (t)'!$B$10:$O$66,11,FALSE),4)*1.1</f>
        <v>8.6163000000000007</v>
      </c>
      <c r="M34" s="21">
        <f>ROUND(VLOOKUP($B34,'[2]NUOS (t)'!$B$10:$O$66,12,FALSE),4)*1.1</f>
        <v>2.5784000000000002</v>
      </c>
      <c r="N34" s="22"/>
      <c r="O34" s="22"/>
      <c r="P34" s="22"/>
    </row>
    <row r="35" spans="1:16" ht="18" customHeight="1" x14ac:dyDescent="0.2">
      <c r="B35" s="19" t="str">
        <f>'Price List_Excl GST'!B35</f>
        <v>BHNS1AO</v>
      </c>
      <c r="C35" s="20"/>
      <c r="D35" s="138" t="str">
        <f>'Price List_Excl GST'!D35</f>
        <v>HV TOU avg daily Demand</v>
      </c>
      <c r="E35" s="139">
        <f>'Price List_Excl GST'!E35</f>
        <v>0</v>
      </c>
      <c r="F35" s="21">
        <f>ROUND(VLOOKUP($B35,'[2]NUOS (t)'!$B$10:$O$66,4,FALSE)/365,4)*1.1</f>
        <v>19.486940000000001</v>
      </c>
      <c r="G35" s="21"/>
      <c r="H35" s="21">
        <f>ROUND(VLOOKUP($B35,'[2]NUOS (t)'!$B$10:$O$66,6,FALSE),4)*1.1</f>
        <v>3.3121000000000005</v>
      </c>
      <c r="I35" s="21">
        <f>ROUND(VLOOKUP($B35,'[2]NUOS (t)'!$B$10:$O$66,7,FALSE),4)*1.1</f>
        <v>3.0325900000000003</v>
      </c>
      <c r="J35" s="21">
        <f>ROUND(VLOOKUP($B35,'[2]NUOS (t)'!$B$10:$O$66,8,FALSE),4)*1.1</f>
        <v>2.4776400000000005</v>
      </c>
      <c r="K35" s="21">
        <f>ROUND(VLOOKUP($B35,'[2]NUOS (t)'!$B$10:$O$66,10,FALSE),4)*1.1</f>
        <v>10.084250000000001</v>
      </c>
      <c r="L35" s="21">
        <f>ROUND(VLOOKUP($B35,'[2]NUOS (t)'!$B$10:$O$66,11,FALSE),4)*1.1</f>
        <v>9.1238399999999995</v>
      </c>
      <c r="M35" s="21">
        <f>ROUND(VLOOKUP($B35,'[2]NUOS (t)'!$B$10:$O$66,12,FALSE),4)*1.1</f>
        <v>2.7302000000000004</v>
      </c>
      <c r="N35" s="22"/>
      <c r="O35" s="22"/>
      <c r="P35" s="22"/>
    </row>
    <row r="36" spans="1:16" ht="18" customHeight="1" x14ac:dyDescent="0.2">
      <c r="B36" s="19" t="str">
        <f>'Price List_Excl GST'!B36</f>
        <v>BSSD3AO</v>
      </c>
      <c r="C36" s="20"/>
      <c r="D36" s="138" t="str">
        <f>'Price List_Excl GST'!D36</f>
        <v>Sub Trans 3 Rate Demand</v>
      </c>
      <c r="E36" s="139">
        <f>'Price List_Excl GST'!E36</f>
        <v>0</v>
      </c>
      <c r="F36" s="21">
        <f>ROUND(VLOOKUP($B36,'[2]NUOS (t)'!$B$10:$O$66,4,FALSE)/365,4)*1.1</f>
        <v>19.901419999999998</v>
      </c>
      <c r="G36" s="21"/>
      <c r="H36" s="21">
        <f>ROUND(VLOOKUP($B36,'[2]NUOS (t)'!$B$10:$O$66,6,FALSE),4)*1.1</f>
        <v>4.1514000000000006</v>
      </c>
      <c r="I36" s="21">
        <f>ROUND(VLOOKUP($B36,'[2]NUOS (t)'!$B$10:$O$66,7,FALSE),4)*1.1</f>
        <v>2.5047000000000001</v>
      </c>
      <c r="J36" s="21">
        <f>ROUND(VLOOKUP($B36,'[2]NUOS (t)'!$B$10:$O$66,8,FALSE),4)*1.1</f>
        <v>2.0827400000000003</v>
      </c>
      <c r="K36" s="21">
        <f>ROUND(VLOOKUP($B36,'[2]NUOS (t)'!$B$10:$O$66,10,FALSE),4)*1.1</f>
        <v>3.6749900000000002</v>
      </c>
      <c r="L36" s="21">
        <f>ROUND(VLOOKUP($B36,'[2]NUOS (t)'!$B$10:$O$66,11,FALSE),4)*1.1</f>
        <v>2.6198700000000001</v>
      </c>
      <c r="M36" s="21">
        <f>ROUND(VLOOKUP($B36,'[2]NUOS (t)'!$B$10:$O$66,12,FALSE),4)*1.1</f>
        <v>1.04434</v>
      </c>
    </row>
    <row r="37" spans="1:16" s="65" customFormat="1" ht="18" x14ac:dyDescent="0.25">
      <c r="A37" s="59"/>
      <c r="B37" s="71" t="s">
        <v>45</v>
      </c>
      <c r="C37" s="71"/>
      <c r="D37" s="72"/>
      <c r="E37" s="73"/>
      <c r="F37" s="75"/>
      <c r="G37" s="75"/>
      <c r="H37" s="75"/>
      <c r="I37" s="75"/>
      <c r="J37" s="75"/>
      <c r="K37" s="75"/>
      <c r="L37" s="75"/>
      <c r="M37" s="75"/>
    </row>
    <row r="38" spans="1:16" ht="18" customHeight="1" x14ac:dyDescent="0.2">
      <c r="B38" s="19" t="s">
        <v>36</v>
      </c>
      <c r="C38" s="20" t="s">
        <v>44</v>
      </c>
      <c r="D38" s="123" t="s">
        <v>109</v>
      </c>
      <c r="E38" s="124"/>
      <c r="F38" s="21">
        <f>ROUND(VLOOKUP($B38,'[2]NUOS (t)'!$B$10:$O$66,4,FALSE)/365,4)*1.1</f>
        <v>0.77605000000000013</v>
      </c>
      <c r="G38" s="21">
        <f>ROUND(VLOOKUP($B38,'[2]NUOS (t)'!$B$10:$O$66,5,FALSE),4)*1.1</f>
        <v>16.916790000000002</v>
      </c>
      <c r="H38" s="21"/>
      <c r="I38" s="21"/>
      <c r="J38" s="21"/>
      <c r="K38" s="21"/>
      <c r="L38" s="21"/>
      <c r="M38" s="21"/>
    </row>
    <row r="39" spans="1:16" ht="18" customHeight="1" x14ac:dyDescent="0.2">
      <c r="B39" s="19" t="s">
        <v>37</v>
      </c>
      <c r="C39" s="20"/>
      <c r="D39" s="123" t="s">
        <v>110</v>
      </c>
      <c r="E39" s="124"/>
      <c r="F39" s="21">
        <f>ROUND(VLOOKUP($B39,'[2]NUOS (t)'!$B$10:$O$66,4,FALSE)/365,4)*1.1</f>
        <v>0</v>
      </c>
      <c r="G39" s="21"/>
      <c r="H39" s="21">
        <f>ROUND(VLOOKUP($B39,'[2]NUOS (t)'!$B$10:$O$66,6,FALSE),4)*1.1</f>
        <v>17.3184</v>
      </c>
      <c r="I39" s="21">
        <f>ROUND(VLOOKUP($B39,'[2]NUOS (t)'!$B$10:$O$66,7,FALSE),4)*1.1</f>
        <v>15.679510000000001</v>
      </c>
      <c r="J39" s="21">
        <f>ROUND(VLOOKUP($B39,'[2]NUOS (t)'!$B$10:$O$66,8,FALSE),4)*1.1</f>
        <v>7.3205000000000009</v>
      </c>
      <c r="K39" s="21"/>
      <c r="L39" s="21"/>
      <c r="M39" s="21"/>
    </row>
    <row r="40" spans="1:16" s="65" customFormat="1" ht="18" x14ac:dyDescent="0.25">
      <c r="A40" s="59"/>
      <c r="B40" s="71" t="s">
        <v>69</v>
      </c>
      <c r="C40" s="71"/>
      <c r="D40" s="72"/>
      <c r="E40" s="73"/>
      <c r="F40" s="75"/>
      <c r="G40" s="75"/>
      <c r="H40" s="75"/>
      <c r="I40" s="75"/>
      <c r="J40" s="75"/>
      <c r="K40" s="75"/>
      <c r="L40" s="75"/>
      <c r="M40" s="75"/>
    </row>
    <row r="41" spans="1:16" ht="28.5" x14ac:dyDescent="0.2">
      <c r="B41" s="20" t="s">
        <v>50</v>
      </c>
      <c r="C41" s="20"/>
      <c r="D41" s="123" t="s">
        <v>51</v>
      </c>
      <c r="E41" s="124"/>
      <c r="F41" s="27" t="s">
        <v>52</v>
      </c>
      <c r="G41" s="27"/>
      <c r="H41" s="27" t="s">
        <v>52</v>
      </c>
      <c r="I41" s="27" t="s">
        <v>52</v>
      </c>
      <c r="J41" s="27" t="s">
        <v>52</v>
      </c>
      <c r="K41" s="27" t="s">
        <v>52</v>
      </c>
      <c r="L41" s="27" t="s">
        <v>52</v>
      </c>
      <c r="M41" s="27" t="s">
        <v>52</v>
      </c>
    </row>
    <row r="42" spans="1:16" x14ac:dyDescent="0.2">
      <c r="B42" s="34"/>
      <c r="C42" s="34"/>
      <c r="D42" s="35"/>
      <c r="E42" s="35"/>
      <c r="F42" s="36"/>
      <c r="G42" s="36"/>
      <c r="H42" s="36"/>
      <c r="I42" s="36"/>
      <c r="J42" s="36"/>
      <c r="K42" s="36"/>
      <c r="L42" s="36"/>
      <c r="M42" s="36"/>
      <c r="N42" s="36"/>
      <c r="O42" s="36"/>
      <c r="P42" s="36"/>
    </row>
    <row r="43" spans="1:16" ht="33" x14ac:dyDescent="0.45">
      <c r="A43" s="1"/>
      <c r="B43" s="106" t="s">
        <v>202</v>
      </c>
      <c r="C43" s="107"/>
      <c r="D43" s="107"/>
      <c r="E43" s="107"/>
      <c r="F43" s="107"/>
      <c r="G43" s="108"/>
      <c r="H43" s="108"/>
      <c r="I43" s="108"/>
      <c r="J43" s="108"/>
      <c r="K43" s="109"/>
      <c r="L43" s="109"/>
      <c r="M43" s="109"/>
      <c r="N43" s="110"/>
      <c r="O43" s="110"/>
      <c r="P43" s="111"/>
    </row>
    <row r="44" spans="1:16" ht="15.75" x14ac:dyDescent="0.25">
      <c r="A44" s="1"/>
      <c r="B44" s="142" t="str">
        <f>'Price List_Excl GST'!$B$3:$F$3</f>
        <v>Effective 1 July 2018</v>
      </c>
      <c r="C44" s="143"/>
      <c r="D44" s="143"/>
      <c r="E44" s="143"/>
      <c r="F44" s="143"/>
      <c r="G44" s="112"/>
      <c r="H44" s="112"/>
      <c r="I44" s="112"/>
      <c r="J44" s="112"/>
      <c r="K44" s="112"/>
      <c r="L44" s="144"/>
      <c r="M44" s="144"/>
      <c r="N44" s="112"/>
      <c r="O44" s="112"/>
      <c r="P44" s="113"/>
    </row>
    <row r="45" spans="1:16" ht="15.75" x14ac:dyDescent="0.25">
      <c r="A45" s="1"/>
      <c r="B45" s="114"/>
      <c r="C45" s="115"/>
      <c r="D45" s="115"/>
      <c r="E45" s="115"/>
      <c r="F45" s="115"/>
      <c r="G45" s="116"/>
      <c r="H45" s="116"/>
      <c r="I45" s="116"/>
      <c r="J45" s="116"/>
      <c r="K45" s="116"/>
      <c r="L45" s="117"/>
      <c r="M45" s="117"/>
      <c r="N45" s="116"/>
      <c r="O45" s="116"/>
      <c r="P45" s="118"/>
    </row>
    <row r="46" spans="1:16" ht="27.75" customHeight="1" x14ac:dyDescent="0.25">
      <c r="B46" s="152" t="s">
        <v>108</v>
      </c>
      <c r="C46" s="149" t="s">
        <v>9</v>
      </c>
      <c r="D46" s="119" t="s">
        <v>1</v>
      </c>
      <c r="E46" s="119" t="s">
        <v>2</v>
      </c>
      <c r="F46" s="120" t="s">
        <v>2</v>
      </c>
      <c r="G46" s="120" t="s">
        <v>2</v>
      </c>
      <c r="H46" s="120" t="s">
        <v>2</v>
      </c>
      <c r="I46" s="119" t="s">
        <v>3</v>
      </c>
      <c r="J46" s="120" t="s">
        <v>4</v>
      </c>
      <c r="K46" s="120" t="s">
        <v>5</v>
      </c>
      <c r="L46" s="120" t="s">
        <v>6</v>
      </c>
      <c r="M46" s="119" t="s">
        <v>7</v>
      </c>
      <c r="N46" s="145" t="s">
        <v>49</v>
      </c>
      <c r="O46" s="145"/>
      <c r="P46" s="145"/>
    </row>
    <row r="47" spans="1:16" ht="15" x14ac:dyDescent="0.25">
      <c r="B47" s="153"/>
      <c r="C47" s="150"/>
      <c r="D47" s="121" t="s">
        <v>10</v>
      </c>
      <c r="E47" s="121" t="s">
        <v>11</v>
      </c>
      <c r="F47" s="121" t="s">
        <v>4</v>
      </c>
      <c r="G47" s="121" t="s">
        <v>5</v>
      </c>
      <c r="H47" s="121" t="s">
        <v>6</v>
      </c>
      <c r="I47" s="121" t="s">
        <v>12</v>
      </c>
      <c r="J47" s="121" t="s">
        <v>3</v>
      </c>
      <c r="K47" s="121" t="s">
        <v>3</v>
      </c>
      <c r="L47" s="121" t="s">
        <v>3</v>
      </c>
      <c r="M47" s="121" t="s">
        <v>12</v>
      </c>
      <c r="N47" s="145"/>
      <c r="O47" s="145"/>
      <c r="P47" s="145"/>
    </row>
    <row r="48" spans="1:16" ht="15" x14ac:dyDescent="0.25">
      <c r="B48" s="153"/>
      <c r="C48" s="150"/>
      <c r="D48" s="121" t="s">
        <v>13</v>
      </c>
      <c r="E48" s="121" t="s">
        <v>14</v>
      </c>
      <c r="F48" s="121" t="s">
        <v>14</v>
      </c>
      <c r="G48" s="121" t="s">
        <v>14</v>
      </c>
      <c r="H48" s="121" t="s">
        <v>14</v>
      </c>
      <c r="I48" s="121" t="s">
        <v>15</v>
      </c>
      <c r="J48" s="121" t="s">
        <v>15</v>
      </c>
      <c r="K48" s="121" t="s">
        <v>15</v>
      </c>
      <c r="L48" s="121" t="s">
        <v>15</v>
      </c>
      <c r="M48" s="121" t="s">
        <v>15</v>
      </c>
      <c r="N48" s="145"/>
      <c r="O48" s="145"/>
      <c r="P48" s="145"/>
    </row>
    <row r="49" spans="1:19" s="43" customFormat="1" ht="15" x14ac:dyDescent="0.25">
      <c r="A49" s="42"/>
      <c r="B49" s="154"/>
      <c r="C49" s="151"/>
      <c r="D49" s="122"/>
      <c r="E49" s="122"/>
      <c r="F49" s="122"/>
      <c r="G49" s="122"/>
      <c r="H49" s="122"/>
      <c r="I49" s="122"/>
      <c r="J49" s="122"/>
      <c r="K49" s="122"/>
      <c r="L49" s="122"/>
      <c r="M49" s="122"/>
      <c r="N49" s="145"/>
      <c r="O49" s="145"/>
      <c r="P49" s="145"/>
    </row>
    <row r="50" spans="1:19" s="65" customFormat="1" ht="18" x14ac:dyDescent="0.25">
      <c r="A50" s="59"/>
      <c r="B50" s="71" t="s">
        <v>46</v>
      </c>
      <c r="C50" s="72"/>
      <c r="D50" s="76"/>
      <c r="E50" s="74"/>
      <c r="F50" s="74"/>
      <c r="G50" s="74"/>
      <c r="H50" s="74"/>
      <c r="I50" s="74"/>
      <c r="J50" s="74"/>
      <c r="K50" s="74"/>
      <c r="L50" s="74"/>
      <c r="M50" s="74"/>
      <c r="N50" s="146"/>
      <c r="O50" s="147"/>
      <c r="P50" s="148"/>
    </row>
    <row r="51" spans="1:19" ht="107.25" customHeight="1" x14ac:dyDescent="0.2">
      <c r="B51" s="81" t="s">
        <v>105</v>
      </c>
      <c r="C51" s="33" t="s">
        <v>48</v>
      </c>
      <c r="D51" s="21">
        <f>ROUND(VLOOKUP("BLND1CO",'[2]NUOS (t)'!$B$10:$O$66,4,FALSE)/365,4)*1.1</f>
        <v>20.883170000000003</v>
      </c>
      <c r="E51" s="21"/>
      <c r="F51" s="21">
        <f>ROUND(VLOOKUP("BLND1CO",'[2]NUOS (t)'!$B$10:$O$66,6,FALSE),4)*1.1</f>
        <v>6.1188600000000006</v>
      </c>
      <c r="G51" s="21">
        <f>ROUND(VLOOKUP("BLND1CO",'[2]NUOS (t)'!$B$10:$O$66,7,FALSE),4)*1.1</f>
        <v>5.5422400000000005</v>
      </c>
      <c r="H51" s="21">
        <f>ROUND(VLOOKUP("BLND1CO",'[2]NUOS (t)'!$B$10:$O$66,8,FALSE),4)*1.1</f>
        <v>2.9929900000000003</v>
      </c>
      <c r="I51" s="21">
        <f>ROUND(VLOOKUP("BLND1CO",'[2]NUOS (t)'!$B$10:$O$66,9,FALSE),4)*1.1</f>
        <v>17.333030000000001</v>
      </c>
      <c r="J51" s="21"/>
      <c r="K51" s="21"/>
      <c r="L51" s="21"/>
      <c r="M51" s="21"/>
      <c r="N51" s="134" t="s">
        <v>90</v>
      </c>
      <c r="O51" s="134"/>
      <c r="P51" s="134"/>
    </row>
    <row r="52" spans="1:19" ht="51" customHeight="1" x14ac:dyDescent="0.2">
      <c r="B52" s="80" t="s">
        <v>20</v>
      </c>
      <c r="C52" s="33" t="s">
        <v>55</v>
      </c>
      <c r="D52" s="21">
        <f>ROUND(VLOOKUP($B52,'[2]NUOS (t)'!$B$10:$O$66,4,FALSE)/365,4)*1.1</f>
        <v>16.196619999999999</v>
      </c>
      <c r="E52" s="21"/>
      <c r="F52" s="21">
        <f>ROUND(VLOOKUP($B52,'[2]NUOS (t)'!$B$10:$O$66,6,FALSE),4)*1.1</f>
        <v>12.668700000000001</v>
      </c>
      <c r="G52" s="21">
        <f>ROUND(VLOOKUP($B52,'[2]NUOS (t)'!$B$10:$O$66,7,FALSE),4)*1.1</f>
        <v>11.451110000000002</v>
      </c>
      <c r="H52" s="21">
        <f>ROUND(VLOOKUP($B52,'[2]NUOS (t)'!$B$10:$O$66,8,FALSE),4)*1.1</f>
        <v>4.6565200000000004</v>
      </c>
      <c r="I52" s="21">
        <f>ROUND(VLOOKUP($B52,'[2]NUOS (t)'!$B$10:$O$66,9,FALSE),4)*1.1</f>
        <v>11.51238</v>
      </c>
      <c r="J52" s="21"/>
      <c r="K52" s="21"/>
      <c r="L52" s="21"/>
      <c r="M52" s="21">
        <f>ROUND(VLOOKUP($B52,'[2]NUOS (t)'!$B$10:$O$66,13,FALSE),4)*1.1</f>
        <v>4.1852800000000006</v>
      </c>
      <c r="N52" s="134" t="s">
        <v>91</v>
      </c>
      <c r="O52" s="134"/>
      <c r="P52" s="134"/>
    </row>
    <row r="53" spans="1:19" ht="48.75" customHeight="1" x14ac:dyDescent="0.2">
      <c r="B53" s="80" t="s">
        <v>21</v>
      </c>
      <c r="C53" s="33" t="s">
        <v>54</v>
      </c>
      <c r="D53" s="21">
        <f>ROUND(VLOOKUP($B53,'[2]NUOS (t)'!$B$10:$O$66,4,FALSE)/365,4)*1.1</f>
        <v>4.3578700000000001</v>
      </c>
      <c r="E53" s="21"/>
      <c r="F53" s="21">
        <f>ROUND(VLOOKUP($B53,'[2]NUOS (t)'!$B$10:$O$66,6,FALSE),4)*1.1</f>
        <v>14.283390000000001</v>
      </c>
      <c r="G53" s="21">
        <f>ROUND(VLOOKUP($B53,'[2]NUOS (t)'!$B$10:$O$66,7,FALSE),4)*1.1</f>
        <v>12.911910000000001</v>
      </c>
      <c r="H53" s="21">
        <f>ROUND(VLOOKUP($B53,'[2]NUOS (t)'!$B$10:$O$66,8,FALSE),4)*1.1</f>
        <v>6.1219400000000013</v>
      </c>
      <c r="I53" s="21">
        <f>ROUND(VLOOKUP($B53,'[2]NUOS (t)'!$B$10:$O$66,9,FALSE),4)*1.1</f>
        <v>11.291500000000001</v>
      </c>
      <c r="J53" s="21"/>
      <c r="K53" s="21"/>
      <c r="L53" s="21"/>
      <c r="M53" s="21">
        <f>ROUND(VLOOKUP($B53,'[2]NUOS (t)'!$B$10:$O$66,13,FALSE),4)*1.1</f>
        <v>4.1905600000000005</v>
      </c>
      <c r="N53" s="134" t="s">
        <v>91</v>
      </c>
      <c r="O53" s="134"/>
      <c r="P53" s="134"/>
    </row>
    <row r="54" spans="1:19" ht="90" customHeight="1" x14ac:dyDescent="0.2">
      <c r="B54" s="80" t="s">
        <v>22</v>
      </c>
      <c r="C54" s="33" t="s">
        <v>56</v>
      </c>
      <c r="D54" s="21">
        <f>ROUND(VLOOKUP($B54,'[2]NUOS (t)'!$B$10:$O$66,4,FALSE)/365,4)*1.1</f>
        <v>26.796660000000003</v>
      </c>
      <c r="E54" s="21"/>
      <c r="F54" s="21">
        <f>ROUND(VLOOKUP($B54,'[2]NUOS (t)'!$B$10:$O$66,6,FALSE),4)*1.1</f>
        <v>6.6364100000000006</v>
      </c>
      <c r="G54" s="21">
        <f>ROUND(VLOOKUP($B54,'[2]NUOS (t)'!$B$10:$O$66,7,FALSE),4)*1.1</f>
        <v>6.6364100000000006</v>
      </c>
      <c r="H54" s="21">
        <f>ROUND(VLOOKUP($B54,'[2]NUOS (t)'!$B$10:$O$66,8,FALSE),4)*1.1</f>
        <v>3.1033200000000005</v>
      </c>
      <c r="I54" s="21">
        <f>ROUND(VLOOKUP($B54,'[2]NUOS (t)'!$B$10:$O$66,9,FALSE),4)*1.1</f>
        <v>12.635700000000002</v>
      </c>
      <c r="J54" s="21"/>
      <c r="K54" s="21"/>
      <c r="L54" s="21"/>
      <c r="M54" s="21"/>
      <c r="N54" s="134" t="s">
        <v>92</v>
      </c>
      <c r="O54" s="134"/>
      <c r="P54" s="134"/>
    </row>
    <row r="55" spans="1:19" s="32" customFormat="1" ht="49.5" customHeight="1" x14ac:dyDescent="0.2">
      <c r="B55" s="81" t="s">
        <v>106</v>
      </c>
      <c r="C55" s="33" t="s">
        <v>57</v>
      </c>
      <c r="D55" s="21">
        <f>ROUND(VLOOKUP("BHND1SO",'[2]NUOS (t)'!$B$10:$O$66,4,FALSE)/365,4)*1.1</f>
        <v>19.974020000000003</v>
      </c>
      <c r="E55" s="21"/>
      <c r="F55" s="21">
        <f>ROUND(VLOOKUP("BHND1SO",'[2]NUOS (t)'!$B$10:$O$66,6,FALSE),4)*1.1</f>
        <v>6.0251400000000004</v>
      </c>
      <c r="G55" s="21">
        <f>ROUND(VLOOKUP("BHND1SO",'[2]NUOS (t)'!$B$10:$O$66,7,FALSE),4)*1.1</f>
        <v>6.0251400000000004</v>
      </c>
      <c r="H55" s="21">
        <f>ROUND(VLOOKUP("BHND1SO",'[2]NUOS (t)'!$B$10:$O$66,8,FALSE),4)*1.1</f>
        <v>4.4697399999999998</v>
      </c>
      <c r="I55" s="21">
        <f>ROUND(VLOOKUP("BHND1SO",'[2]NUOS (t)'!$B$10:$O$66,9,FALSE),4)*1.1</f>
        <v>9.1250500000000017</v>
      </c>
      <c r="J55" s="21"/>
      <c r="K55" s="21"/>
      <c r="L55" s="21"/>
      <c r="M55" s="21">
        <f>ROUND(VLOOKUP("BHND1SO",'[2]NUOS (t)'!$B$10:$O$66,13,FALSE),4)*1.1</f>
        <v>3.3606100000000003</v>
      </c>
      <c r="N55" s="134" t="s">
        <v>93</v>
      </c>
      <c r="O55" s="134"/>
      <c r="P55" s="134"/>
      <c r="Q55" s="22"/>
      <c r="R55" s="22"/>
      <c r="S55" s="22"/>
    </row>
    <row r="56" spans="1:19" ht="90.75" customHeight="1" x14ac:dyDescent="0.2">
      <c r="B56" s="80" t="s">
        <v>96</v>
      </c>
      <c r="C56" s="33" t="s">
        <v>97</v>
      </c>
      <c r="D56" s="31"/>
      <c r="E56" s="31">
        <f>'Price List_Excl GST'!E73*1.1</f>
        <v>-44</v>
      </c>
      <c r="F56" s="31"/>
      <c r="G56" s="31"/>
      <c r="H56" s="31"/>
      <c r="I56" s="31"/>
      <c r="J56" s="31"/>
      <c r="K56" s="31"/>
      <c r="L56" s="31"/>
      <c r="M56" s="31"/>
      <c r="N56" s="134" t="s">
        <v>103</v>
      </c>
      <c r="O56" s="134"/>
      <c r="P56" s="134"/>
    </row>
    <row r="59" spans="1:19" x14ac:dyDescent="0.2">
      <c r="B59" s="130"/>
      <c r="C59" s="130"/>
      <c r="D59" s="130"/>
      <c r="E59" s="130"/>
      <c r="F59" s="130"/>
      <c r="G59" s="130"/>
      <c r="H59" s="130"/>
      <c r="I59" s="130"/>
      <c r="J59" s="130"/>
      <c r="K59" s="130"/>
      <c r="L59" s="130"/>
      <c r="M59" s="130"/>
      <c r="N59" s="130"/>
      <c r="O59" s="130"/>
      <c r="P59" s="130"/>
    </row>
    <row r="64" spans="1:19" s="46" customFormat="1" x14ac:dyDescent="0.2">
      <c r="A64" s="45"/>
    </row>
  </sheetData>
  <mergeCells count="50">
    <mergeCell ref="N55:P55"/>
    <mergeCell ref="B59:P59"/>
    <mergeCell ref="N53:P53"/>
    <mergeCell ref="N54:P54"/>
    <mergeCell ref="N56:P56"/>
    <mergeCell ref="N52:P52"/>
    <mergeCell ref="D35:E35"/>
    <mergeCell ref="D36:E36"/>
    <mergeCell ref="D38:E38"/>
    <mergeCell ref="D39:E39"/>
    <mergeCell ref="D41:E41"/>
    <mergeCell ref="B44:F44"/>
    <mergeCell ref="L44:M44"/>
    <mergeCell ref="N46:P49"/>
    <mergeCell ref="N50:P50"/>
    <mergeCell ref="N51:P51"/>
    <mergeCell ref="C46:C49"/>
    <mergeCell ref="B46:B49"/>
    <mergeCell ref="A17:A18"/>
    <mergeCell ref="D17:E17"/>
    <mergeCell ref="D18:E18"/>
    <mergeCell ref="D19:E19"/>
    <mergeCell ref="D20:E20"/>
    <mergeCell ref="D34:E34"/>
    <mergeCell ref="B3:F3"/>
    <mergeCell ref="I3:J3"/>
    <mergeCell ref="D9:E9"/>
    <mergeCell ref="D26:E26"/>
    <mergeCell ref="D14:E14"/>
    <mergeCell ref="D15:E15"/>
    <mergeCell ref="D21:E21"/>
    <mergeCell ref="D22:E22"/>
    <mergeCell ref="D23:E23"/>
    <mergeCell ref="D25:E25"/>
    <mergeCell ref="D10:E10"/>
    <mergeCell ref="D11:E11"/>
    <mergeCell ref="K12:L12"/>
    <mergeCell ref="K28:L28"/>
    <mergeCell ref="K33:L33"/>
    <mergeCell ref="B5:B7"/>
    <mergeCell ref="C5:C7"/>
    <mergeCell ref="D5:E7"/>
    <mergeCell ref="D27:E27"/>
    <mergeCell ref="D28:E28"/>
    <mergeCell ref="D30:E30"/>
    <mergeCell ref="D29:E29"/>
    <mergeCell ref="D31:E31"/>
    <mergeCell ref="D32:E32"/>
    <mergeCell ref="D33:E33"/>
    <mergeCell ref="D12:E12"/>
  </mergeCells>
  <pageMargins left="0.39370078740157483" right="0.39370078740157483" top="0.39370078740157483" bottom="0.39370078740157483" header="0.51181102362204722" footer="0.51181102362204722"/>
  <pageSetup paperSize="9" scale="61" fitToHeight="0" orientation="landscape" r:id="rId1"/>
  <headerFooter alignWithMargins="0"/>
  <rowBreaks count="1" manualBreakCount="1">
    <brk id="42" max="15" man="1"/>
  </rowBreaks>
  <ignoredErrors>
    <ignoredError sqref="E56 E51:E55 H40:M40 F40 B11:E12 B27:E28 B13:E21 B41:F41 B31:E40 B22:E23 B9:E10 B24:E25 B26:E26 B30:E30 B29:E29 G40 G41:M41"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2:S43"/>
  <sheetViews>
    <sheetView showGridLines="0" zoomScale="70" zoomScaleNormal="70" zoomScaleSheetLayoutView="58" workbookViewId="0">
      <selection activeCell="E39" sqref="E39:M43"/>
    </sheetView>
  </sheetViews>
  <sheetFormatPr defaultRowHeight="14.25" x14ac:dyDescent="0.2"/>
  <cols>
    <col min="1" max="1" width="1.88671875" style="15" customWidth="1"/>
    <col min="2" max="2" width="26" style="8" customWidth="1"/>
    <col min="3" max="3" width="29.77734375" style="8" customWidth="1"/>
    <col min="4" max="4" width="11.21875" style="8" customWidth="1"/>
    <col min="5" max="5" width="17.88671875" style="8" customWidth="1"/>
    <col min="6" max="16" width="10.5546875" style="8" customWidth="1"/>
    <col min="17" max="17" width="8.5546875" style="8" customWidth="1"/>
    <col min="18" max="18" width="63.77734375" style="8" customWidth="1"/>
    <col min="19" max="16384" width="8.88671875" style="8"/>
  </cols>
  <sheetData>
    <row r="2" spans="1:19" ht="33" x14ac:dyDescent="0.45">
      <c r="A2" s="1"/>
      <c r="B2" s="2" t="s">
        <v>180</v>
      </c>
      <c r="C2" s="3"/>
      <c r="D2" s="3"/>
      <c r="E2" s="3"/>
      <c r="F2" s="3"/>
      <c r="G2" s="4"/>
      <c r="H2" s="5"/>
      <c r="I2" s="5"/>
      <c r="J2" s="5"/>
      <c r="K2" s="4"/>
      <c r="L2" s="6"/>
      <c r="M2" s="7"/>
    </row>
    <row r="3" spans="1:19" ht="15.75" x14ac:dyDescent="0.25">
      <c r="A3" s="1"/>
      <c r="B3" s="136" t="s">
        <v>169</v>
      </c>
      <c r="C3" s="137"/>
      <c r="D3" s="137"/>
      <c r="E3" s="137"/>
      <c r="F3" s="137"/>
      <c r="G3" s="9"/>
      <c r="H3" s="9"/>
      <c r="I3" s="131"/>
      <c r="J3" s="131"/>
      <c r="K3" s="9"/>
      <c r="L3" s="9"/>
      <c r="M3" s="10"/>
    </row>
    <row r="4" spans="1:19" ht="15" x14ac:dyDescent="0.25">
      <c r="A4" s="1"/>
      <c r="B4" s="11"/>
      <c r="C4" s="12"/>
      <c r="D4" s="13"/>
      <c r="E4" s="13"/>
      <c r="F4" s="13"/>
      <c r="G4" s="13"/>
      <c r="H4" s="13"/>
      <c r="I4" s="13"/>
      <c r="J4" s="13"/>
      <c r="K4" s="13"/>
      <c r="L4" s="13"/>
      <c r="M4" s="14"/>
    </row>
    <row r="5" spans="1:19" ht="15" x14ac:dyDescent="0.25">
      <c r="B5" s="128" t="s">
        <v>107</v>
      </c>
      <c r="C5" s="127" t="s">
        <v>24</v>
      </c>
      <c r="D5" s="140" t="s">
        <v>9</v>
      </c>
      <c r="E5" s="141"/>
      <c r="F5" s="57" t="s">
        <v>1</v>
      </c>
      <c r="G5" s="57" t="s">
        <v>2</v>
      </c>
      <c r="H5" s="40" t="s">
        <v>2</v>
      </c>
      <c r="I5" s="40" t="s">
        <v>2</v>
      </c>
      <c r="J5" s="40" t="s">
        <v>2</v>
      </c>
      <c r="K5" s="40" t="s">
        <v>4</v>
      </c>
      <c r="L5" s="40" t="s">
        <v>5</v>
      </c>
      <c r="M5" s="40" t="s">
        <v>6</v>
      </c>
    </row>
    <row r="6" spans="1:19" ht="15" x14ac:dyDescent="0.2">
      <c r="B6" s="128"/>
      <c r="C6" s="128"/>
      <c r="D6" s="140"/>
      <c r="E6" s="141"/>
      <c r="F6" s="83" t="s">
        <v>10</v>
      </c>
      <c r="G6" s="83" t="s">
        <v>177</v>
      </c>
      <c r="H6" s="83" t="s">
        <v>4</v>
      </c>
      <c r="I6" s="83" t="s">
        <v>5</v>
      </c>
      <c r="J6" s="83" t="s">
        <v>6</v>
      </c>
      <c r="K6" s="83" t="s">
        <v>3</v>
      </c>
      <c r="L6" s="83" t="s">
        <v>3</v>
      </c>
      <c r="M6" s="83" t="s">
        <v>3</v>
      </c>
    </row>
    <row r="7" spans="1:19" ht="15" x14ac:dyDescent="0.2">
      <c r="B7" s="128"/>
      <c r="C7" s="129"/>
      <c r="D7" s="140"/>
      <c r="E7" s="141"/>
      <c r="F7" s="83" t="s">
        <v>13</v>
      </c>
      <c r="G7" s="83" t="s">
        <v>14</v>
      </c>
      <c r="H7" s="83" t="s">
        <v>14</v>
      </c>
      <c r="I7" s="83" t="s">
        <v>14</v>
      </c>
      <c r="J7" s="83" t="s">
        <v>14</v>
      </c>
      <c r="K7" s="83" t="s">
        <v>15</v>
      </c>
      <c r="L7" s="83" t="s">
        <v>15</v>
      </c>
      <c r="M7" s="83" t="s">
        <v>15</v>
      </c>
    </row>
    <row r="8" spans="1:19" s="18" customFormat="1" ht="18" x14ac:dyDescent="0.25">
      <c r="A8" s="16"/>
      <c r="B8" s="60" t="s">
        <v>16</v>
      </c>
      <c r="C8" s="61"/>
      <c r="D8" s="62"/>
      <c r="E8" s="63"/>
      <c r="F8" s="64"/>
      <c r="G8" s="64"/>
      <c r="H8" s="64"/>
      <c r="I8" s="64"/>
      <c r="J8" s="64"/>
      <c r="K8" s="64"/>
      <c r="L8" s="64"/>
      <c r="M8" s="64"/>
      <c r="N8" s="65"/>
      <c r="O8" s="65"/>
    </row>
    <row r="9" spans="1:19" ht="14.25" customHeight="1" x14ac:dyDescent="0.2">
      <c r="B9" s="19" t="s">
        <v>25</v>
      </c>
      <c r="C9" s="20"/>
      <c r="D9" s="123" t="s">
        <v>184</v>
      </c>
      <c r="E9" s="124"/>
      <c r="F9" s="21">
        <f>ROUND(VLOOKUP($B9,'[2]DUOS (t)'!$B$10:$O$66,4,FALSE)/365,4)</f>
        <v>0.79510000000000003</v>
      </c>
      <c r="G9" s="21">
        <f>ROUND(VLOOKUP($B9,'[2]DUOS (t)'!$B$10:$O$66,5,FALSE),4)</f>
        <v>7.9623999999999997</v>
      </c>
      <c r="H9" s="21"/>
      <c r="I9" s="21"/>
      <c r="J9" s="21"/>
      <c r="K9" s="21"/>
      <c r="L9" s="21"/>
      <c r="M9" s="21"/>
      <c r="N9" s="22"/>
      <c r="O9" s="22"/>
    </row>
    <row r="10" spans="1:19" ht="14.25" customHeight="1" x14ac:dyDescent="0.2">
      <c r="B10" s="19" t="s">
        <v>26</v>
      </c>
      <c r="C10" s="20"/>
      <c r="D10" s="123" t="s">
        <v>42</v>
      </c>
      <c r="E10" s="124"/>
      <c r="F10" s="21">
        <f>ROUND(VLOOKUP($B10,'[2]DUOS (t)'!$B$10:$O$66,4,FALSE)/365,4)</f>
        <v>0.79510000000000003</v>
      </c>
      <c r="G10" s="21"/>
      <c r="H10" s="21">
        <f>ROUND(VLOOKUP($B10,'[2]DUOS (t)'!$B$10:$O$66,6,FALSE),4)</f>
        <v>10.016400000000001</v>
      </c>
      <c r="I10" s="21">
        <f>ROUND(VLOOKUP($B10,'[2]DUOS (t)'!$B$10:$O$66,7,FALSE),4)</f>
        <v>9.0624000000000002</v>
      </c>
      <c r="J10" s="21">
        <f>ROUND(VLOOKUP($B10,'[2]DUOS (t)'!$B$10:$O$66,8,FALSE),4)</f>
        <v>2.5630999999999999</v>
      </c>
      <c r="K10" s="21"/>
      <c r="L10" s="21"/>
      <c r="M10" s="21"/>
      <c r="N10" s="22"/>
      <c r="O10" s="22"/>
      <c r="P10" s="56"/>
      <c r="Q10" s="22"/>
      <c r="R10" s="22"/>
    </row>
    <row r="11" spans="1:19" ht="14.25" customHeight="1" x14ac:dyDescent="0.2">
      <c r="B11" s="19" t="s">
        <v>170</v>
      </c>
      <c r="C11" s="20"/>
      <c r="D11" s="123" t="s">
        <v>171</v>
      </c>
      <c r="E11" s="124"/>
      <c r="F11" s="21">
        <f>ROUND(VLOOKUP($B11,'[2]DUOS (t)'!$B$10:$O$66,4,FALSE)/365,4)</f>
        <v>0.79510000000000003</v>
      </c>
      <c r="G11" s="21"/>
      <c r="H11" s="21">
        <f>ROUND(VLOOKUP($B11,'[2]DUOS (t)'!$B$10:$O$66,6,FALSE),4)</f>
        <v>10.517200000000001</v>
      </c>
      <c r="I11" s="21">
        <f>ROUND(VLOOKUP($B11,'[2]DUOS (t)'!$B$10:$O$66,7,FALSE),4)</f>
        <v>8.6092999999999993</v>
      </c>
      <c r="J11" s="21">
        <f>ROUND(VLOOKUP($B11,'[2]DUOS (t)'!$B$10:$O$66,8,FALSE),4)</f>
        <v>2.5630999999999999</v>
      </c>
      <c r="K11" s="21"/>
      <c r="L11" s="21"/>
      <c r="M11" s="21"/>
      <c r="N11" s="22"/>
      <c r="O11" s="22"/>
      <c r="P11" s="22"/>
      <c r="Q11" s="22"/>
      <c r="R11" s="22"/>
      <c r="S11" s="22"/>
    </row>
    <row r="12" spans="1:19" ht="14.25" customHeight="1" x14ac:dyDescent="0.2">
      <c r="B12" s="19" t="s">
        <v>172</v>
      </c>
      <c r="C12" s="20"/>
      <c r="D12" s="123" t="s">
        <v>186</v>
      </c>
      <c r="E12" s="124"/>
      <c r="F12" s="21">
        <f>ROUND(VLOOKUP($B12,'[2]DUOS (t)'!$B$10:$O$66,4,FALSE)/365,4)</f>
        <v>0.79510000000000003</v>
      </c>
      <c r="G12" s="21"/>
      <c r="H12" s="21">
        <f>ROUND(VLOOKUP($B12,'[2]DUOS (t)'!$B$10:$O$66,6,FALSE),4)</f>
        <v>0.81669999999999998</v>
      </c>
      <c r="I12" s="21">
        <f>ROUND(VLOOKUP($B12,'[2]DUOS (t)'!$B$10:$O$66,7,FALSE),4)</f>
        <v>0.51039999999999996</v>
      </c>
      <c r="J12" s="21">
        <f>ROUND(VLOOKUP($B12,'[2]DUOS (t)'!$B$10:$O$66,8,FALSE),4)</f>
        <v>0.25519999999999998</v>
      </c>
      <c r="K12" s="125">
        <f>ROUND(VLOOKUP($B12,'[2]DUOS (t)'!$B$10:$O$66,10,FALSE),4)</f>
        <v>3.9081999999999999</v>
      </c>
      <c r="L12" s="126"/>
      <c r="M12" s="21"/>
      <c r="N12" s="22"/>
      <c r="O12" s="22"/>
      <c r="P12" s="22"/>
      <c r="Q12" s="22"/>
      <c r="R12" s="22"/>
      <c r="S12" s="22"/>
    </row>
    <row r="13" spans="1:19" ht="18" x14ac:dyDescent="0.25">
      <c r="B13" s="61" t="s">
        <v>19</v>
      </c>
      <c r="C13" s="61"/>
      <c r="D13" s="66"/>
      <c r="E13" s="67"/>
      <c r="F13" s="68"/>
      <c r="G13" s="69"/>
      <c r="H13" s="69"/>
      <c r="I13" s="69"/>
      <c r="J13" s="69"/>
      <c r="K13" s="69"/>
      <c r="L13" s="69"/>
      <c r="M13" s="69"/>
      <c r="N13" s="70"/>
      <c r="O13" s="70"/>
      <c r="P13" s="22"/>
      <c r="Q13" s="22"/>
      <c r="R13" s="22"/>
      <c r="S13" s="22"/>
    </row>
    <row r="14" spans="1:19" ht="14.25" customHeight="1" x14ac:dyDescent="0.2">
      <c r="B14" s="19" t="s">
        <v>27</v>
      </c>
      <c r="C14" s="20"/>
      <c r="D14" s="123" t="s">
        <v>39</v>
      </c>
      <c r="E14" s="124"/>
      <c r="F14" s="21">
        <f>ROUND(VLOOKUP($B14,'[2]DUOS (t)'!$B$10:$O$66,4,FALSE)/365,4)</f>
        <v>8.8900000000000007E-2</v>
      </c>
      <c r="G14" s="21">
        <f>ROUND(VLOOKUP($B14,'[2]DUOS (t)'!$B$10:$O$66,5,FALSE),4)</f>
        <v>0.36109999999999998</v>
      </c>
      <c r="H14" s="21"/>
      <c r="I14" s="21"/>
      <c r="J14" s="21"/>
      <c r="K14" s="21"/>
      <c r="L14" s="21"/>
      <c r="M14" s="21"/>
      <c r="N14" s="22"/>
      <c r="O14" s="22"/>
      <c r="P14" s="22"/>
      <c r="Q14" s="22"/>
      <c r="R14" s="22"/>
      <c r="S14" s="22"/>
    </row>
    <row r="15" spans="1:19" ht="14.25" customHeight="1" x14ac:dyDescent="0.2">
      <c r="B15" s="19" t="s">
        <v>28</v>
      </c>
      <c r="C15" s="20"/>
      <c r="D15" s="123" t="s">
        <v>40</v>
      </c>
      <c r="E15" s="124"/>
      <c r="F15" s="21">
        <f>ROUND(VLOOKUP($B15,'[2]DUOS (t)'!$B$10:$O$66,4,FALSE)/365,4)</f>
        <v>8.8900000000000007E-2</v>
      </c>
      <c r="G15" s="21">
        <f>ROUND(VLOOKUP($B15,'[2]DUOS (t)'!$B$10:$O$66,5,FALSE),4)</f>
        <v>2.4095</v>
      </c>
      <c r="H15" s="21"/>
      <c r="I15" s="21"/>
      <c r="J15" s="21"/>
      <c r="K15" s="21"/>
      <c r="L15" s="21"/>
      <c r="M15" s="21"/>
      <c r="N15" s="22"/>
      <c r="O15" s="22"/>
      <c r="P15" s="22"/>
      <c r="Q15" s="22"/>
      <c r="R15" s="22"/>
    </row>
    <row r="16" spans="1:19" ht="18" x14ac:dyDescent="0.25">
      <c r="B16" s="71" t="s">
        <v>18</v>
      </c>
      <c r="C16" s="71"/>
      <c r="D16" s="72"/>
      <c r="E16" s="73"/>
      <c r="F16" s="74"/>
      <c r="G16" s="74"/>
      <c r="H16" s="74"/>
      <c r="I16" s="74"/>
      <c r="J16" s="74"/>
      <c r="K16" s="74"/>
      <c r="L16" s="74"/>
      <c r="M16" s="74"/>
      <c r="N16" s="70"/>
      <c r="O16" s="70"/>
      <c r="P16" s="22"/>
      <c r="Q16" s="22"/>
      <c r="R16" s="22"/>
      <c r="S16" s="22"/>
    </row>
    <row r="17" spans="1:19" ht="14.25" customHeight="1" x14ac:dyDescent="0.2">
      <c r="B17" s="19" t="s">
        <v>29</v>
      </c>
      <c r="C17" s="20"/>
      <c r="D17" s="123" t="s">
        <v>185</v>
      </c>
      <c r="E17" s="124"/>
      <c r="F17" s="21">
        <f>ROUND(VLOOKUP($B17,'[2]DUOS (t)'!$B$10:$O$66,4,FALSE)/365,4)</f>
        <v>0.79510000000000003</v>
      </c>
      <c r="G17" s="21">
        <f>ROUND(VLOOKUP($B17,'[2]DUOS (t)'!$B$10:$O$66,5,FALSE),4)</f>
        <v>11.4727</v>
      </c>
      <c r="H17" s="21"/>
      <c r="I17" s="21"/>
      <c r="J17" s="21"/>
      <c r="K17" s="21"/>
      <c r="L17" s="21"/>
      <c r="M17" s="21"/>
      <c r="N17" s="22"/>
      <c r="O17" s="22"/>
      <c r="P17" s="22"/>
      <c r="Q17" s="22"/>
      <c r="R17" s="22"/>
      <c r="S17" s="22"/>
    </row>
    <row r="18" spans="1:19" ht="14.25" customHeight="1" x14ac:dyDescent="0.2">
      <c r="B18" s="19" t="s">
        <v>30</v>
      </c>
      <c r="C18" s="20"/>
      <c r="D18" s="123" t="s">
        <v>43</v>
      </c>
      <c r="E18" s="124"/>
      <c r="F18" s="21">
        <f>ROUND(VLOOKUP($B18,'[2]DUOS (t)'!$B$10:$O$66,4,FALSE)/365,4)</f>
        <v>6.2929000000000004</v>
      </c>
      <c r="G18" s="21"/>
      <c r="H18" s="21">
        <f>ROUND(VLOOKUP($B18,'[2]DUOS (t)'!$B$10:$O$66,6,FALSE),4)</f>
        <v>10.4619</v>
      </c>
      <c r="I18" s="21">
        <f>ROUND(VLOOKUP($B18,'[2]DUOS (t)'!$B$10:$O$66,7,FALSE),4)</f>
        <v>9.4655000000000005</v>
      </c>
      <c r="J18" s="21">
        <f>ROUND(VLOOKUP($B18,'[2]DUOS (t)'!$B$10:$O$66,8,FALSE),4)</f>
        <v>4.1745000000000001</v>
      </c>
      <c r="K18" s="21"/>
      <c r="L18" s="21"/>
      <c r="M18" s="21"/>
      <c r="N18" s="22"/>
      <c r="O18" s="22"/>
    </row>
    <row r="19" spans="1:19" ht="14.25" customHeight="1" x14ac:dyDescent="0.2">
      <c r="B19" s="19" t="s">
        <v>174</v>
      </c>
      <c r="C19" s="20"/>
      <c r="D19" s="123" t="s">
        <v>175</v>
      </c>
      <c r="E19" s="124"/>
      <c r="F19" s="21">
        <f>ROUND(VLOOKUP($B19,'[2]DUOS (t)'!$B$10:$O$66,4,FALSE)/365,4)</f>
        <v>1.3984000000000001</v>
      </c>
      <c r="G19" s="21"/>
      <c r="H19" s="21">
        <f>ROUND(VLOOKUP($B19,'[2]DUOS (t)'!$B$10:$O$66,6,FALSE),4)</f>
        <v>10.9849</v>
      </c>
      <c r="I19" s="21">
        <f>ROUND(VLOOKUP($B19,'[2]DUOS (t)'!$B$10:$O$66,7,FALSE),4)</f>
        <v>8.9922000000000004</v>
      </c>
      <c r="J19" s="21">
        <f>ROUND(VLOOKUP($B19,'[2]DUOS (t)'!$B$10:$O$66,8,FALSE),4)</f>
        <v>3.9658000000000002</v>
      </c>
      <c r="K19" s="21"/>
      <c r="L19" s="21"/>
      <c r="M19" s="21"/>
      <c r="N19" s="22"/>
      <c r="O19" s="22"/>
    </row>
    <row r="20" spans="1:19" ht="14.25" customHeight="1" x14ac:dyDescent="0.2">
      <c r="B20" s="19" t="s">
        <v>176</v>
      </c>
      <c r="C20" s="20"/>
      <c r="D20" s="123" t="s">
        <v>187</v>
      </c>
      <c r="E20" s="124"/>
      <c r="F20" s="21">
        <f>ROUND(VLOOKUP($B20,'[2]DUOS (t)'!$B$10:$O$66,4,FALSE)/365,4)</f>
        <v>1.3984000000000001</v>
      </c>
      <c r="G20" s="21"/>
      <c r="H20" s="21">
        <f>ROUND(VLOOKUP($B20,'[2]DUOS (t)'!$B$10:$O$66,6,FALSE),4)</f>
        <v>1.6</v>
      </c>
      <c r="I20" s="21">
        <f>ROUND(VLOOKUP($B20,'[2]DUOS (t)'!$B$10:$O$66,7,FALSE),4)</f>
        <v>1</v>
      </c>
      <c r="J20" s="21">
        <f>ROUND(VLOOKUP($B20,'[2]DUOS (t)'!$B$10:$O$66,8,FALSE),4)</f>
        <v>0.375</v>
      </c>
      <c r="K20" s="125">
        <f>ROUND(VLOOKUP($B20,'[2]DUOS (t)'!$B$10:$O$66,10,FALSE),4)</f>
        <v>6.3507999999999996</v>
      </c>
      <c r="L20" s="126"/>
      <c r="M20" s="21"/>
      <c r="N20" s="22"/>
      <c r="O20" s="22"/>
    </row>
    <row r="21" spans="1:19" ht="14.25" customHeight="1" x14ac:dyDescent="0.2">
      <c r="B21" s="19" t="s">
        <v>31</v>
      </c>
      <c r="C21" s="20" t="s">
        <v>173</v>
      </c>
      <c r="D21" s="123" t="s">
        <v>116</v>
      </c>
      <c r="E21" s="124"/>
      <c r="F21" s="21">
        <f>ROUND(VLOOKUP($B21,'[2]DUOS (t)'!$B$10:$O$66,4,FALSE)/365,4)</f>
        <v>6.2929000000000004</v>
      </c>
      <c r="G21" s="21"/>
      <c r="H21" s="21">
        <f>ROUND(VLOOKUP($B21,'[2]DUOS (t)'!$B$10:$O$66,6,FALSE),4)</f>
        <v>10.4619</v>
      </c>
      <c r="I21" s="21">
        <f>ROUND(VLOOKUP($B21,'[2]DUOS (t)'!$B$10:$O$66,7,FALSE),4)</f>
        <v>9.4655000000000005</v>
      </c>
      <c r="J21" s="21">
        <f>ROUND(VLOOKUP($B21,'[2]DUOS (t)'!$B$10:$O$66,8,FALSE),4)</f>
        <v>4.1745000000000001</v>
      </c>
      <c r="K21" s="21"/>
      <c r="L21" s="21"/>
      <c r="M21" s="21"/>
      <c r="N21" s="22"/>
      <c r="O21" s="22"/>
    </row>
    <row r="22" spans="1:19" ht="14.25" customHeight="1" x14ac:dyDescent="0.2">
      <c r="B22" s="19" t="s">
        <v>178</v>
      </c>
      <c r="C22" s="20"/>
      <c r="D22" s="123" t="s">
        <v>179</v>
      </c>
      <c r="E22" s="124"/>
      <c r="F22" s="21">
        <f>ROUND(VLOOKUP($B22,'[2]DUOS (t)'!$B$10:$O$66,4,FALSE)/365,4)</f>
        <v>9.6654</v>
      </c>
      <c r="G22" s="21"/>
      <c r="H22" s="21">
        <f>ROUND(VLOOKUP($B22,'[2]DUOS (t)'!$B$10:$O$66,6,FALSE),4)</f>
        <v>6.5693999999999999</v>
      </c>
      <c r="I22" s="21">
        <f>ROUND(VLOOKUP($B22,'[2]DUOS (t)'!$B$10:$O$66,7,FALSE),4)</f>
        <v>5.9436999999999998</v>
      </c>
      <c r="J22" s="21">
        <f>ROUND(VLOOKUP($B22,'[2]DUOS (t)'!$B$10:$O$66,8,FALSE),4)</f>
        <v>2.5743</v>
      </c>
      <c r="K22" s="21">
        <f>ROUND(VLOOKUP($B22,'[2]DUOS (t)'!$B$10:$O$66,10,FALSE),4)</f>
        <v>3.9474999999999998</v>
      </c>
      <c r="L22" s="21">
        <f>ROUND(VLOOKUP($B22,'[2]DUOS (t)'!$B$10:$O$66,11,FALSE),4)</f>
        <v>3.5716000000000001</v>
      </c>
      <c r="M22" s="21">
        <f>ROUND(VLOOKUP($B22,'[2]DUOS (t)'!$B$10:$O$66,12,FALSE),4)</f>
        <v>0.85929999999999995</v>
      </c>
      <c r="N22" s="22"/>
      <c r="O22" s="22"/>
    </row>
    <row r="23" spans="1:19" ht="14.25" customHeight="1" x14ac:dyDescent="0.2">
      <c r="B23" s="19" t="s">
        <v>32</v>
      </c>
      <c r="C23" s="20"/>
      <c r="D23" s="123" t="s">
        <v>47</v>
      </c>
      <c r="E23" s="124"/>
      <c r="F23" s="21">
        <f>ROUND(VLOOKUP($B23,'[2]DUOS (t)'!$B$10:$O$66,4,FALSE)/365,4)</f>
        <v>14.7242</v>
      </c>
      <c r="G23" s="21"/>
      <c r="H23" s="21">
        <f>ROUND(VLOOKUP($B23,'[2]DUOS (t)'!$B$10:$O$66,6,FALSE),4)</f>
        <v>0.73070000000000002</v>
      </c>
      <c r="I23" s="21">
        <f>ROUND(VLOOKUP($B23,'[2]DUOS (t)'!$B$10:$O$66,7,FALSE),4)</f>
        <v>0.66110000000000002</v>
      </c>
      <c r="J23" s="21">
        <f>ROUND(VLOOKUP($B23,'[2]DUOS (t)'!$B$10:$O$66,8,FALSE),4)</f>
        <v>0.1739</v>
      </c>
      <c r="K23" s="21">
        <f>ROUND(VLOOKUP($B23,'[2]DUOS (t)'!$B$10:$O$66,10,FALSE),4)</f>
        <v>9.8688000000000002</v>
      </c>
      <c r="L23" s="21">
        <f>ROUND(VLOOKUP($B23,'[2]DUOS (t)'!$B$10:$O$66,11,FALSE),4)</f>
        <v>8.9289000000000005</v>
      </c>
      <c r="M23" s="21">
        <f>ROUND(VLOOKUP($B23,'[2]DUOS (t)'!$B$10:$O$66,12,FALSE),4)</f>
        <v>2.1482000000000001</v>
      </c>
      <c r="N23" s="22"/>
      <c r="O23" s="97"/>
    </row>
    <row r="24" spans="1:19" ht="14.25" customHeight="1" x14ac:dyDescent="0.2">
      <c r="B24" s="19" t="s">
        <v>33</v>
      </c>
      <c r="C24" s="20"/>
      <c r="D24" s="123" t="s">
        <v>58</v>
      </c>
      <c r="E24" s="124"/>
      <c r="F24" s="21">
        <f>ROUND(VLOOKUP($B24,'[2]DUOS (t)'!$B$10:$O$66,4,FALSE)/365,4)</f>
        <v>14.7242</v>
      </c>
      <c r="G24" s="21"/>
      <c r="H24" s="21">
        <f>ROUND(VLOOKUP($B24,'[2]DUOS (t)'!$B$10:$O$66,6,FALSE),4)</f>
        <v>0.39389999999999997</v>
      </c>
      <c r="I24" s="21">
        <f>ROUND(VLOOKUP($B24,'[2]DUOS (t)'!$B$10:$O$66,7,FALSE),4)</f>
        <v>0.35639999999999999</v>
      </c>
      <c r="J24" s="21">
        <f>ROUND(VLOOKUP($B24,'[2]DUOS (t)'!$B$10:$O$66,8,FALSE),4)</f>
        <v>5.28E-2</v>
      </c>
      <c r="K24" s="21">
        <f>ROUND(VLOOKUP($B24,'[2]DUOS (t)'!$B$10:$O$66,10,FALSE),4)</f>
        <v>10.5982</v>
      </c>
      <c r="L24" s="21">
        <f>ROUND(VLOOKUP($B24,'[2]DUOS (t)'!$B$10:$O$66,11,FALSE),4)</f>
        <v>9.5888000000000009</v>
      </c>
      <c r="M24" s="21">
        <f>ROUND(VLOOKUP($B24,'[2]DUOS (t)'!$B$10:$O$66,12,FALSE),4)</f>
        <v>2.4506999999999999</v>
      </c>
      <c r="N24" s="22"/>
      <c r="O24" s="22"/>
    </row>
    <row r="25" spans="1:19" ht="14.25" customHeight="1" x14ac:dyDescent="0.2">
      <c r="B25" s="19" t="s">
        <v>61</v>
      </c>
      <c r="C25" s="20"/>
      <c r="D25" s="123" t="s">
        <v>74</v>
      </c>
      <c r="E25" s="124"/>
      <c r="F25" s="21">
        <f>ROUND(VLOOKUP($B25,'[2]DUOS (t)'!$B$10:$O$66,4,FALSE)/365,4)</f>
        <v>14.7242</v>
      </c>
      <c r="G25" s="21"/>
      <c r="H25" s="21">
        <f>ROUND(VLOOKUP($B25,'[2]DUOS (t)'!$B$10:$O$66,6,FALSE),4)</f>
        <v>9.0861000000000001</v>
      </c>
      <c r="I25" s="21">
        <f>ROUND(VLOOKUP($B25,'[2]DUOS (t)'!$B$10:$O$66,7,FALSE),4)</f>
        <v>8.2207000000000008</v>
      </c>
      <c r="J25" s="21">
        <f>ROUND(VLOOKUP($B25,'[2]DUOS (t)'!$B$10:$O$66,8,FALSE),4)</f>
        <v>2.4782000000000002</v>
      </c>
      <c r="K25" s="125">
        <f>ROUND(VLOOKUP($B25,'[2]DUOS (t)'!$B$10:$O$66,10,FALSE),4)</f>
        <v>11.655099999999999</v>
      </c>
      <c r="L25" s="126"/>
      <c r="M25" s="21"/>
      <c r="N25" s="22"/>
      <c r="O25" s="22"/>
    </row>
    <row r="26" spans="1:19" ht="14.25" customHeight="1" x14ac:dyDescent="0.2">
      <c r="B26" s="19" t="s">
        <v>34</v>
      </c>
      <c r="C26" s="20"/>
      <c r="D26" s="123" t="s">
        <v>41</v>
      </c>
      <c r="E26" s="124"/>
      <c r="F26" s="21">
        <f>ROUND(VLOOKUP($B26,'[2]DUOS (t)'!$B$10:$O$66,4,FALSE)/365,4)</f>
        <v>18.226199999999999</v>
      </c>
      <c r="G26" s="21"/>
      <c r="H26" s="21">
        <f>ROUND(VLOOKUP($B26,'[2]DUOS (t)'!$B$10:$O$66,6,FALSE),4)</f>
        <v>0.56040000000000001</v>
      </c>
      <c r="I26" s="21">
        <f>ROUND(VLOOKUP($B26,'[2]DUOS (t)'!$B$10:$O$66,7,FALSE),4)</f>
        <v>0.5071</v>
      </c>
      <c r="J26" s="21">
        <f>ROUND(VLOOKUP($B26,'[2]DUOS (t)'!$B$10:$O$66,8,FALSE),4)</f>
        <v>0.26100000000000001</v>
      </c>
      <c r="K26" s="21">
        <f>ROUND(VLOOKUP($B26,'[2]DUOS (t)'!$B$10:$O$66,10,FALSE),4)</f>
        <v>8.6575000000000006</v>
      </c>
      <c r="L26" s="21">
        <f>ROUND(VLOOKUP($B26,'[2]DUOS (t)'!$B$10:$O$66,11,FALSE),4)</f>
        <v>7.8330000000000002</v>
      </c>
      <c r="M26" s="21">
        <f>ROUND(VLOOKUP($B26,'[2]DUOS (t)'!$B$10:$O$66,12,FALSE),4)</f>
        <v>2.3439999999999999</v>
      </c>
      <c r="N26" s="22"/>
      <c r="O26" s="22"/>
    </row>
    <row r="27" spans="1:19" s="43" customFormat="1" ht="14.25" customHeight="1" x14ac:dyDescent="0.2">
      <c r="A27" s="42"/>
      <c r="B27" s="19" t="s">
        <v>35</v>
      </c>
      <c r="C27" s="20"/>
      <c r="D27" s="138" t="s">
        <v>59</v>
      </c>
      <c r="E27" s="139"/>
      <c r="F27" s="21">
        <f>ROUND(VLOOKUP($B27,'[2]DUOS (t)'!$B$10:$O$66,4,FALSE)/365,4)</f>
        <v>17.715399999999999</v>
      </c>
      <c r="G27" s="21"/>
      <c r="H27" s="21">
        <f>ROUND(VLOOKUP($B27,'[2]DUOS (t)'!$B$10:$O$66,6,FALSE),4)</f>
        <v>0.54469999999999996</v>
      </c>
      <c r="I27" s="21">
        <f>ROUND(VLOOKUP($B27,'[2]DUOS (t)'!$B$10:$O$66,7,FALSE),4)</f>
        <v>0.4929</v>
      </c>
      <c r="J27" s="21">
        <f>ROUND(VLOOKUP($B27,'[2]DUOS (t)'!$B$10:$O$66,8,FALSE),4)</f>
        <v>0.25359999999999999</v>
      </c>
      <c r="K27" s="21">
        <f>ROUND(VLOOKUP($B27,'[2]DUOS (t)'!$B$10:$O$66,10,FALSE),4)</f>
        <v>9.1675000000000004</v>
      </c>
      <c r="L27" s="21">
        <f>ROUND(VLOOKUP($B27,'[2]DUOS (t)'!$B$10:$O$66,11,FALSE),4)</f>
        <v>8.2943999999999996</v>
      </c>
      <c r="M27" s="21">
        <f>ROUND(VLOOKUP($B27,'[2]DUOS (t)'!$B$10:$O$66,12,FALSE),4)</f>
        <v>2.4820000000000002</v>
      </c>
      <c r="N27" s="22"/>
      <c r="O27" s="22"/>
    </row>
    <row r="28" spans="1:19" ht="14.25" customHeight="1" x14ac:dyDescent="0.2">
      <c r="B28" s="19" t="s">
        <v>23</v>
      </c>
      <c r="C28" s="20"/>
      <c r="D28" s="138" t="s">
        <v>38</v>
      </c>
      <c r="E28" s="139"/>
      <c r="F28" s="21">
        <f>ROUND(VLOOKUP($B28,'[2]DUOS (t)'!$B$10:$O$66,4,FALSE)/365,4)</f>
        <v>18.092199999999998</v>
      </c>
      <c r="G28" s="21"/>
      <c r="H28" s="21">
        <f>ROUND(VLOOKUP($B28,'[2]DUOS (t)'!$B$10:$O$66,6,FALSE),4)</f>
        <v>0.19969999999999999</v>
      </c>
      <c r="I28" s="21">
        <f>ROUND(VLOOKUP($B28,'[2]DUOS (t)'!$B$10:$O$66,7,FALSE),4)</f>
        <v>0.11509999999999999</v>
      </c>
      <c r="J28" s="21">
        <f>ROUND(VLOOKUP($B28,'[2]DUOS (t)'!$B$10:$O$66,8,FALSE),4)</f>
        <v>9.4700000000000006E-2</v>
      </c>
      <c r="K28" s="21">
        <f>ROUND(VLOOKUP($B28,'[2]DUOS (t)'!$B$10:$O$66,10,FALSE),4)</f>
        <v>3.3409</v>
      </c>
      <c r="L28" s="21">
        <f>ROUND(VLOOKUP($B28,'[2]DUOS (t)'!$B$10:$O$66,11,FALSE),4)</f>
        <v>2.3816999999999999</v>
      </c>
      <c r="M28" s="21">
        <f>ROUND(VLOOKUP($B28,'[2]DUOS (t)'!$B$10:$O$66,12,FALSE),4)</f>
        <v>0.94940000000000002</v>
      </c>
    </row>
    <row r="29" spans="1:19" ht="18" x14ac:dyDescent="0.25">
      <c r="B29" s="71" t="s">
        <v>45</v>
      </c>
      <c r="C29" s="71"/>
      <c r="D29" s="72"/>
      <c r="E29" s="73"/>
      <c r="F29" s="75"/>
      <c r="G29" s="75"/>
      <c r="H29" s="75"/>
      <c r="I29" s="75"/>
      <c r="J29" s="75"/>
      <c r="K29" s="75"/>
      <c r="L29" s="75"/>
      <c r="M29" s="75"/>
      <c r="N29" s="65"/>
      <c r="O29" s="65"/>
    </row>
    <row r="30" spans="1:19" ht="14.25" customHeight="1" x14ac:dyDescent="0.2">
      <c r="B30" s="19" t="s">
        <v>36</v>
      </c>
      <c r="C30" s="20" t="s">
        <v>44</v>
      </c>
      <c r="D30" s="123" t="s">
        <v>109</v>
      </c>
      <c r="E30" s="124"/>
      <c r="F30" s="21">
        <f>ROUND(VLOOKUP($B30,'[2]DUOS (t)'!$B$10:$O$66,4,FALSE)/365,4)</f>
        <v>0.70550000000000002</v>
      </c>
      <c r="G30" s="21">
        <f>ROUND(VLOOKUP($B30,'[2]DUOS (t)'!$B$10:$O$66,5,FALSE),4)</f>
        <v>12.657</v>
      </c>
      <c r="H30" s="21"/>
      <c r="I30" s="21"/>
      <c r="J30" s="21"/>
      <c r="K30" s="21"/>
      <c r="L30" s="21"/>
      <c r="M30" s="21"/>
    </row>
    <row r="31" spans="1:19" ht="14.25" customHeight="1" x14ac:dyDescent="0.2">
      <c r="B31" s="19" t="s">
        <v>37</v>
      </c>
      <c r="C31" s="20"/>
      <c r="D31" s="123" t="s">
        <v>110</v>
      </c>
      <c r="E31" s="124"/>
      <c r="F31" s="21">
        <f>ROUND(VLOOKUP($B31,'[2]DUOS (t)'!$B$10:$O$66,4,FALSE)/365,4)</f>
        <v>0</v>
      </c>
      <c r="G31" s="21"/>
      <c r="H31" s="21">
        <f>ROUND(VLOOKUP($B31,'[2]DUOS (t)'!$B$10:$O$66,6,FALSE),4)</f>
        <v>12.2295</v>
      </c>
      <c r="I31" s="21">
        <f>ROUND(VLOOKUP($B31,'[2]DUOS (t)'!$B$10:$O$66,7,FALSE),4)</f>
        <v>11.0648</v>
      </c>
      <c r="J31" s="21">
        <f>ROUND(VLOOKUP($B31,'[2]DUOS (t)'!$B$10:$O$66,8,FALSE),4)</f>
        <v>4.4648000000000003</v>
      </c>
      <c r="K31" s="21"/>
      <c r="L31" s="21"/>
      <c r="M31" s="21"/>
    </row>
    <row r="32" spans="1:19" ht="18" x14ac:dyDescent="0.25">
      <c r="B32" s="71" t="s">
        <v>69</v>
      </c>
      <c r="C32" s="71"/>
      <c r="D32" s="72"/>
      <c r="E32" s="73"/>
      <c r="F32" s="75"/>
      <c r="G32" s="75"/>
      <c r="H32" s="75"/>
      <c r="I32" s="75"/>
      <c r="J32" s="75"/>
      <c r="K32" s="75"/>
      <c r="L32" s="75"/>
      <c r="M32" s="75"/>
      <c r="N32" s="65"/>
      <c r="O32" s="65"/>
    </row>
    <row r="33" spans="1:13" x14ac:dyDescent="0.2">
      <c r="B33" s="20" t="s">
        <v>50</v>
      </c>
      <c r="C33" s="20"/>
      <c r="D33" s="123" t="s">
        <v>51</v>
      </c>
      <c r="E33" s="124"/>
      <c r="F33" s="27" t="s">
        <v>52</v>
      </c>
      <c r="G33" s="27"/>
      <c r="H33" s="27" t="s">
        <v>52</v>
      </c>
      <c r="I33" s="27" t="s">
        <v>52</v>
      </c>
      <c r="J33" s="27" t="s">
        <v>52</v>
      </c>
      <c r="K33" s="27" t="s">
        <v>52</v>
      </c>
      <c r="L33" s="27" t="s">
        <v>52</v>
      </c>
      <c r="M33" s="27" t="s">
        <v>52</v>
      </c>
    </row>
    <row r="34" spans="1:13" ht="15" x14ac:dyDescent="0.25">
      <c r="B34" s="53" t="s">
        <v>53</v>
      </c>
      <c r="C34" s="47"/>
      <c r="D34" s="48"/>
      <c r="E34" s="37" t="s">
        <v>1</v>
      </c>
      <c r="F34" s="38" t="s">
        <v>2</v>
      </c>
      <c r="G34" s="38" t="s">
        <v>2</v>
      </c>
      <c r="H34" s="38" t="s">
        <v>2</v>
      </c>
      <c r="I34" s="37" t="s">
        <v>3</v>
      </c>
      <c r="J34" s="38" t="s">
        <v>4</v>
      </c>
      <c r="K34" s="38" t="s">
        <v>5</v>
      </c>
      <c r="L34" s="38" t="s">
        <v>6</v>
      </c>
      <c r="M34" s="39" t="s">
        <v>7</v>
      </c>
    </row>
    <row r="35" spans="1:13" ht="15" x14ac:dyDescent="0.25">
      <c r="B35" s="54" t="s">
        <v>0</v>
      </c>
      <c r="C35" s="49" t="s">
        <v>9</v>
      </c>
      <c r="D35" s="98"/>
      <c r="E35" s="40" t="s">
        <v>10</v>
      </c>
      <c r="F35" s="40" t="s">
        <v>4</v>
      </c>
      <c r="G35" s="40" t="s">
        <v>5</v>
      </c>
      <c r="H35" s="40" t="s">
        <v>6</v>
      </c>
      <c r="I35" s="40" t="s">
        <v>12</v>
      </c>
      <c r="J35" s="40" t="s">
        <v>3</v>
      </c>
      <c r="K35" s="40" t="s">
        <v>3</v>
      </c>
      <c r="L35" s="40" t="s">
        <v>3</v>
      </c>
      <c r="M35" s="41" t="s">
        <v>12</v>
      </c>
    </row>
    <row r="36" spans="1:13" ht="15" x14ac:dyDescent="0.25">
      <c r="B36" s="41" t="s">
        <v>8</v>
      </c>
      <c r="C36" s="50"/>
      <c r="D36" s="51"/>
      <c r="E36" s="40" t="s">
        <v>13</v>
      </c>
      <c r="F36" s="40" t="s">
        <v>14</v>
      </c>
      <c r="G36" s="40" t="s">
        <v>14</v>
      </c>
      <c r="H36" s="40" t="s">
        <v>14</v>
      </c>
      <c r="I36" s="40" t="s">
        <v>15</v>
      </c>
      <c r="J36" s="40" t="s">
        <v>15</v>
      </c>
      <c r="K36" s="40" t="s">
        <v>15</v>
      </c>
      <c r="L36" s="40" t="s">
        <v>15</v>
      </c>
      <c r="M36" s="40" t="s">
        <v>15</v>
      </c>
    </row>
    <row r="37" spans="1:13" ht="26.25" x14ac:dyDescent="0.25">
      <c r="B37" s="52"/>
      <c r="C37" s="55"/>
      <c r="D37" s="99"/>
      <c r="E37" s="17" t="s">
        <v>86</v>
      </c>
      <c r="F37" s="17" t="s">
        <v>86</v>
      </c>
      <c r="G37" s="17" t="s">
        <v>86</v>
      </c>
      <c r="H37" s="17" t="s">
        <v>86</v>
      </c>
      <c r="I37" s="17" t="s">
        <v>86</v>
      </c>
      <c r="J37" s="17" t="s">
        <v>86</v>
      </c>
      <c r="K37" s="17" t="s">
        <v>86</v>
      </c>
      <c r="L37" s="17" t="s">
        <v>86</v>
      </c>
      <c r="M37" s="17" t="s">
        <v>86</v>
      </c>
    </row>
    <row r="38" spans="1:13" ht="15" x14ac:dyDescent="0.25">
      <c r="B38" s="23" t="s">
        <v>46</v>
      </c>
      <c r="C38" s="24"/>
      <c r="D38" s="100"/>
      <c r="E38" s="44"/>
      <c r="F38" s="25"/>
      <c r="G38" s="25"/>
      <c r="H38" s="25"/>
      <c r="I38" s="25"/>
      <c r="J38" s="25"/>
      <c r="K38" s="25"/>
      <c r="L38" s="25"/>
      <c r="M38" s="25"/>
    </row>
    <row r="39" spans="1:13" ht="28.5" x14ac:dyDescent="0.2">
      <c r="B39" s="20" t="s">
        <v>81</v>
      </c>
      <c r="C39" s="33" t="s">
        <v>48</v>
      </c>
      <c r="D39" s="101"/>
      <c r="E39" s="21">
        <f>ROUND(VLOOKUP("BLND1CO",'[2]DUOS (t)'!$B$10:$O$66,4,FALSE)/365,4)</f>
        <v>18.9847</v>
      </c>
      <c r="F39" s="21">
        <f>ROUND(VLOOKUP("BLND1CO",'[2]DUOS (t)'!$B$10:$O$66,6,FALSE),4)</f>
        <v>1.7686999999999999</v>
      </c>
      <c r="G39" s="21">
        <f>ROUND(VLOOKUP("BLND1CO",'[2]DUOS (t)'!$B$10:$O$66,7,FALSE),4)</f>
        <v>1.6003000000000001</v>
      </c>
      <c r="H39" s="21">
        <f>ROUND(VLOOKUP("BLND1CO",'[2]DUOS (t)'!$B$10:$O$66,8,FALSE),4)</f>
        <v>0.308</v>
      </c>
      <c r="I39" s="21">
        <f>ROUND(VLOOKUP("BLND1CO",'[2]DUOS (t)'!$B$10:$O$66,9,FALSE),4)</f>
        <v>15.757300000000001</v>
      </c>
      <c r="J39" s="21"/>
      <c r="K39" s="21"/>
      <c r="L39" s="21"/>
      <c r="M39" s="21"/>
    </row>
    <row r="40" spans="1:13" x14ac:dyDescent="0.2">
      <c r="B40" s="19" t="s">
        <v>20</v>
      </c>
      <c r="C40" s="33" t="s">
        <v>55</v>
      </c>
      <c r="D40" s="101"/>
      <c r="E40" s="21">
        <f>ROUND(VLOOKUP($B40,'[2]DUOS (t)'!$B$10:$O$66,4,FALSE)/365,4)</f>
        <v>14.7242</v>
      </c>
      <c r="F40" s="21">
        <f>ROUND(VLOOKUP($B40,'[2]DUOS (t)'!$B$10:$O$66,6,FALSE),4)</f>
        <v>7.0152999999999999</v>
      </c>
      <c r="G40" s="21">
        <f>ROUND(VLOOKUP($B40,'[2]DUOS (t)'!$B$10:$O$66,7,FALSE),4)</f>
        <v>6.3472</v>
      </c>
      <c r="H40" s="21">
        <f>ROUND(VLOOKUP($B40,'[2]DUOS (t)'!$B$10:$O$66,8,FALSE),4)</f>
        <v>1.7729999999999999</v>
      </c>
      <c r="I40" s="21">
        <f>ROUND(VLOOKUP($B40,'[2]DUOS (t)'!$B$10:$O$66,9,FALSE),4)</f>
        <v>10.4658</v>
      </c>
      <c r="J40" s="21"/>
      <c r="K40" s="21"/>
      <c r="L40" s="21"/>
      <c r="M40" s="21">
        <f>ROUND(VLOOKUP($B40,'[2]DUOS (t)'!$B$10:$O$66,13,FALSE),4)</f>
        <v>3.8048000000000002</v>
      </c>
    </row>
    <row r="41" spans="1:13" x14ac:dyDescent="0.2">
      <c r="B41" s="19" t="s">
        <v>21</v>
      </c>
      <c r="C41" s="33" t="s">
        <v>54</v>
      </c>
      <c r="D41" s="101"/>
      <c r="E41" s="21">
        <f>ROUND(VLOOKUP($B41,'[2]DUOS (t)'!$B$10:$O$66,4,FALSE)/365,4)</f>
        <v>3.9617</v>
      </c>
      <c r="F41" s="21">
        <f>ROUND(VLOOKUP($B41,'[2]DUOS (t)'!$B$10:$O$66,6,FALSE),4)</f>
        <v>8.4832000000000001</v>
      </c>
      <c r="G41" s="21">
        <f>ROUND(VLOOKUP($B41,'[2]DUOS (t)'!$B$10:$O$66,7,FALSE),4)</f>
        <v>7.6752000000000002</v>
      </c>
      <c r="H41" s="21">
        <f>ROUND(VLOOKUP($B41,'[2]DUOS (t)'!$B$10:$O$66,8,FALSE),4)</f>
        <v>3.1052</v>
      </c>
      <c r="I41" s="21">
        <f>ROUND(VLOOKUP($B41,'[2]DUOS (t)'!$B$10:$O$66,9,FALSE),4)</f>
        <v>10.265000000000001</v>
      </c>
      <c r="J41" s="21"/>
      <c r="K41" s="21"/>
      <c r="L41" s="21"/>
      <c r="M41" s="21">
        <f>ROUND(VLOOKUP($B41,'[2]DUOS (t)'!$B$10:$O$66,13,FALSE),4)</f>
        <v>3.8096000000000001</v>
      </c>
    </row>
    <row r="42" spans="1:13" s="46" customFormat="1" x14ac:dyDescent="0.2">
      <c r="A42" s="45"/>
      <c r="B42" s="19" t="s">
        <v>22</v>
      </c>
      <c r="C42" s="33" t="s">
        <v>56</v>
      </c>
      <c r="D42" s="102"/>
      <c r="E42" s="21">
        <f>ROUND(VLOOKUP($B42,'[2]DUOS (t)'!$B$10:$O$66,4,FALSE)/365,4)</f>
        <v>24.360600000000002</v>
      </c>
      <c r="F42" s="21">
        <f>ROUND(VLOOKUP($B42,'[2]DUOS (t)'!$B$10:$O$66,6,FALSE),4)</f>
        <v>2.2452000000000001</v>
      </c>
      <c r="G42" s="21">
        <f>ROUND(VLOOKUP($B42,'[2]DUOS (t)'!$B$10:$O$66,7,FALSE),4)</f>
        <v>2.2452000000000001</v>
      </c>
      <c r="H42" s="21">
        <f>ROUND(VLOOKUP($B42,'[2]DUOS (t)'!$B$10:$O$66,8,FALSE),4)</f>
        <v>0.46810000000000002</v>
      </c>
      <c r="I42" s="21">
        <f>ROUND(VLOOKUP($B42,'[2]DUOS (t)'!$B$10:$O$66,9,FALSE),4)</f>
        <v>11.487</v>
      </c>
      <c r="J42" s="21"/>
      <c r="K42" s="21"/>
      <c r="L42" s="21"/>
      <c r="M42" s="21"/>
    </row>
    <row r="43" spans="1:13" ht="28.5" x14ac:dyDescent="0.2">
      <c r="B43" s="20" t="s">
        <v>80</v>
      </c>
      <c r="C43" s="33" t="s">
        <v>57</v>
      </c>
      <c r="D43" s="101"/>
      <c r="E43" s="21">
        <f>ROUND(VLOOKUP("BHND1SO",'[2]DUOS (t)'!$B$10:$O$66,4,FALSE)/365,4)</f>
        <v>18.158200000000001</v>
      </c>
      <c r="F43" s="21">
        <f>ROUND(VLOOKUP("BHND1SO",'[2]DUOS (t)'!$B$10:$O$66,6,FALSE),4)</f>
        <v>1.6894</v>
      </c>
      <c r="G43" s="21">
        <f>ROUND(VLOOKUP("BHND1SO",'[2]DUOS (t)'!$B$10:$O$66,7,FALSE),4)</f>
        <v>1.6894</v>
      </c>
      <c r="H43" s="21">
        <f>ROUND(VLOOKUP("BHND1SO",'[2]DUOS (t)'!$B$10:$O$66,8,FALSE),4)</f>
        <v>1.7102999999999999</v>
      </c>
      <c r="I43" s="21">
        <f>ROUND(VLOOKUP("BHND1SO",'[2]DUOS (t)'!$B$10:$O$66,9,FALSE),4)</f>
        <v>8.2955000000000005</v>
      </c>
      <c r="J43" s="21"/>
      <c r="K43" s="21"/>
      <c r="L43" s="21"/>
      <c r="M43" s="21">
        <f>ROUND(VLOOKUP("BHND1SO",'[2]DUOS (t)'!$B$10:$O$66,13,FALSE),4)</f>
        <v>3.0550999999999999</v>
      </c>
    </row>
  </sheetData>
  <mergeCells count="29">
    <mergeCell ref="D24:E24"/>
    <mergeCell ref="D25:E25"/>
    <mergeCell ref="K25:L25"/>
    <mergeCell ref="B3:F3"/>
    <mergeCell ref="D10:E10"/>
    <mergeCell ref="D11:E11"/>
    <mergeCell ref="D15:E15"/>
    <mergeCell ref="I3:J3"/>
    <mergeCell ref="B5:B7"/>
    <mergeCell ref="C5:C7"/>
    <mergeCell ref="D5:E7"/>
    <mergeCell ref="D21:E21"/>
    <mergeCell ref="D23:E23"/>
    <mergeCell ref="D17:E17"/>
    <mergeCell ref="D18:E18"/>
    <mergeCell ref="D19:E19"/>
    <mergeCell ref="D22:E22"/>
    <mergeCell ref="D9:E9"/>
    <mergeCell ref="D12:E12"/>
    <mergeCell ref="K12:L12"/>
    <mergeCell ref="D14:E14"/>
    <mergeCell ref="D20:E20"/>
    <mergeCell ref="K20:L20"/>
    <mergeCell ref="D33:E33"/>
    <mergeCell ref="D26:E26"/>
    <mergeCell ref="D27:E27"/>
    <mergeCell ref="D28:E28"/>
    <mergeCell ref="D30:E30"/>
    <mergeCell ref="D31:E31"/>
  </mergeCells>
  <pageMargins left="0.39370078740157483" right="0.39370078740157483" top="0.39370078740157483" bottom="0.39370078740157483" header="0.51181102362204722" footer="0.51181102362204722"/>
  <pageSetup paperSize="9" scale="67" fitToHeight="0" orientation="landscape" r:id="rId1"/>
  <headerFooter alignWithMargins="0"/>
  <ignoredErrors>
    <ignoredError sqref="F16 F34:M38 F44:N44 G16:M16 F32:F33 G32:M33"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2:S43"/>
  <sheetViews>
    <sheetView showGridLines="0" zoomScale="70" zoomScaleNormal="70" zoomScaleSheetLayoutView="58" workbookViewId="0">
      <selection activeCell="E39" sqref="E39:M43"/>
    </sheetView>
  </sheetViews>
  <sheetFormatPr defaultRowHeight="14.25" x14ac:dyDescent="0.2"/>
  <cols>
    <col min="1" max="1" width="1.88671875" style="15" customWidth="1"/>
    <col min="2" max="2" width="26" style="8" customWidth="1"/>
    <col min="3" max="3" width="29.77734375" style="8" customWidth="1"/>
    <col min="4" max="4" width="11.21875" style="8" customWidth="1"/>
    <col min="5" max="5" width="17.88671875" style="8" customWidth="1"/>
    <col min="6" max="16" width="10.5546875" style="8" customWidth="1"/>
    <col min="17" max="17" width="8.5546875" style="8" customWidth="1"/>
    <col min="18" max="18" width="63.77734375" style="8" customWidth="1"/>
    <col min="19" max="16384" width="8.88671875" style="8"/>
  </cols>
  <sheetData>
    <row r="2" spans="1:19" ht="33" x14ac:dyDescent="0.45">
      <c r="A2" s="1"/>
      <c r="B2" s="2" t="s">
        <v>181</v>
      </c>
      <c r="C2" s="3"/>
      <c r="D2" s="3"/>
      <c r="E2" s="3"/>
      <c r="F2" s="3"/>
      <c r="G2" s="4"/>
      <c r="H2" s="5"/>
      <c r="I2" s="5"/>
      <c r="J2" s="5"/>
      <c r="K2" s="4"/>
      <c r="L2" s="6"/>
      <c r="M2" s="7"/>
    </row>
    <row r="3" spans="1:19" ht="15.75" x14ac:dyDescent="0.25">
      <c r="A3" s="1"/>
      <c r="B3" s="136" t="s">
        <v>169</v>
      </c>
      <c r="C3" s="137"/>
      <c r="D3" s="137"/>
      <c r="E3" s="137"/>
      <c r="F3" s="137"/>
      <c r="G3" s="9"/>
      <c r="H3" s="9"/>
      <c r="I3" s="131"/>
      <c r="J3" s="131"/>
      <c r="K3" s="9"/>
      <c r="L3" s="9"/>
      <c r="M3" s="10"/>
    </row>
    <row r="4" spans="1:19" ht="15" x14ac:dyDescent="0.25">
      <c r="A4" s="1"/>
      <c r="B4" s="11"/>
      <c r="C4" s="12"/>
      <c r="D4" s="13"/>
      <c r="E4" s="13"/>
      <c r="F4" s="13"/>
      <c r="G4" s="13"/>
      <c r="H4" s="13"/>
      <c r="I4" s="13"/>
      <c r="J4" s="13"/>
      <c r="K4" s="13"/>
      <c r="L4" s="13"/>
      <c r="M4" s="14"/>
    </row>
    <row r="5" spans="1:19" ht="15" x14ac:dyDescent="0.25">
      <c r="B5" s="127" t="s">
        <v>107</v>
      </c>
      <c r="C5" s="127" t="s">
        <v>24</v>
      </c>
      <c r="D5" s="155" t="s">
        <v>9</v>
      </c>
      <c r="E5" s="156"/>
      <c r="F5" s="57" t="s">
        <v>1</v>
      </c>
      <c r="G5" s="57" t="s">
        <v>2</v>
      </c>
      <c r="H5" s="40" t="s">
        <v>2</v>
      </c>
      <c r="I5" s="40" t="s">
        <v>2</v>
      </c>
      <c r="J5" s="40" t="s">
        <v>2</v>
      </c>
      <c r="K5" s="40" t="s">
        <v>4</v>
      </c>
      <c r="L5" s="40" t="s">
        <v>5</v>
      </c>
      <c r="M5" s="40" t="s">
        <v>6</v>
      </c>
    </row>
    <row r="6" spans="1:19" ht="15" x14ac:dyDescent="0.2">
      <c r="B6" s="128"/>
      <c r="C6" s="128"/>
      <c r="D6" s="140"/>
      <c r="E6" s="141"/>
      <c r="F6" s="83" t="s">
        <v>10</v>
      </c>
      <c r="G6" s="83" t="s">
        <v>177</v>
      </c>
      <c r="H6" s="83" t="s">
        <v>4</v>
      </c>
      <c r="I6" s="83" t="s">
        <v>5</v>
      </c>
      <c r="J6" s="83" t="s">
        <v>6</v>
      </c>
      <c r="K6" s="83" t="s">
        <v>3</v>
      </c>
      <c r="L6" s="83" t="s">
        <v>3</v>
      </c>
      <c r="M6" s="83" t="s">
        <v>3</v>
      </c>
    </row>
    <row r="7" spans="1:19" ht="15" x14ac:dyDescent="0.2">
      <c r="B7" s="129"/>
      <c r="C7" s="129"/>
      <c r="D7" s="157"/>
      <c r="E7" s="158"/>
      <c r="F7" s="83" t="s">
        <v>13</v>
      </c>
      <c r="G7" s="83" t="s">
        <v>14</v>
      </c>
      <c r="H7" s="83" t="s">
        <v>14</v>
      </c>
      <c r="I7" s="83" t="s">
        <v>14</v>
      </c>
      <c r="J7" s="83" t="s">
        <v>14</v>
      </c>
      <c r="K7" s="83" t="s">
        <v>15</v>
      </c>
      <c r="L7" s="83" t="s">
        <v>15</v>
      </c>
      <c r="M7" s="83" t="s">
        <v>15</v>
      </c>
    </row>
    <row r="8" spans="1:19" s="18" customFormat="1" ht="18" x14ac:dyDescent="0.25">
      <c r="A8" s="16"/>
      <c r="B8" s="60" t="s">
        <v>16</v>
      </c>
      <c r="C8" s="61"/>
      <c r="D8" s="62"/>
      <c r="E8" s="63"/>
      <c r="F8" s="64"/>
      <c r="G8" s="64"/>
      <c r="H8" s="64"/>
      <c r="I8" s="64"/>
      <c r="J8" s="64"/>
      <c r="K8" s="64"/>
      <c r="L8" s="64"/>
      <c r="M8" s="64"/>
      <c r="N8" s="65"/>
      <c r="O8" s="65"/>
    </row>
    <row r="9" spans="1:19" ht="14.25" customHeight="1" x14ac:dyDescent="0.2">
      <c r="B9" s="19" t="s">
        <v>25</v>
      </c>
      <c r="C9" s="20"/>
      <c r="D9" s="123" t="s">
        <v>184</v>
      </c>
      <c r="E9" s="124"/>
      <c r="F9" s="21">
        <f>ROUND(VLOOKUP($B9,'[2]TUOS (t)'!$B$10:$O$66,4,FALSE)/365,4)</f>
        <v>0</v>
      </c>
      <c r="G9" s="21">
        <f>ROUND(VLOOKUP($B9,'[2]TUOS (t)'!$B$10:$O$66,5,FALSE),4)</f>
        <v>1.9792000000000001</v>
      </c>
      <c r="H9" s="21"/>
      <c r="I9" s="21"/>
      <c r="J9" s="21"/>
      <c r="K9" s="21"/>
      <c r="L9" s="21"/>
      <c r="M9" s="21"/>
      <c r="N9" s="22"/>
      <c r="O9" s="22"/>
    </row>
    <row r="10" spans="1:19" ht="14.25" customHeight="1" x14ac:dyDescent="0.2">
      <c r="B10" s="19" t="s">
        <v>26</v>
      </c>
      <c r="C10" s="20"/>
      <c r="D10" s="123" t="s">
        <v>42</v>
      </c>
      <c r="E10" s="124"/>
      <c r="F10" s="21">
        <f>ROUND(VLOOKUP($B10,'[2]TUOS (t)'!$B$10:$O$66,4,FALSE)/365,4)</f>
        <v>0</v>
      </c>
      <c r="G10" s="21"/>
      <c r="H10" s="21">
        <f>ROUND(VLOOKUP($B10,'[2]TUOS (t)'!$B$10:$O$66,6,FALSE),4)</f>
        <v>2.7717000000000001</v>
      </c>
      <c r="I10" s="21">
        <f>ROUND(VLOOKUP($B10,'[2]TUOS (t)'!$B$10:$O$66,7,FALSE),4)</f>
        <v>2.4466000000000001</v>
      </c>
      <c r="J10" s="21">
        <f>ROUND(VLOOKUP($B10,'[2]TUOS (t)'!$B$10:$O$66,8,FALSE),4)</f>
        <v>1.4475</v>
      </c>
      <c r="K10" s="21"/>
      <c r="L10" s="21"/>
      <c r="M10" s="21"/>
      <c r="N10" s="22"/>
      <c r="O10" s="22"/>
      <c r="P10" s="56"/>
      <c r="Q10" s="22"/>
      <c r="R10" s="22"/>
    </row>
    <row r="11" spans="1:19" ht="14.25" customHeight="1" x14ac:dyDescent="0.2">
      <c r="B11" s="19" t="s">
        <v>170</v>
      </c>
      <c r="C11" s="20"/>
      <c r="D11" s="123" t="s">
        <v>171</v>
      </c>
      <c r="E11" s="124"/>
      <c r="F11" s="21">
        <f>ROUND(VLOOKUP($B11,'[2]TUOS (t)'!$B$10:$O$66,4,FALSE)/365,4)</f>
        <v>0</v>
      </c>
      <c r="G11" s="21"/>
      <c r="H11" s="21">
        <f>ROUND(VLOOKUP($B11,'[2]TUOS (t)'!$B$10:$O$66,6,FALSE),4)</f>
        <v>2.7717000000000001</v>
      </c>
      <c r="I11" s="21">
        <f>ROUND(VLOOKUP($B11,'[2]TUOS (t)'!$B$10:$O$66,7,FALSE),4)</f>
        <v>2.4466000000000001</v>
      </c>
      <c r="J11" s="21">
        <f>ROUND(VLOOKUP($B11,'[2]TUOS (t)'!$B$10:$O$66,8,FALSE),4)</f>
        <v>1.4475</v>
      </c>
      <c r="K11" s="21"/>
      <c r="L11" s="21"/>
      <c r="M11" s="21"/>
      <c r="N11" s="22"/>
      <c r="O11" s="22"/>
      <c r="P11" s="22"/>
      <c r="Q11" s="22"/>
      <c r="R11" s="22"/>
      <c r="S11" s="22"/>
    </row>
    <row r="12" spans="1:19" ht="14.25" customHeight="1" x14ac:dyDescent="0.2">
      <c r="B12" s="19" t="s">
        <v>172</v>
      </c>
      <c r="C12" s="20"/>
      <c r="D12" s="123" t="s">
        <v>186</v>
      </c>
      <c r="E12" s="124"/>
      <c r="F12" s="21">
        <f>ROUND(VLOOKUP($B12,'[2]TUOS (t)'!$B$10:$O$66,4,FALSE)/365,4)</f>
        <v>0</v>
      </c>
      <c r="G12" s="21"/>
      <c r="H12" s="21">
        <f>ROUND(VLOOKUP($B12,'[2]TUOS (t)'!$B$10:$O$66,6,FALSE),4)</f>
        <v>2.7717000000000001</v>
      </c>
      <c r="I12" s="21">
        <f>ROUND(VLOOKUP($B12,'[2]TUOS (t)'!$B$10:$O$66,7,FALSE),4)</f>
        <v>2.4466000000000001</v>
      </c>
      <c r="J12" s="21">
        <f>ROUND(VLOOKUP($B12,'[2]TUOS (t)'!$B$10:$O$66,8,FALSE),4)</f>
        <v>1.4475</v>
      </c>
      <c r="K12" s="125">
        <f>ROUND(VLOOKUP($B12,'[2]TUOS (t)'!$B$10:$O$66,10,FALSE),4)</f>
        <v>0</v>
      </c>
      <c r="L12" s="126"/>
      <c r="M12" s="21"/>
      <c r="N12" s="22"/>
      <c r="O12" s="22"/>
      <c r="P12" s="22"/>
      <c r="Q12" s="22"/>
      <c r="R12" s="22"/>
      <c r="S12" s="22"/>
    </row>
    <row r="13" spans="1:19" ht="18" x14ac:dyDescent="0.25">
      <c r="B13" s="61" t="s">
        <v>19</v>
      </c>
      <c r="C13" s="61"/>
      <c r="D13" s="66"/>
      <c r="E13" s="67"/>
      <c r="F13" s="68"/>
      <c r="G13" s="69"/>
      <c r="H13" s="69"/>
      <c r="I13" s="69"/>
      <c r="J13" s="69"/>
      <c r="K13" s="69"/>
      <c r="L13" s="69"/>
      <c r="M13" s="69"/>
      <c r="N13" s="70"/>
      <c r="O13" s="70"/>
      <c r="P13" s="22"/>
      <c r="Q13" s="22"/>
      <c r="R13" s="22"/>
      <c r="S13" s="22"/>
    </row>
    <row r="14" spans="1:19" ht="14.25" customHeight="1" x14ac:dyDescent="0.2">
      <c r="B14" s="19" t="s">
        <v>27</v>
      </c>
      <c r="C14" s="20"/>
      <c r="D14" s="123" t="s">
        <v>39</v>
      </c>
      <c r="E14" s="124"/>
      <c r="F14" s="21">
        <f>ROUND(VLOOKUP($B14,'[2]TUOS (t)'!$B$10:$O$66,4,FALSE)/365,4)</f>
        <v>0</v>
      </c>
      <c r="G14" s="21">
        <f>ROUND(VLOOKUP($B14,'[2]TUOS (t)'!$B$10:$O$66,5,FALSE),4)</f>
        <v>1.4475</v>
      </c>
      <c r="H14" s="21"/>
      <c r="I14" s="21"/>
      <c r="J14" s="21"/>
      <c r="K14" s="21"/>
      <c r="L14" s="21"/>
      <c r="M14" s="21"/>
      <c r="N14" s="22"/>
      <c r="O14" s="22"/>
      <c r="P14" s="22"/>
      <c r="Q14" s="22"/>
      <c r="R14" s="22"/>
      <c r="S14" s="22"/>
    </row>
    <row r="15" spans="1:19" ht="14.25" customHeight="1" x14ac:dyDescent="0.2">
      <c r="B15" s="19" t="s">
        <v>28</v>
      </c>
      <c r="C15" s="20"/>
      <c r="D15" s="123" t="s">
        <v>40</v>
      </c>
      <c r="E15" s="124"/>
      <c r="F15" s="21">
        <f>ROUND(VLOOKUP($B15,'[2]TUOS (t)'!$B$10:$O$66,4,FALSE)/365,4)</f>
        <v>0</v>
      </c>
      <c r="G15" s="21">
        <f>ROUND(VLOOKUP($B15,'[2]TUOS (t)'!$B$10:$O$66,5,FALSE),4)</f>
        <v>1.867</v>
      </c>
      <c r="H15" s="21"/>
      <c r="I15" s="21"/>
      <c r="J15" s="21"/>
      <c r="K15" s="21"/>
      <c r="L15" s="21"/>
      <c r="M15" s="21"/>
      <c r="N15" s="22"/>
      <c r="O15" s="22"/>
      <c r="P15" s="22"/>
      <c r="Q15" s="22"/>
      <c r="R15" s="22"/>
    </row>
    <row r="16" spans="1:19" ht="18" x14ac:dyDescent="0.25">
      <c r="B16" s="71" t="s">
        <v>18</v>
      </c>
      <c r="C16" s="71"/>
      <c r="D16" s="72"/>
      <c r="E16" s="73"/>
      <c r="F16" s="74"/>
      <c r="G16" s="74"/>
      <c r="H16" s="74"/>
      <c r="I16" s="74"/>
      <c r="J16" s="74"/>
      <c r="K16" s="74"/>
      <c r="L16" s="74"/>
      <c r="M16" s="74"/>
      <c r="N16" s="70"/>
      <c r="O16" s="70"/>
      <c r="P16" s="22"/>
      <c r="Q16" s="22"/>
      <c r="R16" s="22"/>
      <c r="S16" s="22"/>
    </row>
    <row r="17" spans="1:19" ht="14.25" customHeight="1" x14ac:dyDescent="0.2">
      <c r="B17" s="19" t="s">
        <v>29</v>
      </c>
      <c r="C17" s="20"/>
      <c r="D17" s="123" t="s">
        <v>185</v>
      </c>
      <c r="E17" s="124"/>
      <c r="F17" s="21">
        <f>ROUND(VLOOKUP($B17,'[2]TUOS (t)'!$B$10:$O$66,4,FALSE)/365,4)</f>
        <v>0</v>
      </c>
      <c r="G17" s="21">
        <f>ROUND(VLOOKUP($B17,'[2]TUOS (t)'!$B$10:$O$66,5,FALSE),4)</f>
        <v>1.9792000000000001</v>
      </c>
      <c r="H17" s="21"/>
      <c r="I17" s="21"/>
      <c r="J17" s="21"/>
      <c r="K17" s="21"/>
      <c r="L17" s="21"/>
      <c r="M17" s="21"/>
      <c r="N17" s="22"/>
      <c r="O17" s="22"/>
      <c r="P17" s="22"/>
      <c r="Q17" s="22"/>
      <c r="R17" s="22"/>
      <c r="S17" s="22"/>
    </row>
    <row r="18" spans="1:19" ht="14.25" customHeight="1" x14ac:dyDescent="0.2">
      <c r="B18" s="19" t="s">
        <v>30</v>
      </c>
      <c r="C18" s="20"/>
      <c r="D18" s="123" t="s">
        <v>43</v>
      </c>
      <c r="E18" s="124"/>
      <c r="F18" s="21">
        <f>ROUND(VLOOKUP($B18,'[2]TUOS (t)'!$B$10:$O$66,4,FALSE)/365,4)</f>
        <v>0</v>
      </c>
      <c r="G18" s="21"/>
      <c r="H18" s="21">
        <f>ROUND(VLOOKUP($B18,'[2]TUOS (t)'!$B$10:$O$66,6,FALSE),4)</f>
        <v>2.7717000000000001</v>
      </c>
      <c r="I18" s="21">
        <f>ROUND(VLOOKUP($B18,'[2]TUOS (t)'!$B$10:$O$66,7,FALSE),4)</f>
        <v>2.4466000000000001</v>
      </c>
      <c r="J18" s="21">
        <f>ROUND(VLOOKUP($B18,'[2]TUOS (t)'!$B$10:$O$66,8,FALSE),4)</f>
        <v>1.4475</v>
      </c>
      <c r="K18" s="21"/>
      <c r="L18" s="21"/>
      <c r="M18" s="21"/>
      <c r="N18" s="22"/>
      <c r="O18" s="22"/>
    </row>
    <row r="19" spans="1:19" ht="14.25" customHeight="1" x14ac:dyDescent="0.2">
      <c r="B19" s="19" t="s">
        <v>174</v>
      </c>
      <c r="C19" s="20"/>
      <c r="D19" s="123" t="s">
        <v>175</v>
      </c>
      <c r="E19" s="124"/>
      <c r="F19" s="21">
        <f>ROUND(VLOOKUP($B19,'[2]TUOS (t)'!$B$10:$O$66,4,FALSE)/365,4)</f>
        <v>0</v>
      </c>
      <c r="G19" s="21"/>
      <c r="H19" s="21">
        <f>ROUND(VLOOKUP($B19,'[2]TUOS (t)'!$B$10:$O$66,6,FALSE),4)</f>
        <v>2.7717000000000001</v>
      </c>
      <c r="I19" s="21">
        <f>ROUND(VLOOKUP($B19,'[2]TUOS (t)'!$B$10:$O$66,7,FALSE),4)</f>
        <v>2.4466000000000001</v>
      </c>
      <c r="J19" s="21">
        <f>ROUND(VLOOKUP($B19,'[2]TUOS (t)'!$B$10:$O$66,8,FALSE),4)</f>
        <v>1.4475</v>
      </c>
      <c r="K19" s="21"/>
      <c r="L19" s="21"/>
      <c r="M19" s="21"/>
      <c r="N19" s="22"/>
      <c r="O19" s="22"/>
    </row>
    <row r="20" spans="1:19" ht="14.25" customHeight="1" x14ac:dyDescent="0.2">
      <c r="B20" s="19" t="s">
        <v>176</v>
      </c>
      <c r="C20" s="20"/>
      <c r="D20" s="123" t="s">
        <v>187</v>
      </c>
      <c r="E20" s="124"/>
      <c r="F20" s="21">
        <f>ROUND(VLOOKUP($B20,'[2]TUOS (t)'!$B$10:$O$66,4,FALSE)/365,4)</f>
        <v>0</v>
      </c>
      <c r="G20" s="21"/>
      <c r="H20" s="21">
        <f>ROUND(VLOOKUP($B20,'[2]TUOS (t)'!$B$10:$O$66,6,FALSE),4)</f>
        <v>2.7717000000000001</v>
      </c>
      <c r="I20" s="21">
        <f>ROUND(VLOOKUP($B20,'[2]TUOS (t)'!$B$10:$O$66,7,FALSE),4)</f>
        <v>2.4466000000000001</v>
      </c>
      <c r="J20" s="21">
        <f>ROUND(VLOOKUP($B20,'[2]TUOS (t)'!$B$10:$O$66,8,FALSE),4)</f>
        <v>1.4475</v>
      </c>
      <c r="K20" s="125">
        <f>ROUND(VLOOKUP($B20,'[2]TUOS (t)'!$B$10:$O$66,10,FALSE),4)</f>
        <v>0</v>
      </c>
      <c r="L20" s="126"/>
      <c r="M20" s="21"/>
      <c r="N20" s="22"/>
      <c r="O20" s="22"/>
    </row>
    <row r="21" spans="1:19" ht="14.25" customHeight="1" x14ac:dyDescent="0.2">
      <c r="B21" s="19" t="s">
        <v>31</v>
      </c>
      <c r="C21" s="20" t="s">
        <v>173</v>
      </c>
      <c r="D21" s="123" t="s">
        <v>116</v>
      </c>
      <c r="E21" s="124"/>
      <c r="F21" s="21">
        <f>ROUND(VLOOKUP($B21,'[2]TUOS (t)'!$B$10:$O$66,4,FALSE)/365,4)</f>
        <v>0</v>
      </c>
      <c r="G21" s="21"/>
      <c r="H21" s="21">
        <f>ROUND(VLOOKUP($B21,'[2]TUOS (t)'!$B$10:$O$66,6,FALSE),4)</f>
        <v>2.7717000000000001</v>
      </c>
      <c r="I21" s="21">
        <f>ROUND(VLOOKUP($B21,'[2]TUOS (t)'!$B$10:$O$66,7,FALSE),4)</f>
        <v>2.4466000000000001</v>
      </c>
      <c r="J21" s="21">
        <f>ROUND(VLOOKUP($B21,'[2]TUOS (t)'!$B$10:$O$66,8,FALSE),4)</f>
        <v>1.4475</v>
      </c>
      <c r="K21" s="21"/>
      <c r="L21" s="21"/>
      <c r="M21" s="21"/>
      <c r="N21" s="22"/>
      <c r="O21" s="22"/>
    </row>
    <row r="22" spans="1:19" ht="14.25" customHeight="1" x14ac:dyDescent="0.2">
      <c r="B22" s="19" t="s">
        <v>178</v>
      </c>
      <c r="C22" s="20"/>
      <c r="D22" s="123" t="s">
        <v>179</v>
      </c>
      <c r="E22" s="124"/>
      <c r="F22" s="21">
        <f>ROUND(VLOOKUP($B22,'[2]TUOS (t)'!$B$10:$O$66,4,FALSE)/365,4)</f>
        <v>0</v>
      </c>
      <c r="G22" s="21"/>
      <c r="H22" s="21">
        <f>ROUND(VLOOKUP($B22,'[2]TUOS (t)'!$B$10:$O$66,6,FALSE),4)</f>
        <v>2.6457999999999999</v>
      </c>
      <c r="I22" s="21">
        <f>ROUND(VLOOKUP($B22,'[2]TUOS (t)'!$B$10:$O$66,7,FALSE),4)</f>
        <v>2.3355000000000001</v>
      </c>
      <c r="J22" s="21">
        <f>ROUND(VLOOKUP($B22,'[2]TUOS (t)'!$B$10:$O$66,8,FALSE),4)</f>
        <v>1.4313</v>
      </c>
      <c r="K22" s="21">
        <f>ROUND(VLOOKUP($B22,'[2]TUOS (t)'!$B$10:$O$66,10,FALSE),4)</f>
        <v>0</v>
      </c>
      <c r="L22" s="21">
        <f>ROUND(VLOOKUP($B22,'[2]TUOS (t)'!$B$10:$O$66,11,FALSE),4)</f>
        <v>0</v>
      </c>
      <c r="M22" s="21">
        <f>ROUND(VLOOKUP($B22,'[2]TUOS (t)'!$B$10:$O$66,12,FALSE),4)</f>
        <v>0</v>
      </c>
      <c r="N22" s="22"/>
      <c r="O22" s="22"/>
    </row>
    <row r="23" spans="1:19" ht="14.25" customHeight="1" x14ac:dyDescent="0.2">
      <c r="B23" s="19" t="s">
        <v>32</v>
      </c>
      <c r="C23" s="20"/>
      <c r="D23" s="123" t="s">
        <v>47</v>
      </c>
      <c r="E23" s="124"/>
      <c r="F23" s="21">
        <f>ROUND(VLOOKUP($B23,'[2]TUOS (t)'!$B$10:$O$66,4,FALSE)/365,4)</f>
        <v>0</v>
      </c>
      <c r="G23" s="21"/>
      <c r="H23" s="21">
        <f>ROUND(VLOOKUP($B23,'[2]TUOS (t)'!$B$10:$O$66,6,FALSE),4)</f>
        <v>2.4569999999999999</v>
      </c>
      <c r="I23" s="21">
        <f>ROUND(VLOOKUP($B23,'[2]TUOS (t)'!$B$10:$O$66,7,FALSE),4)</f>
        <v>2.1688000000000001</v>
      </c>
      <c r="J23" s="21">
        <f>ROUND(VLOOKUP($B23,'[2]TUOS (t)'!$B$10:$O$66,8,FALSE),4)</f>
        <v>1.4071</v>
      </c>
      <c r="K23" s="21">
        <f>ROUND(VLOOKUP($B23,'[2]TUOS (t)'!$B$10:$O$66,10,FALSE),4)</f>
        <v>0</v>
      </c>
      <c r="L23" s="21">
        <f>ROUND(VLOOKUP($B23,'[2]TUOS (t)'!$B$10:$O$66,11,FALSE),4)</f>
        <v>0</v>
      </c>
      <c r="M23" s="21">
        <f>ROUND(VLOOKUP($B23,'[2]TUOS (t)'!$B$10:$O$66,12,FALSE),4)</f>
        <v>0</v>
      </c>
      <c r="N23" s="22"/>
      <c r="O23" s="97"/>
    </row>
    <row r="24" spans="1:19" ht="14.25" customHeight="1" x14ac:dyDescent="0.2">
      <c r="B24" s="19" t="s">
        <v>33</v>
      </c>
      <c r="C24" s="20"/>
      <c r="D24" s="123" t="s">
        <v>58</v>
      </c>
      <c r="E24" s="124"/>
      <c r="F24" s="21">
        <f>ROUND(VLOOKUP($B24,'[2]TUOS (t)'!$B$10:$O$66,4,FALSE)/365,4)</f>
        <v>0</v>
      </c>
      <c r="G24" s="21"/>
      <c r="H24" s="21">
        <f>ROUND(VLOOKUP($B24,'[2]TUOS (t)'!$B$10:$O$66,6,FALSE),4)</f>
        <v>2.4569999999999999</v>
      </c>
      <c r="I24" s="21">
        <f>ROUND(VLOOKUP($B24,'[2]TUOS (t)'!$B$10:$O$66,7,FALSE),4)</f>
        <v>2.1688000000000001</v>
      </c>
      <c r="J24" s="21">
        <f>ROUND(VLOOKUP($B24,'[2]TUOS (t)'!$B$10:$O$66,8,FALSE),4)</f>
        <v>1.4071</v>
      </c>
      <c r="K24" s="21">
        <f>ROUND(VLOOKUP($B24,'[2]TUOS (t)'!$B$10:$O$66,10,FALSE),4)</f>
        <v>0</v>
      </c>
      <c r="L24" s="21">
        <f>ROUND(VLOOKUP($B24,'[2]TUOS (t)'!$B$10:$O$66,11,FALSE),4)</f>
        <v>0</v>
      </c>
      <c r="M24" s="21">
        <f>ROUND(VLOOKUP($B24,'[2]TUOS (t)'!$B$10:$O$66,12,FALSE),4)</f>
        <v>0</v>
      </c>
      <c r="N24" s="22"/>
      <c r="O24" s="22"/>
    </row>
    <row r="25" spans="1:19" ht="14.25" customHeight="1" x14ac:dyDescent="0.2">
      <c r="B25" s="19" t="s">
        <v>61</v>
      </c>
      <c r="C25" s="20"/>
      <c r="D25" s="123" t="s">
        <v>74</v>
      </c>
      <c r="E25" s="124"/>
      <c r="F25" s="21">
        <f>ROUND(VLOOKUP($B25,'[2]TUOS (t)'!$B$10:$O$66,4,FALSE)/365,4)</f>
        <v>0</v>
      </c>
      <c r="G25" s="21"/>
      <c r="H25" s="21">
        <f>ROUND(VLOOKUP($B25,'[2]TUOS (t)'!$B$10:$O$66,6,FALSE),4)</f>
        <v>2.4569999999999999</v>
      </c>
      <c r="I25" s="21">
        <f>ROUND(VLOOKUP($B25,'[2]TUOS (t)'!$B$10:$O$66,7,FALSE),4)</f>
        <v>2.1688000000000001</v>
      </c>
      <c r="J25" s="21">
        <f>ROUND(VLOOKUP($B25,'[2]TUOS (t)'!$B$10:$O$66,8,FALSE),4)</f>
        <v>1.4071</v>
      </c>
      <c r="K25" s="125">
        <f>ROUND(VLOOKUP($B25,'[2]TUOS (t)'!$B$10:$O$66,10,FALSE),4)</f>
        <v>0</v>
      </c>
      <c r="L25" s="126"/>
      <c r="M25" s="21"/>
      <c r="N25" s="22"/>
      <c r="O25" s="22"/>
    </row>
    <row r="26" spans="1:19" ht="14.25" customHeight="1" x14ac:dyDescent="0.2">
      <c r="B26" s="19" t="s">
        <v>34</v>
      </c>
      <c r="C26" s="20"/>
      <c r="D26" s="123" t="s">
        <v>41</v>
      </c>
      <c r="E26" s="124"/>
      <c r="F26" s="21">
        <f>ROUND(VLOOKUP($B26,'[2]TUOS (t)'!$B$10:$O$66,4,FALSE)/365,4)</f>
        <v>0</v>
      </c>
      <c r="G26" s="21"/>
      <c r="H26" s="21">
        <f>ROUND(VLOOKUP($B26,'[2]TUOS (t)'!$B$10:$O$66,6,FALSE),4)</f>
        <v>1.7235</v>
      </c>
      <c r="I26" s="21">
        <f>ROUND(VLOOKUP($B26,'[2]TUOS (t)'!$B$10:$O$66,7,FALSE),4)</f>
        <v>1.5213000000000001</v>
      </c>
      <c r="J26" s="21">
        <f>ROUND(VLOOKUP($B26,'[2]TUOS (t)'!$B$10:$O$66,8,FALSE),4)</f>
        <v>1.2559</v>
      </c>
      <c r="K26" s="21">
        <f>ROUND(VLOOKUP($B26,'[2]TUOS (t)'!$B$10:$O$66,10,FALSE),4)</f>
        <v>0</v>
      </c>
      <c r="L26" s="21">
        <f>ROUND(VLOOKUP($B26,'[2]TUOS (t)'!$B$10:$O$66,11,FALSE),4)</f>
        <v>0</v>
      </c>
      <c r="M26" s="21">
        <f>ROUND(VLOOKUP($B26,'[2]TUOS (t)'!$B$10:$O$66,12,FALSE),4)</f>
        <v>0</v>
      </c>
      <c r="N26" s="22"/>
      <c r="O26" s="22"/>
    </row>
    <row r="27" spans="1:19" s="43" customFormat="1" ht="14.25" customHeight="1" x14ac:dyDescent="0.2">
      <c r="A27" s="42"/>
      <c r="B27" s="19" t="s">
        <v>35</v>
      </c>
      <c r="C27" s="20"/>
      <c r="D27" s="138" t="s">
        <v>59</v>
      </c>
      <c r="E27" s="139"/>
      <c r="F27" s="21">
        <f>ROUND(VLOOKUP($B27,'[2]TUOS (t)'!$B$10:$O$66,4,FALSE)/365,4)</f>
        <v>0</v>
      </c>
      <c r="G27" s="21"/>
      <c r="H27" s="21">
        <f>ROUND(VLOOKUP($B27,'[2]TUOS (t)'!$B$10:$O$66,6,FALSE),4)</f>
        <v>1.7235</v>
      </c>
      <c r="I27" s="21">
        <f>ROUND(VLOOKUP($B27,'[2]TUOS (t)'!$B$10:$O$66,7,FALSE),4)</f>
        <v>1.5213000000000001</v>
      </c>
      <c r="J27" s="21">
        <f>ROUND(VLOOKUP($B27,'[2]TUOS (t)'!$B$10:$O$66,8,FALSE),4)</f>
        <v>1.2559</v>
      </c>
      <c r="K27" s="21">
        <f>ROUND(VLOOKUP($B27,'[2]TUOS (t)'!$B$10:$O$66,10,FALSE),4)</f>
        <v>0</v>
      </c>
      <c r="L27" s="21">
        <f>ROUND(VLOOKUP($B27,'[2]TUOS (t)'!$B$10:$O$66,11,FALSE),4)</f>
        <v>0</v>
      </c>
      <c r="M27" s="21">
        <f>ROUND(VLOOKUP($B27,'[2]TUOS (t)'!$B$10:$O$66,12,FALSE),4)</f>
        <v>0</v>
      </c>
      <c r="N27" s="22"/>
      <c r="O27" s="22"/>
    </row>
    <row r="28" spans="1:19" ht="14.25" customHeight="1" x14ac:dyDescent="0.2">
      <c r="B28" s="19" t="s">
        <v>23</v>
      </c>
      <c r="C28" s="20"/>
      <c r="D28" s="138" t="s">
        <v>38</v>
      </c>
      <c r="E28" s="139"/>
      <c r="F28" s="21">
        <f>ROUND(VLOOKUP($B28,'[2]TUOS (t)'!$B$10:$O$66,4,FALSE)/365,4)</f>
        <v>0</v>
      </c>
      <c r="G28" s="21"/>
      <c r="H28" s="21">
        <f>ROUND(VLOOKUP($B28,'[2]TUOS (t)'!$B$10:$O$66,6,FALSE),4)</f>
        <v>3.3763000000000001</v>
      </c>
      <c r="I28" s="21">
        <f>ROUND(VLOOKUP($B28,'[2]TUOS (t)'!$B$10:$O$66,7,FALSE),4)</f>
        <v>1.9639</v>
      </c>
      <c r="J28" s="21">
        <f>ROUND(VLOOKUP($B28,'[2]TUOS (t)'!$B$10:$O$66,8,FALSE),4)</f>
        <v>1.6007</v>
      </c>
      <c r="K28" s="21">
        <f>ROUND(VLOOKUP($B28,'[2]TUOS (t)'!$B$10:$O$66,10,FALSE),4)</f>
        <v>0</v>
      </c>
      <c r="L28" s="21">
        <f>ROUND(VLOOKUP($B28,'[2]TUOS (t)'!$B$10:$O$66,11,FALSE),4)</f>
        <v>0</v>
      </c>
      <c r="M28" s="21">
        <f>ROUND(VLOOKUP($B28,'[2]TUOS (t)'!$B$10:$O$66,12,FALSE),4)</f>
        <v>0</v>
      </c>
    </row>
    <row r="29" spans="1:19" ht="18" x14ac:dyDescent="0.25">
      <c r="B29" s="71" t="s">
        <v>45</v>
      </c>
      <c r="C29" s="71"/>
      <c r="D29" s="72"/>
      <c r="E29" s="73"/>
      <c r="F29" s="75"/>
      <c r="G29" s="75"/>
      <c r="H29" s="75"/>
      <c r="I29" s="75"/>
      <c r="J29" s="75"/>
      <c r="K29" s="75"/>
      <c r="L29" s="75"/>
      <c r="M29" s="75"/>
      <c r="N29" s="65"/>
      <c r="O29" s="65"/>
    </row>
    <row r="30" spans="1:19" ht="14.25" customHeight="1" x14ac:dyDescent="0.2">
      <c r="B30" s="19" t="s">
        <v>36</v>
      </c>
      <c r="C30" s="20" t="s">
        <v>44</v>
      </c>
      <c r="D30" s="123" t="s">
        <v>109</v>
      </c>
      <c r="E30" s="124"/>
      <c r="F30" s="21">
        <f>ROUND(VLOOKUP($B30,'[2]TUOS (t)'!$B$10:$O$66,4,FALSE)/365,4)</f>
        <v>0</v>
      </c>
      <c r="G30" s="21">
        <f>ROUND(VLOOKUP($B30,'[2]TUOS (t)'!$B$10:$O$66,5,FALSE),4)</f>
        <v>1.9792000000000001</v>
      </c>
      <c r="H30" s="21"/>
      <c r="I30" s="21"/>
      <c r="J30" s="21"/>
      <c r="K30" s="21"/>
      <c r="L30" s="21"/>
      <c r="M30" s="21"/>
    </row>
    <row r="31" spans="1:19" ht="14.25" customHeight="1" x14ac:dyDescent="0.2">
      <c r="B31" s="19" t="s">
        <v>37</v>
      </c>
      <c r="C31" s="20"/>
      <c r="D31" s="123" t="s">
        <v>110</v>
      </c>
      <c r="E31" s="124"/>
      <c r="F31" s="21">
        <f>ROUND(VLOOKUP($B31,'[2]TUOS (t)'!$B$10:$O$66,4,FALSE)/365,4)</f>
        <v>0</v>
      </c>
      <c r="G31" s="21"/>
      <c r="H31" s="21">
        <f>ROUND(VLOOKUP($B31,'[2]TUOS (t)'!$B$10:$O$66,6,FALSE),4)</f>
        <v>2.7717000000000001</v>
      </c>
      <c r="I31" s="21">
        <f>ROUND(VLOOKUP($B31,'[2]TUOS (t)'!$B$10:$O$66,7,FALSE),4)</f>
        <v>2.4466000000000001</v>
      </c>
      <c r="J31" s="21">
        <f>ROUND(VLOOKUP($B31,'[2]TUOS (t)'!$B$10:$O$66,8,FALSE),4)</f>
        <v>1.4475</v>
      </c>
      <c r="K31" s="21"/>
      <c r="L31" s="21"/>
      <c r="M31" s="21"/>
    </row>
    <row r="32" spans="1:19" ht="18" x14ac:dyDescent="0.25">
      <c r="B32" s="71" t="s">
        <v>69</v>
      </c>
      <c r="C32" s="71"/>
      <c r="D32" s="72"/>
      <c r="E32" s="73"/>
      <c r="F32" s="75"/>
      <c r="G32" s="75"/>
      <c r="H32" s="75"/>
      <c r="I32" s="75"/>
      <c r="J32" s="75"/>
      <c r="K32" s="75"/>
      <c r="L32" s="75"/>
      <c r="M32" s="75"/>
      <c r="N32" s="65"/>
      <c r="O32" s="65"/>
    </row>
    <row r="33" spans="1:13" ht="14.25" customHeight="1" x14ac:dyDescent="0.2">
      <c r="B33" s="20" t="s">
        <v>50</v>
      </c>
      <c r="C33" s="20"/>
      <c r="D33" s="123" t="s">
        <v>51</v>
      </c>
      <c r="E33" s="124"/>
      <c r="F33" s="27" t="s">
        <v>52</v>
      </c>
      <c r="G33" s="27"/>
      <c r="H33" s="27" t="s">
        <v>52</v>
      </c>
      <c r="I33" s="27" t="s">
        <v>52</v>
      </c>
      <c r="J33" s="27" t="s">
        <v>52</v>
      </c>
      <c r="K33" s="27" t="s">
        <v>52</v>
      </c>
      <c r="L33" s="27" t="s">
        <v>52</v>
      </c>
      <c r="M33" s="27" t="s">
        <v>52</v>
      </c>
    </row>
    <row r="34" spans="1:13" ht="15" x14ac:dyDescent="0.25">
      <c r="B34" s="53" t="s">
        <v>53</v>
      </c>
      <c r="C34" s="47"/>
      <c r="D34" s="48"/>
      <c r="E34" s="37" t="s">
        <v>1</v>
      </c>
      <c r="F34" s="38" t="s">
        <v>2</v>
      </c>
      <c r="G34" s="38" t="s">
        <v>2</v>
      </c>
      <c r="H34" s="38" t="s">
        <v>2</v>
      </c>
      <c r="I34" s="37" t="s">
        <v>3</v>
      </c>
      <c r="J34" s="38" t="s">
        <v>4</v>
      </c>
      <c r="K34" s="38" t="s">
        <v>5</v>
      </c>
      <c r="L34" s="38" t="s">
        <v>6</v>
      </c>
      <c r="M34" s="39" t="s">
        <v>7</v>
      </c>
    </row>
    <row r="35" spans="1:13" ht="15" x14ac:dyDescent="0.25">
      <c r="B35" s="54" t="s">
        <v>0</v>
      </c>
      <c r="C35" s="49" t="s">
        <v>9</v>
      </c>
      <c r="D35" s="98"/>
      <c r="E35" s="40" t="s">
        <v>10</v>
      </c>
      <c r="F35" s="40" t="s">
        <v>4</v>
      </c>
      <c r="G35" s="40" t="s">
        <v>5</v>
      </c>
      <c r="H35" s="40" t="s">
        <v>6</v>
      </c>
      <c r="I35" s="40" t="s">
        <v>12</v>
      </c>
      <c r="J35" s="40" t="s">
        <v>3</v>
      </c>
      <c r="K35" s="40" t="s">
        <v>3</v>
      </c>
      <c r="L35" s="40" t="s">
        <v>3</v>
      </c>
      <c r="M35" s="41" t="s">
        <v>12</v>
      </c>
    </row>
    <row r="36" spans="1:13" ht="15" x14ac:dyDescent="0.25">
      <c r="B36" s="41" t="s">
        <v>8</v>
      </c>
      <c r="C36" s="50"/>
      <c r="D36" s="51"/>
      <c r="E36" s="40" t="s">
        <v>13</v>
      </c>
      <c r="F36" s="40" t="s">
        <v>14</v>
      </c>
      <c r="G36" s="40" t="s">
        <v>14</v>
      </c>
      <c r="H36" s="40" t="s">
        <v>14</v>
      </c>
      <c r="I36" s="40" t="s">
        <v>15</v>
      </c>
      <c r="J36" s="40" t="s">
        <v>15</v>
      </c>
      <c r="K36" s="40" t="s">
        <v>15</v>
      </c>
      <c r="L36" s="40" t="s">
        <v>15</v>
      </c>
      <c r="M36" s="40" t="s">
        <v>15</v>
      </c>
    </row>
    <row r="37" spans="1:13" ht="26.25" x14ac:dyDescent="0.25">
      <c r="B37" s="52"/>
      <c r="C37" s="55"/>
      <c r="D37" s="99"/>
      <c r="E37" s="17" t="s">
        <v>86</v>
      </c>
      <c r="F37" s="17" t="s">
        <v>86</v>
      </c>
      <c r="G37" s="17" t="s">
        <v>86</v>
      </c>
      <c r="H37" s="17" t="s">
        <v>86</v>
      </c>
      <c r="I37" s="17" t="s">
        <v>86</v>
      </c>
      <c r="J37" s="17" t="s">
        <v>86</v>
      </c>
      <c r="K37" s="17" t="s">
        <v>86</v>
      </c>
      <c r="L37" s="17" t="s">
        <v>86</v>
      </c>
      <c r="M37" s="17" t="s">
        <v>86</v>
      </c>
    </row>
    <row r="38" spans="1:13" ht="15" x14ac:dyDescent="0.25">
      <c r="B38" s="23" t="s">
        <v>46</v>
      </c>
      <c r="C38" s="24"/>
      <c r="D38" s="100"/>
      <c r="E38" s="44"/>
      <c r="F38" s="25"/>
      <c r="G38" s="25"/>
      <c r="H38" s="25"/>
      <c r="I38" s="25"/>
      <c r="J38" s="25"/>
      <c r="K38" s="25"/>
      <c r="L38" s="25"/>
      <c r="M38" s="25"/>
    </row>
    <row r="39" spans="1:13" ht="28.5" x14ac:dyDescent="0.2">
      <c r="B39" s="20" t="s">
        <v>81</v>
      </c>
      <c r="C39" s="33" t="s">
        <v>48</v>
      </c>
      <c r="D39" s="101"/>
      <c r="E39" s="21">
        <f>ROUND(VLOOKUP("BLND1CO",'[2]TUOS (t)'!$B$10:$O$66,4,FALSE)/365,4)</f>
        <v>0</v>
      </c>
      <c r="F39" s="21">
        <f>ROUND(VLOOKUP("BLND1CO",'[2]TUOS (t)'!$B$10:$O$66,6,FALSE),4)</f>
        <v>3.0331000000000001</v>
      </c>
      <c r="G39" s="21">
        <f>ROUND(VLOOKUP("BLND1CO",'[2]TUOS (t)'!$B$10:$O$66,7,FALSE),4)</f>
        <v>2.6772999999999998</v>
      </c>
      <c r="H39" s="21">
        <f>ROUND(VLOOKUP("BLND1CO",'[2]TUOS (t)'!$B$10:$O$66,8,FALSE),4)</f>
        <v>1.6520999999999999</v>
      </c>
      <c r="I39" s="21">
        <f>ROUND(VLOOKUP("BLND1CO",'[2]TUOS (t)'!$B$10:$O$66,9,FALSE),4)</f>
        <v>0</v>
      </c>
      <c r="J39" s="21"/>
      <c r="K39" s="21"/>
      <c r="L39" s="21"/>
      <c r="M39" s="21"/>
    </row>
    <row r="40" spans="1:13" x14ac:dyDescent="0.2">
      <c r="B40" s="19" t="s">
        <v>20</v>
      </c>
      <c r="C40" s="33" t="s">
        <v>55</v>
      </c>
      <c r="D40" s="101"/>
      <c r="E40" s="21">
        <f>ROUND(VLOOKUP($B40,'[2]TUOS (t)'!$B$10:$O$66,4,FALSE)/365,4)</f>
        <v>0</v>
      </c>
      <c r="F40" s="21">
        <f>ROUND(VLOOKUP($B40,'[2]TUOS (t)'!$B$10:$O$66,6,FALSE),4)</f>
        <v>3.7408999999999999</v>
      </c>
      <c r="G40" s="21">
        <f>ROUND(VLOOKUP($B40,'[2]TUOS (t)'!$B$10:$O$66,7,FALSE),4)</f>
        <v>3.302</v>
      </c>
      <c r="H40" s="21">
        <f>ROUND(VLOOKUP($B40,'[2]TUOS (t)'!$B$10:$O$66,8,FALSE),4)</f>
        <v>1.6994</v>
      </c>
      <c r="I40" s="21">
        <f>ROUND(VLOOKUP($B40,'[2]TUOS (t)'!$B$10:$O$66,9,FALSE),4)</f>
        <v>0</v>
      </c>
      <c r="J40" s="21"/>
      <c r="K40" s="21"/>
      <c r="L40" s="21"/>
      <c r="M40" s="21">
        <f>ROUND(VLOOKUP($B40,'[2]TUOS (t)'!$B$10:$O$66,13,FALSE),4)</f>
        <v>0</v>
      </c>
    </row>
    <row r="41" spans="1:13" x14ac:dyDescent="0.2">
      <c r="B41" s="19" t="s">
        <v>21</v>
      </c>
      <c r="C41" s="33" t="s">
        <v>54</v>
      </c>
      <c r="D41" s="101"/>
      <c r="E41" s="21">
        <f>ROUND(VLOOKUP($B41,'[2]TUOS (t)'!$B$10:$O$66,4,FALSE)/365,4)</f>
        <v>0</v>
      </c>
      <c r="F41" s="21">
        <f>ROUND(VLOOKUP($B41,'[2]TUOS (t)'!$B$10:$O$66,6,FALSE),4)</f>
        <v>3.7408999999999999</v>
      </c>
      <c r="G41" s="21">
        <f>ROUND(VLOOKUP($B41,'[2]TUOS (t)'!$B$10:$O$66,7,FALSE),4)</f>
        <v>3.302</v>
      </c>
      <c r="H41" s="21">
        <f>ROUND(VLOOKUP($B41,'[2]TUOS (t)'!$B$10:$O$66,8,FALSE),4)</f>
        <v>1.6994</v>
      </c>
      <c r="I41" s="21">
        <f>ROUND(VLOOKUP($B41,'[2]TUOS (t)'!$B$10:$O$66,9,FALSE),4)</f>
        <v>0</v>
      </c>
      <c r="J41" s="21"/>
      <c r="K41" s="21"/>
      <c r="L41" s="21"/>
      <c r="M41" s="21">
        <f>ROUND(VLOOKUP($B41,'[2]TUOS (t)'!$B$10:$O$66,13,FALSE),4)</f>
        <v>0</v>
      </c>
    </row>
    <row r="42" spans="1:13" s="46" customFormat="1" x14ac:dyDescent="0.2">
      <c r="A42" s="45"/>
      <c r="B42" s="19" t="s">
        <v>22</v>
      </c>
      <c r="C42" s="33" t="s">
        <v>56</v>
      </c>
      <c r="D42" s="102"/>
      <c r="E42" s="21">
        <f>ROUND(VLOOKUP($B42,'[2]TUOS (t)'!$B$10:$O$66,4,FALSE)/365,4)</f>
        <v>0</v>
      </c>
      <c r="F42" s="21">
        <f>ROUND(VLOOKUP($B42,'[2]TUOS (t)'!$B$10:$O$66,6,FALSE),4)</f>
        <v>3.0451000000000001</v>
      </c>
      <c r="G42" s="21">
        <f>ROUND(VLOOKUP($B42,'[2]TUOS (t)'!$B$10:$O$66,7,FALSE),4)</f>
        <v>3.0451000000000001</v>
      </c>
      <c r="H42" s="21">
        <f>ROUND(VLOOKUP($B42,'[2]TUOS (t)'!$B$10:$O$66,8,FALSE),4)</f>
        <v>1.6103000000000001</v>
      </c>
      <c r="I42" s="21">
        <f>ROUND(VLOOKUP($B42,'[2]TUOS (t)'!$B$10:$O$66,9,FALSE),4)</f>
        <v>0</v>
      </c>
      <c r="J42" s="21"/>
      <c r="K42" s="21"/>
      <c r="L42" s="21"/>
      <c r="M42" s="21"/>
    </row>
    <row r="43" spans="1:13" ht="28.5" x14ac:dyDescent="0.2">
      <c r="B43" s="20" t="s">
        <v>80</v>
      </c>
      <c r="C43" s="33" t="s">
        <v>57</v>
      </c>
      <c r="D43" s="101"/>
      <c r="E43" s="21">
        <f>ROUND(VLOOKUP("BHND1SO",'[2]TUOS (t)'!$B$10:$O$66,4,FALSE)/365,4)</f>
        <v>0</v>
      </c>
      <c r="F43" s="21">
        <f>ROUND(VLOOKUP("BHND1SO",'[2]TUOS (t)'!$B$10:$O$66,6,FALSE),4)</f>
        <v>3.0451000000000001</v>
      </c>
      <c r="G43" s="21">
        <f>ROUND(VLOOKUP("BHND1SO",'[2]TUOS (t)'!$B$10:$O$66,7,FALSE),4)</f>
        <v>3.0451000000000001</v>
      </c>
      <c r="H43" s="21">
        <f>ROUND(VLOOKUP("BHND1SO",'[2]TUOS (t)'!$B$10:$O$66,8,FALSE),4)</f>
        <v>1.6103000000000001</v>
      </c>
      <c r="I43" s="21">
        <f>ROUND(VLOOKUP("BHND1SO",'[2]TUOS (t)'!$B$10:$O$66,9,FALSE),4)</f>
        <v>0</v>
      </c>
      <c r="J43" s="21"/>
      <c r="K43" s="21"/>
      <c r="L43" s="21"/>
      <c r="M43" s="21">
        <f>ROUND(VLOOKUP("BHND1SO",'[2]TUOS (t)'!$B$10:$O$66,13,FALSE),4)</f>
        <v>0</v>
      </c>
    </row>
  </sheetData>
  <mergeCells count="29">
    <mergeCell ref="B3:F3"/>
    <mergeCell ref="I3:J3"/>
    <mergeCell ref="B5:B7"/>
    <mergeCell ref="C5:C7"/>
    <mergeCell ref="K25:L25"/>
    <mergeCell ref="D19:E19"/>
    <mergeCell ref="D20:E20"/>
    <mergeCell ref="D21:E21"/>
    <mergeCell ref="D22:E22"/>
    <mergeCell ref="D23:E23"/>
    <mergeCell ref="D24:E24"/>
    <mergeCell ref="D5:E7"/>
    <mergeCell ref="D11:E11"/>
    <mergeCell ref="K12:L12"/>
    <mergeCell ref="D14:E14"/>
    <mergeCell ref="K20:L20"/>
    <mergeCell ref="D27:E27"/>
    <mergeCell ref="D30:E30"/>
    <mergeCell ref="D31:E31"/>
    <mergeCell ref="D33:E33"/>
    <mergeCell ref="D25:E25"/>
    <mergeCell ref="D26:E26"/>
    <mergeCell ref="D28:E28"/>
    <mergeCell ref="D18:E18"/>
    <mergeCell ref="D9:E9"/>
    <mergeCell ref="D10:E10"/>
    <mergeCell ref="D12:E12"/>
    <mergeCell ref="D15:E15"/>
    <mergeCell ref="D17:E17"/>
  </mergeCells>
  <pageMargins left="0.39370078740157483" right="0.39370078740157483" top="0.39370078740157483" bottom="0.39370078740157483" header="0.51181102362204722" footer="0.51181102362204722"/>
  <pageSetup paperSize="9" scale="67"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2:S43"/>
  <sheetViews>
    <sheetView showGridLines="0" topLeftCell="A4" zoomScale="70" zoomScaleNormal="70" zoomScaleSheetLayoutView="58" workbookViewId="0">
      <selection activeCell="F39" sqref="F39:H43"/>
    </sheetView>
  </sheetViews>
  <sheetFormatPr defaultRowHeight="14.25" x14ac:dyDescent="0.2"/>
  <cols>
    <col min="1" max="1" width="1.88671875" style="15" customWidth="1"/>
    <col min="2" max="2" width="26" style="8" customWidth="1"/>
    <col min="3" max="3" width="29.77734375" style="8" customWidth="1"/>
    <col min="4" max="4" width="11.21875" style="8" customWidth="1"/>
    <col min="5" max="5" width="17.88671875" style="8" customWidth="1"/>
    <col min="6" max="16" width="10.5546875" style="8" customWidth="1"/>
    <col min="17" max="17" width="8.5546875" style="8" customWidth="1"/>
    <col min="18" max="18" width="63.77734375" style="8" customWidth="1"/>
    <col min="19" max="16384" width="8.88671875" style="8"/>
  </cols>
  <sheetData>
    <row r="2" spans="1:19" ht="33" x14ac:dyDescent="0.45">
      <c r="A2" s="1"/>
      <c r="B2" s="2" t="s">
        <v>182</v>
      </c>
      <c r="C2" s="3"/>
      <c r="D2" s="3"/>
      <c r="E2" s="3"/>
      <c r="F2" s="3"/>
      <c r="G2" s="4"/>
      <c r="H2" s="5"/>
      <c r="I2" s="5"/>
      <c r="J2" s="5"/>
      <c r="K2" s="4"/>
      <c r="L2" s="6"/>
      <c r="M2" s="7"/>
    </row>
    <row r="3" spans="1:19" ht="15.75" x14ac:dyDescent="0.25">
      <c r="A3" s="1"/>
      <c r="B3" s="136" t="s">
        <v>169</v>
      </c>
      <c r="C3" s="137"/>
      <c r="D3" s="137"/>
      <c r="E3" s="137"/>
      <c r="F3" s="137"/>
      <c r="G3" s="9"/>
      <c r="H3" s="9"/>
      <c r="I3" s="131"/>
      <c r="J3" s="131"/>
      <c r="K3" s="9"/>
      <c r="L3" s="9"/>
      <c r="M3" s="10"/>
    </row>
    <row r="4" spans="1:19" ht="15" x14ac:dyDescent="0.25">
      <c r="A4" s="1"/>
      <c r="B4" s="11"/>
      <c r="C4" s="12"/>
      <c r="D4" s="13"/>
      <c r="E4" s="13"/>
      <c r="F4" s="13"/>
      <c r="G4" s="13"/>
      <c r="H4" s="13"/>
      <c r="I4" s="13"/>
      <c r="J4" s="13"/>
      <c r="K4" s="13"/>
      <c r="L4" s="13"/>
      <c r="M4" s="14"/>
    </row>
    <row r="5" spans="1:19" ht="15" x14ac:dyDescent="0.25">
      <c r="B5" s="127" t="s">
        <v>107</v>
      </c>
      <c r="C5" s="127" t="s">
        <v>24</v>
      </c>
      <c r="D5" s="155" t="s">
        <v>9</v>
      </c>
      <c r="E5" s="156"/>
      <c r="F5" s="57" t="s">
        <v>1</v>
      </c>
      <c r="G5" s="57" t="s">
        <v>2</v>
      </c>
      <c r="H5" s="40" t="s">
        <v>2</v>
      </c>
      <c r="I5" s="40" t="s">
        <v>2</v>
      </c>
      <c r="J5" s="40" t="s">
        <v>2</v>
      </c>
      <c r="K5" s="40" t="s">
        <v>4</v>
      </c>
      <c r="L5" s="40" t="s">
        <v>5</v>
      </c>
      <c r="M5" s="40" t="s">
        <v>6</v>
      </c>
    </row>
    <row r="6" spans="1:19" ht="15" x14ac:dyDescent="0.2">
      <c r="B6" s="128"/>
      <c r="C6" s="128"/>
      <c r="D6" s="140"/>
      <c r="E6" s="141"/>
      <c r="F6" s="83" t="s">
        <v>10</v>
      </c>
      <c r="G6" s="83" t="s">
        <v>177</v>
      </c>
      <c r="H6" s="83" t="s">
        <v>4</v>
      </c>
      <c r="I6" s="83" t="s">
        <v>5</v>
      </c>
      <c r="J6" s="83" t="s">
        <v>6</v>
      </c>
      <c r="K6" s="83" t="s">
        <v>3</v>
      </c>
      <c r="L6" s="83" t="s">
        <v>3</v>
      </c>
      <c r="M6" s="83" t="s">
        <v>3</v>
      </c>
    </row>
    <row r="7" spans="1:19" ht="15" x14ac:dyDescent="0.2">
      <c r="B7" s="129"/>
      <c r="C7" s="129"/>
      <c r="D7" s="157"/>
      <c r="E7" s="158"/>
      <c r="F7" s="83" t="s">
        <v>13</v>
      </c>
      <c r="G7" s="83" t="s">
        <v>14</v>
      </c>
      <c r="H7" s="83" t="s">
        <v>14</v>
      </c>
      <c r="I7" s="83" t="s">
        <v>14</v>
      </c>
      <c r="J7" s="83" t="s">
        <v>14</v>
      </c>
      <c r="K7" s="83" t="s">
        <v>15</v>
      </c>
      <c r="L7" s="83" t="s">
        <v>15</v>
      </c>
      <c r="M7" s="83" t="s">
        <v>15</v>
      </c>
    </row>
    <row r="8" spans="1:19" s="18" customFormat="1" ht="18" x14ac:dyDescent="0.25">
      <c r="A8" s="16"/>
      <c r="B8" s="60" t="s">
        <v>16</v>
      </c>
      <c r="C8" s="61"/>
      <c r="D8" s="62"/>
      <c r="E8" s="63"/>
      <c r="F8" s="64"/>
      <c r="G8" s="64"/>
      <c r="H8" s="64"/>
      <c r="I8" s="64"/>
      <c r="J8" s="64"/>
      <c r="K8" s="64"/>
      <c r="L8" s="64"/>
      <c r="M8" s="64"/>
      <c r="N8" s="65"/>
      <c r="O8" s="65"/>
    </row>
    <row r="9" spans="1:19" ht="14.25" customHeight="1" x14ac:dyDescent="0.2">
      <c r="B9" s="19" t="s">
        <v>25</v>
      </c>
      <c r="C9" s="20"/>
      <c r="D9" s="123" t="s">
        <v>184</v>
      </c>
      <c r="E9" s="124"/>
      <c r="F9" s="21">
        <f>ROUND(VLOOKUP($B9,'[2]CCF (t)'!$B$10:$O$66,4,FALSE)/365,4)</f>
        <v>0</v>
      </c>
      <c r="G9" s="21">
        <f>ROUND(VLOOKUP($B9,'[2]CCF (t)'!$B$10:$O$66,5,FALSE),4)</f>
        <v>0.32279999999999998</v>
      </c>
      <c r="H9" s="21"/>
      <c r="I9" s="21"/>
      <c r="J9" s="21"/>
      <c r="K9" s="21"/>
      <c r="L9" s="21"/>
      <c r="M9" s="21"/>
      <c r="N9" s="22"/>
      <c r="O9" s="22"/>
    </row>
    <row r="10" spans="1:19" ht="14.25" customHeight="1" x14ac:dyDescent="0.2">
      <c r="B10" s="19" t="s">
        <v>26</v>
      </c>
      <c r="C10" s="20"/>
      <c r="D10" s="123" t="s">
        <v>42</v>
      </c>
      <c r="E10" s="124"/>
      <c r="F10" s="21">
        <f>ROUND(VLOOKUP($B10,'[2]CCF (t)'!$B$10:$O$66,4,FALSE)/365,4)</f>
        <v>0</v>
      </c>
      <c r="G10" s="21"/>
      <c r="H10" s="21">
        <f>ROUND(VLOOKUP($B10,'[2]CCF (t)'!$B$10:$O$66,6,FALSE),4)</f>
        <v>0.32279999999999998</v>
      </c>
      <c r="I10" s="21">
        <f>ROUND(VLOOKUP($B10,'[2]CCF (t)'!$B$10:$O$66,7,FALSE),4)</f>
        <v>0.32279999999999998</v>
      </c>
      <c r="J10" s="21">
        <f>ROUND(VLOOKUP($B10,'[2]CCF (t)'!$B$10:$O$66,8,FALSE),4)</f>
        <v>0.32279999999999998</v>
      </c>
      <c r="K10" s="21"/>
      <c r="L10" s="21"/>
      <c r="M10" s="21"/>
      <c r="N10" s="22"/>
      <c r="O10" s="22"/>
      <c r="P10" s="56"/>
      <c r="Q10" s="22"/>
      <c r="R10" s="22"/>
    </row>
    <row r="11" spans="1:19" ht="14.25" customHeight="1" x14ac:dyDescent="0.2">
      <c r="B11" s="19" t="s">
        <v>170</v>
      </c>
      <c r="C11" s="20"/>
      <c r="D11" s="123" t="s">
        <v>171</v>
      </c>
      <c r="E11" s="124"/>
      <c r="F11" s="21">
        <f>ROUND(VLOOKUP($B11,'[2]CCF (t)'!$B$10:$O$66,4,FALSE)/365,4)</f>
        <v>0</v>
      </c>
      <c r="G11" s="21"/>
      <c r="H11" s="21">
        <f>ROUND(VLOOKUP($B11,'[2]CCF (t)'!$B$10:$O$66,6,FALSE),4)</f>
        <v>0.32279999999999998</v>
      </c>
      <c r="I11" s="21">
        <f>ROUND(VLOOKUP($B11,'[2]CCF (t)'!$B$10:$O$66,7,FALSE),4)</f>
        <v>0.32279999999999998</v>
      </c>
      <c r="J11" s="21">
        <f>ROUND(VLOOKUP($B11,'[2]CCF (t)'!$B$10:$O$66,8,FALSE),4)</f>
        <v>0.32279999999999998</v>
      </c>
      <c r="K11" s="21"/>
      <c r="L11" s="21"/>
      <c r="M11" s="21"/>
      <c r="N11" s="22"/>
      <c r="O11" s="22"/>
      <c r="P11" s="22"/>
      <c r="Q11" s="22"/>
      <c r="R11" s="22"/>
      <c r="S11" s="22"/>
    </row>
    <row r="12" spans="1:19" ht="14.25" customHeight="1" x14ac:dyDescent="0.2">
      <c r="B12" s="19" t="s">
        <v>172</v>
      </c>
      <c r="C12" s="20"/>
      <c r="D12" s="123" t="s">
        <v>186</v>
      </c>
      <c r="E12" s="124"/>
      <c r="F12" s="21">
        <f>ROUND(VLOOKUP($B12,'[2]CCF (t)'!$B$10:$O$66,4,FALSE)/365,4)</f>
        <v>0</v>
      </c>
      <c r="G12" s="21"/>
      <c r="H12" s="21">
        <f>ROUND(VLOOKUP($B12,'[2]CCF (t)'!$B$10:$O$66,6,FALSE),4)</f>
        <v>0.32279999999999998</v>
      </c>
      <c r="I12" s="21">
        <f>ROUND(VLOOKUP($B12,'[2]CCF (t)'!$B$10:$O$66,7,FALSE),4)</f>
        <v>0.32279999999999998</v>
      </c>
      <c r="J12" s="21">
        <f>ROUND(VLOOKUP($B12,'[2]CCF (t)'!$B$10:$O$66,8,FALSE),4)</f>
        <v>0.32279999999999998</v>
      </c>
      <c r="K12" s="125">
        <f>ROUND(VLOOKUP($B12,'[2]CCF (t)'!$B$10:$O$66,10,FALSE),4)</f>
        <v>0</v>
      </c>
      <c r="L12" s="126"/>
      <c r="M12" s="21"/>
      <c r="N12" s="22"/>
      <c r="O12" s="22"/>
      <c r="P12" s="22"/>
      <c r="Q12" s="22"/>
      <c r="R12" s="22"/>
      <c r="S12" s="22"/>
    </row>
    <row r="13" spans="1:19" ht="18" x14ac:dyDescent="0.25">
      <c r="B13" s="61" t="s">
        <v>19</v>
      </c>
      <c r="C13" s="61"/>
      <c r="D13" s="66"/>
      <c r="E13" s="67"/>
      <c r="F13" s="68"/>
      <c r="G13" s="69"/>
      <c r="H13" s="69"/>
      <c r="I13" s="69"/>
      <c r="J13" s="69"/>
      <c r="K13" s="69"/>
      <c r="L13" s="69"/>
      <c r="M13" s="69"/>
      <c r="N13" s="70"/>
      <c r="O13" s="70"/>
      <c r="P13" s="22"/>
      <c r="Q13" s="22"/>
      <c r="R13" s="22"/>
      <c r="S13" s="22"/>
    </row>
    <row r="14" spans="1:19" ht="14.25" customHeight="1" x14ac:dyDescent="0.2">
      <c r="B14" s="19" t="s">
        <v>27</v>
      </c>
      <c r="C14" s="20"/>
      <c r="D14" s="123" t="s">
        <v>39</v>
      </c>
      <c r="E14" s="124"/>
      <c r="F14" s="21">
        <f>ROUND(VLOOKUP($B14,'[2]CCF (t)'!$B$10:$O$66,4,FALSE)/365,4)</f>
        <v>0</v>
      </c>
      <c r="G14" s="21">
        <f>ROUND(VLOOKUP($B14,'[2]CCF (t)'!$B$10:$O$66,5,FALSE),4)</f>
        <v>0.32279999999999998</v>
      </c>
      <c r="H14" s="21"/>
      <c r="I14" s="21"/>
      <c r="J14" s="21"/>
      <c r="K14" s="21"/>
      <c r="L14" s="21"/>
      <c r="M14" s="21"/>
      <c r="N14" s="22"/>
      <c r="O14" s="22"/>
      <c r="P14" s="22"/>
      <c r="Q14" s="22"/>
      <c r="R14" s="22"/>
      <c r="S14" s="22"/>
    </row>
    <row r="15" spans="1:19" ht="14.25" customHeight="1" x14ac:dyDescent="0.2">
      <c r="B15" s="19" t="s">
        <v>28</v>
      </c>
      <c r="C15" s="20"/>
      <c r="D15" s="123" t="s">
        <v>40</v>
      </c>
      <c r="E15" s="124"/>
      <c r="F15" s="21">
        <f>ROUND(VLOOKUP($B15,'[2]CCF (t)'!$B$10:$O$66,4,FALSE)/365,4)</f>
        <v>0</v>
      </c>
      <c r="G15" s="21">
        <f>ROUND(VLOOKUP($B15,'[2]CCF (t)'!$B$10:$O$66,5,FALSE),4)</f>
        <v>0.32279999999999998</v>
      </c>
      <c r="H15" s="21"/>
      <c r="I15" s="21"/>
      <c r="J15" s="21"/>
      <c r="K15" s="21"/>
      <c r="L15" s="21"/>
      <c r="M15" s="21"/>
      <c r="N15" s="22"/>
      <c r="O15" s="22"/>
      <c r="P15" s="22"/>
      <c r="Q15" s="22"/>
      <c r="R15" s="22"/>
    </row>
    <row r="16" spans="1:19" ht="18" x14ac:dyDescent="0.25">
      <c r="B16" s="71" t="s">
        <v>18</v>
      </c>
      <c r="C16" s="71"/>
      <c r="D16" s="72"/>
      <c r="E16" s="73"/>
      <c r="F16" s="74"/>
      <c r="G16" s="74"/>
      <c r="H16" s="74"/>
      <c r="I16" s="74"/>
      <c r="J16" s="74"/>
      <c r="K16" s="74"/>
      <c r="L16" s="74"/>
      <c r="M16" s="74"/>
      <c r="N16" s="70"/>
      <c r="O16" s="70"/>
      <c r="P16" s="22"/>
      <c r="Q16" s="22"/>
      <c r="R16" s="22"/>
      <c r="S16" s="22"/>
    </row>
    <row r="17" spans="1:19" ht="14.25" customHeight="1" x14ac:dyDescent="0.2">
      <c r="B17" s="19" t="s">
        <v>29</v>
      </c>
      <c r="C17" s="20"/>
      <c r="D17" s="123" t="s">
        <v>185</v>
      </c>
      <c r="E17" s="124"/>
      <c r="F17" s="21">
        <f>ROUND(VLOOKUP($B17,'[2]CCF (t)'!$B$10:$O$66,4,FALSE)/365,4)</f>
        <v>0</v>
      </c>
      <c r="G17" s="21">
        <f>ROUND(VLOOKUP($B17,'[2]CCF (t)'!$B$10:$O$66,5,FALSE),4)</f>
        <v>0.74280000000000002</v>
      </c>
      <c r="H17" s="21"/>
      <c r="I17" s="21"/>
      <c r="J17" s="21"/>
      <c r="K17" s="21"/>
      <c r="L17" s="21"/>
      <c r="M17" s="21"/>
      <c r="N17" s="22"/>
      <c r="O17" s="22"/>
      <c r="P17" s="22"/>
      <c r="Q17" s="22"/>
      <c r="R17" s="22"/>
      <c r="S17" s="22"/>
    </row>
    <row r="18" spans="1:19" ht="14.25" customHeight="1" x14ac:dyDescent="0.2">
      <c r="B18" s="19" t="s">
        <v>30</v>
      </c>
      <c r="C18" s="20"/>
      <c r="D18" s="123" t="s">
        <v>43</v>
      </c>
      <c r="E18" s="124"/>
      <c r="F18" s="21">
        <f>ROUND(VLOOKUP($B18,'[2]CCF (t)'!$B$10:$O$66,4,FALSE)/365,4)</f>
        <v>0</v>
      </c>
      <c r="G18" s="21"/>
      <c r="H18" s="21">
        <f>ROUND(VLOOKUP($B18,'[2]CCF (t)'!$B$10:$O$66,6,FALSE),4)</f>
        <v>0.74280000000000002</v>
      </c>
      <c r="I18" s="21">
        <f>ROUND(VLOOKUP($B18,'[2]CCF (t)'!$B$10:$O$66,7,FALSE),4)</f>
        <v>0.74280000000000002</v>
      </c>
      <c r="J18" s="21">
        <f>ROUND(VLOOKUP($B18,'[2]CCF (t)'!$B$10:$O$66,8,FALSE),4)</f>
        <v>0.74280000000000002</v>
      </c>
      <c r="K18" s="21"/>
      <c r="L18" s="21"/>
      <c r="M18" s="21"/>
      <c r="N18" s="22"/>
      <c r="O18" s="22"/>
    </row>
    <row r="19" spans="1:19" ht="14.25" customHeight="1" x14ac:dyDescent="0.2">
      <c r="B19" s="19" t="s">
        <v>174</v>
      </c>
      <c r="C19" s="20"/>
      <c r="D19" s="123" t="s">
        <v>175</v>
      </c>
      <c r="E19" s="124"/>
      <c r="F19" s="21">
        <f>ROUND(VLOOKUP($B19,'[2]CCF (t)'!$B$10:$O$66,4,FALSE)/365,4)</f>
        <v>0</v>
      </c>
      <c r="G19" s="21"/>
      <c r="H19" s="21">
        <f>ROUND(VLOOKUP($B19,'[2]CCF (t)'!$B$10:$O$66,6,FALSE),4)</f>
        <v>0.74280000000000002</v>
      </c>
      <c r="I19" s="21">
        <f>ROUND(VLOOKUP($B19,'[2]CCF (t)'!$B$10:$O$66,7,FALSE),4)</f>
        <v>0.74280000000000002</v>
      </c>
      <c r="J19" s="21">
        <f>ROUND(VLOOKUP($B19,'[2]CCF (t)'!$B$10:$O$66,8,FALSE),4)</f>
        <v>0.74280000000000002</v>
      </c>
      <c r="K19" s="21"/>
      <c r="L19" s="21"/>
      <c r="M19" s="21"/>
      <c r="N19" s="22"/>
      <c r="O19" s="22"/>
    </row>
    <row r="20" spans="1:19" ht="14.25" customHeight="1" x14ac:dyDescent="0.2">
      <c r="B20" s="19" t="s">
        <v>176</v>
      </c>
      <c r="C20" s="20"/>
      <c r="D20" s="123" t="s">
        <v>187</v>
      </c>
      <c r="E20" s="124"/>
      <c r="F20" s="21">
        <f>ROUND(VLOOKUP($B20,'[2]CCF (t)'!$B$10:$O$66,4,FALSE)/365,4)</f>
        <v>0</v>
      </c>
      <c r="G20" s="21"/>
      <c r="H20" s="21">
        <f>ROUND(VLOOKUP($B20,'[2]CCF (t)'!$B$10:$O$66,6,FALSE),4)</f>
        <v>0.74280000000000002</v>
      </c>
      <c r="I20" s="21">
        <f>ROUND(VLOOKUP($B20,'[2]CCF (t)'!$B$10:$O$66,7,FALSE),4)</f>
        <v>0.74280000000000002</v>
      </c>
      <c r="J20" s="21">
        <f>ROUND(VLOOKUP($B20,'[2]CCF (t)'!$B$10:$O$66,8,FALSE),4)</f>
        <v>0.74280000000000002</v>
      </c>
      <c r="K20" s="125">
        <f>ROUND(VLOOKUP($B20,'[2]CCF (t)'!$B$10:$O$66,10,FALSE),4)</f>
        <v>0</v>
      </c>
      <c r="L20" s="126"/>
      <c r="M20" s="21"/>
      <c r="N20" s="22"/>
      <c r="O20" s="22"/>
    </row>
    <row r="21" spans="1:19" ht="14.25" customHeight="1" x14ac:dyDescent="0.2">
      <c r="B21" s="19" t="s">
        <v>31</v>
      </c>
      <c r="C21" s="20" t="s">
        <v>173</v>
      </c>
      <c r="D21" s="123" t="s">
        <v>116</v>
      </c>
      <c r="E21" s="124"/>
      <c r="F21" s="21">
        <f>ROUND(VLOOKUP($B21,'[2]CCF (t)'!$B$10:$O$66,4,FALSE)/365,4)</f>
        <v>0</v>
      </c>
      <c r="G21" s="21"/>
      <c r="H21" s="21">
        <f>ROUND(VLOOKUP($B21,'[2]CCF (t)'!$B$10:$O$66,6,FALSE),4)</f>
        <v>0.74280000000000002</v>
      </c>
      <c r="I21" s="21">
        <f>ROUND(VLOOKUP($B21,'[2]CCF (t)'!$B$10:$O$66,7,FALSE),4)</f>
        <v>0.74280000000000002</v>
      </c>
      <c r="J21" s="21">
        <f>ROUND(VLOOKUP($B21,'[2]CCF (t)'!$B$10:$O$66,8,FALSE),4)</f>
        <v>0.74280000000000002</v>
      </c>
      <c r="K21" s="21"/>
      <c r="L21" s="21"/>
      <c r="M21" s="21"/>
      <c r="N21" s="22"/>
      <c r="O21" s="22"/>
    </row>
    <row r="22" spans="1:19" ht="14.25" customHeight="1" x14ac:dyDescent="0.2">
      <c r="B22" s="19" t="s">
        <v>178</v>
      </c>
      <c r="C22" s="20"/>
      <c r="D22" s="123" t="s">
        <v>179</v>
      </c>
      <c r="E22" s="124"/>
      <c r="F22" s="21">
        <f>ROUND(VLOOKUP($B22,'[2]CCF (t)'!$B$10:$O$66,4,FALSE)/365,4)</f>
        <v>0</v>
      </c>
      <c r="G22" s="21"/>
      <c r="H22" s="21">
        <f>ROUND(VLOOKUP($B22,'[2]CCF (t)'!$B$10:$O$66,6,FALSE),4)</f>
        <v>0.74280000000000002</v>
      </c>
      <c r="I22" s="21">
        <f>ROUND(VLOOKUP($B22,'[2]CCF (t)'!$B$10:$O$66,7,FALSE),4)</f>
        <v>0.74280000000000002</v>
      </c>
      <c r="J22" s="21">
        <f>ROUND(VLOOKUP($B22,'[2]CCF (t)'!$B$10:$O$66,8,FALSE),4)</f>
        <v>0.74280000000000002</v>
      </c>
      <c r="K22" s="21">
        <f>ROUND(VLOOKUP($B22,'[2]CCF (t)'!$B$10:$O$66,10,FALSE),4)</f>
        <v>0</v>
      </c>
      <c r="L22" s="21">
        <f>ROUND(VLOOKUP($B22,'[2]CCF (t)'!$B$10:$O$66,11,FALSE),4)</f>
        <v>0</v>
      </c>
      <c r="M22" s="21">
        <f>ROUND(VLOOKUP($B22,'[2]CCF (t)'!$B$10:$O$66,12,FALSE),4)</f>
        <v>0</v>
      </c>
      <c r="N22" s="22"/>
      <c r="O22" s="22"/>
    </row>
    <row r="23" spans="1:19" ht="14.25" customHeight="1" x14ac:dyDescent="0.2">
      <c r="B23" s="19" t="s">
        <v>32</v>
      </c>
      <c r="C23" s="20"/>
      <c r="D23" s="123" t="s">
        <v>47</v>
      </c>
      <c r="E23" s="124"/>
      <c r="F23" s="21">
        <f>ROUND(VLOOKUP($B23,'[2]CCF (t)'!$B$10:$O$66,4,FALSE)/365,4)</f>
        <v>0</v>
      </c>
      <c r="G23" s="21"/>
      <c r="H23" s="21">
        <f>ROUND(VLOOKUP($B23,'[2]CCF (t)'!$B$10:$O$66,6,FALSE),4)</f>
        <v>0.74280000000000002</v>
      </c>
      <c r="I23" s="21">
        <f>ROUND(VLOOKUP($B23,'[2]CCF (t)'!$B$10:$O$66,7,FALSE),4)</f>
        <v>0.74280000000000002</v>
      </c>
      <c r="J23" s="21">
        <f>ROUND(VLOOKUP($B23,'[2]CCF (t)'!$B$10:$O$66,8,FALSE),4)</f>
        <v>0.74280000000000002</v>
      </c>
      <c r="K23" s="21">
        <f>ROUND(VLOOKUP($B23,'[2]CCF (t)'!$B$10:$O$66,10,FALSE),4)</f>
        <v>0</v>
      </c>
      <c r="L23" s="21">
        <f>ROUND(VLOOKUP($B23,'[2]CCF (t)'!$B$10:$O$66,11,FALSE),4)</f>
        <v>0</v>
      </c>
      <c r="M23" s="21">
        <f>ROUND(VLOOKUP($B23,'[2]CCF (t)'!$B$10:$O$66,12,FALSE),4)</f>
        <v>0</v>
      </c>
      <c r="N23" s="22"/>
      <c r="O23" s="97"/>
    </row>
    <row r="24" spans="1:19" ht="14.25" customHeight="1" x14ac:dyDescent="0.2">
      <c r="B24" s="19" t="s">
        <v>33</v>
      </c>
      <c r="C24" s="20"/>
      <c r="D24" s="123" t="s">
        <v>58</v>
      </c>
      <c r="E24" s="124"/>
      <c r="F24" s="21">
        <f>ROUND(VLOOKUP($B24,'[2]CCF (t)'!$B$10:$O$66,4,FALSE)/365,4)</f>
        <v>0</v>
      </c>
      <c r="G24" s="21"/>
      <c r="H24" s="21">
        <f>ROUND(VLOOKUP($B24,'[2]CCF (t)'!$B$10:$O$66,6,FALSE),4)</f>
        <v>0.74280000000000002</v>
      </c>
      <c r="I24" s="21">
        <f>ROUND(VLOOKUP($B24,'[2]CCF (t)'!$B$10:$O$66,7,FALSE),4)</f>
        <v>0.74280000000000002</v>
      </c>
      <c r="J24" s="21">
        <f>ROUND(VLOOKUP($B24,'[2]CCF (t)'!$B$10:$O$66,8,FALSE),4)</f>
        <v>0.74280000000000002</v>
      </c>
      <c r="K24" s="21">
        <f>ROUND(VLOOKUP($B24,'[2]CCF (t)'!$B$10:$O$66,10,FALSE),4)</f>
        <v>0</v>
      </c>
      <c r="L24" s="21">
        <f>ROUND(VLOOKUP($B24,'[2]CCF (t)'!$B$10:$O$66,11,FALSE),4)</f>
        <v>0</v>
      </c>
      <c r="M24" s="21">
        <f>ROUND(VLOOKUP($B24,'[2]CCF (t)'!$B$10:$O$66,12,FALSE),4)</f>
        <v>0</v>
      </c>
      <c r="N24" s="22"/>
      <c r="O24" s="22"/>
    </row>
    <row r="25" spans="1:19" ht="14.25" customHeight="1" x14ac:dyDescent="0.2">
      <c r="B25" s="19" t="s">
        <v>61</v>
      </c>
      <c r="C25" s="20"/>
      <c r="D25" s="123" t="s">
        <v>74</v>
      </c>
      <c r="E25" s="124"/>
      <c r="F25" s="21">
        <f>ROUND(VLOOKUP($B25,'[2]CCF (t)'!$B$10:$O$66,4,FALSE)/365,4)</f>
        <v>0</v>
      </c>
      <c r="G25" s="21"/>
      <c r="H25" s="21">
        <f>ROUND(VLOOKUP($B25,'[2]CCF (t)'!$B$10:$O$66,6,FALSE),4)</f>
        <v>0.74280000000000002</v>
      </c>
      <c r="I25" s="21">
        <f>ROUND(VLOOKUP($B25,'[2]CCF (t)'!$B$10:$O$66,7,FALSE),4)</f>
        <v>0.74280000000000002</v>
      </c>
      <c r="J25" s="21">
        <f>ROUND(VLOOKUP($B25,'[2]CCF (t)'!$B$10:$O$66,8,FALSE),4)</f>
        <v>0.74280000000000002</v>
      </c>
      <c r="K25" s="125">
        <f>ROUND(VLOOKUP($B25,'[2]CCF (t)'!$B$10:$O$66,10,FALSE),4)</f>
        <v>0</v>
      </c>
      <c r="L25" s="126"/>
      <c r="M25" s="21"/>
      <c r="N25" s="22"/>
      <c r="O25" s="22"/>
    </row>
    <row r="26" spans="1:19" ht="14.25" customHeight="1" x14ac:dyDescent="0.2">
      <c r="B26" s="19" t="s">
        <v>34</v>
      </c>
      <c r="C26" s="20"/>
      <c r="D26" s="123" t="s">
        <v>41</v>
      </c>
      <c r="E26" s="124"/>
      <c r="F26" s="21">
        <f>ROUND(VLOOKUP($B26,'[2]CCF (t)'!$B$10:$O$66,4,FALSE)/365,4)</f>
        <v>0</v>
      </c>
      <c r="G26" s="21"/>
      <c r="H26" s="21">
        <f>ROUND(VLOOKUP($B26,'[2]CCF (t)'!$B$10:$O$66,6,FALSE),4)</f>
        <v>0.74280000000000002</v>
      </c>
      <c r="I26" s="21">
        <f>ROUND(VLOOKUP($B26,'[2]CCF (t)'!$B$10:$O$66,7,FALSE),4)</f>
        <v>0.74280000000000002</v>
      </c>
      <c r="J26" s="21">
        <f>ROUND(VLOOKUP($B26,'[2]CCF (t)'!$B$10:$O$66,8,FALSE),4)</f>
        <v>0.74280000000000002</v>
      </c>
      <c r="K26" s="21">
        <f>ROUND(VLOOKUP($B26,'[2]CCF (t)'!$B$10:$O$66,10,FALSE),4)</f>
        <v>0</v>
      </c>
      <c r="L26" s="21">
        <f>ROUND(VLOOKUP($B26,'[2]CCF (t)'!$B$10:$O$66,11,FALSE),4)</f>
        <v>0</v>
      </c>
      <c r="M26" s="21">
        <f>ROUND(VLOOKUP($B26,'[2]CCF (t)'!$B$10:$O$66,12,FALSE),4)</f>
        <v>0</v>
      </c>
      <c r="N26" s="22"/>
      <c r="O26" s="22"/>
    </row>
    <row r="27" spans="1:19" s="43" customFormat="1" ht="14.25" customHeight="1" x14ac:dyDescent="0.2">
      <c r="A27" s="42"/>
      <c r="B27" s="19" t="s">
        <v>35</v>
      </c>
      <c r="C27" s="20"/>
      <c r="D27" s="138" t="s">
        <v>59</v>
      </c>
      <c r="E27" s="139"/>
      <c r="F27" s="21">
        <f>ROUND(VLOOKUP($B27,'[2]CCF (t)'!$B$10:$O$66,4,FALSE)/365,4)</f>
        <v>0</v>
      </c>
      <c r="G27" s="21"/>
      <c r="H27" s="21">
        <f>ROUND(VLOOKUP($B27,'[2]CCF (t)'!$B$10:$O$66,6,FALSE),4)</f>
        <v>0.74280000000000002</v>
      </c>
      <c r="I27" s="21">
        <f>ROUND(VLOOKUP($B27,'[2]CCF (t)'!$B$10:$O$66,7,FALSE),4)</f>
        <v>0.74280000000000002</v>
      </c>
      <c r="J27" s="21">
        <f>ROUND(VLOOKUP($B27,'[2]CCF (t)'!$B$10:$O$66,8,FALSE),4)</f>
        <v>0.74280000000000002</v>
      </c>
      <c r="K27" s="21">
        <f>ROUND(VLOOKUP($B27,'[2]CCF (t)'!$B$10:$O$66,10,FALSE),4)</f>
        <v>0</v>
      </c>
      <c r="L27" s="21">
        <f>ROUND(VLOOKUP($B27,'[2]CCF (t)'!$B$10:$O$66,11,FALSE),4)</f>
        <v>0</v>
      </c>
      <c r="M27" s="21">
        <f>ROUND(VLOOKUP($B27,'[2]CCF (t)'!$B$10:$O$66,12,FALSE),4)</f>
        <v>0</v>
      </c>
      <c r="N27" s="22"/>
      <c r="O27" s="22"/>
    </row>
    <row r="28" spans="1:19" ht="14.25" customHeight="1" x14ac:dyDescent="0.2">
      <c r="B28" s="19" t="s">
        <v>23</v>
      </c>
      <c r="C28" s="20"/>
      <c r="D28" s="138" t="s">
        <v>38</v>
      </c>
      <c r="E28" s="139"/>
      <c r="F28" s="21">
        <f>ROUND(VLOOKUP($B28,'[2]CCF (t)'!$B$10:$O$66,4,FALSE)/365,4)</f>
        <v>0</v>
      </c>
      <c r="G28" s="21"/>
      <c r="H28" s="21">
        <f>ROUND(VLOOKUP($B28,'[2]CCF (t)'!$B$10:$O$66,6,FALSE),4)</f>
        <v>0.19800000000000001</v>
      </c>
      <c r="I28" s="21">
        <f>ROUND(VLOOKUP($B28,'[2]CCF (t)'!$B$10:$O$66,7,FALSE),4)</f>
        <v>0.19800000000000001</v>
      </c>
      <c r="J28" s="21">
        <f>ROUND(VLOOKUP($B28,'[2]CCF (t)'!$B$10:$O$66,8,FALSE),4)</f>
        <v>0.19800000000000001</v>
      </c>
      <c r="K28" s="21">
        <f>ROUND(VLOOKUP($B28,'[2]CCF (t)'!$B$10:$O$66,10,FALSE),4)</f>
        <v>0</v>
      </c>
      <c r="L28" s="21">
        <f>ROUND(VLOOKUP($B28,'[2]CCF (t)'!$B$10:$O$66,11,FALSE),4)</f>
        <v>0</v>
      </c>
      <c r="M28" s="21">
        <f>ROUND(VLOOKUP($B28,'[2]CCF (t)'!$B$10:$O$66,12,FALSE),4)</f>
        <v>0</v>
      </c>
    </row>
    <row r="29" spans="1:19" ht="18" x14ac:dyDescent="0.25">
      <c r="B29" s="71" t="s">
        <v>45</v>
      </c>
      <c r="C29" s="71"/>
      <c r="D29" s="72"/>
      <c r="E29" s="73"/>
      <c r="F29" s="75"/>
      <c r="G29" s="75"/>
      <c r="H29" s="75"/>
      <c r="I29" s="75"/>
      <c r="J29" s="75"/>
      <c r="K29" s="75"/>
      <c r="L29" s="75"/>
      <c r="M29" s="75"/>
      <c r="N29" s="65"/>
      <c r="O29" s="65"/>
    </row>
    <row r="30" spans="1:19" ht="14.25" customHeight="1" x14ac:dyDescent="0.2">
      <c r="B30" s="19" t="s">
        <v>36</v>
      </c>
      <c r="C30" s="20" t="s">
        <v>44</v>
      </c>
      <c r="D30" s="123" t="s">
        <v>109</v>
      </c>
      <c r="E30" s="124"/>
      <c r="F30" s="21">
        <f>ROUND(VLOOKUP($B30,'[2]CCF (t)'!$B$10:$O$66,4,FALSE)/365,4)</f>
        <v>0</v>
      </c>
      <c r="G30" s="21">
        <f>ROUND(VLOOKUP($B30,'[2]CCF (t)'!$B$10:$O$66,5,FALSE),4)</f>
        <v>0.74280000000000002</v>
      </c>
      <c r="H30" s="21"/>
      <c r="I30" s="21"/>
      <c r="J30" s="21"/>
      <c r="K30" s="21"/>
      <c r="L30" s="21"/>
      <c r="M30" s="21"/>
    </row>
    <row r="31" spans="1:19" ht="14.25" customHeight="1" x14ac:dyDescent="0.2">
      <c r="B31" s="19" t="s">
        <v>37</v>
      </c>
      <c r="C31" s="20"/>
      <c r="D31" s="123" t="s">
        <v>110</v>
      </c>
      <c r="E31" s="124"/>
      <c r="F31" s="21">
        <f>ROUND(VLOOKUP($B31,'[2]CCF (t)'!$B$10:$O$66,4,FALSE)/365,4)</f>
        <v>0</v>
      </c>
      <c r="G31" s="21"/>
      <c r="H31" s="21">
        <f>ROUND(VLOOKUP($B31,'[2]CCF (t)'!$B$10:$O$66,6,FALSE),4)</f>
        <v>0.74280000000000002</v>
      </c>
      <c r="I31" s="21">
        <f>ROUND(VLOOKUP($B31,'[2]CCF (t)'!$B$10:$O$66,7,FALSE),4)</f>
        <v>0.74280000000000002</v>
      </c>
      <c r="J31" s="21">
        <f>ROUND(VLOOKUP($B31,'[2]CCF (t)'!$B$10:$O$66,8,FALSE),4)</f>
        <v>0.74280000000000002</v>
      </c>
      <c r="K31" s="21"/>
      <c r="L31" s="21"/>
      <c r="M31" s="21"/>
    </row>
    <row r="32" spans="1:19" ht="18" x14ac:dyDescent="0.25">
      <c r="B32" s="71" t="s">
        <v>69</v>
      </c>
      <c r="C32" s="71"/>
      <c r="D32" s="72"/>
      <c r="E32" s="73"/>
      <c r="F32" s="75"/>
      <c r="G32" s="75"/>
      <c r="H32" s="75"/>
      <c r="I32" s="75"/>
      <c r="J32" s="75"/>
      <c r="K32" s="75"/>
      <c r="L32" s="75"/>
      <c r="M32" s="75"/>
      <c r="N32" s="65"/>
      <c r="O32" s="65"/>
    </row>
    <row r="33" spans="1:13" ht="14.25" customHeight="1" x14ac:dyDescent="0.2">
      <c r="B33" s="20" t="s">
        <v>50</v>
      </c>
      <c r="C33" s="20"/>
      <c r="D33" s="123" t="s">
        <v>51</v>
      </c>
      <c r="E33" s="124"/>
      <c r="F33" s="27" t="s">
        <v>52</v>
      </c>
      <c r="G33" s="27"/>
      <c r="H33" s="27" t="s">
        <v>52</v>
      </c>
      <c r="I33" s="27" t="s">
        <v>52</v>
      </c>
      <c r="J33" s="27" t="s">
        <v>52</v>
      </c>
      <c r="K33" s="27" t="s">
        <v>52</v>
      </c>
      <c r="L33" s="27" t="s">
        <v>52</v>
      </c>
      <c r="M33" s="27" t="s">
        <v>52</v>
      </c>
    </row>
    <row r="34" spans="1:13" ht="15" x14ac:dyDescent="0.25">
      <c r="B34" s="53" t="s">
        <v>53</v>
      </c>
      <c r="C34" s="47"/>
      <c r="D34" s="48"/>
      <c r="E34" s="37" t="s">
        <v>1</v>
      </c>
      <c r="F34" s="38" t="s">
        <v>2</v>
      </c>
      <c r="G34" s="38" t="s">
        <v>2</v>
      </c>
      <c r="H34" s="38" t="s">
        <v>2</v>
      </c>
      <c r="I34" s="37" t="s">
        <v>3</v>
      </c>
      <c r="J34" s="38" t="s">
        <v>4</v>
      </c>
      <c r="K34" s="38" t="s">
        <v>5</v>
      </c>
      <c r="L34" s="38" t="s">
        <v>6</v>
      </c>
      <c r="M34" s="39" t="s">
        <v>7</v>
      </c>
    </row>
    <row r="35" spans="1:13" ht="15" x14ac:dyDescent="0.25">
      <c r="B35" s="54" t="s">
        <v>0</v>
      </c>
      <c r="C35" s="49" t="s">
        <v>9</v>
      </c>
      <c r="D35" s="98"/>
      <c r="E35" s="40" t="s">
        <v>10</v>
      </c>
      <c r="F35" s="40" t="s">
        <v>4</v>
      </c>
      <c r="G35" s="40" t="s">
        <v>5</v>
      </c>
      <c r="H35" s="40" t="s">
        <v>6</v>
      </c>
      <c r="I35" s="40" t="s">
        <v>12</v>
      </c>
      <c r="J35" s="40" t="s">
        <v>3</v>
      </c>
      <c r="K35" s="40" t="s">
        <v>3</v>
      </c>
      <c r="L35" s="40" t="s">
        <v>3</v>
      </c>
      <c r="M35" s="41" t="s">
        <v>12</v>
      </c>
    </row>
    <row r="36" spans="1:13" ht="15" x14ac:dyDescent="0.25">
      <c r="B36" s="41" t="s">
        <v>8</v>
      </c>
      <c r="C36" s="50"/>
      <c r="D36" s="51"/>
      <c r="E36" s="40" t="s">
        <v>13</v>
      </c>
      <c r="F36" s="40" t="s">
        <v>14</v>
      </c>
      <c r="G36" s="40" t="s">
        <v>14</v>
      </c>
      <c r="H36" s="40" t="s">
        <v>14</v>
      </c>
      <c r="I36" s="40" t="s">
        <v>15</v>
      </c>
      <c r="J36" s="40" t="s">
        <v>15</v>
      </c>
      <c r="K36" s="40" t="s">
        <v>15</v>
      </c>
      <c r="L36" s="40" t="s">
        <v>15</v>
      </c>
      <c r="M36" s="40" t="s">
        <v>15</v>
      </c>
    </row>
    <row r="37" spans="1:13" ht="26.25" x14ac:dyDescent="0.25">
      <c r="B37" s="52"/>
      <c r="C37" s="55"/>
      <c r="D37" s="99"/>
      <c r="E37" s="17" t="s">
        <v>86</v>
      </c>
      <c r="F37" s="17" t="s">
        <v>86</v>
      </c>
      <c r="G37" s="17" t="s">
        <v>86</v>
      </c>
      <c r="H37" s="17" t="s">
        <v>86</v>
      </c>
      <c r="I37" s="17" t="s">
        <v>86</v>
      </c>
      <c r="J37" s="17" t="s">
        <v>86</v>
      </c>
      <c r="K37" s="17" t="s">
        <v>86</v>
      </c>
      <c r="L37" s="17" t="s">
        <v>86</v>
      </c>
      <c r="M37" s="17" t="s">
        <v>86</v>
      </c>
    </row>
    <row r="38" spans="1:13" ht="15" x14ac:dyDescent="0.25">
      <c r="B38" s="23" t="s">
        <v>46</v>
      </c>
      <c r="C38" s="24"/>
      <c r="D38" s="100"/>
      <c r="E38" s="44"/>
      <c r="F38" s="25"/>
      <c r="G38" s="25"/>
      <c r="H38" s="25"/>
      <c r="I38" s="25"/>
      <c r="J38" s="25"/>
      <c r="K38" s="25"/>
      <c r="L38" s="25"/>
      <c r="M38" s="25"/>
    </row>
    <row r="39" spans="1:13" ht="28.5" x14ac:dyDescent="0.2">
      <c r="B39" s="20" t="s">
        <v>81</v>
      </c>
      <c r="C39" s="33" t="s">
        <v>48</v>
      </c>
      <c r="D39" s="101"/>
      <c r="E39" s="21">
        <f>ROUND(VLOOKUP("BLND1CO",'[2]CCF (t)'!$B$10:$O$66,4,FALSE)/365,4)</f>
        <v>0</v>
      </c>
      <c r="F39" s="21">
        <f>ROUND(VLOOKUP("BLND1CO",'[2]CCF (t)'!$B$10:$O$66,6,FALSE),4)</f>
        <v>0.74280000000000002</v>
      </c>
      <c r="G39" s="21">
        <f>ROUND(VLOOKUP("BLND1CO",'[2]CCF (t)'!$B$10:$O$66,7,FALSE),4)</f>
        <v>0.74280000000000002</v>
      </c>
      <c r="H39" s="21">
        <f>ROUND(VLOOKUP("BLND1CO",'[2]CCF (t)'!$B$10:$O$66,8,FALSE),4)</f>
        <v>0.74280000000000002</v>
      </c>
      <c r="I39" s="21">
        <f>ROUND(VLOOKUP("BLND1CO",'[2]CCF (t)'!$B$10:$O$66,9,FALSE),4)</f>
        <v>0</v>
      </c>
      <c r="J39" s="21"/>
      <c r="K39" s="21"/>
      <c r="L39" s="21"/>
      <c r="M39" s="21"/>
    </row>
    <row r="40" spans="1:13" x14ac:dyDescent="0.2">
      <c r="B40" s="19" t="s">
        <v>20</v>
      </c>
      <c r="C40" s="33" t="s">
        <v>55</v>
      </c>
      <c r="D40" s="101"/>
      <c r="E40" s="21">
        <f>ROUND(VLOOKUP($B40,'[2]CCF (t)'!$B$10:$O$66,4,FALSE)/365,4)</f>
        <v>0</v>
      </c>
      <c r="F40" s="21">
        <f>ROUND(VLOOKUP($B40,'[2]CCF (t)'!$B$10:$O$66,6,FALSE),4)</f>
        <v>0.74280000000000002</v>
      </c>
      <c r="G40" s="21">
        <f>ROUND(VLOOKUP($B40,'[2]CCF (t)'!$B$10:$O$66,7,FALSE),4)</f>
        <v>0.74280000000000002</v>
      </c>
      <c r="H40" s="21">
        <f>ROUND(VLOOKUP($B40,'[2]CCF (t)'!$B$10:$O$66,8,FALSE),4)</f>
        <v>0.74280000000000002</v>
      </c>
      <c r="I40" s="21">
        <f>ROUND(VLOOKUP($B40,'[2]CCF (t)'!$B$10:$O$66,9,FALSE),4)</f>
        <v>0</v>
      </c>
      <c r="J40" s="21"/>
      <c r="K40" s="21"/>
      <c r="L40" s="21"/>
      <c r="M40" s="21">
        <f>ROUND(VLOOKUP($B40,'[2]CCF (t)'!$B$10:$O$66,13,FALSE),4)</f>
        <v>0</v>
      </c>
    </row>
    <row r="41" spans="1:13" x14ac:dyDescent="0.2">
      <c r="B41" s="19" t="s">
        <v>21</v>
      </c>
      <c r="C41" s="33" t="s">
        <v>54</v>
      </c>
      <c r="D41" s="101"/>
      <c r="E41" s="21">
        <f>ROUND(VLOOKUP($B41,'[2]CCF (t)'!$B$10:$O$66,4,FALSE)/365,4)</f>
        <v>0</v>
      </c>
      <c r="F41" s="21">
        <f>ROUND(VLOOKUP($B41,'[2]CCF (t)'!$B$10:$O$66,6,FALSE),4)</f>
        <v>0.74280000000000002</v>
      </c>
      <c r="G41" s="21">
        <f>ROUND(VLOOKUP($B41,'[2]CCF (t)'!$B$10:$O$66,7,FALSE),4)</f>
        <v>0.74280000000000002</v>
      </c>
      <c r="H41" s="21">
        <f>ROUND(VLOOKUP($B41,'[2]CCF (t)'!$B$10:$O$66,8,FALSE),4)</f>
        <v>0.74280000000000002</v>
      </c>
      <c r="I41" s="21">
        <f>ROUND(VLOOKUP($B41,'[2]CCF (t)'!$B$10:$O$66,9,FALSE),4)</f>
        <v>0</v>
      </c>
      <c r="J41" s="21"/>
      <c r="K41" s="21"/>
      <c r="L41" s="21"/>
      <c r="M41" s="21">
        <f>ROUND(VLOOKUP($B41,'[2]CCF (t)'!$B$10:$O$66,13,FALSE),4)</f>
        <v>0</v>
      </c>
    </row>
    <row r="42" spans="1:13" s="46" customFormat="1" x14ac:dyDescent="0.2">
      <c r="A42" s="45"/>
      <c r="B42" s="19" t="s">
        <v>22</v>
      </c>
      <c r="C42" s="33" t="s">
        <v>56</v>
      </c>
      <c r="D42" s="102"/>
      <c r="E42" s="21">
        <f>ROUND(VLOOKUP($B42,'[2]CCF (t)'!$B$10:$O$66,4,FALSE)/365,4)</f>
        <v>0</v>
      </c>
      <c r="F42" s="21">
        <f>ROUND(VLOOKUP($B42,'[2]CCF (t)'!$B$10:$O$66,6,FALSE),4)</f>
        <v>0.74280000000000002</v>
      </c>
      <c r="G42" s="21">
        <f>ROUND(VLOOKUP($B42,'[2]CCF (t)'!$B$10:$O$66,7,FALSE),4)</f>
        <v>0.74280000000000002</v>
      </c>
      <c r="H42" s="21">
        <f>ROUND(VLOOKUP($B42,'[2]CCF (t)'!$B$10:$O$66,8,FALSE),4)</f>
        <v>0.74280000000000002</v>
      </c>
      <c r="I42" s="21">
        <f>ROUND(VLOOKUP($B42,'[2]CCF (t)'!$B$10:$O$66,9,FALSE),4)</f>
        <v>0</v>
      </c>
      <c r="J42" s="21"/>
      <c r="K42" s="21"/>
      <c r="L42" s="21"/>
      <c r="M42" s="21"/>
    </row>
    <row r="43" spans="1:13" ht="28.5" x14ac:dyDescent="0.2">
      <c r="B43" s="20" t="s">
        <v>80</v>
      </c>
      <c r="C43" s="33" t="s">
        <v>57</v>
      </c>
      <c r="D43" s="101"/>
      <c r="E43" s="21">
        <f>ROUND(VLOOKUP("BHND1SO",'[2]CCF (t)'!$B$10:$O$66,4,FALSE)/365,4)</f>
        <v>0</v>
      </c>
      <c r="F43" s="21">
        <f>ROUND(VLOOKUP("BHND1SO",'[2]CCF (t)'!$B$10:$O$66,6,FALSE),4)</f>
        <v>0.74280000000000002</v>
      </c>
      <c r="G43" s="21">
        <f>ROUND(VLOOKUP("BHND1SO",'[2]CCF (t)'!$B$10:$O$66,7,FALSE),4)</f>
        <v>0.74280000000000002</v>
      </c>
      <c r="H43" s="21">
        <f>ROUND(VLOOKUP("BHND1SO",'[2]CCF (t)'!$B$10:$O$66,8,FALSE),4)</f>
        <v>0.74280000000000002</v>
      </c>
      <c r="I43" s="21">
        <f>ROUND(VLOOKUP("BHND1SO",'[2]CCF (t)'!$B$10:$O$66,9,FALSE),4)</f>
        <v>0</v>
      </c>
      <c r="J43" s="21"/>
      <c r="K43" s="21"/>
      <c r="L43" s="21"/>
      <c r="M43" s="21">
        <f>ROUND(VLOOKUP("BHND1SO",'[2]CCF (t)'!$B$10:$O$66,13,FALSE),4)</f>
        <v>0</v>
      </c>
    </row>
  </sheetData>
  <mergeCells count="29">
    <mergeCell ref="D10:E10"/>
    <mergeCell ref="D12:E12"/>
    <mergeCell ref="D15:E15"/>
    <mergeCell ref="D17:E17"/>
    <mergeCell ref="D9:E9"/>
    <mergeCell ref="D11:E11"/>
    <mergeCell ref="B3:F3"/>
    <mergeCell ref="I3:J3"/>
    <mergeCell ref="B5:B7"/>
    <mergeCell ref="C5:C7"/>
    <mergeCell ref="D5:E7"/>
    <mergeCell ref="K25:L25"/>
    <mergeCell ref="D27:E27"/>
    <mergeCell ref="D30:E30"/>
    <mergeCell ref="D31:E31"/>
    <mergeCell ref="K12:L12"/>
    <mergeCell ref="D14:E14"/>
    <mergeCell ref="K20:L20"/>
    <mergeCell ref="D18:E18"/>
    <mergeCell ref="D19:E19"/>
    <mergeCell ref="D20:E20"/>
    <mergeCell ref="D33:E33"/>
    <mergeCell ref="D25:E25"/>
    <mergeCell ref="D26:E26"/>
    <mergeCell ref="D28:E28"/>
    <mergeCell ref="D21:E21"/>
    <mergeCell ref="D22:E22"/>
    <mergeCell ref="D23:E23"/>
    <mergeCell ref="D24:E24"/>
  </mergeCells>
  <pageMargins left="0.39370078740157483" right="0.39370078740157483" top="0.39370078740157483" bottom="0.39370078740157483" header="0.51181102362204722" footer="0.51181102362204722"/>
  <pageSetup paperSize="9" scale="67"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2:S43"/>
  <sheetViews>
    <sheetView showGridLines="0" zoomScale="70" zoomScaleNormal="70" zoomScaleSheetLayoutView="58" workbookViewId="0">
      <selection activeCell="F39" sqref="F39:H43"/>
    </sheetView>
  </sheetViews>
  <sheetFormatPr defaultRowHeight="14.25" x14ac:dyDescent="0.2"/>
  <cols>
    <col min="1" max="1" width="1.88671875" style="15" customWidth="1"/>
    <col min="2" max="2" width="26" style="8" customWidth="1"/>
    <col min="3" max="3" width="29.77734375" style="8" customWidth="1"/>
    <col min="4" max="4" width="11.21875" style="8" customWidth="1"/>
    <col min="5" max="5" width="17.88671875" style="8" customWidth="1"/>
    <col min="6" max="16" width="10.5546875" style="8" customWidth="1"/>
    <col min="17" max="17" width="8.5546875" style="8" customWidth="1"/>
    <col min="18" max="18" width="63.77734375" style="8" customWidth="1"/>
    <col min="19" max="16384" width="8.88671875" style="8"/>
  </cols>
  <sheetData>
    <row r="2" spans="1:19" ht="33" x14ac:dyDescent="0.45">
      <c r="A2" s="1"/>
      <c r="B2" s="2" t="s">
        <v>183</v>
      </c>
      <c r="C2" s="3"/>
      <c r="D2" s="3"/>
      <c r="E2" s="3"/>
      <c r="F2" s="3"/>
      <c r="G2" s="4"/>
      <c r="H2" s="5"/>
      <c r="I2" s="5"/>
      <c r="J2" s="5"/>
      <c r="K2" s="4"/>
      <c r="L2" s="6"/>
      <c r="M2" s="7"/>
    </row>
    <row r="3" spans="1:19" ht="15.75" x14ac:dyDescent="0.25">
      <c r="A3" s="1"/>
      <c r="B3" s="136" t="s">
        <v>169</v>
      </c>
      <c r="C3" s="137"/>
      <c r="D3" s="137"/>
      <c r="E3" s="137"/>
      <c r="F3" s="137"/>
      <c r="G3" s="9"/>
      <c r="H3" s="9"/>
      <c r="I3" s="131"/>
      <c r="J3" s="131"/>
      <c r="K3" s="9"/>
      <c r="L3" s="9"/>
      <c r="M3" s="10"/>
    </row>
    <row r="4" spans="1:19" ht="15" x14ac:dyDescent="0.25">
      <c r="A4" s="1"/>
      <c r="B4" s="11"/>
      <c r="C4" s="12"/>
      <c r="D4" s="13"/>
      <c r="E4" s="13"/>
      <c r="F4" s="13"/>
      <c r="G4" s="13"/>
      <c r="H4" s="13"/>
      <c r="I4" s="13"/>
      <c r="J4" s="13"/>
      <c r="K4" s="13"/>
      <c r="L4" s="13"/>
      <c r="M4" s="14"/>
    </row>
    <row r="5" spans="1:19" ht="15" x14ac:dyDescent="0.25">
      <c r="B5" s="127" t="s">
        <v>107</v>
      </c>
      <c r="C5" s="127" t="s">
        <v>24</v>
      </c>
      <c r="D5" s="155" t="s">
        <v>9</v>
      </c>
      <c r="E5" s="156"/>
      <c r="F5" s="57" t="s">
        <v>1</v>
      </c>
      <c r="G5" s="57" t="s">
        <v>2</v>
      </c>
      <c r="H5" s="40" t="s">
        <v>2</v>
      </c>
      <c r="I5" s="40" t="s">
        <v>2</v>
      </c>
      <c r="J5" s="40" t="s">
        <v>2</v>
      </c>
      <c r="K5" s="40" t="s">
        <v>4</v>
      </c>
      <c r="L5" s="40" t="s">
        <v>5</v>
      </c>
      <c r="M5" s="40" t="s">
        <v>6</v>
      </c>
    </row>
    <row r="6" spans="1:19" ht="15" x14ac:dyDescent="0.2">
      <c r="B6" s="128"/>
      <c r="C6" s="128"/>
      <c r="D6" s="140"/>
      <c r="E6" s="141"/>
      <c r="F6" s="83" t="s">
        <v>10</v>
      </c>
      <c r="G6" s="83" t="s">
        <v>177</v>
      </c>
      <c r="H6" s="83" t="s">
        <v>4</v>
      </c>
      <c r="I6" s="83" t="s">
        <v>5</v>
      </c>
      <c r="J6" s="83" t="s">
        <v>6</v>
      </c>
      <c r="K6" s="83" t="s">
        <v>3</v>
      </c>
      <c r="L6" s="83" t="s">
        <v>3</v>
      </c>
      <c r="M6" s="83" t="s">
        <v>3</v>
      </c>
    </row>
    <row r="7" spans="1:19" ht="15" x14ac:dyDescent="0.2">
      <c r="B7" s="129"/>
      <c r="C7" s="129"/>
      <c r="D7" s="157"/>
      <c r="E7" s="158"/>
      <c r="F7" s="83" t="s">
        <v>13</v>
      </c>
      <c r="G7" s="83" t="s">
        <v>14</v>
      </c>
      <c r="H7" s="83" t="s">
        <v>14</v>
      </c>
      <c r="I7" s="83" t="s">
        <v>14</v>
      </c>
      <c r="J7" s="83" t="s">
        <v>14</v>
      </c>
      <c r="K7" s="83" t="s">
        <v>15</v>
      </c>
      <c r="L7" s="83" t="s">
        <v>15</v>
      </c>
      <c r="M7" s="83" t="s">
        <v>15</v>
      </c>
    </row>
    <row r="8" spans="1:19" s="18" customFormat="1" ht="18" x14ac:dyDescent="0.25">
      <c r="A8" s="16"/>
      <c r="B8" s="60" t="s">
        <v>16</v>
      </c>
      <c r="C8" s="61"/>
      <c r="D8" s="62"/>
      <c r="E8" s="63"/>
      <c r="F8" s="64"/>
      <c r="G8" s="64"/>
      <c r="H8" s="64"/>
      <c r="I8" s="64"/>
      <c r="J8" s="64"/>
      <c r="K8" s="64"/>
      <c r="L8" s="64"/>
      <c r="M8" s="64"/>
      <c r="N8" s="65"/>
      <c r="O8" s="65"/>
    </row>
    <row r="9" spans="1:19" ht="14.25" customHeight="1" x14ac:dyDescent="0.2">
      <c r="B9" s="19" t="s">
        <v>25</v>
      </c>
      <c r="C9" s="20"/>
      <c r="D9" s="123" t="s">
        <v>184</v>
      </c>
      <c r="E9" s="124"/>
      <c r="F9" s="21">
        <f>ROUND(VLOOKUP($B9,'[2]QSS (t)'!$B$10:$O$66,4,FALSE)/365,4)</f>
        <v>0</v>
      </c>
      <c r="G9" s="21">
        <f>ROUND(VLOOKUP($B9,'[2]QSS (t)'!$B$10:$O$66,5,FALSE),4)</f>
        <v>1.7999999999999999E-2</v>
      </c>
      <c r="H9" s="21"/>
      <c r="I9" s="21"/>
      <c r="J9" s="21"/>
      <c r="K9" s="21"/>
      <c r="L9" s="21"/>
      <c r="M9" s="21"/>
      <c r="N9" s="22"/>
      <c r="O9" s="22"/>
    </row>
    <row r="10" spans="1:19" ht="14.25" customHeight="1" x14ac:dyDescent="0.2">
      <c r="B10" s="19" t="s">
        <v>26</v>
      </c>
      <c r="C10" s="20"/>
      <c r="D10" s="123" t="s">
        <v>42</v>
      </c>
      <c r="E10" s="124"/>
      <c r="F10" s="21">
        <f>ROUND(VLOOKUP($B10,'[2]QSS (t)'!$B$10:$O$66,4,FALSE)/365,4)</f>
        <v>0</v>
      </c>
      <c r="G10" s="21"/>
      <c r="H10" s="21">
        <f>ROUND(VLOOKUP($B10,'[2]QSS (t)'!$B$10:$O$66,6,FALSE),4)</f>
        <v>1.7999999999999999E-2</v>
      </c>
      <c r="I10" s="21">
        <f>ROUND(VLOOKUP($B10,'[2]QSS (t)'!$B$10:$O$66,7,FALSE),4)</f>
        <v>1.7999999999999999E-2</v>
      </c>
      <c r="J10" s="21">
        <f>ROUND(VLOOKUP($B10,'[2]QSS (t)'!$B$10:$O$66,8,FALSE),4)</f>
        <v>1.7999999999999999E-2</v>
      </c>
      <c r="K10" s="21"/>
      <c r="L10" s="21"/>
      <c r="M10" s="21"/>
      <c r="N10" s="22"/>
      <c r="O10" s="22"/>
      <c r="P10" s="56"/>
      <c r="Q10" s="22"/>
      <c r="R10" s="22"/>
    </row>
    <row r="11" spans="1:19" ht="14.25" customHeight="1" x14ac:dyDescent="0.2">
      <c r="B11" s="19" t="s">
        <v>170</v>
      </c>
      <c r="C11" s="20"/>
      <c r="D11" s="123" t="s">
        <v>171</v>
      </c>
      <c r="E11" s="124"/>
      <c r="F11" s="21">
        <f>ROUND(VLOOKUP($B11,'[2]QSS (t)'!$B$10:$O$66,4,FALSE)/365,4)</f>
        <v>0</v>
      </c>
      <c r="G11" s="21"/>
      <c r="H11" s="21">
        <f>ROUND(VLOOKUP($B11,'[2]QSS (t)'!$B$10:$O$66,6,FALSE),4)</f>
        <v>1.7999999999999999E-2</v>
      </c>
      <c r="I11" s="21">
        <f>ROUND(VLOOKUP($B11,'[2]QSS (t)'!$B$10:$O$66,7,FALSE),4)</f>
        <v>1.7999999999999999E-2</v>
      </c>
      <c r="J11" s="21">
        <f>ROUND(VLOOKUP($B11,'[2]QSS (t)'!$B$10:$O$66,8,FALSE),4)</f>
        <v>1.7999999999999999E-2</v>
      </c>
      <c r="K11" s="21"/>
      <c r="L11" s="21"/>
      <c r="M11" s="21"/>
      <c r="N11" s="22"/>
      <c r="O11" s="22"/>
      <c r="P11" s="22"/>
      <c r="Q11" s="22"/>
      <c r="R11" s="22"/>
      <c r="S11" s="22"/>
    </row>
    <row r="12" spans="1:19" ht="14.25" customHeight="1" x14ac:dyDescent="0.2">
      <c r="B12" s="19" t="s">
        <v>172</v>
      </c>
      <c r="C12" s="20"/>
      <c r="D12" s="123" t="s">
        <v>186</v>
      </c>
      <c r="E12" s="124"/>
      <c r="F12" s="21">
        <f>ROUND(VLOOKUP($B12,'[2]QSS (t)'!$B$10:$O$66,4,FALSE)/365,4)</f>
        <v>0</v>
      </c>
      <c r="G12" s="21"/>
      <c r="H12" s="21">
        <f>ROUND(VLOOKUP($B12,'[2]QSS (t)'!$B$10:$O$66,6,FALSE),4)</f>
        <v>1.7999999999999999E-2</v>
      </c>
      <c r="I12" s="21">
        <f>ROUND(VLOOKUP($B12,'[2]QSS (t)'!$B$10:$O$66,7,FALSE),4)</f>
        <v>1.7999999999999999E-2</v>
      </c>
      <c r="J12" s="21">
        <f>ROUND(VLOOKUP($B12,'[2]QSS (t)'!$B$10:$O$66,8,FALSE),4)</f>
        <v>1.7999999999999999E-2</v>
      </c>
      <c r="K12" s="125">
        <f>ROUND(VLOOKUP($B12,'[2]QSS (t)'!$B$10:$O$66,10,FALSE),4)</f>
        <v>0</v>
      </c>
      <c r="L12" s="126"/>
      <c r="M12" s="21"/>
      <c r="N12" s="22"/>
      <c r="O12" s="22"/>
      <c r="P12" s="22"/>
      <c r="Q12" s="22"/>
      <c r="R12" s="22"/>
      <c r="S12" s="22"/>
    </row>
    <row r="13" spans="1:19" ht="18" x14ac:dyDescent="0.25">
      <c r="B13" s="61" t="s">
        <v>19</v>
      </c>
      <c r="C13" s="61"/>
      <c r="D13" s="66"/>
      <c r="E13" s="67"/>
      <c r="F13" s="68"/>
      <c r="G13" s="69"/>
      <c r="H13" s="69"/>
      <c r="I13" s="69"/>
      <c r="J13" s="69"/>
      <c r="K13" s="69"/>
      <c r="L13" s="69"/>
      <c r="M13" s="69"/>
      <c r="N13" s="70"/>
      <c r="O13" s="70"/>
      <c r="P13" s="22"/>
      <c r="Q13" s="22"/>
      <c r="R13" s="22"/>
      <c r="S13" s="22"/>
    </row>
    <row r="14" spans="1:19" ht="14.25" customHeight="1" x14ac:dyDescent="0.2">
      <c r="B14" s="19" t="s">
        <v>27</v>
      </c>
      <c r="C14" s="20"/>
      <c r="D14" s="123" t="s">
        <v>39</v>
      </c>
      <c r="E14" s="124"/>
      <c r="F14" s="21">
        <f>ROUND(VLOOKUP($B14,'[2]QSS (t)'!$B$10:$O$66,4,FALSE)/365,4)</f>
        <v>0</v>
      </c>
      <c r="G14" s="21">
        <f>ROUND(VLOOKUP($B14,'[2]QSS (t)'!$B$10:$O$66,5,FALSE),4)</f>
        <v>1.7999999999999999E-2</v>
      </c>
      <c r="H14" s="21"/>
      <c r="I14" s="21"/>
      <c r="J14" s="21"/>
      <c r="K14" s="21"/>
      <c r="L14" s="21"/>
      <c r="M14" s="21"/>
      <c r="N14" s="22"/>
      <c r="O14" s="22"/>
      <c r="P14" s="22"/>
      <c r="Q14" s="22"/>
      <c r="R14" s="22"/>
      <c r="S14" s="22"/>
    </row>
    <row r="15" spans="1:19" ht="14.25" customHeight="1" x14ac:dyDescent="0.2">
      <c r="B15" s="19" t="s">
        <v>28</v>
      </c>
      <c r="C15" s="20"/>
      <c r="D15" s="123" t="s">
        <v>40</v>
      </c>
      <c r="E15" s="124"/>
      <c r="F15" s="21">
        <f>ROUND(VLOOKUP($B15,'[2]QSS (t)'!$B$10:$O$66,4,FALSE)/365,4)</f>
        <v>0</v>
      </c>
      <c r="G15" s="21">
        <f>ROUND(VLOOKUP($B15,'[2]QSS (t)'!$B$10:$O$66,5,FALSE),4)</f>
        <v>1.7999999999999999E-2</v>
      </c>
      <c r="H15" s="21"/>
      <c r="I15" s="21"/>
      <c r="J15" s="21"/>
      <c r="K15" s="21"/>
      <c r="L15" s="21"/>
      <c r="M15" s="21"/>
      <c r="N15" s="22"/>
      <c r="O15" s="22"/>
      <c r="P15" s="22"/>
      <c r="Q15" s="22"/>
      <c r="R15" s="22"/>
    </row>
    <row r="16" spans="1:19" ht="18" x14ac:dyDescent="0.25">
      <c r="B16" s="71" t="s">
        <v>18</v>
      </c>
      <c r="C16" s="71"/>
      <c r="D16" s="72"/>
      <c r="E16" s="73"/>
      <c r="F16" s="74"/>
      <c r="G16" s="74"/>
      <c r="H16" s="74"/>
      <c r="I16" s="74"/>
      <c r="J16" s="74"/>
      <c r="K16" s="74"/>
      <c r="L16" s="74"/>
      <c r="M16" s="74"/>
      <c r="N16" s="70"/>
      <c r="O16" s="70"/>
      <c r="P16" s="22"/>
      <c r="Q16" s="22"/>
      <c r="R16" s="22"/>
      <c r="S16" s="22"/>
    </row>
    <row r="17" spans="1:19" ht="14.25" customHeight="1" x14ac:dyDescent="0.2">
      <c r="B17" s="19" t="s">
        <v>29</v>
      </c>
      <c r="C17" s="20"/>
      <c r="D17" s="123" t="s">
        <v>185</v>
      </c>
      <c r="E17" s="124"/>
      <c r="F17" s="21">
        <f>ROUND(VLOOKUP($B17,'[2]QSS (t)'!$B$10:$O$66,4,FALSE)/365,4)</f>
        <v>0</v>
      </c>
      <c r="G17" s="21">
        <f>ROUND(VLOOKUP($B17,'[2]QSS (t)'!$B$10:$O$66,5,FALSE),4)</f>
        <v>1.7999999999999999E-2</v>
      </c>
      <c r="H17" s="21"/>
      <c r="I17" s="21"/>
      <c r="J17" s="21"/>
      <c r="K17" s="21"/>
      <c r="L17" s="21"/>
      <c r="M17" s="21"/>
      <c r="N17" s="22"/>
      <c r="O17" s="22"/>
      <c r="P17" s="22"/>
      <c r="Q17" s="22"/>
      <c r="R17" s="22"/>
      <c r="S17" s="22"/>
    </row>
    <row r="18" spans="1:19" ht="14.25" customHeight="1" x14ac:dyDescent="0.2">
      <c r="B18" s="19" t="s">
        <v>30</v>
      </c>
      <c r="C18" s="20"/>
      <c r="D18" s="123" t="s">
        <v>43</v>
      </c>
      <c r="E18" s="124"/>
      <c r="F18" s="21">
        <f>ROUND(VLOOKUP($B18,'[2]QSS (t)'!$B$10:$O$66,4,FALSE)/365,4)</f>
        <v>0</v>
      </c>
      <c r="G18" s="21"/>
      <c r="H18" s="21">
        <f>ROUND(VLOOKUP($B18,'[2]QSS (t)'!$B$10:$O$66,6,FALSE),4)</f>
        <v>1.7999999999999999E-2</v>
      </c>
      <c r="I18" s="21">
        <f>ROUND(VLOOKUP($B18,'[2]QSS (t)'!$B$10:$O$66,7,FALSE),4)</f>
        <v>1.7999999999999999E-2</v>
      </c>
      <c r="J18" s="21">
        <f>ROUND(VLOOKUP($B18,'[2]QSS (t)'!$B$10:$O$66,8,FALSE),4)</f>
        <v>1.7999999999999999E-2</v>
      </c>
      <c r="K18" s="21"/>
      <c r="L18" s="21"/>
      <c r="M18" s="21"/>
      <c r="N18" s="22"/>
      <c r="O18" s="22"/>
    </row>
    <row r="19" spans="1:19" ht="14.25" customHeight="1" x14ac:dyDescent="0.2">
      <c r="B19" s="19" t="s">
        <v>174</v>
      </c>
      <c r="C19" s="20"/>
      <c r="D19" s="123" t="s">
        <v>175</v>
      </c>
      <c r="E19" s="124"/>
      <c r="F19" s="21">
        <f>ROUND(VLOOKUP($B19,'[2]QSS (t)'!$B$10:$O$66,4,FALSE)/365,4)</f>
        <v>0</v>
      </c>
      <c r="G19" s="21"/>
      <c r="H19" s="21">
        <f>ROUND(VLOOKUP($B19,'[2]QSS (t)'!$B$10:$O$66,6,FALSE),4)</f>
        <v>1.7999999999999999E-2</v>
      </c>
      <c r="I19" s="21">
        <f>ROUND(VLOOKUP($B19,'[2]QSS (t)'!$B$10:$O$66,7,FALSE),4)</f>
        <v>1.7999999999999999E-2</v>
      </c>
      <c r="J19" s="21">
        <f>ROUND(VLOOKUP($B19,'[2]QSS (t)'!$B$10:$O$66,8,FALSE),4)</f>
        <v>1.7999999999999999E-2</v>
      </c>
      <c r="K19" s="21"/>
      <c r="L19" s="21"/>
      <c r="M19" s="21"/>
      <c r="N19" s="22"/>
      <c r="O19" s="22"/>
    </row>
    <row r="20" spans="1:19" ht="14.25" customHeight="1" x14ac:dyDescent="0.2">
      <c r="B20" s="19" t="s">
        <v>176</v>
      </c>
      <c r="C20" s="20"/>
      <c r="D20" s="123" t="s">
        <v>187</v>
      </c>
      <c r="E20" s="124"/>
      <c r="F20" s="21">
        <f>ROUND(VLOOKUP($B20,'[2]QSS (t)'!$B$10:$O$66,4,FALSE)/365,4)</f>
        <v>0</v>
      </c>
      <c r="G20" s="21"/>
      <c r="H20" s="21">
        <f>ROUND(VLOOKUP($B20,'[2]QSS (t)'!$B$10:$O$66,6,FALSE),4)</f>
        <v>1.7999999999999999E-2</v>
      </c>
      <c r="I20" s="21">
        <f>ROUND(VLOOKUP($B20,'[2]QSS (t)'!$B$10:$O$66,7,FALSE),4)</f>
        <v>1.7999999999999999E-2</v>
      </c>
      <c r="J20" s="21">
        <f>ROUND(VLOOKUP($B20,'[2]QSS (t)'!$B$10:$O$66,8,FALSE),4)</f>
        <v>1.7999999999999999E-2</v>
      </c>
      <c r="K20" s="125">
        <f>ROUND(VLOOKUP($B20,'[2]QSS (t)'!$B$10:$O$66,10,FALSE),4)</f>
        <v>0</v>
      </c>
      <c r="L20" s="126"/>
      <c r="M20" s="21"/>
      <c r="N20" s="22"/>
      <c r="O20" s="22"/>
    </row>
    <row r="21" spans="1:19" ht="14.25" customHeight="1" x14ac:dyDescent="0.2">
      <c r="B21" s="19" t="s">
        <v>31</v>
      </c>
      <c r="C21" s="20" t="s">
        <v>173</v>
      </c>
      <c r="D21" s="123" t="s">
        <v>116</v>
      </c>
      <c r="E21" s="124"/>
      <c r="F21" s="21">
        <f>ROUND(VLOOKUP($B21,'[2]QSS (t)'!$B$10:$O$66,4,FALSE)/365,4)</f>
        <v>0</v>
      </c>
      <c r="G21" s="21"/>
      <c r="H21" s="21">
        <f>ROUND(VLOOKUP($B21,'[2]QSS (t)'!$B$10:$O$66,6,FALSE),4)</f>
        <v>1.7999999999999999E-2</v>
      </c>
      <c r="I21" s="21">
        <f>ROUND(VLOOKUP($B21,'[2]QSS (t)'!$B$10:$O$66,7,FALSE),4)</f>
        <v>1.7999999999999999E-2</v>
      </c>
      <c r="J21" s="21">
        <f>ROUND(VLOOKUP($B21,'[2]QSS (t)'!$B$10:$O$66,8,FALSE),4)</f>
        <v>1.7999999999999999E-2</v>
      </c>
      <c r="K21" s="21"/>
      <c r="L21" s="21"/>
      <c r="M21" s="21"/>
      <c r="N21" s="22"/>
      <c r="O21" s="22"/>
    </row>
    <row r="22" spans="1:19" ht="14.25" customHeight="1" x14ac:dyDescent="0.2">
      <c r="B22" s="19" t="s">
        <v>178</v>
      </c>
      <c r="C22" s="20"/>
      <c r="D22" s="123" t="s">
        <v>179</v>
      </c>
      <c r="E22" s="124"/>
      <c r="F22" s="21">
        <f>ROUND(VLOOKUP($B22,'[2]QSS (t)'!$B$10:$O$66,4,FALSE)/365,4)</f>
        <v>0</v>
      </c>
      <c r="G22" s="21"/>
      <c r="H22" s="21">
        <f>ROUND(VLOOKUP($B22,'[2]QSS (t)'!$B$10:$O$66,6,FALSE),4)</f>
        <v>1.7999999999999999E-2</v>
      </c>
      <c r="I22" s="21">
        <f>ROUND(VLOOKUP($B22,'[2]QSS (t)'!$B$10:$O$66,7,FALSE),4)</f>
        <v>1.7999999999999999E-2</v>
      </c>
      <c r="J22" s="21">
        <f>ROUND(VLOOKUP($B22,'[2]QSS (t)'!$B$10:$O$66,8,FALSE),4)</f>
        <v>1.7999999999999999E-2</v>
      </c>
      <c r="K22" s="21">
        <f>ROUND(VLOOKUP($B22,'[2]QSS (t)'!$B$10:$O$66,10,FALSE),4)</f>
        <v>0</v>
      </c>
      <c r="L22" s="21">
        <f>ROUND(VLOOKUP($B22,'[2]QSS (t)'!$B$10:$O$66,11,FALSE),4)</f>
        <v>0</v>
      </c>
      <c r="M22" s="21">
        <f>ROUND(VLOOKUP($B22,'[2]QSS (t)'!$B$10:$O$66,12,FALSE),4)</f>
        <v>0</v>
      </c>
      <c r="N22" s="22"/>
      <c r="O22" s="22"/>
    </row>
    <row r="23" spans="1:19" ht="14.25" customHeight="1" x14ac:dyDescent="0.2">
      <c r="B23" s="19" t="s">
        <v>32</v>
      </c>
      <c r="C23" s="20"/>
      <c r="D23" s="123" t="s">
        <v>47</v>
      </c>
      <c r="E23" s="124"/>
      <c r="F23" s="21">
        <f>ROUND(VLOOKUP($B23,'[2]QSS (t)'!$B$10:$O$66,4,FALSE)/365,4)</f>
        <v>0</v>
      </c>
      <c r="G23" s="21"/>
      <c r="H23" s="21">
        <f>ROUND(VLOOKUP($B23,'[2]QSS (t)'!$B$10:$O$66,6,FALSE),4)</f>
        <v>1.7999999999999999E-2</v>
      </c>
      <c r="I23" s="21">
        <f>ROUND(VLOOKUP($B23,'[2]QSS (t)'!$B$10:$O$66,7,FALSE),4)</f>
        <v>1.7999999999999999E-2</v>
      </c>
      <c r="J23" s="21">
        <f>ROUND(VLOOKUP($B23,'[2]QSS (t)'!$B$10:$O$66,8,FALSE),4)</f>
        <v>1.7999999999999999E-2</v>
      </c>
      <c r="K23" s="21">
        <f>ROUND(VLOOKUP($B23,'[2]QSS (t)'!$B$10:$O$66,10,FALSE),4)</f>
        <v>0</v>
      </c>
      <c r="L23" s="21">
        <f>ROUND(VLOOKUP($B23,'[2]QSS (t)'!$B$10:$O$66,11,FALSE),4)</f>
        <v>0</v>
      </c>
      <c r="M23" s="21">
        <f>ROUND(VLOOKUP($B23,'[2]QSS (t)'!$B$10:$O$66,12,FALSE),4)</f>
        <v>0</v>
      </c>
      <c r="N23" s="22"/>
      <c r="O23" s="97"/>
    </row>
    <row r="24" spans="1:19" ht="14.25" customHeight="1" x14ac:dyDescent="0.2">
      <c r="B24" s="19" t="s">
        <v>33</v>
      </c>
      <c r="C24" s="20"/>
      <c r="D24" s="123" t="s">
        <v>58</v>
      </c>
      <c r="E24" s="124"/>
      <c r="F24" s="21">
        <f>ROUND(VLOOKUP($B24,'[2]QSS (t)'!$B$10:$O$66,4,FALSE)/365,4)</f>
        <v>0</v>
      </c>
      <c r="G24" s="21"/>
      <c r="H24" s="21">
        <f>ROUND(VLOOKUP($B24,'[2]QSS (t)'!$B$10:$O$66,6,FALSE),4)</f>
        <v>1.7999999999999999E-2</v>
      </c>
      <c r="I24" s="21">
        <f>ROUND(VLOOKUP($B24,'[2]QSS (t)'!$B$10:$O$66,7,FALSE),4)</f>
        <v>1.7999999999999999E-2</v>
      </c>
      <c r="J24" s="21">
        <f>ROUND(VLOOKUP($B24,'[2]QSS (t)'!$B$10:$O$66,8,FALSE),4)</f>
        <v>1.7999999999999999E-2</v>
      </c>
      <c r="K24" s="21">
        <f>ROUND(VLOOKUP($B24,'[2]QSS (t)'!$B$10:$O$66,10,FALSE),4)</f>
        <v>0</v>
      </c>
      <c r="L24" s="21">
        <f>ROUND(VLOOKUP($B24,'[2]QSS (t)'!$B$10:$O$66,11,FALSE),4)</f>
        <v>0</v>
      </c>
      <c r="M24" s="21">
        <f>ROUND(VLOOKUP($B24,'[2]QSS (t)'!$B$10:$O$66,12,FALSE),4)</f>
        <v>0</v>
      </c>
      <c r="N24" s="22"/>
      <c r="O24" s="22"/>
    </row>
    <row r="25" spans="1:19" ht="14.25" customHeight="1" x14ac:dyDescent="0.2">
      <c r="B25" s="19" t="s">
        <v>61</v>
      </c>
      <c r="C25" s="20"/>
      <c r="D25" s="123" t="s">
        <v>74</v>
      </c>
      <c r="E25" s="124"/>
      <c r="F25" s="21">
        <f>ROUND(VLOOKUP($B25,'[2]QSS (t)'!$B$10:$O$66,4,FALSE)/365,4)</f>
        <v>0</v>
      </c>
      <c r="G25" s="21"/>
      <c r="H25" s="21">
        <f>ROUND(VLOOKUP($B25,'[2]QSS (t)'!$B$10:$O$66,6,FALSE),4)</f>
        <v>1.7999999999999999E-2</v>
      </c>
      <c r="I25" s="21">
        <f>ROUND(VLOOKUP($B25,'[2]QSS (t)'!$B$10:$O$66,7,FALSE),4)</f>
        <v>1.7999999999999999E-2</v>
      </c>
      <c r="J25" s="21">
        <f>ROUND(VLOOKUP($B25,'[2]QSS (t)'!$B$10:$O$66,8,FALSE),4)</f>
        <v>1.7999999999999999E-2</v>
      </c>
      <c r="K25" s="125">
        <f>ROUND(VLOOKUP($B25,'[2]QSS (t)'!$B$10:$O$66,10,FALSE),4)</f>
        <v>0</v>
      </c>
      <c r="L25" s="126"/>
      <c r="M25" s="21"/>
      <c r="N25" s="22"/>
      <c r="O25" s="22"/>
    </row>
    <row r="26" spans="1:19" ht="14.25" customHeight="1" x14ac:dyDescent="0.2">
      <c r="B26" s="19" t="s">
        <v>34</v>
      </c>
      <c r="C26" s="20"/>
      <c r="D26" s="123" t="s">
        <v>41</v>
      </c>
      <c r="E26" s="124"/>
      <c r="F26" s="21">
        <f>ROUND(VLOOKUP($B26,'[2]QSS (t)'!$B$10:$O$66,4,FALSE)/365,4)</f>
        <v>0</v>
      </c>
      <c r="G26" s="21"/>
      <c r="H26" s="21">
        <f>ROUND(VLOOKUP($B26,'[2]QSS (t)'!$B$10:$O$66,6,FALSE),4)</f>
        <v>0</v>
      </c>
      <c r="I26" s="21">
        <f>ROUND(VLOOKUP($B26,'[2]QSS (t)'!$B$10:$O$66,7,FALSE),4)</f>
        <v>0</v>
      </c>
      <c r="J26" s="21">
        <f>ROUND(VLOOKUP($B26,'[2]QSS (t)'!$B$10:$O$66,8,FALSE),4)</f>
        <v>0</v>
      </c>
      <c r="K26" s="21">
        <f>ROUND(VLOOKUP($B26,'[2]QSS (t)'!$B$10:$O$66,10,FALSE),4)</f>
        <v>0</v>
      </c>
      <c r="L26" s="21">
        <f>ROUND(VLOOKUP($B26,'[2]QSS (t)'!$B$10:$O$66,11,FALSE),4)</f>
        <v>0</v>
      </c>
      <c r="M26" s="21">
        <f>ROUND(VLOOKUP($B26,'[2]QSS (t)'!$B$10:$O$66,12,FALSE),4)</f>
        <v>0</v>
      </c>
      <c r="N26" s="22"/>
      <c r="O26" s="22"/>
    </row>
    <row r="27" spans="1:19" s="43" customFormat="1" ht="14.25" customHeight="1" x14ac:dyDescent="0.2">
      <c r="A27" s="42"/>
      <c r="B27" s="19" t="s">
        <v>35</v>
      </c>
      <c r="C27" s="20"/>
      <c r="D27" s="138" t="s">
        <v>59</v>
      </c>
      <c r="E27" s="139"/>
      <c r="F27" s="21">
        <f>ROUND(VLOOKUP($B27,'[2]QSS (t)'!$B$10:$O$66,4,FALSE)/365,4)</f>
        <v>0</v>
      </c>
      <c r="G27" s="21"/>
      <c r="H27" s="21">
        <f>ROUND(VLOOKUP($B27,'[2]QSS (t)'!$B$10:$O$66,6,FALSE),4)</f>
        <v>0</v>
      </c>
      <c r="I27" s="21">
        <f>ROUND(VLOOKUP($B27,'[2]QSS (t)'!$B$10:$O$66,7,FALSE),4)</f>
        <v>0</v>
      </c>
      <c r="J27" s="21">
        <f>ROUND(VLOOKUP($B27,'[2]QSS (t)'!$B$10:$O$66,8,FALSE),4)</f>
        <v>0</v>
      </c>
      <c r="K27" s="21">
        <f>ROUND(VLOOKUP($B27,'[2]QSS (t)'!$B$10:$O$66,10,FALSE),4)</f>
        <v>0</v>
      </c>
      <c r="L27" s="21">
        <f>ROUND(VLOOKUP($B27,'[2]QSS (t)'!$B$10:$O$66,11,FALSE),4)</f>
        <v>0</v>
      </c>
      <c r="M27" s="21">
        <f>ROUND(VLOOKUP($B27,'[2]QSS (t)'!$B$10:$O$66,12,FALSE),4)</f>
        <v>0</v>
      </c>
      <c r="N27" s="22"/>
      <c r="O27" s="22"/>
    </row>
    <row r="28" spans="1:19" ht="14.25" customHeight="1" x14ac:dyDescent="0.2">
      <c r="B28" s="19" t="s">
        <v>23</v>
      </c>
      <c r="C28" s="20"/>
      <c r="D28" s="138" t="s">
        <v>38</v>
      </c>
      <c r="E28" s="139"/>
      <c r="F28" s="21">
        <f>ROUND(VLOOKUP($B28,'[2]QSS (t)'!$B$10:$O$66,4,FALSE)/365,4)</f>
        <v>0</v>
      </c>
      <c r="G28" s="21"/>
      <c r="H28" s="21">
        <f>ROUND(VLOOKUP($B28,'[2]QSS (t)'!$B$10:$O$66,6,FALSE),4)</f>
        <v>0</v>
      </c>
      <c r="I28" s="21">
        <f>ROUND(VLOOKUP($B28,'[2]QSS (t)'!$B$10:$O$66,7,FALSE),4)</f>
        <v>0</v>
      </c>
      <c r="J28" s="21">
        <f>ROUND(VLOOKUP($B28,'[2]QSS (t)'!$B$10:$O$66,8,FALSE),4)</f>
        <v>0</v>
      </c>
      <c r="K28" s="21">
        <f>ROUND(VLOOKUP($B28,'[2]QSS (t)'!$B$10:$O$66,10,FALSE),4)</f>
        <v>0</v>
      </c>
      <c r="L28" s="21">
        <f>ROUND(VLOOKUP($B28,'[2]QSS (t)'!$B$10:$O$66,11,FALSE),4)</f>
        <v>0</v>
      </c>
      <c r="M28" s="21">
        <f>ROUND(VLOOKUP($B28,'[2]QSS (t)'!$B$10:$O$66,12,FALSE),4)</f>
        <v>0</v>
      </c>
    </row>
    <row r="29" spans="1:19" ht="18" x14ac:dyDescent="0.25">
      <c r="B29" s="71" t="s">
        <v>45</v>
      </c>
      <c r="C29" s="71"/>
      <c r="D29" s="72"/>
      <c r="E29" s="73"/>
      <c r="F29" s="75"/>
      <c r="G29" s="75"/>
      <c r="H29" s="75"/>
      <c r="I29" s="75"/>
      <c r="J29" s="75"/>
      <c r="K29" s="75"/>
      <c r="L29" s="75"/>
      <c r="M29" s="75"/>
      <c r="N29" s="65"/>
      <c r="O29" s="65"/>
    </row>
    <row r="30" spans="1:19" ht="14.25" customHeight="1" x14ac:dyDescent="0.2">
      <c r="B30" s="19" t="s">
        <v>36</v>
      </c>
      <c r="C30" s="20" t="s">
        <v>44</v>
      </c>
      <c r="D30" s="123" t="s">
        <v>109</v>
      </c>
      <c r="E30" s="124"/>
      <c r="F30" s="21">
        <f>ROUND(VLOOKUP($B30,'[2]QSS (t)'!$B$10:$O$66,4,FALSE)/365,4)</f>
        <v>0</v>
      </c>
      <c r="G30" s="21">
        <f>ROUND(VLOOKUP($B30,'[2]QSS (t)'!$B$10:$O$66,5,FALSE),4)</f>
        <v>0</v>
      </c>
      <c r="H30" s="21"/>
      <c r="I30" s="21"/>
      <c r="J30" s="21"/>
      <c r="K30" s="21"/>
      <c r="L30" s="21"/>
      <c r="M30" s="21"/>
    </row>
    <row r="31" spans="1:19" ht="14.25" customHeight="1" x14ac:dyDescent="0.2">
      <c r="B31" s="19" t="s">
        <v>37</v>
      </c>
      <c r="C31" s="20"/>
      <c r="D31" s="123" t="s">
        <v>110</v>
      </c>
      <c r="E31" s="124"/>
      <c r="F31" s="21">
        <f>ROUND(VLOOKUP($B31,'[2]QSS (t)'!$B$10:$O$66,4,FALSE)/365,4)</f>
        <v>0</v>
      </c>
      <c r="G31" s="21"/>
      <c r="H31" s="21">
        <f>ROUND(VLOOKUP($B31,'[2]QSS (t)'!$B$10:$O$66,6,FALSE),4)</f>
        <v>0</v>
      </c>
      <c r="I31" s="21">
        <f>ROUND(VLOOKUP($B31,'[2]QSS (t)'!$B$10:$O$66,7,FALSE),4)</f>
        <v>0</v>
      </c>
      <c r="J31" s="21">
        <f>ROUND(VLOOKUP($B31,'[2]QSS (t)'!$B$10:$O$66,8,FALSE),4)</f>
        <v>0</v>
      </c>
      <c r="K31" s="21"/>
      <c r="L31" s="21"/>
      <c r="M31" s="21"/>
    </row>
    <row r="32" spans="1:19" ht="18" x14ac:dyDescent="0.25">
      <c r="B32" s="71" t="s">
        <v>69</v>
      </c>
      <c r="C32" s="71"/>
      <c r="D32" s="72"/>
      <c r="E32" s="73"/>
      <c r="F32" s="75"/>
      <c r="G32" s="75"/>
      <c r="H32" s="75"/>
      <c r="I32" s="75"/>
      <c r="J32" s="75"/>
      <c r="K32" s="75"/>
      <c r="L32" s="75"/>
      <c r="M32" s="75"/>
      <c r="N32" s="65"/>
      <c r="O32" s="65"/>
    </row>
    <row r="33" spans="1:13" ht="14.25" customHeight="1" x14ac:dyDescent="0.2">
      <c r="B33" s="20" t="s">
        <v>50</v>
      </c>
      <c r="C33" s="20"/>
      <c r="D33" s="123" t="s">
        <v>51</v>
      </c>
      <c r="E33" s="124"/>
      <c r="F33" s="27" t="s">
        <v>52</v>
      </c>
      <c r="G33" s="27"/>
      <c r="H33" s="27" t="s">
        <v>52</v>
      </c>
      <c r="I33" s="27" t="s">
        <v>52</v>
      </c>
      <c r="J33" s="27" t="s">
        <v>52</v>
      </c>
      <c r="K33" s="27" t="s">
        <v>52</v>
      </c>
      <c r="L33" s="27" t="s">
        <v>52</v>
      </c>
      <c r="M33" s="27" t="s">
        <v>52</v>
      </c>
    </row>
    <row r="34" spans="1:13" ht="15" x14ac:dyDescent="0.25">
      <c r="B34" s="53" t="s">
        <v>53</v>
      </c>
      <c r="C34" s="47"/>
      <c r="D34" s="48"/>
      <c r="E34" s="37" t="s">
        <v>1</v>
      </c>
      <c r="F34" s="38" t="s">
        <v>2</v>
      </c>
      <c r="G34" s="38" t="s">
        <v>2</v>
      </c>
      <c r="H34" s="38" t="s">
        <v>2</v>
      </c>
      <c r="I34" s="37" t="s">
        <v>3</v>
      </c>
      <c r="J34" s="38" t="s">
        <v>4</v>
      </c>
      <c r="K34" s="38" t="s">
        <v>5</v>
      </c>
      <c r="L34" s="38" t="s">
        <v>6</v>
      </c>
      <c r="M34" s="39" t="s">
        <v>7</v>
      </c>
    </row>
    <row r="35" spans="1:13" ht="15" x14ac:dyDescent="0.25">
      <c r="B35" s="54" t="s">
        <v>0</v>
      </c>
      <c r="C35" s="49" t="s">
        <v>9</v>
      </c>
      <c r="D35" s="98"/>
      <c r="E35" s="40" t="s">
        <v>10</v>
      </c>
      <c r="F35" s="40" t="s">
        <v>4</v>
      </c>
      <c r="G35" s="40" t="s">
        <v>5</v>
      </c>
      <c r="H35" s="40" t="s">
        <v>6</v>
      </c>
      <c r="I35" s="40" t="s">
        <v>12</v>
      </c>
      <c r="J35" s="40" t="s">
        <v>3</v>
      </c>
      <c r="K35" s="40" t="s">
        <v>3</v>
      </c>
      <c r="L35" s="40" t="s">
        <v>3</v>
      </c>
      <c r="M35" s="41" t="s">
        <v>12</v>
      </c>
    </row>
    <row r="36" spans="1:13" ht="15" x14ac:dyDescent="0.25">
      <c r="B36" s="41" t="s">
        <v>8</v>
      </c>
      <c r="C36" s="50"/>
      <c r="D36" s="51"/>
      <c r="E36" s="40" t="s">
        <v>13</v>
      </c>
      <c r="F36" s="40" t="s">
        <v>14</v>
      </c>
      <c r="G36" s="40" t="s">
        <v>14</v>
      </c>
      <c r="H36" s="40" t="s">
        <v>14</v>
      </c>
      <c r="I36" s="40" t="s">
        <v>15</v>
      </c>
      <c r="J36" s="40" t="s">
        <v>15</v>
      </c>
      <c r="K36" s="40" t="s">
        <v>15</v>
      </c>
      <c r="L36" s="40" t="s">
        <v>15</v>
      </c>
      <c r="M36" s="40" t="s">
        <v>15</v>
      </c>
    </row>
    <row r="37" spans="1:13" ht="26.25" x14ac:dyDescent="0.25">
      <c r="B37" s="52"/>
      <c r="C37" s="55"/>
      <c r="D37" s="99"/>
      <c r="E37" s="17" t="s">
        <v>86</v>
      </c>
      <c r="F37" s="17" t="s">
        <v>86</v>
      </c>
      <c r="G37" s="17" t="s">
        <v>86</v>
      </c>
      <c r="H37" s="17" t="s">
        <v>86</v>
      </c>
      <c r="I37" s="17" t="s">
        <v>86</v>
      </c>
      <c r="J37" s="17" t="s">
        <v>86</v>
      </c>
      <c r="K37" s="17" t="s">
        <v>86</v>
      </c>
      <c r="L37" s="17" t="s">
        <v>86</v>
      </c>
      <c r="M37" s="17" t="s">
        <v>86</v>
      </c>
    </row>
    <row r="38" spans="1:13" ht="15" x14ac:dyDescent="0.25">
      <c r="B38" s="23" t="s">
        <v>46</v>
      </c>
      <c r="C38" s="24"/>
      <c r="D38" s="100"/>
      <c r="E38" s="44"/>
      <c r="F38" s="25"/>
      <c r="G38" s="25"/>
      <c r="H38" s="25"/>
      <c r="I38" s="25"/>
      <c r="J38" s="25"/>
      <c r="K38" s="25"/>
      <c r="L38" s="25"/>
      <c r="M38" s="25"/>
    </row>
    <row r="39" spans="1:13" ht="28.5" x14ac:dyDescent="0.2">
      <c r="B39" s="20" t="s">
        <v>81</v>
      </c>
      <c r="C39" s="33" t="s">
        <v>48</v>
      </c>
      <c r="D39" s="101"/>
      <c r="E39" s="21">
        <f>ROUND(VLOOKUP("BLND1CO",'[2]QSS (t)'!$B$10:$O$66,4,FALSE)/365,4)</f>
        <v>0</v>
      </c>
      <c r="F39" s="21">
        <f>ROUND(VLOOKUP("BLND1CO",'[2]QSS (t)'!$B$10:$O$66,6,FALSE),4)</f>
        <v>1.7999999999999999E-2</v>
      </c>
      <c r="G39" s="21">
        <f>ROUND(VLOOKUP("BLND1CO",'[2]QSS (t)'!$B$10:$O$66,7,FALSE),4)</f>
        <v>1.7999999999999999E-2</v>
      </c>
      <c r="H39" s="21">
        <f>ROUND(VLOOKUP("BLND1CO",'[2]QSS (t)'!$B$10:$O$66,8,FALSE),4)</f>
        <v>1.7999999999999999E-2</v>
      </c>
      <c r="I39" s="21">
        <f>ROUND(VLOOKUP("BLND1CO",'[2]QSS (t)'!$B$10:$O$66,9,FALSE),4)</f>
        <v>0</v>
      </c>
      <c r="J39" s="21"/>
      <c r="K39" s="21"/>
      <c r="L39" s="21"/>
      <c r="M39" s="21"/>
    </row>
    <row r="40" spans="1:13" x14ac:dyDescent="0.2">
      <c r="B40" s="19" t="s">
        <v>20</v>
      </c>
      <c r="C40" s="33" t="s">
        <v>55</v>
      </c>
      <c r="D40" s="101"/>
      <c r="E40" s="21">
        <f>ROUND(VLOOKUP($B40,'[2]QSS (t)'!$B$10:$O$66,4,FALSE)/365,4)</f>
        <v>0</v>
      </c>
      <c r="F40" s="21">
        <f>ROUND(VLOOKUP($B40,'[2]QSS (t)'!$B$10:$O$66,6,FALSE),4)</f>
        <v>1.7999999999999999E-2</v>
      </c>
      <c r="G40" s="21">
        <f>ROUND(VLOOKUP($B40,'[2]QSS (t)'!$B$10:$O$66,7,FALSE),4)</f>
        <v>1.7999999999999999E-2</v>
      </c>
      <c r="H40" s="21">
        <f>ROUND(VLOOKUP($B40,'[2]QSS (t)'!$B$10:$O$66,8,FALSE),4)</f>
        <v>1.7999999999999999E-2</v>
      </c>
      <c r="I40" s="21">
        <f>ROUND(VLOOKUP($B40,'[2]QSS (t)'!$B$10:$O$66,9,FALSE),4)</f>
        <v>0</v>
      </c>
      <c r="J40" s="21"/>
      <c r="K40" s="21"/>
      <c r="L40" s="21"/>
      <c r="M40" s="21">
        <f>ROUND(VLOOKUP($B40,'[2]QSS (t)'!$B$10:$O$66,13,FALSE),4)</f>
        <v>0</v>
      </c>
    </row>
    <row r="41" spans="1:13" x14ac:dyDescent="0.2">
      <c r="B41" s="19" t="s">
        <v>21</v>
      </c>
      <c r="C41" s="33" t="s">
        <v>54</v>
      </c>
      <c r="D41" s="101"/>
      <c r="E41" s="21">
        <f>ROUND(VLOOKUP($B41,'[2]QSS (t)'!$B$10:$O$66,4,FALSE)/365,4)</f>
        <v>0</v>
      </c>
      <c r="F41" s="21">
        <f>ROUND(VLOOKUP($B41,'[2]QSS (t)'!$B$10:$O$66,6,FALSE),4)</f>
        <v>1.7999999999999999E-2</v>
      </c>
      <c r="G41" s="21">
        <f>ROUND(VLOOKUP($B41,'[2]QSS (t)'!$B$10:$O$66,7,FALSE),4)</f>
        <v>1.7999999999999999E-2</v>
      </c>
      <c r="H41" s="21">
        <f>ROUND(VLOOKUP($B41,'[2]QSS (t)'!$B$10:$O$66,8,FALSE),4)</f>
        <v>1.7999999999999999E-2</v>
      </c>
      <c r="I41" s="21">
        <f>ROUND(VLOOKUP($B41,'[2]QSS (t)'!$B$10:$O$66,9,FALSE),4)</f>
        <v>0</v>
      </c>
      <c r="J41" s="21"/>
      <c r="K41" s="21"/>
      <c r="L41" s="21"/>
      <c r="M41" s="21">
        <f>ROUND(VLOOKUP($B41,'[2]QSS (t)'!$B$10:$O$66,13,FALSE),4)</f>
        <v>0</v>
      </c>
    </row>
    <row r="42" spans="1:13" s="46" customFormat="1" x14ac:dyDescent="0.2">
      <c r="A42" s="45"/>
      <c r="B42" s="19" t="s">
        <v>22</v>
      </c>
      <c r="C42" s="33" t="s">
        <v>56</v>
      </c>
      <c r="D42" s="102"/>
      <c r="E42" s="21">
        <f>ROUND(VLOOKUP($B42,'[2]QSS (t)'!$B$10:$O$66,4,FALSE)/365,4)</f>
        <v>0</v>
      </c>
      <c r="F42" s="21">
        <f>ROUND(VLOOKUP($B42,'[2]QSS (t)'!$B$10:$O$66,6,FALSE),4)</f>
        <v>0</v>
      </c>
      <c r="G42" s="21">
        <f>ROUND(VLOOKUP($B42,'[2]QSS (t)'!$B$10:$O$66,7,FALSE),4)</f>
        <v>0</v>
      </c>
      <c r="H42" s="21">
        <f>ROUND(VLOOKUP($B42,'[2]QSS (t)'!$B$10:$O$66,8,FALSE),4)</f>
        <v>0</v>
      </c>
      <c r="I42" s="21">
        <f>ROUND(VLOOKUP($B42,'[2]QSS (t)'!$B$10:$O$66,9,FALSE),4)</f>
        <v>0</v>
      </c>
      <c r="J42" s="21"/>
      <c r="K42" s="21"/>
      <c r="L42" s="21"/>
      <c r="M42" s="21"/>
    </row>
    <row r="43" spans="1:13" ht="28.5" x14ac:dyDescent="0.2">
      <c r="B43" s="20" t="s">
        <v>80</v>
      </c>
      <c r="C43" s="33" t="s">
        <v>57</v>
      </c>
      <c r="D43" s="101"/>
      <c r="E43" s="21">
        <f>ROUND(VLOOKUP("BHND1SO",'[2]QSS (t)'!$B$10:$O$66,4,FALSE)/365,4)</f>
        <v>0</v>
      </c>
      <c r="F43" s="21">
        <f>ROUND(VLOOKUP("BHND1SO",'[2]QSS (t)'!$B$10:$O$66,6,FALSE),4)</f>
        <v>0</v>
      </c>
      <c r="G43" s="21">
        <f>ROUND(VLOOKUP("BHND1SO",'[2]QSS (t)'!$B$10:$O$66,7,FALSE),4)</f>
        <v>0</v>
      </c>
      <c r="H43" s="21">
        <f>ROUND(VLOOKUP("BHND1SO",'[2]QSS (t)'!$B$10:$O$66,8,FALSE),4)</f>
        <v>0</v>
      </c>
      <c r="I43" s="21">
        <f>ROUND(VLOOKUP("BHND1SO",'[2]QSS (t)'!$B$10:$O$66,9,FALSE),4)</f>
        <v>0</v>
      </c>
      <c r="J43" s="21"/>
      <c r="K43" s="21"/>
      <c r="L43" s="21"/>
      <c r="M43" s="21">
        <f>ROUND(VLOOKUP("BHND1SO",'[2]QSS (t)'!$B$10:$O$66,13,FALSE),4)</f>
        <v>0</v>
      </c>
    </row>
  </sheetData>
  <mergeCells count="29">
    <mergeCell ref="K25:L25"/>
    <mergeCell ref="D27:E27"/>
    <mergeCell ref="D30:E30"/>
    <mergeCell ref="D31:E31"/>
    <mergeCell ref="D33:E33"/>
    <mergeCell ref="D26:E26"/>
    <mergeCell ref="D28:E28"/>
    <mergeCell ref="D25:E25"/>
    <mergeCell ref="D24:E24"/>
    <mergeCell ref="B3:F3"/>
    <mergeCell ref="I3:J3"/>
    <mergeCell ref="B5:B7"/>
    <mergeCell ref="C5:C7"/>
    <mergeCell ref="D5:E7"/>
    <mergeCell ref="D11:E11"/>
    <mergeCell ref="D19:E19"/>
    <mergeCell ref="D20:E20"/>
    <mergeCell ref="D21:E21"/>
    <mergeCell ref="D22:E22"/>
    <mergeCell ref="D23:E23"/>
    <mergeCell ref="K12:L12"/>
    <mergeCell ref="D14:E14"/>
    <mergeCell ref="K20:L20"/>
    <mergeCell ref="D18:E18"/>
    <mergeCell ref="D9:E9"/>
    <mergeCell ref="D10:E10"/>
    <mergeCell ref="D12:E12"/>
    <mergeCell ref="D15:E15"/>
    <mergeCell ref="D17:E17"/>
  </mergeCells>
  <pageMargins left="0.39370078740157483" right="0.39370078740157483" top="0.39370078740157483" bottom="0.39370078740157483" header="0.51181102362204722" footer="0.51181102362204722"/>
  <pageSetup paperSize="9" scale="67"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B41"/>
  <sheetViews>
    <sheetView topLeftCell="B1" zoomScaleNormal="100" zoomScaleSheetLayoutView="80" workbookViewId="0">
      <selection activeCell="B1" sqref="B1"/>
    </sheetView>
  </sheetViews>
  <sheetFormatPr defaultRowHeight="15.75" x14ac:dyDescent="0.3"/>
  <cols>
    <col min="1" max="1" width="40.88671875" customWidth="1"/>
    <col min="2" max="2" width="122.44140625" customWidth="1"/>
  </cols>
  <sheetData>
    <row r="1" spans="1:2" x14ac:dyDescent="0.3">
      <c r="A1" t="s">
        <v>167</v>
      </c>
    </row>
    <row r="3" spans="1:2" ht="16.5" thickBot="1" x14ac:dyDescent="0.35"/>
    <row r="4" spans="1:2" ht="16.5" thickBot="1" x14ac:dyDescent="0.35">
      <c r="A4" s="84" t="s">
        <v>0</v>
      </c>
      <c r="B4" s="85" t="s">
        <v>119</v>
      </c>
    </row>
    <row r="5" spans="1:2" x14ac:dyDescent="0.3">
      <c r="A5" s="95" t="s">
        <v>188</v>
      </c>
      <c r="B5" s="87" t="s">
        <v>189</v>
      </c>
    </row>
    <row r="6" spans="1:2" ht="16.5" thickBot="1" x14ac:dyDescent="0.35">
      <c r="A6" s="88" t="s">
        <v>120</v>
      </c>
      <c r="B6" s="89" t="s">
        <v>121</v>
      </c>
    </row>
    <row r="7" spans="1:2" ht="16.5" thickBot="1" x14ac:dyDescent="0.35">
      <c r="A7" s="96" t="s">
        <v>190</v>
      </c>
      <c r="B7" s="104" t="s">
        <v>197</v>
      </c>
    </row>
    <row r="8" spans="1:2" ht="16.5" thickBot="1" x14ac:dyDescent="0.35">
      <c r="A8" s="96" t="s">
        <v>191</v>
      </c>
      <c r="B8" s="104" t="s">
        <v>197</v>
      </c>
    </row>
    <row r="9" spans="1:2" ht="48.75" thickBot="1" x14ac:dyDescent="0.35">
      <c r="A9" s="88" t="s">
        <v>122</v>
      </c>
      <c r="B9" s="89" t="s">
        <v>123</v>
      </c>
    </row>
    <row r="10" spans="1:2" ht="36.75" thickBot="1" x14ac:dyDescent="0.35">
      <c r="A10" s="88" t="s">
        <v>124</v>
      </c>
      <c r="B10" s="89" t="s">
        <v>125</v>
      </c>
    </row>
    <row r="11" spans="1:2" ht="16.5" thickBot="1" x14ac:dyDescent="0.35">
      <c r="A11" s="88" t="s">
        <v>126</v>
      </c>
      <c r="B11" s="89" t="s">
        <v>127</v>
      </c>
    </row>
    <row r="12" spans="1:2" ht="16.5" thickBot="1" x14ac:dyDescent="0.35">
      <c r="A12" s="88" t="s">
        <v>128</v>
      </c>
      <c r="B12" s="89" t="s">
        <v>129</v>
      </c>
    </row>
    <row r="13" spans="1:2" ht="16.5" thickBot="1" x14ac:dyDescent="0.35">
      <c r="A13" s="88" t="s">
        <v>130</v>
      </c>
      <c r="B13" s="90" t="s">
        <v>131</v>
      </c>
    </row>
    <row r="14" spans="1:2" ht="16.5" thickBot="1" x14ac:dyDescent="0.35">
      <c r="A14" s="88" t="s">
        <v>132</v>
      </c>
      <c r="B14" s="90" t="s">
        <v>133</v>
      </c>
    </row>
    <row r="15" spans="1:2" ht="16.5" thickBot="1" x14ac:dyDescent="0.35">
      <c r="A15" s="88" t="s">
        <v>134</v>
      </c>
      <c r="B15" s="90" t="s">
        <v>135</v>
      </c>
    </row>
    <row r="16" spans="1:2" ht="16.5" thickBot="1" x14ac:dyDescent="0.35">
      <c r="A16" s="88" t="s">
        <v>136</v>
      </c>
      <c r="B16" s="91" t="s">
        <v>168</v>
      </c>
    </row>
    <row r="17" spans="1:2" ht="16.5" thickBot="1" x14ac:dyDescent="0.35">
      <c r="A17" s="88" t="s">
        <v>137</v>
      </c>
      <c r="B17" s="90" t="s">
        <v>138</v>
      </c>
    </row>
    <row r="18" spans="1:2" ht="16.5" thickBot="1" x14ac:dyDescent="0.35">
      <c r="A18" s="96" t="s">
        <v>192</v>
      </c>
      <c r="B18" s="90" t="s">
        <v>193</v>
      </c>
    </row>
    <row r="19" spans="1:2" ht="16.5" thickBot="1" x14ac:dyDescent="0.35">
      <c r="A19" s="88" t="s">
        <v>139</v>
      </c>
      <c r="B19" s="90" t="s">
        <v>140</v>
      </c>
    </row>
    <row r="20" spans="1:2" ht="16.5" thickBot="1" x14ac:dyDescent="0.35">
      <c r="A20" s="96" t="s">
        <v>194</v>
      </c>
      <c r="B20" s="105" t="s">
        <v>198</v>
      </c>
    </row>
    <row r="21" spans="1:2" ht="16.5" thickBot="1" x14ac:dyDescent="0.35">
      <c r="A21" s="96" t="s">
        <v>195</v>
      </c>
      <c r="B21" s="105" t="s">
        <v>198</v>
      </c>
    </row>
    <row r="22" spans="1:2" ht="16.5" thickBot="1" x14ac:dyDescent="0.35">
      <c r="A22" s="88" t="s">
        <v>141</v>
      </c>
      <c r="B22" s="90" t="s">
        <v>142</v>
      </c>
    </row>
    <row r="23" spans="1:2" ht="84.75" thickBot="1" x14ac:dyDescent="0.35">
      <c r="A23" s="96" t="s">
        <v>196</v>
      </c>
      <c r="B23" s="105" t="s">
        <v>199</v>
      </c>
    </row>
    <row r="24" spans="1:2" ht="16.5" thickBot="1" x14ac:dyDescent="0.35">
      <c r="A24" s="88" t="s">
        <v>143</v>
      </c>
      <c r="B24" s="90" t="s">
        <v>144</v>
      </c>
    </row>
    <row r="25" spans="1:2" ht="24" x14ac:dyDescent="0.3">
      <c r="A25" s="159" t="s">
        <v>145</v>
      </c>
      <c r="B25" s="92" t="s">
        <v>146</v>
      </c>
    </row>
    <row r="26" spans="1:2" x14ac:dyDescent="0.3">
      <c r="A26" s="160"/>
      <c r="B26" s="92" t="s">
        <v>147</v>
      </c>
    </row>
    <row r="27" spans="1:2" ht="24" x14ac:dyDescent="0.3">
      <c r="A27" s="160"/>
      <c r="B27" s="92" t="s">
        <v>148</v>
      </c>
    </row>
    <row r="28" spans="1:2" x14ac:dyDescent="0.3">
      <c r="A28" s="160"/>
      <c r="B28" s="92" t="s">
        <v>149</v>
      </c>
    </row>
    <row r="29" spans="1:2" ht="16.5" thickBot="1" x14ac:dyDescent="0.35">
      <c r="A29" s="161"/>
      <c r="B29" s="90" t="s">
        <v>150</v>
      </c>
    </row>
    <row r="30" spans="1:2" ht="16.5" thickBot="1" x14ac:dyDescent="0.35">
      <c r="A30" s="88" t="s">
        <v>151</v>
      </c>
      <c r="B30" s="90" t="s">
        <v>152</v>
      </c>
    </row>
    <row r="31" spans="1:2" ht="16.5" thickBot="1" x14ac:dyDescent="0.35">
      <c r="A31" s="88" t="s">
        <v>153</v>
      </c>
      <c r="B31" s="90" t="s">
        <v>154</v>
      </c>
    </row>
    <row r="32" spans="1:2" ht="36" x14ac:dyDescent="0.3">
      <c r="A32" s="159" t="s">
        <v>155</v>
      </c>
      <c r="B32" s="92" t="s">
        <v>156</v>
      </c>
    </row>
    <row r="33" spans="1:2" x14ac:dyDescent="0.3">
      <c r="A33" s="160"/>
      <c r="B33" s="92" t="s">
        <v>147</v>
      </c>
    </row>
    <row r="34" spans="1:2" ht="24" x14ac:dyDescent="0.3">
      <c r="A34" s="160"/>
      <c r="B34" s="92" t="s">
        <v>157</v>
      </c>
    </row>
    <row r="35" spans="1:2" x14ac:dyDescent="0.3">
      <c r="A35" s="160"/>
      <c r="B35" s="92" t="s">
        <v>149</v>
      </c>
    </row>
    <row r="36" spans="1:2" ht="16.5" thickBot="1" x14ac:dyDescent="0.35">
      <c r="A36" s="161"/>
      <c r="B36" s="90" t="s">
        <v>158</v>
      </c>
    </row>
    <row r="37" spans="1:2" ht="24.75" thickBot="1" x14ac:dyDescent="0.35">
      <c r="A37" s="88" t="s">
        <v>159</v>
      </c>
      <c r="B37" s="90" t="s">
        <v>160</v>
      </c>
    </row>
    <row r="38" spans="1:2" ht="16.5" thickBot="1" x14ac:dyDescent="0.35">
      <c r="A38" s="88" t="s">
        <v>161</v>
      </c>
      <c r="B38" s="90" t="s">
        <v>162</v>
      </c>
    </row>
    <row r="39" spans="1:2" ht="16.5" thickBot="1" x14ac:dyDescent="0.35">
      <c r="A39" s="88" t="s">
        <v>163</v>
      </c>
      <c r="B39" s="90" t="s">
        <v>164</v>
      </c>
    </row>
    <row r="40" spans="1:2" x14ac:dyDescent="0.3">
      <c r="A40" s="86" t="s">
        <v>165</v>
      </c>
      <c r="B40" s="162" t="s">
        <v>166</v>
      </c>
    </row>
    <row r="41" spans="1:2" ht="16.5" thickBot="1" x14ac:dyDescent="0.35">
      <c r="A41" s="88" t="s">
        <v>51</v>
      </c>
      <c r="B41" s="163"/>
    </row>
  </sheetData>
  <mergeCells count="3">
    <mergeCell ref="A25:A29"/>
    <mergeCell ref="A32:A36"/>
    <mergeCell ref="B40:B41"/>
  </mergeCells>
  <pageMargins left="0.70866141732283472" right="0.70866141732283472" top="0.74803149606299213" bottom="0.74803149606299213" header="0.31496062992125984" footer="0.31496062992125984"/>
  <pageSetup paperSize="9" scale="6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Price List_Excl GST</vt:lpstr>
      <vt:lpstr>Price List_Incl GST</vt:lpstr>
      <vt:lpstr>Price List_DUOS_Excl GST</vt:lpstr>
      <vt:lpstr>Price List_TUOS_Excl GST</vt:lpstr>
      <vt:lpstr>Price List_CCF_Excl GST</vt:lpstr>
      <vt:lpstr>Price List_QSS_Excl GST</vt:lpstr>
      <vt:lpstr>Explanatory Notes</vt:lpstr>
      <vt:lpstr>'Explanatory Notes'!Print_Area</vt:lpstr>
      <vt:lpstr>'Price List_CCF_Excl GST'!Print_Area</vt:lpstr>
      <vt:lpstr>'Price List_DUOS_Excl GST'!Print_Area</vt:lpstr>
      <vt:lpstr>'Price List_Excl GST'!Print_Area</vt:lpstr>
      <vt:lpstr>'Price List_Incl GST'!Print_Area</vt:lpstr>
      <vt:lpstr>'Price List_QSS_Excl GST'!Print_Area</vt:lpstr>
      <vt:lpstr>'Price List_TUOS_Excl GST'!Print_Area</vt:lpstr>
    </vt:vector>
  </TitlesOfParts>
  <Company>Country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cwaddell</dc:creator>
  <cp:lastModifiedBy>Michelle Hagney</cp:lastModifiedBy>
  <cp:lastPrinted>2017-04-03T05:55:44Z</cp:lastPrinted>
  <dcterms:created xsi:type="dcterms:W3CDTF">2009-05-26T02:30:41Z</dcterms:created>
  <dcterms:modified xsi:type="dcterms:W3CDTF">2018-03-23T03:50:54Z</dcterms:modified>
</cp:coreProperties>
</file>