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G:\Coy1-Fin\Reg_Affairs\Regulated Pricing\Network\Price submission 1 July 2021\"/>
    </mc:Choice>
  </mc:AlternateContent>
  <xr:revisionPtr revIDLastSave="0" documentId="13_ncr:1_{C9942F63-531D-4EBF-A855-F7D40D2270CB}" xr6:coauthVersionLast="46" xr6:coauthVersionMax="46" xr10:uidLastSave="{00000000-0000-0000-0000-000000000000}"/>
  <bookViews>
    <workbookView xWindow="28680" yWindow="-120" windowWidth="29040" windowHeight="16440" activeTab="1" xr2:uid="{00000000-000D-0000-FFFF-FFFF00000000}"/>
  </bookViews>
  <sheets>
    <sheet name="MSC Price List" sheetId="5" r:id="rId1"/>
    <sheet name="MSC Price List_$Day" sheetId="6" r:id="rId2"/>
    <sheet name="MSC Price List_year" sheetId="8" r:id="rId3"/>
    <sheet name="Pricing Summary" sheetId="7" r:id="rId4"/>
  </sheets>
  <externalReferences>
    <externalReference r:id="rId5"/>
    <externalReference r:id="rId6"/>
    <externalReference r:id="rId7"/>
  </externalReferences>
  <definedNames>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_xlnm.Print_Area" localSheetId="0">'MSC Price List'!$A$2:$I$23</definedName>
    <definedName name="_xlnm.Print_Area" localSheetId="1">'MSC Price List_$Day'!$A$1:$I$12</definedName>
    <definedName name="_xlnm.Print_Area" localSheetId="2">'MSC Price List_year'!$A$2:$F$23</definedName>
    <definedName name="Reg_reporting">OFFSET('[1]Reg reporting depts'!$A$5,1,0,COUNTA('[1]Reg reporting depts'!$A:$A),COUNTA('[1]Reg reporting depts'!$5:$5))</definedName>
    <definedName name="Weighted_avg_div_rate_Corp_allocations">'[1]Weighted avg div alloc rates'!$C$8:$AL$22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5" l="1"/>
  <c r="I12" i="5"/>
  <c r="I11" i="5"/>
  <c r="I10" i="5"/>
  <c r="I9" i="5"/>
  <c r="F13" i="5"/>
  <c r="F12" i="6" s="1"/>
  <c r="F12" i="5"/>
  <c r="F11" i="5"/>
  <c r="F10" i="5"/>
  <c r="F9" i="5"/>
  <c r="F19" i="6"/>
  <c r="D2" i="6"/>
  <c r="D14" i="7"/>
  <c r="E7" i="7"/>
  <c r="E24" i="7" s="1"/>
  <c r="B1" i="8"/>
  <c r="B2" i="8" s="1"/>
  <c r="D11" i="7"/>
  <c r="E14" i="7" l="1"/>
  <c r="E22" i="7"/>
  <c r="B5" i="8"/>
  <c r="F8" i="6" l="1"/>
  <c r="F14" i="7"/>
  <c r="B1" i="5"/>
  <c r="B5" i="5" l="1"/>
  <c r="B4" i="6" s="1"/>
  <c r="B2" i="5"/>
  <c r="B1" i="6" s="1"/>
  <c r="Q5" i="7"/>
  <c r="Q6" i="7"/>
  <c r="Q7" i="7"/>
  <c r="Q8" i="7"/>
  <c r="Q9" i="7"/>
  <c r="F9" i="8" l="1"/>
  <c r="G9" i="8"/>
  <c r="D26" i="7"/>
  <c r="D18" i="7"/>
  <c r="D23" i="7"/>
  <c r="D24" i="7"/>
  <c r="D25" i="7"/>
  <c r="D22" i="7"/>
  <c r="D15" i="7"/>
  <c r="D16" i="7"/>
  <c r="D17" i="7"/>
  <c r="C31" i="7"/>
  <c r="F10" i="8" l="1"/>
  <c r="E15" i="7"/>
  <c r="F15" i="7" s="1"/>
  <c r="F15" i="8"/>
  <c r="E23" i="7"/>
  <c r="E25" i="7"/>
  <c r="F17" i="8"/>
  <c r="E18" i="7"/>
  <c r="F13" i="8"/>
  <c r="F12" i="8"/>
  <c r="E17" i="7"/>
  <c r="F16" i="8"/>
  <c r="E26" i="7"/>
  <c r="F18" i="8"/>
  <c r="F11" i="8"/>
  <c r="E16" i="7"/>
  <c r="I8" i="6"/>
  <c r="F14" i="8"/>
  <c r="G14" i="7"/>
  <c r="H9" i="8"/>
  <c r="D34" i="7"/>
  <c r="D33" i="7"/>
  <c r="D35" i="7"/>
  <c r="D32" i="7"/>
  <c r="D31" i="7"/>
  <c r="F16" i="7" l="1"/>
  <c r="G11" i="8"/>
  <c r="E33" i="7"/>
  <c r="F25" i="7"/>
  <c r="G17" i="8"/>
  <c r="F22" i="7"/>
  <c r="G14" i="8"/>
  <c r="E31" i="7"/>
  <c r="G10" i="8"/>
  <c r="E32" i="7"/>
  <c r="I9" i="8"/>
  <c r="F24" i="7"/>
  <c r="G16" i="8"/>
  <c r="G18" i="8"/>
  <c r="F26" i="7"/>
  <c r="G12" i="8"/>
  <c r="F17" i="7"/>
  <c r="E34" i="7"/>
  <c r="G13" i="8"/>
  <c r="F18" i="7"/>
  <c r="E35" i="7"/>
  <c r="F23" i="7"/>
  <c r="G15" i="8"/>
  <c r="C32" i="7"/>
  <c r="H15" i="8" l="1"/>
  <c r="G23" i="7"/>
  <c r="I15" i="8" s="1"/>
  <c r="G17" i="7"/>
  <c r="H12" i="8"/>
  <c r="F34" i="7"/>
  <c r="G18" i="7"/>
  <c r="H13" i="8"/>
  <c r="F35" i="7"/>
  <c r="G25" i="7"/>
  <c r="I17" i="8" s="1"/>
  <c r="H17" i="8"/>
  <c r="G24" i="7"/>
  <c r="I16" i="8" s="1"/>
  <c r="H16" i="8"/>
  <c r="G22" i="7"/>
  <c r="H14" i="8"/>
  <c r="F31" i="7"/>
  <c r="H18" i="8"/>
  <c r="G26" i="7"/>
  <c r="I18" i="8" s="1"/>
  <c r="H10" i="8"/>
  <c r="G15" i="7"/>
  <c r="F32" i="7"/>
  <c r="G16" i="7"/>
  <c r="H11" i="8"/>
  <c r="F33" i="7"/>
  <c r="C35" i="7"/>
  <c r="C34" i="7"/>
  <c r="C33" i="7"/>
  <c r="I10" i="8" l="1"/>
  <c r="G32" i="7"/>
  <c r="I12" i="8"/>
  <c r="G34" i="7"/>
  <c r="I13" i="8"/>
  <c r="G35" i="7"/>
  <c r="I11" i="8"/>
  <c r="G33" i="7"/>
  <c r="I14" i="8"/>
  <c r="G31" i="7"/>
  <c r="F10" i="6"/>
  <c r="F9" i="6"/>
  <c r="F11" i="6"/>
  <c r="I10" i="6"/>
  <c r="I11" i="6"/>
  <c r="I9" i="6"/>
  <c r="F13" i="6"/>
  <c r="I12" i="6"/>
  <c r="I13" i="6" s="1"/>
</calcChain>
</file>

<file path=xl/sharedStrings.xml><?xml version="1.0" encoding="utf-8"?>
<sst xmlns="http://schemas.openxmlformats.org/spreadsheetml/2006/main" count="194" uniqueCount="78">
  <si>
    <t>Residential Anytime</t>
  </si>
  <si>
    <t>Residential TOU</t>
  </si>
  <si>
    <t>Controlled Load</t>
  </si>
  <si>
    <t>Capital</t>
  </si>
  <si>
    <t>Metering Service Charge Tariff Class</t>
  </si>
  <si>
    <t>Applicable Network Tariffs</t>
  </si>
  <si>
    <t>MSC Tariff</t>
  </si>
  <si>
    <t>Bill Print Description</t>
  </si>
  <si>
    <t>Annual Charge</t>
  </si>
  <si>
    <t>BLNN2AU</t>
  </si>
  <si>
    <t>MSC MAINT - ANYTIME</t>
  </si>
  <si>
    <t>BLNM1CA</t>
  </si>
  <si>
    <t>MSC CAPITAL - ANYTIME</t>
  </si>
  <si>
    <t>BLNT3AU</t>
  </si>
  <si>
    <t>MSC MAINT - TOU</t>
  </si>
  <si>
    <t>BLNM2CA</t>
  </si>
  <si>
    <t>MSC CAPITAL - TOU</t>
  </si>
  <si>
    <t>Small Business Anytime</t>
  </si>
  <si>
    <t>BLNN1AU</t>
  </si>
  <si>
    <t xml:space="preserve">Small Business TOU </t>
  </si>
  <si>
    <t xml:space="preserve">BLNT2AU
BLNT1AO
</t>
  </si>
  <si>
    <t>BLNC1AU
BLNC2AU</t>
  </si>
  <si>
    <t>MSC MAINT - CONTROLLED LOAD</t>
  </si>
  <si>
    <t>BLNM3CA</t>
  </si>
  <si>
    <t>MSC CAPITAL - CONTROLLED LOAD</t>
  </si>
  <si>
    <t>Metering Service Charge</t>
  </si>
  <si>
    <t>Days in Yr</t>
  </si>
  <si>
    <t>Operating and Maintenace - All Basic Meters</t>
  </si>
  <si>
    <t>2019/20</t>
  </si>
  <si>
    <t>2020/21</t>
  </si>
  <si>
    <t>2021/22</t>
  </si>
  <si>
    <t>2022/23</t>
  </si>
  <si>
    <t>2023/24</t>
  </si>
  <si>
    <t>Small Business anytime</t>
  </si>
  <si>
    <t>Small Business  TOU</t>
  </si>
  <si>
    <t>Capital Recovery - Meters Installed Pre 30 June 15</t>
  </si>
  <si>
    <t>Operating and Maintenance and Capital Recovery</t>
  </si>
  <si>
    <t>Effective from 1 July 2019</t>
  </si>
  <si>
    <t>BLNM5CA</t>
  </si>
  <si>
    <t>BLNM6CA</t>
  </si>
  <si>
    <t>BLNM1NC
BLNM1NM</t>
  </si>
  <si>
    <t>BLNM2NC
BLNM2NM</t>
  </si>
  <si>
    <t>BLNM3NM
BLNM3NC</t>
  </si>
  <si>
    <t>Daily Charge $/Day</t>
  </si>
  <si>
    <t>BLNM5NC
BLNM5NM</t>
  </si>
  <si>
    <t>BLNM6NC
BLNM6NM</t>
  </si>
  <si>
    <t>Table 15.13 Metering X factors for 2019-24</t>
  </si>
  <si>
    <t>Metering X factor</t>
  </si>
  <si>
    <t>Non-Capital</t>
  </si>
  <si>
    <t>2020-21</t>
  </si>
  <si>
    <t>2021-22</t>
  </si>
  <si>
    <t>2022-23</t>
  </si>
  <si>
    <t>2023-24</t>
  </si>
  <si>
    <t>CPI</t>
  </si>
  <si>
    <t>As per Final Decision - Att 15 Alternative control services (April 2019)</t>
  </si>
  <si>
    <t xml:space="preserve">Pricing Scenarios </t>
  </si>
  <si>
    <t>Effective from 1 July 2020</t>
  </si>
  <si>
    <t>Effective from 1 July 2021</t>
  </si>
  <si>
    <t>Effective from 1 July 2022</t>
  </si>
  <si>
    <t>Effective from 1 July 2023</t>
  </si>
  <si>
    <t>$2020-21</t>
  </si>
  <si>
    <t>$2021-22</t>
  </si>
  <si>
    <t>$2022-23</t>
  </si>
  <si>
    <t>$2023-24</t>
  </si>
  <si>
    <t>$2019-20</t>
  </si>
  <si>
    <t>Update CPI</t>
  </si>
  <si>
    <t>Drop down list - select year</t>
  </si>
  <si>
    <t>Controlled Load 1</t>
  </si>
  <si>
    <t>Controlled Load 2</t>
  </si>
  <si>
    <t>BLNC1AU</t>
  </si>
  <si>
    <t>BLNC2AU</t>
  </si>
  <si>
    <t>BLNM4NM
BLNM4NC</t>
  </si>
  <si>
    <t xml:space="preserve">BLNM3CA
</t>
  </si>
  <si>
    <t>BLNM4CA</t>
  </si>
  <si>
    <t>Please note the future prices will increase by CPI each year</t>
  </si>
  <si>
    <t>Annual Charge ($2020/21)</t>
  </si>
  <si>
    <t>Pre-30 June Connections - Capital</t>
  </si>
  <si>
    <t>Operating and Maintenance - All Basic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</si>
</sst>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0.0,,_ ;\(#,##0.0,,\)"/>
    <numFmt numFmtId="169" formatCode="0.0%"/>
    <numFmt numFmtId="170" formatCode="&quot;$&quot;#,##0.00"/>
    <numFmt numFmtId="171" formatCode="_(#,##0.00_);_(\(#,##0.00\);_(&quot;-&quot;??_);_(@_)"/>
    <numFmt numFmtId="172" formatCode="_(* #,##0_);_(* \(#,##0\);_(* &quot;-&quot;?_);_(@_)"/>
    <numFmt numFmtId="173" formatCode="#,##0,;\-#,##0,"/>
    <numFmt numFmtId="174" formatCode="#,##0;[Red]\(#,##0\)"/>
    <numFmt numFmtId="175" formatCode="&quot;$&quot;#,##0.00000;\-&quot;$&quot;#,##0.00000"/>
    <numFmt numFmtId="176" formatCode="0.0000%"/>
    <numFmt numFmtId="177" formatCode="_-&quot;$&quot;* #,##0.00000_-;\-&quot;$&quot;* #,##0.00000_-;_-&quot;$&quot;* &quot;-&quot;??_-;_-@_-"/>
    <numFmt numFmtId="183" formatCode="_-&quot;$&quot;* #,##0.0000000_-;\-&quot;$&quot;* #,##0.0000000_-;_-&quot;$&quot;* &quot;-&quot;??_-;_-@_-"/>
  </numFmts>
  <fonts count="78">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sz val="10"/>
      <name val="Arial"/>
      <family val="2"/>
    </font>
    <font>
      <b/>
      <sz val="10"/>
      <name val="Arial"/>
      <family val="2"/>
    </font>
    <font>
      <b/>
      <sz val="12"/>
      <name val="Arial"/>
      <family val="2"/>
    </font>
    <font>
      <sz val="10"/>
      <color indexed="64"/>
      <name val="Arial"/>
      <family val="2"/>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i/>
      <sz val="10"/>
      <color theme="1"/>
      <name val="Arial"/>
      <family val="2"/>
    </font>
    <font>
      <b/>
      <sz val="10"/>
      <color rgb="FFFFFFFF"/>
      <name val="Arial"/>
      <family val="2"/>
    </font>
    <font>
      <b/>
      <sz val="10"/>
      <color rgb="FFFF0000"/>
      <name val="Arial"/>
      <family val="2"/>
    </font>
    <font>
      <sz val="8"/>
      <name val="Calibri"/>
      <family val="2"/>
      <scheme val="minor"/>
    </font>
    <font>
      <i/>
      <sz val="11"/>
      <color theme="1"/>
      <name val="Calibri"/>
      <family val="2"/>
      <scheme val="minor"/>
    </font>
    <font>
      <sz val="8"/>
      <color theme="1"/>
      <name val="Arial"/>
      <family val="2"/>
    </font>
    <font>
      <b/>
      <sz val="9"/>
      <color rgb="FFFFFFFF"/>
      <name val="Arial"/>
      <family val="2"/>
    </font>
    <font>
      <i/>
      <sz val="9"/>
      <color theme="1"/>
      <name val="Arial"/>
      <family val="2"/>
    </font>
  </fonts>
  <fills count="46">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rgb="FF006A71"/>
        <bgColor indexed="64"/>
      </patternFill>
    </fill>
    <fill>
      <patternFill patternType="solid">
        <fgColor rgb="FFE5E5E6"/>
        <bgColor indexed="64"/>
      </patternFill>
    </fill>
    <fill>
      <patternFill patternType="solid">
        <fgColor rgb="FFCCCBCD"/>
        <bgColor indexed="64"/>
      </patternFill>
    </fill>
    <fill>
      <patternFill patternType="solid">
        <fgColor rgb="FFFFFF00"/>
        <bgColor indexed="64"/>
      </patternFill>
    </fill>
    <fill>
      <patternFill patternType="solid">
        <fgColor theme="6" tint="0.79998168889431442"/>
        <bgColor indexed="64"/>
      </patternFill>
    </fill>
    <fill>
      <patternFill patternType="solid">
        <fgColor rgb="FF10647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auto="1"/>
      </top>
      <bottom/>
      <diagonal/>
    </border>
    <border>
      <left/>
      <right/>
      <top style="thin">
        <color indexed="64"/>
      </top>
      <bottom style="thin">
        <color indexed="64"/>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rgb="FFFFFFFF"/>
      </right>
      <top style="thick">
        <color rgb="FFFFFFFF"/>
      </top>
      <bottom style="thick">
        <color rgb="FFFFFFFF"/>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ck">
        <color rgb="FFFFFFFF"/>
      </bottom>
      <diagonal/>
    </border>
    <border>
      <left/>
      <right style="thick">
        <color rgb="FFFFFFFF"/>
      </right>
      <top style="medium">
        <color indexed="64"/>
      </top>
      <bottom style="thick">
        <color rgb="FFFFFFFF"/>
      </bottom>
      <diagonal/>
    </border>
    <border>
      <left style="thin">
        <color indexed="64"/>
      </left>
      <right/>
      <top style="medium">
        <color indexed="64"/>
      </top>
      <bottom style="thick">
        <color rgb="FFFFFFFF"/>
      </bottom>
      <diagonal/>
    </border>
    <border>
      <left style="medium">
        <color indexed="64"/>
      </left>
      <right style="thick">
        <color rgb="FFFFFFFF"/>
      </right>
      <top style="thick">
        <color rgb="FFFFFFFF"/>
      </top>
      <bottom style="thick">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right style="thin">
        <color indexed="64"/>
      </right>
      <top style="medium">
        <color theme="0"/>
      </top>
      <bottom style="thin">
        <color indexed="64"/>
      </bottom>
      <diagonal/>
    </border>
    <border>
      <left/>
      <right style="thin">
        <color indexed="64"/>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s>
  <cellStyleXfs count="361">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8" fontId="7" fillId="4" borderId="0" applyNumberFormat="0" applyFont="0" applyBorder="0" applyAlignment="0">
      <alignment vertical="center"/>
    </xf>
    <xf numFmtId="44" fontId="7" fillId="0" borderId="0" applyFont="0" applyFill="0" applyBorder="0" applyAlignment="0" applyProtection="0"/>
    <xf numFmtId="0" fontId="10" fillId="0" borderId="0"/>
    <xf numFmtId="0" fontId="3" fillId="0" borderId="0"/>
    <xf numFmtId="0" fontId="12" fillId="0" borderId="0"/>
    <xf numFmtId="9" fontId="12" fillId="0" borderId="0" applyFont="0" applyFill="0" applyBorder="0" applyAlignment="0" applyProtection="0"/>
    <xf numFmtId="166" fontId="3" fillId="0" borderId="0" applyFont="0" applyFill="0" applyBorder="0" applyAlignment="0" applyProtection="0"/>
    <xf numFmtId="0" fontId="7" fillId="0" borderId="0"/>
    <xf numFmtId="9" fontId="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 fillId="0" borderId="0"/>
    <xf numFmtId="9"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14" fillId="0" borderId="0" applyNumberFormat="0" applyFont="0" applyFill="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 fillId="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164" fontId="7" fillId="5" borderId="0" applyNumberFormat="0" applyFont="0" applyBorder="0" applyAlignment="0">
      <alignment horizontal="right"/>
    </xf>
    <xf numFmtId="0" fontId="18" fillId="0" borderId="0" applyNumberFormat="0" applyFill="0" applyBorder="0" applyAlignment="0" applyProtection="0"/>
    <xf numFmtId="0" fontId="19" fillId="0" borderId="0"/>
    <xf numFmtId="170" fontId="13" fillId="0" borderId="0" applyFill="0"/>
    <xf numFmtId="170" fontId="13" fillId="0" borderId="0">
      <alignment horizontal="center"/>
    </xf>
    <xf numFmtId="0" fontId="13" fillId="0" borderId="0" applyFill="0">
      <alignment horizontal="center"/>
    </xf>
    <xf numFmtId="170" fontId="20" fillId="0" borderId="8" applyFill="0"/>
    <xf numFmtId="0" fontId="7" fillId="0" borderId="0" applyFont="0" applyAlignment="0"/>
    <xf numFmtId="0" fontId="21" fillId="0" borderId="0" applyFill="0">
      <alignment vertical="top"/>
    </xf>
    <xf numFmtId="0" fontId="20" fillId="0" borderId="0" applyFill="0">
      <alignment horizontal="left" vertical="top"/>
    </xf>
    <xf numFmtId="170" fontId="9" fillId="0" borderId="6" applyFill="0"/>
    <xf numFmtId="0" fontId="7" fillId="0" borderId="0" applyNumberFormat="0" applyFont="0" applyAlignment="0"/>
    <xf numFmtId="0" fontId="21" fillId="0" borderId="0" applyFill="0">
      <alignment wrapText="1"/>
    </xf>
    <xf numFmtId="0" fontId="20" fillId="0" borderId="0" applyFill="0">
      <alignment horizontal="left" vertical="top" wrapText="1"/>
    </xf>
    <xf numFmtId="170" fontId="22" fillId="0" borderId="0" applyFill="0"/>
    <xf numFmtId="0" fontId="23" fillId="0" borderId="0" applyNumberFormat="0" applyFont="0" applyAlignment="0">
      <alignment horizontal="center"/>
    </xf>
    <xf numFmtId="0" fontId="24" fillId="0" borderId="0" applyFill="0">
      <alignment vertical="top" wrapText="1"/>
    </xf>
    <xf numFmtId="0" fontId="9" fillId="0" borderId="0" applyFill="0">
      <alignment horizontal="left" vertical="top" wrapText="1"/>
    </xf>
    <xf numFmtId="170" fontId="7"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0" fontId="11" fillId="0" borderId="0" applyFill="0"/>
    <xf numFmtId="0" fontId="23" fillId="0" borderId="0" applyNumberFormat="0" applyFont="0" applyAlignment="0">
      <alignment horizontal="center"/>
    </xf>
    <xf numFmtId="0" fontId="27" fillId="0" borderId="0" applyFill="0">
      <alignment horizontal="center" vertical="center" wrapText="1"/>
    </xf>
    <xf numFmtId="0" fontId="7" fillId="0" borderId="0" applyFill="0">
      <alignment horizontal="center" vertical="center" wrapText="1"/>
    </xf>
    <xf numFmtId="170" fontId="28" fillId="0" borderId="0" applyFill="0"/>
    <xf numFmtId="0" fontId="23"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0" fontId="31" fillId="0" borderId="0" applyFill="0"/>
    <xf numFmtId="0" fontId="23"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33" fillId="25" borderId="9" applyNumberFormat="0" applyAlignment="0" applyProtection="0"/>
    <xf numFmtId="0" fontId="34" fillId="26" borderId="10" applyNumberFormat="0" applyAlignment="0" applyProtection="0"/>
    <xf numFmtId="17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11" fillId="0" borderId="0" applyFont="0" applyFill="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27" borderId="0"/>
    <xf numFmtId="38" fontId="13" fillId="5" borderId="0" applyNumberFormat="0" applyBorder="0" applyAlignment="0" applyProtection="0"/>
    <xf numFmtId="169" fontId="7" fillId="28" borderId="4" applyNumberFormat="0" applyFont="0" applyBorder="0" applyAlignment="0" applyProtection="0"/>
    <xf numFmtId="169" fontId="7" fillId="28" borderId="4" applyNumberFormat="0" applyFont="0" applyBorder="0" applyAlignment="0" applyProtection="0"/>
    <xf numFmtId="37" fontId="41" fillId="0" borderId="5">
      <alignment vertical="center"/>
    </xf>
    <xf numFmtId="0" fontId="9" fillId="0" borderId="5" applyNumberFormat="0" applyAlignment="0" applyProtection="0">
      <alignment horizontal="left" vertical="center"/>
    </xf>
    <xf numFmtId="0" fontId="9" fillId="0" borderId="7">
      <alignment horizontal="left" vertical="center"/>
    </xf>
    <xf numFmtId="0" fontId="42" fillId="0" borderId="11"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xf>
    <xf numFmtId="41" fontId="11" fillId="5" borderId="0" applyFont="0" applyBorder="0" applyAlignment="0"/>
    <xf numFmtId="41" fontId="11" fillId="5" borderId="0" applyFont="0" applyBorder="0" applyAlignment="0"/>
    <xf numFmtId="41" fontId="11" fillId="5" borderId="0" applyFont="0" applyBorder="0" applyAlignment="0"/>
    <xf numFmtId="169" fontId="11" fillId="5" borderId="0" applyFont="0" applyBorder="0" applyAlignment="0"/>
    <xf numFmtId="169" fontId="11" fillId="5" borderId="0" applyFont="0" applyBorder="0" applyAlignment="0"/>
    <xf numFmtId="169" fontId="11" fillId="5" borderId="0" applyFont="0" applyBorder="0" applyAlignment="0"/>
    <xf numFmtId="171" fontId="47" fillId="5" borderId="0">
      <protection locked="0"/>
    </xf>
    <xf numFmtId="10" fontId="13" fillId="29" borderId="4" applyNumberFormat="0" applyBorder="0" applyAlignment="0" applyProtection="0"/>
    <xf numFmtId="0" fontId="48" fillId="12" borderId="9" applyNumberFormat="0" applyAlignment="0" applyProtection="0"/>
    <xf numFmtId="0" fontId="48" fillId="12" borderId="9" applyNumberFormat="0" applyAlignment="0" applyProtection="0"/>
    <xf numFmtId="0" fontId="48" fillId="12" borderId="9" applyNumberFormat="0" applyAlignment="0" applyProtection="0"/>
    <xf numFmtId="164" fontId="7" fillId="30" borderId="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164" fontId="7" fillId="30" borderId="0" applyFont="0" applyBorder="0" applyAlignment="0">
      <alignment horizontal="right"/>
      <protection locked="0"/>
    </xf>
    <xf numFmtId="164" fontId="7" fillId="30" borderId="0" applyFont="0" applyBorder="0" applyAlignment="0">
      <alignment horizontal="right"/>
      <protection locked="0"/>
    </xf>
    <xf numFmtId="10" fontId="7" fillId="30"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30" borderId="0" applyFont="0" applyBorder="0">
      <alignment horizontal="right"/>
      <protection locked="0"/>
    </xf>
    <xf numFmtId="10" fontId="7" fillId="30" borderId="0" applyFont="0" applyBorder="0">
      <alignment horizontal="right"/>
      <protection locked="0"/>
    </xf>
    <xf numFmtId="3" fontId="7" fillId="6" borderId="0" applyNumberFormat="0" applyFont="0" applyBorder="0" applyAlignment="0">
      <alignment horizontal="right"/>
      <protection locked="0"/>
    </xf>
    <xf numFmtId="10" fontId="11" fillId="31" borderId="0" applyBorder="0" applyAlignment="0">
      <protection locked="0"/>
    </xf>
    <xf numFmtId="172" fontId="7" fillId="28" borderId="0" applyFont="0" applyBorder="0">
      <alignment horizontal="right"/>
      <protection locked="0"/>
    </xf>
    <xf numFmtId="172" fontId="7" fillId="28" borderId="0" applyFont="0" applyBorder="0">
      <alignment horizontal="right"/>
      <protection locked="0"/>
    </xf>
    <xf numFmtId="172" fontId="7" fillId="28" borderId="0" applyFont="0" applyBorder="0">
      <alignment horizontal="right"/>
      <protection locked="0"/>
    </xf>
    <xf numFmtId="10" fontId="8" fillId="28" borderId="0" applyFont="0" applyBorder="0" applyAlignment="0">
      <alignment horizontal="left"/>
      <protection locked="0"/>
    </xf>
    <xf numFmtId="164" fontId="7" fillId="28" borderId="0" applyFont="0" applyBorder="0">
      <alignment horizontal="right"/>
      <protection locked="0"/>
    </xf>
    <xf numFmtId="164" fontId="7" fillId="29" borderId="0" applyFont="0" applyBorder="0">
      <alignment horizontal="right"/>
      <protection locked="0"/>
    </xf>
    <xf numFmtId="164" fontId="7" fillId="29" borderId="0" applyFont="0" applyBorder="0">
      <alignment horizontal="right"/>
      <protection locked="0"/>
    </xf>
    <xf numFmtId="164" fontId="7" fillId="29" borderId="0" applyFont="0" applyBorder="0">
      <alignment horizontal="right"/>
      <protection locked="0"/>
    </xf>
    <xf numFmtId="9" fontId="8" fillId="29" borderId="0" applyFont="0" applyBorder="0">
      <alignment horizontal="right"/>
      <protection locked="0"/>
    </xf>
    <xf numFmtId="41" fontId="7" fillId="29" borderId="0" applyFont="0" applyBorder="0">
      <alignment horizontal="right"/>
      <protection locked="0"/>
    </xf>
    <xf numFmtId="0" fontId="49" fillId="0" borderId="14" applyNumberFormat="0" applyFill="0" applyAlignment="0" applyProtection="0"/>
    <xf numFmtId="0" fontId="50" fillId="32" borderId="0" applyNumberFormat="0" applyBorder="0" applyAlignment="0" applyProtection="0"/>
    <xf numFmtId="37" fontId="51" fillId="0" borderId="0"/>
    <xf numFmtId="167" fontId="11" fillId="5" borderId="3" applyNumberFormat="0" applyFont="0" applyBorder="0" applyAlignment="0">
      <alignment horizontal="right"/>
    </xf>
    <xf numFmtId="173" fontId="52" fillId="0" borderId="0"/>
    <xf numFmtId="0" fontId="53" fillId="0" borderId="0"/>
    <xf numFmtId="0" fontId="7" fillId="0" borderId="0"/>
    <xf numFmtId="0" fontId="6" fillId="0" borderId="0"/>
    <xf numFmtId="0" fontId="54" fillId="0" borderId="0"/>
    <xf numFmtId="0" fontId="37" fillId="0" borderId="0"/>
    <xf numFmtId="0" fontId="26" fillId="0" borderId="0"/>
    <xf numFmtId="0" fontId="37" fillId="0" borderId="0"/>
    <xf numFmtId="0" fontId="26" fillId="0" borderId="0"/>
    <xf numFmtId="0" fontId="37"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7" fillId="0" borderId="0">
      <alignment vertical="top"/>
    </xf>
    <xf numFmtId="0" fontId="3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7"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35" fillId="0" borderId="0"/>
    <xf numFmtId="0" fontId="3" fillId="0" borderId="0"/>
    <xf numFmtId="0" fontId="15" fillId="0" borderId="0"/>
    <xf numFmtId="0" fontId="7" fillId="0" borderId="0"/>
    <xf numFmtId="0" fontId="7" fillId="0" borderId="0"/>
    <xf numFmtId="0" fontId="7" fillId="0" borderId="0"/>
    <xf numFmtId="0" fontId="3" fillId="0" borderId="0"/>
    <xf numFmtId="0" fontId="7" fillId="0" borderId="0"/>
    <xf numFmtId="0" fontId="37" fillId="0" borderId="0"/>
    <xf numFmtId="0" fontId="7" fillId="0" borderId="0"/>
    <xf numFmtId="0" fontId="3" fillId="0" borderId="0"/>
    <xf numFmtId="0" fontId="7" fillId="0" borderId="0"/>
    <xf numFmtId="0" fontId="7" fillId="0" borderId="0">
      <alignment vertical="top"/>
    </xf>
    <xf numFmtId="0" fontId="11" fillId="0" borderId="0"/>
    <xf numFmtId="0" fontId="36" fillId="2" borderId="1" applyNumberFormat="0" applyFont="0" applyAlignment="0" applyProtection="0"/>
    <xf numFmtId="0" fontId="7" fillId="33" borderId="15" applyNumberFormat="0" applyFont="0" applyAlignment="0" applyProtection="0"/>
    <xf numFmtId="0" fontId="56" fillId="25" borderId="16"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57" fillId="0" borderId="17">
      <alignment horizontal="center"/>
    </xf>
    <xf numFmtId="3" fontId="12" fillId="0" borderId="0" applyFont="0" applyFill="0" applyBorder="0" applyAlignment="0" applyProtection="0"/>
    <xf numFmtId="0" fontId="12" fillId="34" borderId="0" applyNumberFormat="0" applyFont="0" applyBorder="0" applyAlignment="0" applyProtection="0"/>
    <xf numFmtId="4" fontId="13" fillId="5" borderId="0" applyFill="0"/>
    <xf numFmtId="0" fontId="58" fillId="0" borderId="0">
      <alignment horizontal="left" indent="7"/>
    </xf>
    <xf numFmtId="0" fontId="13" fillId="0" borderId="0" applyFill="0">
      <alignment horizontal="left" indent="7"/>
    </xf>
    <xf numFmtId="174" fontId="59" fillId="0" borderId="2" applyFill="0">
      <alignment horizontal="right"/>
    </xf>
    <xf numFmtId="0" fontId="8" fillId="0" borderId="4" applyNumberFormat="0" applyFont="0" applyBorder="0">
      <alignment horizontal="right"/>
    </xf>
    <xf numFmtId="0" fontId="60" fillId="0" borderId="0" applyFill="0"/>
    <xf numFmtId="0" fontId="9" fillId="0" borderId="0" applyFill="0"/>
    <xf numFmtId="174" fontId="59" fillId="0" borderId="2" applyFill="0"/>
    <xf numFmtId="0" fontId="7" fillId="0" borderId="0" applyNumberFormat="0" applyFont="0" applyBorder="0" applyAlignment="0"/>
    <xf numFmtId="0" fontId="24" fillId="0" borderId="0" applyFill="0">
      <alignment horizontal="left" indent="1"/>
    </xf>
    <xf numFmtId="0" fontId="61" fillId="0" borderId="0" applyFill="0">
      <alignment horizontal="left" indent="1"/>
    </xf>
    <xf numFmtId="174" fontId="11" fillId="0" borderId="0" applyFill="0"/>
    <xf numFmtId="0" fontId="7" fillId="0" borderId="0" applyNumberFormat="0" applyFont="0" applyFill="0" applyBorder="0" applyAlignment="0"/>
    <xf numFmtId="0" fontId="24" fillId="0" borderId="0" applyFill="0">
      <alignment horizontal="left" indent="2"/>
    </xf>
    <xf numFmtId="0" fontId="9" fillId="0" borderId="0" applyFill="0">
      <alignment horizontal="left" indent="2"/>
    </xf>
    <xf numFmtId="174" fontId="11" fillId="0" borderId="0" applyFill="0"/>
    <xf numFmtId="0" fontId="7" fillId="0" borderId="0" applyNumberFormat="0" applyFont="0" applyBorder="0" applyAlignment="0"/>
    <xf numFmtId="0" fontId="62" fillId="0" borderId="0">
      <alignment horizontal="left" indent="3"/>
    </xf>
    <xf numFmtId="0" fontId="63" fillId="0" borderId="0" applyFill="0">
      <alignment horizontal="left" indent="3"/>
    </xf>
    <xf numFmtId="174" fontId="11" fillId="0" borderId="0" applyFill="0"/>
    <xf numFmtId="0" fontId="7" fillId="0" borderId="0" applyNumberFormat="0" applyFont="0" applyBorder="0" applyAlignment="0"/>
    <xf numFmtId="0" fontId="27" fillId="0" borderId="0">
      <alignment horizontal="left" indent="4"/>
    </xf>
    <xf numFmtId="0" fontId="7" fillId="0" borderId="0" applyFill="0">
      <alignment horizontal="left" indent="4"/>
    </xf>
    <xf numFmtId="4" fontId="28" fillId="0" borderId="0" applyFill="0"/>
    <xf numFmtId="0" fontId="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4" fillId="0" borderId="0"/>
    <xf numFmtId="0" fontId="7" fillId="0" borderId="0"/>
    <xf numFmtId="40" fontId="65" fillId="0" borderId="0"/>
    <xf numFmtId="0" fontId="66" fillId="0" borderId="0" applyNumberFormat="0" applyFill="0" applyBorder="0" applyAlignment="0" applyProtection="0"/>
    <xf numFmtId="0" fontId="67" fillId="0" borderId="18" applyNumberFormat="0" applyFill="0" applyAlignment="0" applyProtection="0"/>
    <xf numFmtId="0" fontId="11" fillId="0" borderId="0" applyFont="0" applyFill="0" applyBorder="0" applyAlignment="0" applyProtection="0"/>
    <xf numFmtId="0" fontId="68" fillId="0" borderId="0" applyNumberFormat="0" applyFill="0" applyBorder="0" applyAlignment="0" applyProtection="0"/>
    <xf numFmtId="168" fontId="7" fillId="4" borderId="0" applyNumberFormat="0" applyFont="0" applyBorder="0" applyAlignment="0">
      <alignment vertical="center"/>
    </xf>
    <xf numFmtId="0" fontId="7" fillId="35" borderId="0"/>
    <xf numFmtId="0" fontId="69" fillId="35"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33" borderId="21" applyNumberFormat="0" applyFont="0" applyAlignment="0" applyProtection="0"/>
    <xf numFmtId="0" fontId="4" fillId="0" borderId="0"/>
    <xf numFmtId="0" fontId="56" fillId="25" borderId="22"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19">
      <alignment horizontal="left" vertical="center"/>
    </xf>
    <xf numFmtId="0" fontId="33" fillId="25" borderId="32" applyNumberFormat="0" applyAlignment="0" applyProtection="0"/>
    <xf numFmtId="0" fontId="48" fillId="12" borderId="20" applyNumberFormat="0" applyAlignment="0" applyProtection="0"/>
    <xf numFmtId="0" fontId="48" fillId="12" borderId="20" applyNumberFormat="0" applyAlignment="0" applyProtection="0"/>
    <xf numFmtId="0" fontId="48" fillId="12" borderId="20" applyNumberFormat="0" applyAlignment="0" applyProtection="0"/>
    <xf numFmtId="0" fontId="48" fillId="12" borderId="32" applyNumberFormat="0" applyAlignment="0" applyProtection="0"/>
    <xf numFmtId="0" fontId="48" fillId="12" borderId="32" applyNumberFormat="0" applyAlignment="0" applyProtection="0"/>
    <xf numFmtId="0" fontId="33" fillId="25" borderId="20" applyNumberFormat="0" applyAlignment="0" applyProtection="0"/>
    <xf numFmtId="0" fontId="48" fillId="12" borderId="32" applyNumberFormat="0" applyAlignment="0" applyProtection="0"/>
    <xf numFmtId="9" fontId="4" fillId="0" borderId="0" applyFont="0" applyFill="0" applyBorder="0" applyAlignment="0" applyProtection="0"/>
    <xf numFmtId="43" fontId="4" fillId="0" borderId="0" applyFont="0" applyFill="0" applyBorder="0" applyAlignment="0" applyProtection="0"/>
    <xf numFmtId="0" fontId="67" fillId="0" borderId="23" applyNumberFormat="0" applyFill="0" applyAlignment="0" applyProtection="0"/>
    <xf numFmtId="0" fontId="7" fillId="33" borderId="33" applyNumberFormat="0" applyFont="0" applyAlignment="0" applyProtection="0"/>
    <xf numFmtId="0" fontId="56" fillId="25" borderId="34" applyNumberFormat="0" applyAlignment="0" applyProtection="0"/>
    <xf numFmtId="0" fontId="67" fillId="0" borderId="35" applyNumberFormat="0" applyFill="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70" fillId="0" borderId="0" xfId="0" applyFont="1" applyAlignment="1">
      <alignment horizontal="left" vertical="top" wrapText="1"/>
    </xf>
    <xf numFmtId="0" fontId="5" fillId="0" borderId="0" xfId="0" applyFont="1"/>
    <xf numFmtId="0" fontId="71" fillId="36" borderId="36" xfId="0" applyFont="1" applyFill="1" applyBorder="1" applyAlignment="1">
      <alignment vertical="center" wrapText="1"/>
    </xf>
    <xf numFmtId="0" fontId="2" fillId="0" borderId="0" xfId="0" applyFont="1"/>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horizontal="left" vertical="top" wrapText="1"/>
    </xf>
    <xf numFmtId="0" fontId="2" fillId="0" borderId="0" xfId="0" quotePrefix="1" applyFont="1"/>
    <xf numFmtId="0" fontId="2" fillId="0" borderId="38" xfId="0" applyFont="1" applyBorder="1"/>
    <xf numFmtId="0" fontId="2" fillId="0" borderId="37" xfId="0" applyFont="1" applyBorder="1"/>
    <xf numFmtId="0" fontId="71" fillId="36" borderId="42" xfId="0" applyFont="1" applyFill="1" applyBorder="1" applyAlignment="1">
      <alignment vertical="center" wrapText="1"/>
    </xf>
    <xf numFmtId="0" fontId="2" fillId="38" borderId="4" xfId="0" applyFont="1" applyFill="1" applyBorder="1" applyAlignment="1">
      <alignment horizontal="left" vertical="top" wrapText="1"/>
    </xf>
    <xf numFmtId="0" fontId="2" fillId="37" borderId="24" xfId="0" applyFont="1" applyFill="1" applyBorder="1" applyAlignment="1">
      <alignment vertical="center" wrapText="1"/>
    </xf>
    <xf numFmtId="0" fontId="2" fillId="37" borderId="25" xfId="0" applyFont="1" applyFill="1" applyBorder="1" applyAlignment="1">
      <alignment horizontal="left" vertical="center" wrapText="1"/>
    </xf>
    <xf numFmtId="0" fontId="2" fillId="37" borderId="25" xfId="0" applyFont="1" applyFill="1" applyBorder="1" applyAlignment="1">
      <alignment horizontal="center" vertical="center"/>
    </xf>
    <xf numFmtId="0" fontId="2" fillId="37" borderId="25" xfId="0" applyFont="1" applyFill="1" applyBorder="1" applyAlignment="1">
      <alignment horizontal="left" vertical="center"/>
    </xf>
    <xf numFmtId="0" fontId="2" fillId="38" borderId="27" xfId="0" applyFont="1" applyFill="1" applyBorder="1" applyAlignment="1">
      <alignment vertical="center" wrapText="1"/>
    </xf>
    <xf numFmtId="0" fontId="2" fillId="38" borderId="4" xfId="0" applyFont="1" applyFill="1" applyBorder="1" applyAlignment="1">
      <alignment horizontal="left" vertical="center" wrapText="1"/>
    </xf>
    <xf numFmtId="0" fontId="2" fillId="38" borderId="4" xfId="0" applyFont="1" applyFill="1" applyBorder="1" applyAlignment="1">
      <alignment horizontal="center" vertical="center"/>
    </xf>
    <xf numFmtId="0" fontId="2" fillId="38" borderId="4" xfId="0" applyFont="1" applyFill="1" applyBorder="1" applyAlignment="1">
      <alignment horizontal="left" vertical="center"/>
    </xf>
    <xf numFmtId="0" fontId="2" fillId="37" borderId="27" xfId="0" applyFont="1" applyFill="1" applyBorder="1" applyAlignment="1">
      <alignment vertical="center" wrapText="1"/>
    </xf>
    <xf numFmtId="0" fontId="2" fillId="37" borderId="4" xfId="0" applyFont="1" applyFill="1" applyBorder="1" applyAlignment="1">
      <alignment horizontal="left" vertical="center" wrapText="1"/>
    </xf>
    <xf numFmtId="0" fontId="2" fillId="37" borderId="4" xfId="0" applyFont="1" applyFill="1" applyBorder="1" applyAlignment="1">
      <alignment horizontal="center" vertical="center"/>
    </xf>
    <xf numFmtId="0" fontId="2" fillId="37" borderId="4" xfId="0" applyFont="1" applyFill="1" applyBorder="1" applyAlignment="1">
      <alignment horizontal="left" vertical="center"/>
    </xf>
    <xf numFmtId="0" fontId="2" fillId="39" borderId="0" xfId="0" applyFont="1" applyFill="1"/>
    <xf numFmtId="175" fontId="2" fillId="38" borderId="28" xfId="1" applyNumberFormat="1" applyFont="1" applyFill="1" applyBorder="1" applyAlignment="1">
      <alignment vertical="center"/>
    </xf>
    <xf numFmtId="175" fontId="2" fillId="37" borderId="28" xfId="1" applyNumberFormat="1" applyFont="1" applyFill="1" applyBorder="1" applyAlignment="1">
      <alignment vertical="center"/>
    </xf>
    <xf numFmtId="0" fontId="1" fillId="0" borderId="0" xfId="357" applyFont="1"/>
    <xf numFmtId="0" fontId="5" fillId="40" borderId="0" xfId="357" applyFont="1" applyFill="1"/>
    <xf numFmtId="0" fontId="5" fillId="40" borderId="44" xfId="357" applyFont="1" applyFill="1" applyBorder="1"/>
    <xf numFmtId="44" fontId="0" fillId="40" borderId="44" xfId="358" applyFont="1" applyFill="1" applyBorder="1"/>
    <xf numFmtId="44" fontId="2" fillId="37" borderId="25" xfId="1" applyNumberFormat="1" applyFont="1" applyFill="1" applyBorder="1" applyAlignment="1">
      <alignment vertical="center"/>
    </xf>
    <xf numFmtId="44" fontId="2" fillId="38" borderId="4" xfId="1" applyNumberFormat="1" applyFont="1" applyFill="1" applyBorder="1" applyAlignment="1">
      <alignment vertical="center"/>
    </xf>
    <xf numFmtId="44" fontId="2" fillId="37" borderId="4" xfId="1" applyNumberFormat="1" applyFont="1" applyFill="1" applyBorder="1" applyAlignment="1">
      <alignment vertical="center"/>
    </xf>
    <xf numFmtId="44" fontId="2" fillId="37" borderId="26" xfId="1" applyNumberFormat="1" applyFont="1" applyFill="1" applyBorder="1" applyAlignment="1">
      <alignment vertical="center"/>
    </xf>
    <xf numFmtId="0" fontId="2" fillId="37" borderId="29" xfId="0" applyFont="1" applyFill="1" applyBorder="1" applyAlignment="1">
      <alignment vertical="center" wrapText="1"/>
    </xf>
    <xf numFmtId="0" fontId="2" fillId="37" borderId="30" xfId="0" applyFont="1" applyFill="1" applyBorder="1" applyAlignment="1">
      <alignment horizontal="left" vertical="top" wrapText="1"/>
    </xf>
    <xf numFmtId="0" fontId="2" fillId="37" borderId="30" xfId="0" applyFont="1" applyFill="1" applyBorder="1" applyAlignment="1">
      <alignment horizontal="center" vertical="center"/>
    </xf>
    <xf numFmtId="0" fontId="2" fillId="37" borderId="30" xfId="0" applyFont="1" applyFill="1" applyBorder="1" applyAlignment="1">
      <alignment horizontal="left" vertical="center"/>
    </xf>
    <xf numFmtId="44" fontId="2" fillId="37" borderId="30" xfId="1" applyNumberFormat="1" applyFont="1" applyFill="1" applyBorder="1" applyAlignment="1">
      <alignment vertical="center"/>
    </xf>
    <xf numFmtId="0" fontId="72" fillId="0" borderId="0" xfId="0" applyFont="1" applyAlignment="1">
      <alignment horizontal="left"/>
    </xf>
    <xf numFmtId="175" fontId="2" fillId="37" borderId="31" xfId="1" applyNumberFormat="1" applyFont="1" applyFill="1" applyBorder="1" applyAlignment="1">
      <alignment vertical="center"/>
    </xf>
    <xf numFmtId="44" fontId="2" fillId="38" borderId="28" xfId="1" applyFont="1" applyFill="1" applyBorder="1" applyAlignment="1">
      <alignment vertical="center"/>
    </xf>
    <xf numFmtId="44" fontId="2" fillId="37" borderId="28" xfId="1" applyFont="1" applyFill="1" applyBorder="1" applyAlignment="1">
      <alignment vertical="center"/>
    </xf>
    <xf numFmtId="44" fontId="2" fillId="37" borderId="31" xfId="1" applyFont="1" applyFill="1" applyBorder="1" applyAlignment="1">
      <alignment vertical="center"/>
    </xf>
    <xf numFmtId="0" fontId="2" fillId="37" borderId="25" xfId="0" applyFont="1" applyFill="1" applyBorder="1" applyAlignment="1">
      <alignment horizontal="center" vertical="center" wrapText="1"/>
    </xf>
    <xf numFmtId="0" fontId="2" fillId="38" borderId="4" xfId="0" applyFont="1" applyFill="1" applyBorder="1" applyAlignment="1">
      <alignment horizontal="center" vertical="center" wrapText="1"/>
    </xf>
    <xf numFmtId="0" fontId="2" fillId="37" borderId="4" xfId="0" applyFont="1" applyFill="1" applyBorder="1" applyAlignment="1">
      <alignment horizontal="center" vertical="center" wrapText="1"/>
    </xf>
    <xf numFmtId="0" fontId="2" fillId="37" borderId="30" xfId="0" applyFont="1" applyFill="1" applyBorder="1" applyAlignment="1">
      <alignment horizontal="center" vertical="center" wrapText="1"/>
    </xf>
    <xf numFmtId="0" fontId="2" fillId="37" borderId="45" xfId="0" applyFont="1" applyFill="1" applyBorder="1" applyAlignment="1">
      <alignment vertical="center" wrapText="1"/>
    </xf>
    <xf numFmtId="0" fontId="2" fillId="37" borderId="46" xfId="0" applyFont="1" applyFill="1" applyBorder="1" applyAlignment="1">
      <alignment horizontal="left" vertical="center" wrapText="1"/>
    </xf>
    <xf numFmtId="0" fontId="2" fillId="37" borderId="46" xfId="0" applyFont="1" applyFill="1" applyBorder="1" applyAlignment="1">
      <alignment horizontal="center" vertical="center" wrapText="1"/>
    </xf>
    <xf numFmtId="0" fontId="2" fillId="37" borderId="46" xfId="0" applyFont="1" applyFill="1" applyBorder="1" applyAlignment="1">
      <alignment horizontal="left" vertical="center"/>
    </xf>
    <xf numFmtId="175" fontId="2" fillId="37" borderId="47" xfId="1" applyNumberFormat="1" applyFont="1" applyFill="1" applyBorder="1" applyAlignment="1">
      <alignment vertical="center"/>
    </xf>
    <xf numFmtId="0" fontId="5" fillId="43" borderId="44" xfId="357" applyFont="1" applyFill="1" applyBorder="1" applyAlignment="1">
      <alignment horizontal="center"/>
    </xf>
    <xf numFmtId="176" fontId="1" fillId="42" borderId="44" xfId="2" applyNumberFormat="1" applyFont="1" applyFill="1" applyBorder="1"/>
    <xf numFmtId="0" fontId="1" fillId="42" borderId="44" xfId="357" applyFont="1" applyFill="1" applyBorder="1"/>
    <xf numFmtId="176" fontId="1" fillId="43" borderId="44" xfId="2" applyNumberFormat="1" applyFont="1" applyFill="1" applyBorder="1"/>
    <xf numFmtId="0" fontId="1" fillId="44" borderId="37" xfId="357" applyFont="1" applyFill="1" applyBorder="1"/>
    <xf numFmtId="0" fontId="2" fillId="44" borderId="38" xfId="0" quotePrefix="1" applyFont="1" applyFill="1" applyBorder="1"/>
    <xf numFmtId="0" fontId="1" fillId="44" borderId="38" xfId="357" applyFont="1" applyFill="1" applyBorder="1"/>
    <xf numFmtId="14" fontId="1" fillId="44" borderId="38" xfId="357" applyNumberFormat="1" applyFont="1" applyFill="1" applyBorder="1"/>
    <xf numFmtId="14" fontId="1" fillId="44" borderId="50" xfId="357" applyNumberFormat="1" applyFont="1" applyFill="1" applyBorder="1"/>
    <xf numFmtId="0" fontId="1" fillId="44" borderId="51" xfId="357" applyFont="1" applyFill="1" applyBorder="1"/>
    <xf numFmtId="0" fontId="2" fillId="44" borderId="0" xfId="0" quotePrefix="1" applyFont="1" applyFill="1" applyBorder="1"/>
    <xf numFmtId="0" fontId="1" fillId="44" borderId="0" xfId="357" applyFont="1" applyFill="1" applyBorder="1"/>
    <xf numFmtId="14" fontId="1" fillId="44" borderId="0" xfId="357" applyNumberFormat="1" applyFont="1" applyFill="1" applyBorder="1"/>
    <xf numFmtId="14" fontId="1" fillId="44" borderId="52" xfId="357" applyNumberFormat="1" applyFont="1" applyFill="1" applyBorder="1"/>
    <xf numFmtId="0" fontId="1" fillId="44" borderId="53" xfId="357" applyFont="1" applyFill="1" applyBorder="1"/>
    <xf numFmtId="0" fontId="2" fillId="44" borderId="17" xfId="0" quotePrefix="1" applyFont="1" applyFill="1" applyBorder="1"/>
    <xf numFmtId="0" fontId="1" fillId="44" borderId="17" xfId="357" applyFont="1" applyFill="1" applyBorder="1"/>
    <xf numFmtId="14" fontId="1" fillId="44" borderId="17" xfId="357" applyNumberFormat="1" applyFont="1" applyFill="1" applyBorder="1"/>
    <xf numFmtId="14" fontId="1" fillId="44" borderId="54" xfId="357" applyNumberFormat="1" applyFont="1" applyFill="1" applyBorder="1"/>
    <xf numFmtId="0" fontId="2" fillId="37" borderId="30" xfId="0" applyFont="1" applyFill="1" applyBorder="1" applyAlignment="1">
      <alignment horizontal="left" vertical="center" wrapText="1"/>
    </xf>
    <xf numFmtId="0" fontId="71" fillId="36" borderId="4" xfId="0" applyFont="1" applyFill="1" applyBorder="1" applyAlignment="1">
      <alignment vertical="center" wrapText="1"/>
    </xf>
    <xf numFmtId="0" fontId="71" fillId="36" borderId="4" xfId="0" applyFont="1" applyFill="1" applyBorder="1" applyAlignment="1">
      <alignment horizontal="center" vertical="center" wrapText="1"/>
    </xf>
    <xf numFmtId="0" fontId="71" fillId="36" borderId="28" xfId="0" applyFont="1" applyFill="1" applyBorder="1" applyAlignment="1">
      <alignment horizontal="center" vertical="center" wrapText="1"/>
    </xf>
    <xf numFmtId="0" fontId="71" fillId="36" borderId="55" xfId="0" applyFont="1" applyFill="1" applyBorder="1" applyAlignment="1">
      <alignment horizontal="center" vertical="center" wrapText="1"/>
    </xf>
    <xf numFmtId="175" fontId="2" fillId="37" borderId="56" xfId="1" applyNumberFormat="1" applyFont="1" applyFill="1" applyBorder="1" applyAlignment="1">
      <alignment vertical="center"/>
    </xf>
    <xf numFmtId="175" fontId="2" fillId="38" borderId="55" xfId="1" applyNumberFormat="1" applyFont="1" applyFill="1" applyBorder="1" applyAlignment="1">
      <alignment vertical="center"/>
    </xf>
    <xf numFmtId="175" fontId="2" fillId="37" borderId="55" xfId="1" applyNumberFormat="1" applyFont="1" applyFill="1" applyBorder="1" applyAlignment="1">
      <alignment vertical="center"/>
    </xf>
    <xf numFmtId="175" fontId="2" fillId="37" borderId="57" xfId="1" applyNumberFormat="1" applyFont="1" applyFill="1" applyBorder="1" applyAlignment="1">
      <alignment vertical="center"/>
    </xf>
    <xf numFmtId="0" fontId="71" fillId="36" borderId="27" xfId="0" applyFont="1" applyFill="1" applyBorder="1" applyAlignment="1">
      <alignment horizontal="center" vertical="center" wrapText="1"/>
    </xf>
    <xf numFmtId="0" fontId="2" fillId="37" borderId="45" xfId="0" applyFont="1" applyFill="1" applyBorder="1" applyAlignment="1">
      <alignment horizontal="center" vertical="center"/>
    </xf>
    <xf numFmtId="0" fontId="2" fillId="38" borderId="27" xfId="0" applyFont="1" applyFill="1" applyBorder="1" applyAlignment="1">
      <alignment horizontal="center" vertical="center"/>
    </xf>
    <xf numFmtId="0" fontId="2" fillId="37" borderId="27" xfId="0" applyFont="1" applyFill="1" applyBorder="1" applyAlignment="1">
      <alignment horizontal="center" vertical="center"/>
    </xf>
    <xf numFmtId="0" fontId="2" fillId="37" borderId="27" xfId="0" applyFont="1" applyFill="1" applyBorder="1" applyAlignment="1">
      <alignment horizontal="center" vertical="center" wrapText="1"/>
    </xf>
    <xf numFmtId="0" fontId="2" fillId="37" borderId="29" xfId="0" applyFont="1" applyFill="1" applyBorder="1" applyAlignment="1">
      <alignment horizontal="center" vertical="center" wrapText="1"/>
    </xf>
    <xf numFmtId="0" fontId="1" fillId="45" borderId="0" xfId="357" applyFont="1" applyFill="1"/>
    <xf numFmtId="0" fontId="5" fillId="45" borderId="0" xfId="357" applyFont="1" applyFill="1" applyAlignment="1">
      <alignment horizontal="right"/>
    </xf>
    <xf numFmtId="0" fontId="5" fillId="45" borderId="0" xfId="357" applyFont="1" applyFill="1"/>
    <xf numFmtId="0" fontId="1" fillId="45" borderId="0" xfId="357" applyFill="1"/>
    <xf numFmtId="44" fontId="74" fillId="40" borderId="44" xfId="358" applyFont="1" applyFill="1" applyBorder="1"/>
    <xf numFmtId="0" fontId="70" fillId="45" borderId="0" xfId="357" applyFont="1" applyFill="1"/>
    <xf numFmtId="177" fontId="1" fillId="45" borderId="0" xfId="357" applyNumberFormat="1" applyFont="1" applyFill="1"/>
    <xf numFmtId="176" fontId="75" fillId="45" borderId="0" xfId="2" applyNumberFormat="1" applyFont="1" applyFill="1"/>
    <xf numFmtId="175" fontId="2" fillId="0" borderId="0" xfId="0" applyNumberFormat="1" applyFont="1"/>
    <xf numFmtId="0" fontId="6" fillId="37" borderId="67" xfId="0" applyFont="1" applyFill="1" applyBorder="1" applyAlignment="1">
      <alignment vertical="center" wrapText="1"/>
    </xf>
    <xf numFmtId="0" fontId="6" fillId="37" borderId="68" xfId="0" applyFont="1" applyFill="1" applyBorder="1" applyAlignment="1">
      <alignment horizontal="center" vertical="center" wrapText="1"/>
    </xf>
    <xf numFmtId="0" fontId="6" fillId="37" borderId="68" xfId="0" applyFont="1" applyFill="1" applyBorder="1" applyAlignment="1">
      <alignment horizontal="left" vertical="center"/>
    </xf>
    <xf numFmtId="7" fontId="6" fillId="37" borderId="68" xfId="1" applyNumberFormat="1" applyFont="1" applyFill="1" applyBorder="1" applyAlignment="1">
      <alignment vertical="center"/>
    </xf>
    <xf numFmtId="7" fontId="77" fillId="37" borderId="68" xfId="1" applyNumberFormat="1" applyFont="1" applyFill="1" applyBorder="1" applyAlignment="1">
      <alignment vertical="center"/>
    </xf>
    <xf numFmtId="0" fontId="6" fillId="38" borderId="69" xfId="0" applyFont="1" applyFill="1" applyBorder="1" applyAlignment="1">
      <alignment vertical="center" wrapText="1"/>
    </xf>
    <xf numFmtId="0" fontId="6" fillId="38" borderId="70" xfId="0" applyFont="1" applyFill="1" applyBorder="1" applyAlignment="1">
      <alignment horizontal="center" vertical="center" wrapText="1"/>
    </xf>
    <xf numFmtId="0" fontId="6" fillId="38" borderId="70" xfId="0" applyFont="1" applyFill="1" applyBorder="1" applyAlignment="1">
      <alignment horizontal="left" vertical="center"/>
    </xf>
    <xf numFmtId="7" fontId="6" fillId="38" borderId="70" xfId="1" applyNumberFormat="1" applyFont="1" applyFill="1" applyBorder="1" applyAlignment="1">
      <alignment vertical="center"/>
    </xf>
    <xf numFmtId="7" fontId="77" fillId="38" borderId="70" xfId="1" applyNumberFormat="1" applyFont="1" applyFill="1" applyBorder="1" applyAlignment="1">
      <alignment vertical="center"/>
    </xf>
    <xf numFmtId="0" fontId="6" fillId="37" borderId="69" xfId="0" applyFont="1" applyFill="1" applyBorder="1" applyAlignment="1">
      <alignment vertical="center" wrapText="1"/>
    </xf>
    <xf numFmtId="0" fontId="6" fillId="37" borderId="70" xfId="0" applyFont="1" applyFill="1" applyBorder="1" applyAlignment="1">
      <alignment horizontal="center" vertical="center" wrapText="1"/>
    </xf>
    <xf numFmtId="0" fontId="6" fillId="37" borderId="70" xfId="0" applyFont="1" applyFill="1" applyBorder="1" applyAlignment="1">
      <alignment horizontal="left" vertical="center"/>
    </xf>
    <xf numFmtId="7" fontId="6" fillId="37" borderId="70" xfId="1" applyNumberFormat="1" applyFont="1" applyFill="1" applyBorder="1" applyAlignment="1">
      <alignment vertical="center"/>
    </xf>
    <xf numFmtId="7" fontId="77" fillId="37" borderId="70" xfId="1" applyNumberFormat="1" applyFont="1" applyFill="1" applyBorder="1" applyAlignment="1">
      <alignment vertical="center"/>
    </xf>
    <xf numFmtId="0" fontId="6" fillId="37" borderId="71" xfId="0" applyFont="1" applyFill="1" applyBorder="1" applyAlignment="1">
      <alignment vertical="center" wrapText="1"/>
    </xf>
    <xf numFmtId="0" fontId="6" fillId="37" borderId="72" xfId="0" applyFont="1" applyFill="1" applyBorder="1" applyAlignment="1">
      <alignment horizontal="center" vertical="center" wrapText="1"/>
    </xf>
    <xf numFmtId="0" fontId="6" fillId="37" borderId="72" xfId="0" applyFont="1" applyFill="1" applyBorder="1" applyAlignment="1">
      <alignment horizontal="left" vertical="center"/>
    </xf>
    <xf numFmtId="7" fontId="6" fillId="37" borderId="72" xfId="1" applyNumberFormat="1" applyFont="1" applyFill="1" applyBorder="1" applyAlignment="1">
      <alignment vertical="center"/>
    </xf>
    <xf numFmtId="7" fontId="77" fillId="37" borderId="72" xfId="1" applyNumberFormat="1" applyFont="1" applyFill="1" applyBorder="1" applyAlignment="1">
      <alignment vertical="center"/>
    </xf>
    <xf numFmtId="0" fontId="6" fillId="37" borderId="68" xfId="0" applyFont="1" applyFill="1" applyBorder="1" applyAlignment="1">
      <alignment horizontal="center" vertical="center"/>
    </xf>
    <xf numFmtId="0" fontId="6" fillId="38" borderId="70" xfId="0" applyFont="1" applyFill="1" applyBorder="1" applyAlignment="1">
      <alignment horizontal="center" vertical="center"/>
    </xf>
    <xf numFmtId="0" fontId="6" fillId="37" borderId="70" xfId="0" applyFont="1" applyFill="1" applyBorder="1" applyAlignment="1">
      <alignment horizontal="center" vertical="center"/>
    </xf>
    <xf numFmtId="0" fontId="6" fillId="37" borderId="72" xfId="0" applyFont="1" applyFill="1" applyBorder="1" applyAlignment="1">
      <alignment horizontal="center" vertical="center"/>
    </xf>
    <xf numFmtId="0" fontId="76" fillId="36" borderId="63" xfId="0" applyFont="1" applyFill="1" applyBorder="1" applyAlignment="1">
      <alignment horizontal="center" vertical="center" wrapText="1"/>
    </xf>
    <xf numFmtId="0" fontId="76" fillId="36" borderId="60" xfId="0" applyFont="1" applyFill="1" applyBorder="1" applyAlignment="1">
      <alignment horizontal="center" vertical="center" wrapText="1"/>
    </xf>
    <xf numFmtId="0" fontId="76" fillId="36" borderId="61" xfId="0" applyFont="1" applyFill="1" applyBorder="1" applyAlignment="1">
      <alignment horizontal="center" vertical="center" wrapText="1"/>
    </xf>
    <xf numFmtId="44" fontId="3" fillId="40" borderId="44" xfId="358" applyFont="1" applyFill="1" applyBorder="1"/>
    <xf numFmtId="0" fontId="2" fillId="0" borderId="0" xfId="0" applyFont="1" applyAlignment="1">
      <alignment horizontal="center" vertical="top" wrapText="1"/>
    </xf>
    <xf numFmtId="0" fontId="71" fillId="36" borderId="39" xfId="0" applyFont="1" applyFill="1" applyBorder="1" applyAlignment="1">
      <alignment horizontal="center" vertical="center" wrapText="1"/>
    </xf>
    <xf numFmtId="0" fontId="71" fillId="36" borderId="40" xfId="0" applyFont="1" applyFill="1" applyBorder="1" applyAlignment="1">
      <alignment horizontal="center" vertical="center" wrapText="1"/>
    </xf>
    <xf numFmtId="0" fontId="71" fillId="36" borderId="41" xfId="0" applyFont="1" applyFill="1" applyBorder="1" applyAlignment="1">
      <alignment horizontal="center" vertical="center" wrapText="1"/>
    </xf>
    <xf numFmtId="0" fontId="71" fillId="36" borderId="4" xfId="0" applyFont="1" applyFill="1" applyBorder="1" applyAlignment="1">
      <alignment horizontal="center" vertical="center" wrapText="1"/>
    </xf>
    <xf numFmtId="0" fontId="71" fillId="36" borderId="55" xfId="0" applyFont="1" applyFill="1" applyBorder="1" applyAlignment="1">
      <alignment horizontal="center" vertical="center" wrapText="1"/>
    </xf>
    <xf numFmtId="0" fontId="71" fillId="36" borderId="27" xfId="0" applyFont="1" applyFill="1" applyBorder="1" applyAlignment="1">
      <alignment horizontal="center" vertical="center" wrapText="1"/>
    </xf>
    <xf numFmtId="0" fontId="71" fillId="36" borderId="28" xfId="0" applyFont="1" applyFill="1" applyBorder="1" applyAlignment="1">
      <alignment horizontal="center" vertical="center" wrapText="1"/>
    </xf>
    <xf numFmtId="0" fontId="76" fillId="36" borderId="64" xfId="0" applyFont="1" applyFill="1" applyBorder="1" applyAlignment="1">
      <alignment horizontal="center" vertical="center" wrapText="1"/>
    </xf>
    <xf numFmtId="0" fontId="76" fillId="36" borderId="66" xfId="0" applyFont="1" applyFill="1" applyBorder="1" applyAlignment="1">
      <alignment horizontal="center" vertical="center" wrapText="1"/>
    </xf>
    <xf numFmtId="0" fontId="76" fillId="36" borderId="65" xfId="0" applyFont="1" applyFill="1" applyBorder="1" applyAlignment="1">
      <alignment horizontal="center" vertical="center" wrapText="1"/>
    </xf>
    <xf numFmtId="0" fontId="76" fillId="36" borderId="62" xfId="0" applyFont="1" applyFill="1" applyBorder="1" applyAlignment="1">
      <alignment horizontal="center" vertical="center" wrapText="1"/>
    </xf>
    <xf numFmtId="0" fontId="76" fillId="36" borderId="58" xfId="0" applyFont="1" applyFill="1" applyBorder="1" applyAlignment="1">
      <alignment horizontal="center" vertical="center" wrapText="1"/>
    </xf>
    <xf numFmtId="0" fontId="76" fillId="36" borderId="59" xfId="0" applyFont="1" applyFill="1" applyBorder="1" applyAlignment="1">
      <alignment horizontal="center" vertical="center" wrapText="1"/>
    </xf>
    <xf numFmtId="49" fontId="71" fillId="41" borderId="43" xfId="7" applyNumberFormat="1" applyFont="1" applyFill="1" applyBorder="1" applyAlignment="1">
      <alignment horizontal="center" vertical="center"/>
    </xf>
    <xf numFmtId="49" fontId="71" fillId="41" borderId="46" xfId="7" applyNumberFormat="1" applyFont="1" applyFill="1" applyBorder="1" applyAlignment="1">
      <alignment horizontal="center" vertical="center"/>
    </xf>
    <xf numFmtId="0" fontId="1" fillId="42" borderId="44" xfId="357" applyFont="1" applyFill="1" applyBorder="1" applyAlignment="1">
      <alignment horizontal="center" vertical="center"/>
    </xf>
    <xf numFmtId="49" fontId="71" fillId="41" borderId="43" xfId="7" applyNumberFormat="1" applyFont="1" applyFill="1" applyBorder="1" applyAlignment="1">
      <alignment horizontal="center" vertical="top" wrapText="1"/>
    </xf>
    <xf numFmtId="49" fontId="71" fillId="41" borderId="46" xfId="7" applyNumberFormat="1" applyFont="1" applyFill="1" applyBorder="1" applyAlignment="1">
      <alignment horizontal="center" vertical="top" wrapText="1"/>
    </xf>
    <xf numFmtId="0" fontId="1" fillId="43" borderId="48" xfId="357" applyFont="1" applyFill="1" applyBorder="1" applyAlignment="1">
      <alignment horizontal="center"/>
    </xf>
    <xf numFmtId="0" fontId="1" fillId="43" borderId="49" xfId="357" applyFont="1" applyFill="1" applyBorder="1" applyAlignment="1">
      <alignment horizontal="center"/>
    </xf>
    <xf numFmtId="44" fontId="3" fillId="40" borderId="44" xfId="358" applyNumberFormat="1" applyFont="1" applyFill="1" applyBorder="1"/>
    <xf numFmtId="183" fontId="2" fillId="0" borderId="0" xfId="0" applyNumberFormat="1" applyFont="1"/>
  </cellXfs>
  <cellStyles count="361">
    <cellStyle name="******************************************" xfId="27" xr:uid="{00000000-0005-0000-0000-000000000000}"/>
    <cellStyle name="20% - Accent1 2" xfId="28" xr:uid="{00000000-0005-0000-0000-000001000000}"/>
    <cellStyle name="20% - Accent2 2" xfId="29" xr:uid="{00000000-0005-0000-0000-000002000000}"/>
    <cellStyle name="20% - Accent3 2" xfId="30" xr:uid="{00000000-0005-0000-0000-000003000000}"/>
    <cellStyle name="20% - Accent4 2" xfId="31" xr:uid="{00000000-0005-0000-0000-000004000000}"/>
    <cellStyle name="20% - Accent5 2" xfId="32" xr:uid="{00000000-0005-0000-0000-000005000000}"/>
    <cellStyle name="20% - Accent6 2" xfId="33" xr:uid="{00000000-0005-0000-0000-000006000000}"/>
    <cellStyle name="40% - Accent1 2" xfId="34" xr:uid="{00000000-0005-0000-0000-000007000000}"/>
    <cellStyle name="40% - Accent2 2" xfId="35" xr:uid="{00000000-0005-0000-0000-000008000000}"/>
    <cellStyle name="40% - Accent2 3" xfId="36" xr:uid="{00000000-0005-0000-0000-000009000000}"/>
    <cellStyle name="40% - Accent3 2" xfId="37" xr:uid="{00000000-0005-0000-0000-00000A000000}"/>
    <cellStyle name="40% - Accent4 2" xfId="38" xr:uid="{00000000-0005-0000-0000-00000B000000}"/>
    <cellStyle name="40% - Accent5 2" xfId="39" xr:uid="{00000000-0005-0000-0000-00000C000000}"/>
    <cellStyle name="40% - Accent6 2" xfId="40" xr:uid="{00000000-0005-0000-0000-00000D000000}"/>
    <cellStyle name="60% - Accent1 2" xfId="41" xr:uid="{00000000-0005-0000-0000-00000E000000}"/>
    <cellStyle name="60% - Accent2 2" xfId="42" xr:uid="{00000000-0005-0000-0000-00000F000000}"/>
    <cellStyle name="60% - Accent3 2" xfId="43" xr:uid="{00000000-0005-0000-0000-000010000000}"/>
    <cellStyle name="60% - Accent4 2" xfId="44" xr:uid="{00000000-0005-0000-0000-000011000000}"/>
    <cellStyle name="60% - Accent5 2" xfId="45" xr:uid="{00000000-0005-0000-0000-000012000000}"/>
    <cellStyle name="60% - Accent6 2" xfId="46" xr:uid="{00000000-0005-0000-0000-000013000000}"/>
    <cellStyle name="Accent1 2" xfId="47" xr:uid="{00000000-0005-0000-0000-000014000000}"/>
    <cellStyle name="Accent2 2" xfId="48" xr:uid="{00000000-0005-0000-0000-000015000000}"/>
    <cellStyle name="Accent3 2" xfId="49" xr:uid="{00000000-0005-0000-0000-000016000000}"/>
    <cellStyle name="Accent4 2" xfId="50" xr:uid="{00000000-0005-0000-0000-000017000000}"/>
    <cellStyle name="Accent5 2" xfId="51" xr:uid="{00000000-0005-0000-0000-000018000000}"/>
    <cellStyle name="Accent6 2" xfId="52" xr:uid="{00000000-0005-0000-0000-000019000000}"/>
    <cellStyle name="Bad 2" xfId="53" xr:uid="{00000000-0005-0000-0000-00001A000000}"/>
    <cellStyle name="Blockout" xfId="54" xr:uid="{00000000-0005-0000-0000-00001B000000}"/>
    <cellStyle name="Body" xfId="55" xr:uid="{00000000-0005-0000-0000-00001C000000}"/>
    <cellStyle name="Brand style" xfId="56" xr:uid="{00000000-0005-0000-0000-00001D000000}"/>
    <cellStyle name="C00A" xfId="57" xr:uid="{00000000-0005-0000-0000-00001E000000}"/>
    <cellStyle name="C00B" xfId="58" xr:uid="{00000000-0005-0000-0000-00001F000000}"/>
    <cellStyle name="C00L" xfId="59" xr:uid="{00000000-0005-0000-0000-000020000000}"/>
    <cellStyle name="C01A" xfId="60" xr:uid="{00000000-0005-0000-0000-000021000000}"/>
    <cellStyle name="C01B" xfId="61" xr:uid="{00000000-0005-0000-0000-000022000000}"/>
    <cellStyle name="C01H" xfId="62" xr:uid="{00000000-0005-0000-0000-000023000000}"/>
    <cellStyle name="C01L" xfId="63" xr:uid="{00000000-0005-0000-0000-000024000000}"/>
    <cellStyle name="C02A" xfId="64" xr:uid="{00000000-0005-0000-0000-000025000000}"/>
    <cellStyle name="C02B" xfId="65" xr:uid="{00000000-0005-0000-0000-000026000000}"/>
    <cellStyle name="C02H" xfId="66" xr:uid="{00000000-0005-0000-0000-000027000000}"/>
    <cellStyle name="C02L" xfId="67" xr:uid="{00000000-0005-0000-0000-000028000000}"/>
    <cellStyle name="C03A" xfId="68" xr:uid="{00000000-0005-0000-0000-000029000000}"/>
    <cellStyle name="C03B" xfId="69" xr:uid="{00000000-0005-0000-0000-00002A000000}"/>
    <cellStyle name="C03H" xfId="70" xr:uid="{00000000-0005-0000-0000-00002B000000}"/>
    <cellStyle name="C03L" xfId="71" xr:uid="{00000000-0005-0000-0000-00002C000000}"/>
    <cellStyle name="C04A" xfId="72" xr:uid="{00000000-0005-0000-0000-00002D000000}"/>
    <cellStyle name="C04B" xfId="73" xr:uid="{00000000-0005-0000-0000-00002E000000}"/>
    <cellStyle name="C04H" xfId="74" xr:uid="{00000000-0005-0000-0000-00002F000000}"/>
    <cellStyle name="C04L" xfId="75" xr:uid="{00000000-0005-0000-0000-000030000000}"/>
    <cellStyle name="C05A" xfId="76" xr:uid="{00000000-0005-0000-0000-000031000000}"/>
    <cellStyle name="C05B" xfId="77" xr:uid="{00000000-0005-0000-0000-000032000000}"/>
    <cellStyle name="C05H" xfId="78" xr:uid="{00000000-0005-0000-0000-000033000000}"/>
    <cellStyle name="C05L" xfId="79" xr:uid="{00000000-0005-0000-0000-000034000000}"/>
    <cellStyle name="C06A" xfId="80" xr:uid="{00000000-0005-0000-0000-000035000000}"/>
    <cellStyle name="C06B" xfId="81" xr:uid="{00000000-0005-0000-0000-000036000000}"/>
    <cellStyle name="C06H" xfId="82" xr:uid="{00000000-0005-0000-0000-000037000000}"/>
    <cellStyle name="C06L" xfId="83" xr:uid="{00000000-0005-0000-0000-000038000000}"/>
    <cellStyle name="C07A" xfId="84" xr:uid="{00000000-0005-0000-0000-000039000000}"/>
    <cellStyle name="C07B" xfId="85" xr:uid="{00000000-0005-0000-0000-00003A000000}"/>
    <cellStyle name="C07H" xfId="86" xr:uid="{00000000-0005-0000-0000-00003B000000}"/>
    <cellStyle name="C07L" xfId="87" xr:uid="{00000000-0005-0000-0000-00003C000000}"/>
    <cellStyle name="Calculation 2" xfId="88" xr:uid="{00000000-0005-0000-0000-00003D000000}"/>
    <cellStyle name="Calculation 2 2" xfId="349" xr:uid="{00000000-0005-0000-0000-00003E000000}"/>
    <cellStyle name="Calculation 2 3" xfId="343" xr:uid="{00000000-0005-0000-0000-00003F000000}"/>
    <cellStyle name="Check Cell 2" xfId="89" xr:uid="{00000000-0005-0000-0000-000040000000}"/>
    <cellStyle name="Comma (2)" xfId="90" xr:uid="{00000000-0005-0000-0000-000041000000}"/>
    <cellStyle name="Comma 10" xfId="91" xr:uid="{00000000-0005-0000-0000-000042000000}"/>
    <cellStyle name="Comma 11" xfId="92" xr:uid="{00000000-0005-0000-0000-000043000000}"/>
    <cellStyle name="Comma 12" xfId="93" xr:uid="{00000000-0005-0000-0000-000044000000}"/>
    <cellStyle name="Comma 13" xfId="94" xr:uid="{00000000-0005-0000-0000-000045000000}"/>
    <cellStyle name="Comma 14" xfId="95" xr:uid="{00000000-0005-0000-0000-000046000000}"/>
    <cellStyle name="Comma 15" xfId="96" xr:uid="{00000000-0005-0000-0000-000047000000}"/>
    <cellStyle name="Comma 16" xfId="97" xr:uid="{00000000-0005-0000-0000-000048000000}"/>
    <cellStyle name="Comma 17" xfId="98" xr:uid="{00000000-0005-0000-0000-000049000000}"/>
    <cellStyle name="Comma 18" xfId="99" xr:uid="{00000000-0005-0000-0000-00004A000000}"/>
    <cellStyle name="Comma 19" xfId="100" xr:uid="{00000000-0005-0000-0000-00004B000000}"/>
    <cellStyle name="Comma 2" xfId="8" xr:uid="{00000000-0005-0000-0000-00004C000000}"/>
    <cellStyle name="Comma 2 2" xfId="16" xr:uid="{00000000-0005-0000-0000-00004D000000}"/>
    <cellStyle name="Comma 2 2 2" xfId="101" xr:uid="{00000000-0005-0000-0000-00004E000000}"/>
    <cellStyle name="Comma 2 3" xfId="102" xr:uid="{00000000-0005-0000-0000-00004F000000}"/>
    <cellStyle name="Comma 2_Book3" xfId="103" xr:uid="{00000000-0005-0000-0000-000050000000}"/>
    <cellStyle name="Comma 20" xfId="104" xr:uid="{00000000-0005-0000-0000-000051000000}"/>
    <cellStyle name="Comma 21" xfId="105" xr:uid="{00000000-0005-0000-0000-000052000000}"/>
    <cellStyle name="Comma 22" xfId="106" xr:uid="{00000000-0005-0000-0000-000053000000}"/>
    <cellStyle name="Comma 23" xfId="107" xr:uid="{00000000-0005-0000-0000-000054000000}"/>
    <cellStyle name="Comma 24" xfId="4" xr:uid="{00000000-0005-0000-0000-000055000000}"/>
    <cellStyle name="Comma 25" xfId="334" xr:uid="{00000000-0005-0000-0000-000056000000}"/>
    <cellStyle name="Comma 26" xfId="352" xr:uid="{00000000-0005-0000-0000-000057000000}"/>
    <cellStyle name="Comma 27" xfId="340" xr:uid="{00000000-0005-0000-0000-000058000000}"/>
    <cellStyle name="Comma 28" xfId="359" xr:uid="{5F4803C2-264D-4D91-AD5B-A676E22FA2C9}"/>
    <cellStyle name="Comma 3" xfId="21" xr:uid="{00000000-0005-0000-0000-000059000000}"/>
    <cellStyle name="Comma 3 2" xfId="108" xr:uid="{00000000-0005-0000-0000-00005A000000}"/>
    <cellStyle name="Comma 3 3" xfId="109" xr:uid="{00000000-0005-0000-0000-00005B000000}"/>
    <cellStyle name="Comma 4" xfId="24" xr:uid="{00000000-0005-0000-0000-00005C000000}"/>
    <cellStyle name="Comma 4 2" xfId="110" xr:uid="{00000000-0005-0000-0000-00005D000000}"/>
    <cellStyle name="Comma 4 3" xfId="111" xr:uid="{00000000-0005-0000-0000-00005E000000}"/>
    <cellStyle name="Comma 5" xfId="112" xr:uid="{00000000-0005-0000-0000-00005F000000}"/>
    <cellStyle name="Comma 5 2" xfId="113" xr:uid="{00000000-0005-0000-0000-000060000000}"/>
    <cellStyle name="Comma 5 3" xfId="114" xr:uid="{00000000-0005-0000-0000-000061000000}"/>
    <cellStyle name="Comma 6" xfId="115" xr:uid="{00000000-0005-0000-0000-000062000000}"/>
    <cellStyle name="Comma 6 2" xfId="116" xr:uid="{00000000-0005-0000-0000-000063000000}"/>
    <cellStyle name="Comma 6 3" xfId="117" xr:uid="{00000000-0005-0000-0000-000064000000}"/>
    <cellStyle name="Comma 7" xfId="118" xr:uid="{00000000-0005-0000-0000-000065000000}"/>
    <cellStyle name="Comma 8" xfId="119" xr:uid="{00000000-0005-0000-0000-000066000000}"/>
    <cellStyle name="Comma 9" xfId="120" xr:uid="{00000000-0005-0000-0000-000067000000}"/>
    <cellStyle name="Currency" xfId="1" builtinId="4"/>
    <cellStyle name="Currency 2" xfId="11" xr:uid="{00000000-0005-0000-0000-000069000000}"/>
    <cellStyle name="Currency 2 2" xfId="121" xr:uid="{00000000-0005-0000-0000-00006A000000}"/>
    <cellStyle name="Currency 2 3" xfId="122" xr:uid="{00000000-0005-0000-0000-00006B000000}"/>
    <cellStyle name="Currency 3" xfId="20" xr:uid="{00000000-0005-0000-0000-00006C000000}"/>
    <cellStyle name="Currency 4" xfId="123" xr:uid="{00000000-0005-0000-0000-00006D000000}"/>
    <cellStyle name="Currency 5" xfId="124" xr:uid="{00000000-0005-0000-0000-00006E000000}"/>
    <cellStyle name="Currency 6" xfId="25" xr:uid="{00000000-0005-0000-0000-00006F000000}"/>
    <cellStyle name="Currency 7" xfId="5" xr:uid="{00000000-0005-0000-0000-000070000000}"/>
    <cellStyle name="Currency 8" xfId="358" xr:uid="{14965B4B-5D7C-4A4C-A671-F5D6A4D61009}"/>
    <cellStyle name="CurreŮcy_graph template1.xls Chart 2" xfId="125" xr:uid="{00000000-0005-0000-0000-000071000000}"/>
    <cellStyle name="Explanatory Text 2" xfId="126" xr:uid="{00000000-0005-0000-0000-000072000000}"/>
    <cellStyle name="Good 2" xfId="127" xr:uid="{00000000-0005-0000-0000-000073000000}"/>
    <cellStyle name="GreenBackYellowTxt" xfId="128" xr:uid="{00000000-0005-0000-0000-000074000000}"/>
    <cellStyle name="Grey" xfId="129" xr:uid="{00000000-0005-0000-0000-000075000000}"/>
    <cellStyle name="hard no" xfId="130" xr:uid="{00000000-0005-0000-0000-000076000000}"/>
    <cellStyle name="hard no 2" xfId="131" xr:uid="{00000000-0005-0000-0000-000077000000}"/>
    <cellStyle name="Header Total_Cash Flow Forecast, 12 Months" xfId="132" xr:uid="{00000000-0005-0000-0000-000078000000}"/>
    <cellStyle name="Header1" xfId="133" xr:uid="{00000000-0005-0000-0000-000079000000}"/>
    <cellStyle name="Header2" xfId="134" xr:uid="{00000000-0005-0000-0000-00007A000000}"/>
    <cellStyle name="Header2 2" xfId="342" xr:uid="{00000000-0005-0000-0000-00007B000000}"/>
    <cellStyle name="Heading 1 2" xfId="135" xr:uid="{00000000-0005-0000-0000-00007C000000}"/>
    <cellStyle name="Heading 2 2" xfId="136" xr:uid="{00000000-0005-0000-0000-00007D000000}"/>
    <cellStyle name="Heading 3 2" xfId="137" xr:uid="{00000000-0005-0000-0000-00007E000000}"/>
    <cellStyle name="Heading 4 2" xfId="138" xr:uid="{00000000-0005-0000-0000-00007F000000}"/>
    <cellStyle name="Hyperlink 2" xfId="139" xr:uid="{00000000-0005-0000-0000-000080000000}"/>
    <cellStyle name="Hyperlink 3" xfId="140" xr:uid="{00000000-0005-0000-0000-000081000000}"/>
    <cellStyle name="Import" xfId="141" xr:uid="{00000000-0005-0000-0000-000082000000}"/>
    <cellStyle name="Import 2" xfId="142" xr:uid="{00000000-0005-0000-0000-000083000000}"/>
    <cellStyle name="Import 3" xfId="143" xr:uid="{00000000-0005-0000-0000-000084000000}"/>
    <cellStyle name="Import%" xfId="144" xr:uid="{00000000-0005-0000-0000-000085000000}"/>
    <cellStyle name="Import% 2" xfId="145" xr:uid="{00000000-0005-0000-0000-000086000000}"/>
    <cellStyle name="Import% 3" xfId="146" xr:uid="{00000000-0005-0000-0000-000087000000}"/>
    <cellStyle name="Input (2)" xfId="147" xr:uid="{00000000-0005-0000-0000-000088000000}"/>
    <cellStyle name="Input [yellow]" xfId="148" xr:uid="{00000000-0005-0000-0000-000089000000}"/>
    <cellStyle name="Input 2" xfId="149" xr:uid="{00000000-0005-0000-0000-00008A000000}"/>
    <cellStyle name="Input 2 2" xfId="346" xr:uid="{00000000-0005-0000-0000-00008B000000}"/>
    <cellStyle name="Input 2 3" xfId="347" xr:uid="{00000000-0005-0000-0000-00008C000000}"/>
    <cellStyle name="Input 3" xfId="150" xr:uid="{00000000-0005-0000-0000-00008D000000}"/>
    <cellStyle name="Input 3 2" xfId="345" xr:uid="{00000000-0005-0000-0000-00008E000000}"/>
    <cellStyle name="Input 3 3" xfId="348" xr:uid="{00000000-0005-0000-0000-00008F000000}"/>
    <cellStyle name="Input 4" xfId="151" xr:uid="{00000000-0005-0000-0000-000090000000}"/>
    <cellStyle name="Input 4 2" xfId="344" xr:uid="{00000000-0005-0000-0000-000091000000}"/>
    <cellStyle name="Input 4 3" xfId="350" xr:uid="{00000000-0005-0000-0000-000092000000}"/>
    <cellStyle name="Input1" xfId="152" xr:uid="{00000000-0005-0000-0000-000093000000}"/>
    <cellStyle name="Input1 2" xfId="153" xr:uid="{00000000-0005-0000-0000-000094000000}"/>
    <cellStyle name="Input1 2 2" xfId="154" xr:uid="{00000000-0005-0000-0000-000095000000}"/>
    <cellStyle name="Input1 2 3" xfId="155" xr:uid="{00000000-0005-0000-0000-000096000000}"/>
    <cellStyle name="Input1 3" xfId="156" xr:uid="{00000000-0005-0000-0000-000097000000}"/>
    <cellStyle name="Input1 4" xfId="157" xr:uid="{00000000-0005-0000-0000-000098000000}"/>
    <cellStyle name="Input1 5" xfId="158" xr:uid="{00000000-0005-0000-0000-000099000000}"/>
    <cellStyle name="Input1%" xfId="159" xr:uid="{00000000-0005-0000-0000-00009A000000}"/>
    <cellStyle name="Input1% 2" xfId="160" xr:uid="{00000000-0005-0000-0000-00009B000000}"/>
    <cellStyle name="Input1% 2 2" xfId="161" xr:uid="{00000000-0005-0000-0000-00009C000000}"/>
    <cellStyle name="Input1% 2 3" xfId="162" xr:uid="{00000000-0005-0000-0000-00009D000000}"/>
    <cellStyle name="Input1% 3" xfId="163" xr:uid="{00000000-0005-0000-0000-00009E000000}"/>
    <cellStyle name="Input1% 4" xfId="164" xr:uid="{00000000-0005-0000-0000-00009F000000}"/>
    <cellStyle name="Input1% 5" xfId="165" xr:uid="{00000000-0005-0000-0000-0000A0000000}"/>
    <cellStyle name="Input1_18-Specific Analysis" xfId="166" xr:uid="{00000000-0005-0000-0000-0000A1000000}"/>
    <cellStyle name="Input1default%" xfId="167" xr:uid="{00000000-0005-0000-0000-0000A2000000}"/>
    <cellStyle name="Input2" xfId="168" xr:uid="{00000000-0005-0000-0000-0000A3000000}"/>
    <cellStyle name="Input2 2" xfId="169" xr:uid="{00000000-0005-0000-0000-0000A4000000}"/>
    <cellStyle name="Input2 3" xfId="170" xr:uid="{00000000-0005-0000-0000-0000A5000000}"/>
    <cellStyle name="Input2%" xfId="171" xr:uid="{00000000-0005-0000-0000-0000A6000000}"/>
    <cellStyle name="Input2_Country Energy 2002 Retail Review info request v3.0" xfId="172" xr:uid="{00000000-0005-0000-0000-0000A7000000}"/>
    <cellStyle name="Input3" xfId="173" xr:uid="{00000000-0005-0000-0000-0000A8000000}"/>
    <cellStyle name="Input3 2" xfId="174" xr:uid="{00000000-0005-0000-0000-0000A9000000}"/>
    <cellStyle name="Input3 3" xfId="175" xr:uid="{00000000-0005-0000-0000-0000AA000000}"/>
    <cellStyle name="Input3%" xfId="176" xr:uid="{00000000-0005-0000-0000-0000AB000000}"/>
    <cellStyle name="Input3_Country Energy 2002 Retail Review info request v3.0" xfId="177" xr:uid="{00000000-0005-0000-0000-0000AC000000}"/>
    <cellStyle name="Linked Cell 2" xfId="178" xr:uid="{00000000-0005-0000-0000-0000AD000000}"/>
    <cellStyle name="Neutral 2" xfId="179" xr:uid="{00000000-0005-0000-0000-0000AE000000}"/>
    <cellStyle name="no dec" xfId="180" xr:uid="{00000000-0005-0000-0000-0000AF000000}"/>
    <cellStyle name="No input" xfId="181" xr:uid="{00000000-0005-0000-0000-0000B0000000}"/>
    <cellStyle name="Normal" xfId="0" builtinId="0"/>
    <cellStyle name="Normal - Style1" xfId="182" xr:uid="{00000000-0005-0000-0000-0000B2000000}"/>
    <cellStyle name="Normal - Style1 2" xfId="183" xr:uid="{00000000-0005-0000-0000-0000B3000000}"/>
    <cellStyle name="Normal 10" xfId="184" xr:uid="{00000000-0005-0000-0000-0000B4000000}"/>
    <cellStyle name="Normal 10 2" xfId="185" xr:uid="{00000000-0005-0000-0000-0000B5000000}"/>
    <cellStyle name="Normal 11" xfId="186" xr:uid="{00000000-0005-0000-0000-0000B6000000}"/>
    <cellStyle name="Normal 11 2" xfId="187" xr:uid="{00000000-0005-0000-0000-0000B7000000}"/>
    <cellStyle name="Normal 12" xfId="188" xr:uid="{00000000-0005-0000-0000-0000B8000000}"/>
    <cellStyle name="Normal 12 2" xfId="189" xr:uid="{00000000-0005-0000-0000-0000B9000000}"/>
    <cellStyle name="Normal 13" xfId="190" xr:uid="{00000000-0005-0000-0000-0000BA000000}"/>
    <cellStyle name="Normal 13 2" xfId="191" xr:uid="{00000000-0005-0000-0000-0000BB000000}"/>
    <cellStyle name="Normal 14" xfId="192" xr:uid="{00000000-0005-0000-0000-0000BC000000}"/>
    <cellStyle name="Normal 14 2" xfId="193" xr:uid="{00000000-0005-0000-0000-0000BD000000}"/>
    <cellStyle name="Normal 15" xfId="194" xr:uid="{00000000-0005-0000-0000-0000BE000000}"/>
    <cellStyle name="Normal 16" xfId="195" xr:uid="{00000000-0005-0000-0000-0000BF000000}"/>
    <cellStyle name="Normal 17" xfId="196" xr:uid="{00000000-0005-0000-0000-0000C0000000}"/>
    <cellStyle name="Normal 18" xfId="197" xr:uid="{00000000-0005-0000-0000-0000C1000000}"/>
    <cellStyle name="Normal 19" xfId="198" xr:uid="{00000000-0005-0000-0000-0000C2000000}"/>
    <cellStyle name="Normal 2" xfId="7" xr:uid="{00000000-0005-0000-0000-0000C3000000}"/>
    <cellStyle name="Normal 2 2" xfId="14" xr:uid="{00000000-0005-0000-0000-0000C4000000}"/>
    <cellStyle name="Normal 2 2 2" xfId="199" xr:uid="{00000000-0005-0000-0000-0000C5000000}"/>
    <cellStyle name="Normal 2 3" xfId="22" xr:uid="{00000000-0005-0000-0000-0000C6000000}"/>
    <cellStyle name="Normal 2 4" xfId="200" xr:uid="{00000000-0005-0000-0000-0000C7000000}"/>
    <cellStyle name="Normal 2 5" xfId="201" xr:uid="{00000000-0005-0000-0000-0000C8000000}"/>
    <cellStyle name="Normal 20" xfId="202" xr:uid="{00000000-0005-0000-0000-0000C9000000}"/>
    <cellStyle name="Normal 21" xfId="203" xr:uid="{00000000-0005-0000-0000-0000CA000000}"/>
    <cellStyle name="Normal 22" xfId="204" xr:uid="{00000000-0005-0000-0000-0000CB000000}"/>
    <cellStyle name="Normal 23" xfId="205" xr:uid="{00000000-0005-0000-0000-0000CC000000}"/>
    <cellStyle name="Normal 24" xfId="206" xr:uid="{00000000-0005-0000-0000-0000CD000000}"/>
    <cellStyle name="Normal 25" xfId="207" xr:uid="{00000000-0005-0000-0000-0000CE000000}"/>
    <cellStyle name="Normal 26" xfId="208" xr:uid="{00000000-0005-0000-0000-0000CF000000}"/>
    <cellStyle name="Normal 27" xfId="209" xr:uid="{00000000-0005-0000-0000-0000D0000000}"/>
    <cellStyle name="Normal 28" xfId="210" xr:uid="{00000000-0005-0000-0000-0000D1000000}"/>
    <cellStyle name="Normal 29" xfId="211" xr:uid="{00000000-0005-0000-0000-0000D2000000}"/>
    <cellStyle name="Normal 29 2" xfId="212" xr:uid="{00000000-0005-0000-0000-0000D3000000}"/>
    <cellStyle name="Normal 3" xfId="12" xr:uid="{00000000-0005-0000-0000-0000D4000000}"/>
    <cellStyle name="Normal 3 2" xfId="17" xr:uid="{00000000-0005-0000-0000-0000D5000000}"/>
    <cellStyle name="Normal 3 3" xfId="213" xr:uid="{00000000-0005-0000-0000-0000D6000000}"/>
    <cellStyle name="Normal 3 4" xfId="214" xr:uid="{00000000-0005-0000-0000-0000D7000000}"/>
    <cellStyle name="Normal 30" xfId="215" xr:uid="{00000000-0005-0000-0000-0000D8000000}"/>
    <cellStyle name="Normal 31" xfId="216" xr:uid="{00000000-0005-0000-0000-0000D9000000}"/>
    <cellStyle name="Normal 32" xfId="217" xr:uid="{00000000-0005-0000-0000-0000DA000000}"/>
    <cellStyle name="Normal 33" xfId="218" xr:uid="{00000000-0005-0000-0000-0000DB000000}"/>
    <cellStyle name="Normal 34" xfId="219" xr:uid="{00000000-0005-0000-0000-0000DC000000}"/>
    <cellStyle name="Normal 35" xfId="220" xr:uid="{00000000-0005-0000-0000-0000DD000000}"/>
    <cellStyle name="Normal 36" xfId="221" xr:uid="{00000000-0005-0000-0000-0000DE000000}"/>
    <cellStyle name="Normal 37" xfId="222" xr:uid="{00000000-0005-0000-0000-0000DF000000}"/>
    <cellStyle name="Normal 38" xfId="223" xr:uid="{00000000-0005-0000-0000-0000E0000000}"/>
    <cellStyle name="Normal 39" xfId="224" xr:uid="{00000000-0005-0000-0000-0000E1000000}"/>
    <cellStyle name="Normal 4" xfId="13" xr:uid="{00000000-0005-0000-0000-0000E2000000}"/>
    <cellStyle name="Normal 4 2" xfId="225" xr:uid="{00000000-0005-0000-0000-0000E3000000}"/>
    <cellStyle name="Normal 4 2 2" xfId="226" xr:uid="{00000000-0005-0000-0000-0000E4000000}"/>
    <cellStyle name="Normal 4 3" xfId="227" xr:uid="{00000000-0005-0000-0000-0000E5000000}"/>
    <cellStyle name="Normal 40" xfId="228" xr:uid="{00000000-0005-0000-0000-0000E6000000}"/>
    <cellStyle name="Normal 41" xfId="229" xr:uid="{00000000-0005-0000-0000-0000E7000000}"/>
    <cellStyle name="Normal 42" xfId="230" xr:uid="{00000000-0005-0000-0000-0000E8000000}"/>
    <cellStyle name="Normal 43" xfId="231" xr:uid="{00000000-0005-0000-0000-0000E9000000}"/>
    <cellStyle name="Normal 44" xfId="232" xr:uid="{00000000-0005-0000-0000-0000EA000000}"/>
    <cellStyle name="Normal 45" xfId="233" xr:uid="{00000000-0005-0000-0000-0000EB000000}"/>
    <cellStyle name="Normal 46" xfId="234" xr:uid="{00000000-0005-0000-0000-0000EC000000}"/>
    <cellStyle name="Normal 46 2" xfId="235" xr:uid="{00000000-0005-0000-0000-0000ED000000}"/>
    <cellStyle name="Normal 47" xfId="236" xr:uid="{00000000-0005-0000-0000-0000EE000000}"/>
    <cellStyle name="Normal 48" xfId="3" xr:uid="{00000000-0005-0000-0000-0000EF000000}"/>
    <cellStyle name="Normal 49" xfId="333" xr:uid="{00000000-0005-0000-0000-0000F0000000}"/>
    <cellStyle name="Normal 5" xfId="26" xr:uid="{00000000-0005-0000-0000-0000F1000000}"/>
    <cellStyle name="Normal 5 2" xfId="237" xr:uid="{00000000-0005-0000-0000-0000F2000000}"/>
    <cellStyle name="Normal 5 3" xfId="238" xr:uid="{00000000-0005-0000-0000-0000F3000000}"/>
    <cellStyle name="Normal 50" xfId="337" xr:uid="{00000000-0005-0000-0000-0000F4000000}"/>
    <cellStyle name="Normal 51" xfId="339" xr:uid="{00000000-0005-0000-0000-0000F5000000}"/>
    <cellStyle name="Normal 52" xfId="357" xr:uid="{B74341B2-33D7-433F-9302-F1703231E051}"/>
    <cellStyle name="Normal 6" xfId="239" xr:uid="{00000000-0005-0000-0000-0000F6000000}"/>
    <cellStyle name="Normal 6 2" xfId="240" xr:uid="{00000000-0005-0000-0000-0000F7000000}"/>
    <cellStyle name="Normal 6 3" xfId="241" xr:uid="{00000000-0005-0000-0000-0000F8000000}"/>
    <cellStyle name="Normal 6 4" xfId="242" xr:uid="{00000000-0005-0000-0000-0000F9000000}"/>
    <cellStyle name="Normal 7" xfId="243" xr:uid="{00000000-0005-0000-0000-0000FA000000}"/>
    <cellStyle name="Normal 7 2" xfId="244" xr:uid="{00000000-0005-0000-0000-0000FB000000}"/>
    <cellStyle name="Normal 8" xfId="245" xr:uid="{00000000-0005-0000-0000-0000FC000000}"/>
    <cellStyle name="Normal 8 2" xfId="246" xr:uid="{00000000-0005-0000-0000-0000FD000000}"/>
    <cellStyle name="Normal 9" xfId="247" xr:uid="{00000000-0005-0000-0000-0000FE000000}"/>
    <cellStyle name="Normal 9 2" xfId="248" xr:uid="{00000000-0005-0000-0000-0000FF000000}"/>
    <cellStyle name="Normale_blended" xfId="249" xr:uid="{00000000-0005-0000-0000-000000010000}"/>
    <cellStyle name="Note 2" xfId="250" xr:uid="{00000000-0005-0000-0000-000001010000}"/>
    <cellStyle name="Note 3" xfId="251" xr:uid="{00000000-0005-0000-0000-000002010000}"/>
    <cellStyle name="Note 3 2" xfId="336" xr:uid="{00000000-0005-0000-0000-000003010000}"/>
    <cellStyle name="Note 3 3" xfId="354" xr:uid="{00000000-0005-0000-0000-000004010000}"/>
    <cellStyle name="Output 2" xfId="252" xr:uid="{00000000-0005-0000-0000-000005010000}"/>
    <cellStyle name="Output 2 2" xfId="338" xr:uid="{00000000-0005-0000-0000-000006010000}"/>
    <cellStyle name="Output 2 3" xfId="355" xr:uid="{00000000-0005-0000-0000-000007010000}"/>
    <cellStyle name="Percent" xfId="2" builtinId="5"/>
    <cellStyle name="Percent [2]" xfId="253" xr:uid="{00000000-0005-0000-0000-000009010000}"/>
    <cellStyle name="Percent [2] 2" xfId="254" xr:uid="{00000000-0005-0000-0000-00000A010000}"/>
    <cellStyle name="Percent [2] 2 2" xfId="255" xr:uid="{00000000-0005-0000-0000-00000B010000}"/>
    <cellStyle name="Percent [2] 2 3" xfId="256" xr:uid="{00000000-0005-0000-0000-00000C010000}"/>
    <cellStyle name="Percent [2] 3" xfId="257" xr:uid="{00000000-0005-0000-0000-00000D010000}"/>
    <cellStyle name="Percent 10" xfId="258" xr:uid="{00000000-0005-0000-0000-00000E010000}"/>
    <cellStyle name="Percent 11" xfId="259" xr:uid="{00000000-0005-0000-0000-00000F010000}"/>
    <cellStyle name="Percent 12" xfId="260" xr:uid="{00000000-0005-0000-0000-000010010000}"/>
    <cellStyle name="Percent 13" xfId="261" xr:uid="{00000000-0005-0000-0000-000011010000}"/>
    <cellStyle name="Percent 14" xfId="262" xr:uid="{00000000-0005-0000-0000-000012010000}"/>
    <cellStyle name="Percent 15" xfId="263" xr:uid="{00000000-0005-0000-0000-000013010000}"/>
    <cellStyle name="Percent 16" xfId="264" xr:uid="{00000000-0005-0000-0000-000014010000}"/>
    <cellStyle name="Percent 17" xfId="265" xr:uid="{00000000-0005-0000-0000-000015010000}"/>
    <cellStyle name="Percent 18" xfId="266" xr:uid="{00000000-0005-0000-0000-000016010000}"/>
    <cellStyle name="Percent 19" xfId="267" xr:uid="{00000000-0005-0000-0000-000017010000}"/>
    <cellStyle name="Percent 2" xfId="9" xr:uid="{00000000-0005-0000-0000-000018010000}"/>
    <cellStyle name="Percent 2 2" xfId="15" xr:uid="{00000000-0005-0000-0000-000019010000}"/>
    <cellStyle name="Percent 2 3" xfId="268" xr:uid="{00000000-0005-0000-0000-00001A010000}"/>
    <cellStyle name="Percent 2 3 2" xfId="269" xr:uid="{00000000-0005-0000-0000-00001B010000}"/>
    <cellStyle name="Percent 2 3 3" xfId="270" xr:uid="{00000000-0005-0000-0000-00001C010000}"/>
    <cellStyle name="Percent 2 4" xfId="271" xr:uid="{00000000-0005-0000-0000-00001D010000}"/>
    <cellStyle name="Percent 2 5" xfId="272" xr:uid="{00000000-0005-0000-0000-00001E010000}"/>
    <cellStyle name="Percent 2 6" xfId="273" xr:uid="{00000000-0005-0000-0000-00001F010000}"/>
    <cellStyle name="Percent 2 7" xfId="274" xr:uid="{00000000-0005-0000-0000-000020010000}"/>
    <cellStyle name="Percent 20" xfId="275" xr:uid="{00000000-0005-0000-0000-000021010000}"/>
    <cellStyle name="Percent 21" xfId="276" xr:uid="{00000000-0005-0000-0000-000022010000}"/>
    <cellStyle name="Percent 22" xfId="277" xr:uid="{00000000-0005-0000-0000-000023010000}"/>
    <cellStyle name="Percent 23" xfId="278" xr:uid="{00000000-0005-0000-0000-000024010000}"/>
    <cellStyle name="Percent 24" xfId="6" xr:uid="{00000000-0005-0000-0000-000025010000}"/>
    <cellStyle name="Percent 25" xfId="335" xr:uid="{00000000-0005-0000-0000-000026010000}"/>
    <cellStyle name="Percent 26" xfId="351" xr:uid="{00000000-0005-0000-0000-000027010000}"/>
    <cellStyle name="Percent 27" xfId="341" xr:uid="{00000000-0005-0000-0000-000028010000}"/>
    <cellStyle name="Percent 28" xfId="360" xr:uid="{64DE4A03-D91F-446A-8503-554CAE13CCAC}"/>
    <cellStyle name="Percent 3" xfId="18" xr:uid="{00000000-0005-0000-0000-000029010000}"/>
    <cellStyle name="Percent 3 2" xfId="279" xr:uid="{00000000-0005-0000-0000-00002A010000}"/>
    <cellStyle name="Percent 4" xfId="19" xr:uid="{00000000-0005-0000-0000-00002B010000}"/>
    <cellStyle name="Percent 4 2" xfId="280" xr:uid="{00000000-0005-0000-0000-00002C010000}"/>
    <cellStyle name="Percent 5" xfId="23" xr:uid="{00000000-0005-0000-0000-00002D010000}"/>
    <cellStyle name="Percent 5 2" xfId="281" xr:uid="{00000000-0005-0000-0000-00002E010000}"/>
    <cellStyle name="Percent 6" xfId="282" xr:uid="{00000000-0005-0000-0000-00002F010000}"/>
    <cellStyle name="Percent 7" xfId="283" xr:uid="{00000000-0005-0000-0000-000030010000}"/>
    <cellStyle name="Percent 8" xfId="284" xr:uid="{00000000-0005-0000-0000-000031010000}"/>
    <cellStyle name="Percent 9" xfId="285" xr:uid="{00000000-0005-0000-0000-000032010000}"/>
    <cellStyle name="PSChar" xfId="286" xr:uid="{00000000-0005-0000-0000-000033010000}"/>
    <cellStyle name="PSDate" xfId="287" xr:uid="{00000000-0005-0000-0000-000034010000}"/>
    <cellStyle name="PSDec" xfId="288" xr:uid="{00000000-0005-0000-0000-000035010000}"/>
    <cellStyle name="PSHeading" xfId="289" xr:uid="{00000000-0005-0000-0000-000036010000}"/>
    <cellStyle name="PSInt" xfId="290" xr:uid="{00000000-0005-0000-0000-000037010000}"/>
    <cellStyle name="PSSpacer" xfId="291" xr:uid="{00000000-0005-0000-0000-000038010000}"/>
    <cellStyle name="R00A" xfId="292" xr:uid="{00000000-0005-0000-0000-000039010000}"/>
    <cellStyle name="R00B" xfId="293" xr:uid="{00000000-0005-0000-0000-00003A010000}"/>
    <cellStyle name="R00L" xfId="294" xr:uid="{00000000-0005-0000-0000-00003B010000}"/>
    <cellStyle name="R01A" xfId="295" xr:uid="{00000000-0005-0000-0000-00003C010000}"/>
    <cellStyle name="R01B" xfId="296" xr:uid="{00000000-0005-0000-0000-00003D010000}"/>
    <cellStyle name="R01H" xfId="297" xr:uid="{00000000-0005-0000-0000-00003E010000}"/>
    <cellStyle name="R01L" xfId="298" xr:uid="{00000000-0005-0000-0000-00003F010000}"/>
    <cellStyle name="R02A" xfId="299" xr:uid="{00000000-0005-0000-0000-000040010000}"/>
    <cellStyle name="R02B" xfId="300" xr:uid="{00000000-0005-0000-0000-000041010000}"/>
    <cellStyle name="R02H" xfId="301" xr:uid="{00000000-0005-0000-0000-000042010000}"/>
    <cellStyle name="R02L" xfId="302" xr:uid="{00000000-0005-0000-0000-000043010000}"/>
    <cellStyle name="R03A" xfId="303" xr:uid="{00000000-0005-0000-0000-000044010000}"/>
    <cellStyle name="R03B" xfId="304" xr:uid="{00000000-0005-0000-0000-000045010000}"/>
    <cellStyle name="R03H" xfId="305" xr:uid="{00000000-0005-0000-0000-000046010000}"/>
    <cellStyle name="R03L" xfId="306" xr:uid="{00000000-0005-0000-0000-000047010000}"/>
    <cellStyle name="R04A" xfId="307" xr:uid="{00000000-0005-0000-0000-000048010000}"/>
    <cellStyle name="R04B" xfId="308" xr:uid="{00000000-0005-0000-0000-000049010000}"/>
    <cellStyle name="R04H" xfId="309" xr:uid="{00000000-0005-0000-0000-00004A010000}"/>
    <cellStyle name="R04L" xfId="310" xr:uid="{00000000-0005-0000-0000-00004B010000}"/>
    <cellStyle name="R05A" xfId="311" xr:uid="{00000000-0005-0000-0000-00004C010000}"/>
    <cellStyle name="R05B" xfId="312" xr:uid="{00000000-0005-0000-0000-00004D010000}"/>
    <cellStyle name="R05H" xfId="313" xr:uid="{00000000-0005-0000-0000-00004E010000}"/>
    <cellStyle name="R05L" xfId="314" xr:uid="{00000000-0005-0000-0000-00004F010000}"/>
    <cellStyle name="R06A" xfId="315" xr:uid="{00000000-0005-0000-0000-000050010000}"/>
    <cellStyle name="R06B" xfId="316" xr:uid="{00000000-0005-0000-0000-000051010000}"/>
    <cellStyle name="R06H" xfId="317" xr:uid="{00000000-0005-0000-0000-000052010000}"/>
    <cellStyle name="R06L" xfId="318" xr:uid="{00000000-0005-0000-0000-000053010000}"/>
    <cellStyle name="R07A" xfId="319" xr:uid="{00000000-0005-0000-0000-000054010000}"/>
    <cellStyle name="R07B" xfId="320" xr:uid="{00000000-0005-0000-0000-000055010000}"/>
    <cellStyle name="R07H" xfId="321" xr:uid="{00000000-0005-0000-0000-000056010000}"/>
    <cellStyle name="R07L" xfId="322" xr:uid="{00000000-0005-0000-0000-000057010000}"/>
    <cellStyle name="Style 1" xfId="323" xr:uid="{00000000-0005-0000-0000-000058010000}"/>
    <cellStyle name="Style 1 2" xfId="324" xr:uid="{00000000-0005-0000-0000-000059010000}"/>
    <cellStyle name="Times New Roman" xfId="325" xr:uid="{00000000-0005-0000-0000-00005A010000}"/>
    <cellStyle name="Title 2" xfId="326" xr:uid="{00000000-0005-0000-0000-00005B010000}"/>
    <cellStyle name="Total 2" xfId="327" xr:uid="{00000000-0005-0000-0000-00005C010000}"/>
    <cellStyle name="Total 2 2" xfId="353" xr:uid="{00000000-0005-0000-0000-00005D010000}"/>
    <cellStyle name="Total 2 3" xfId="356" xr:uid="{00000000-0005-0000-0000-00005E010000}"/>
    <cellStyle name="Valuta (0)_spies97" xfId="328" xr:uid="{00000000-0005-0000-0000-00005F010000}"/>
    <cellStyle name="Warning Text 2" xfId="329" xr:uid="{00000000-0005-0000-0000-000060010000}"/>
    <cellStyle name="White rows" xfId="10" xr:uid="{00000000-0005-0000-0000-000061010000}"/>
    <cellStyle name="White rows 2" xfId="330" xr:uid="{00000000-0005-0000-0000-000062010000}"/>
    <cellStyle name="YELLOW" xfId="331" xr:uid="{00000000-0005-0000-0000-000063010000}"/>
    <cellStyle name="YellowBackGreenTxt" xfId="332" xr:uid="{00000000-0005-0000-0000-000064010000}"/>
  </cellStyles>
  <dxfs count="0"/>
  <tableStyles count="0" defaultTableStyle="TableStyleMedium2" defaultPivotStyle="PivotStyleLight16"/>
  <colors>
    <mruColors>
      <color rgb="FFCCCBCD"/>
      <color rgb="FFE5E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1783556</xdr:colOff>
      <xdr:row>1</xdr:row>
      <xdr:rowOff>45244</xdr:rowOff>
    </xdr:from>
    <xdr:to>
      <xdr:col>8</xdr:col>
      <xdr:colOff>723899</xdr:colOff>
      <xdr:row>5</xdr:row>
      <xdr:rowOff>119857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5381" y="45244"/>
          <a:ext cx="1178718" cy="7508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1764506</xdr:colOff>
      <xdr:row>0</xdr:row>
      <xdr:rowOff>26194</xdr:rowOff>
    </xdr:from>
    <xdr:to>
      <xdr:col>8</xdr:col>
      <xdr:colOff>704849</xdr:colOff>
      <xdr:row>4</xdr:row>
      <xdr:rowOff>137002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5881" y="26194"/>
          <a:ext cx="1178718" cy="75850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ercial%20Strategy\2014%20AER%20Determination\Finance%20Lead\ROMO\Model\ROMO%20v0.13%20%202014%20SCI%20V3%203-4-13%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y1-Fin/Reg_Affairs/CPI/CPI%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of each index 1989-90 =100"/>
      <sheetName val="Base of each index 2011-12 =100"/>
      <sheetName val="Water modelling"/>
      <sheetName val="Water"/>
      <sheetName val="Electricity"/>
      <sheetName val="Method"/>
      <sheetName val="Inflators Electricity"/>
      <sheetName val="Inflators Water"/>
      <sheetName val="Inflators Water modelling"/>
    </sheetNames>
    <sheetDataSet>
      <sheetData sheetId="0"/>
      <sheetData sheetId="1"/>
      <sheetData sheetId="2"/>
      <sheetData sheetId="3"/>
      <sheetData sheetId="4"/>
      <sheetData sheetId="5"/>
      <sheetData sheetId="6">
        <row r="5">
          <cell r="T5">
            <v>8.6058519793459354E-3</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K22"/>
  <sheetViews>
    <sheetView showGridLines="0" zoomScaleNormal="100" workbookViewId="0">
      <selection activeCell="I16" sqref="I16"/>
    </sheetView>
  </sheetViews>
  <sheetFormatPr defaultColWidth="9.140625" defaultRowHeight="12.75"/>
  <cols>
    <col min="1" max="1" width="2.85546875" style="4" customWidth="1"/>
    <col min="2" max="2" width="25.140625" style="4" customWidth="1"/>
    <col min="3" max="3" width="13.28515625" style="4" bestFit="1" customWidth="1"/>
    <col min="4" max="4" width="11" style="4" customWidth="1"/>
    <col min="5" max="5" width="32" style="5" customWidth="1"/>
    <col min="6" max="7" width="11" style="4" customWidth="1"/>
    <col min="8" max="8" width="33.5703125" style="5" bestFit="1" customWidth="1"/>
    <col min="9" max="9" width="19.28515625" style="4" customWidth="1"/>
    <col min="10" max="10" width="20.85546875" style="4" customWidth="1"/>
    <col min="11" max="16384" width="9.140625" style="4"/>
  </cols>
  <sheetData>
    <row r="1" spans="1:11">
      <c r="B1" s="4" t="str">
        <f>'Pricing Summary'!C1</f>
        <v>2021/22</v>
      </c>
    </row>
    <row r="2" spans="1:11">
      <c r="B2" s="8" t="str">
        <f>VLOOKUP($B$1,'Pricing Summary'!$N$5:$S$9,2,FALSE)</f>
        <v>Effective from 1 July 2021</v>
      </c>
    </row>
    <row r="3" spans="1:11" ht="15" customHeight="1">
      <c r="D3" s="126"/>
      <c r="E3" s="126"/>
      <c r="F3" s="126"/>
      <c r="G3" s="126"/>
      <c r="H3" s="126"/>
      <c r="I3" s="126"/>
    </row>
    <row r="4" spans="1:11">
      <c r="B4" s="2" t="s">
        <v>25</v>
      </c>
      <c r="C4" s="6"/>
      <c r="D4" s="126"/>
      <c r="E4" s="126"/>
      <c r="F4" s="126"/>
      <c r="G4" s="126"/>
      <c r="H4" s="126"/>
      <c r="I4" s="126"/>
      <c r="J4" s="6"/>
      <c r="K4" s="6"/>
    </row>
    <row r="5" spans="1:11">
      <c r="B5" s="2" t="str">
        <f>"MSC Rate Table - "&amp;VLOOKUP($B$1,'Pricing Summary'!$N$5:$S$9,3,FALSE)</f>
        <v>MSC Rate Table - $2021-22</v>
      </c>
      <c r="C5" s="6"/>
      <c r="E5" s="7"/>
      <c r="F5" s="6"/>
      <c r="H5" s="7"/>
      <c r="I5" s="6"/>
      <c r="J5" s="6"/>
      <c r="K5" s="6"/>
    </row>
    <row r="6" spans="1:11" ht="13.5" thickBot="1">
      <c r="A6" s="8"/>
      <c r="B6" s="6"/>
      <c r="C6" s="6"/>
      <c r="E6" s="7"/>
      <c r="F6" s="6"/>
      <c r="H6" s="7"/>
      <c r="I6" s="6"/>
      <c r="J6" s="6"/>
      <c r="K6" s="6"/>
    </row>
    <row r="7" spans="1:11" ht="25.5" customHeight="1" thickBot="1">
      <c r="B7" s="10"/>
      <c r="C7" s="9"/>
      <c r="D7" s="127" t="s">
        <v>27</v>
      </c>
      <c r="E7" s="127"/>
      <c r="F7" s="128"/>
      <c r="G7" s="129" t="s">
        <v>35</v>
      </c>
      <c r="H7" s="127"/>
      <c r="I7" s="128"/>
    </row>
    <row r="8" spans="1:11" ht="39.75" thickTop="1" thickBot="1">
      <c r="B8" s="11" t="s">
        <v>4</v>
      </c>
      <c r="C8" s="3" t="s">
        <v>5</v>
      </c>
      <c r="D8" s="3" t="s">
        <v>6</v>
      </c>
      <c r="E8" s="3" t="s">
        <v>7</v>
      </c>
      <c r="F8" s="3" t="s">
        <v>8</v>
      </c>
      <c r="G8" s="3" t="s">
        <v>6</v>
      </c>
      <c r="H8" s="3" t="s">
        <v>7</v>
      </c>
      <c r="I8" s="3" t="s">
        <v>8</v>
      </c>
    </row>
    <row r="9" spans="1:11" ht="33" customHeight="1" thickTop="1">
      <c r="B9" s="13" t="s">
        <v>0</v>
      </c>
      <c r="C9" s="14" t="s">
        <v>9</v>
      </c>
      <c r="D9" s="46" t="s">
        <v>40</v>
      </c>
      <c r="E9" s="16" t="s">
        <v>10</v>
      </c>
      <c r="F9" s="35">
        <f>ROUND(HLOOKUP($B$1,'Pricing Summary'!$B$12:$G$18,3,FALSE),2)</f>
        <v>23.99</v>
      </c>
      <c r="G9" s="15" t="s">
        <v>11</v>
      </c>
      <c r="H9" s="16" t="s">
        <v>12</v>
      </c>
      <c r="I9" s="32">
        <f>ROUND(HLOOKUP($B$1,'Pricing Summary'!$B$20:$G$26,3,FALSE),2)</f>
        <v>10.050000000000001</v>
      </c>
    </row>
    <row r="10" spans="1:11" ht="33" customHeight="1">
      <c r="B10" s="17" t="s">
        <v>1</v>
      </c>
      <c r="C10" s="18" t="s">
        <v>13</v>
      </c>
      <c r="D10" s="47" t="s">
        <v>41</v>
      </c>
      <c r="E10" s="20" t="s">
        <v>14</v>
      </c>
      <c r="F10" s="43">
        <f>ROUND(HLOOKUP($B$1,'Pricing Summary'!$B$12:$G$18,4,FALSE),2)</f>
        <v>35.99</v>
      </c>
      <c r="G10" s="19" t="s">
        <v>15</v>
      </c>
      <c r="H10" s="20" t="s">
        <v>16</v>
      </c>
      <c r="I10" s="33">
        <f>ROUND(HLOOKUP($B$1,'Pricing Summary'!$B$20:$G$26,4,FALSE),2)</f>
        <v>14.62</v>
      </c>
      <c r="J10" s="148"/>
    </row>
    <row r="11" spans="1:11" ht="33" customHeight="1">
      <c r="B11" s="21" t="s">
        <v>17</v>
      </c>
      <c r="C11" s="22" t="s">
        <v>18</v>
      </c>
      <c r="D11" s="48" t="s">
        <v>40</v>
      </c>
      <c r="E11" s="24" t="s">
        <v>10</v>
      </c>
      <c r="F11" s="44">
        <f>ROUND(HLOOKUP($B$1,'Pricing Summary'!$B$12:$G$18,5,FALSE),2)</f>
        <v>23.99</v>
      </c>
      <c r="G11" s="23" t="s">
        <v>11</v>
      </c>
      <c r="H11" s="24" t="s">
        <v>12</v>
      </c>
      <c r="I11" s="34">
        <f>ROUND(HLOOKUP($B$1,'Pricing Summary'!$B$20:$G$26,5,FALSE),2)</f>
        <v>10.050000000000001</v>
      </c>
    </row>
    <row r="12" spans="1:11" ht="33" customHeight="1">
      <c r="B12" s="17" t="s">
        <v>19</v>
      </c>
      <c r="C12" s="12" t="s">
        <v>20</v>
      </c>
      <c r="D12" s="47" t="s">
        <v>41</v>
      </c>
      <c r="E12" s="20" t="s">
        <v>14</v>
      </c>
      <c r="F12" s="43">
        <f>ROUND(HLOOKUP($B$1,'Pricing Summary'!$B$12:$G$18,6,FALSE),2)</f>
        <v>35.99</v>
      </c>
      <c r="G12" s="19" t="s">
        <v>15</v>
      </c>
      <c r="H12" s="20" t="s">
        <v>16</v>
      </c>
      <c r="I12" s="33">
        <f>ROUND(HLOOKUP($B$1,'Pricing Summary'!$B$20:$G$26,6,FALSE),2)</f>
        <v>14.62</v>
      </c>
    </row>
    <row r="13" spans="1:11" ht="33" customHeight="1" thickBot="1">
      <c r="B13" s="36" t="s">
        <v>2</v>
      </c>
      <c r="C13" s="37" t="s">
        <v>21</v>
      </c>
      <c r="D13" s="49" t="s">
        <v>42</v>
      </c>
      <c r="E13" s="39" t="s">
        <v>22</v>
      </c>
      <c r="F13" s="45">
        <f>ROUND(HLOOKUP($B$1,'Pricing Summary'!$B$12:$G$18,7,FALSE),2)</f>
        <v>6</v>
      </c>
      <c r="G13" s="38" t="s">
        <v>23</v>
      </c>
      <c r="H13" s="39" t="s">
        <v>24</v>
      </c>
      <c r="I13" s="40">
        <f>ROUND(HLOOKUP($B$1,'Pricing Summary'!$B$20:$G$26,7,FALSE),2)</f>
        <v>4.58</v>
      </c>
    </row>
    <row r="15" spans="1:11" ht="24" customHeight="1">
      <c r="A15" s="5"/>
      <c r="B15" s="5"/>
      <c r="C15" s="5"/>
      <c r="D15" s="41"/>
    </row>
    <row r="16" spans="1:11">
      <c r="A16" s="5"/>
      <c r="B16" s="5"/>
      <c r="C16" s="5"/>
      <c r="D16" s="5"/>
    </row>
    <row r="17" spans="1:9" ht="30" customHeight="1">
      <c r="A17" s="1"/>
      <c r="B17" s="1"/>
      <c r="C17" s="1"/>
      <c r="D17" s="1"/>
      <c r="E17" s="1"/>
      <c r="F17" s="1"/>
      <c r="G17" s="1"/>
      <c r="H17" s="1"/>
      <c r="I17" s="1"/>
    </row>
    <row r="18" spans="1:9" ht="30" customHeight="1">
      <c r="A18" s="6"/>
      <c r="B18" s="6"/>
      <c r="C18" s="6"/>
      <c r="D18" s="6"/>
      <c r="E18" s="6"/>
      <c r="F18" s="6"/>
      <c r="G18" s="6"/>
      <c r="H18" s="6"/>
      <c r="I18" s="6"/>
    </row>
    <row r="19" spans="1:9" ht="30" customHeight="1">
      <c r="A19" s="5"/>
      <c r="B19" s="5"/>
      <c r="C19" s="5"/>
      <c r="D19" s="5"/>
    </row>
    <row r="20" spans="1:9" ht="30" customHeight="1">
      <c r="A20" s="5"/>
      <c r="B20" s="5"/>
      <c r="C20" s="5"/>
      <c r="D20" s="5"/>
    </row>
    <row r="21" spans="1:9" ht="30" customHeight="1">
      <c r="A21" s="5"/>
      <c r="B21" s="5"/>
      <c r="C21" s="5"/>
      <c r="D21" s="5"/>
    </row>
    <row r="22" spans="1:9" ht="30" customHeight="1">
      <c r="A22" s="5"/>
      <c r="B22" s="5"/>
      <c r="C22" s="5"/>
      <c r="D22" s="5"/>
    </row>
  </sheetData>
  <mergeCells count="4">
    <mergeCell ref="G3:I4"/>
    <mergeCell ref="D3:F4"/>
    <mergeCell ref="D7:F7"/>
    <mergeCell ref="G7:I7"/>
  </mergeCells>
  <pageMargins left="0.7" right="0.7" top="0.75" bottom="0.75" header="0.3" footer="0.3"/>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showGridLines="0" tabSelected="1" zoomScaleNormal="100" workbookViewId="0">
      <selection activeCell="E3" sqref="E3"/>
    </sheetView>
  </sheetViews>
  <sheetFormatPr defaultColWidth="9.140625" defaultRowHeight="12.75"/>
  <cols>
    <col min="1" max="1" width="2.85546875" style="4" customWidth="1"/>
    <col min="2" max="2" width="23.5703125" style="4" customWidth="1"/>
    <col min="3" max="3" width="13.28515625" style="4" bestFit="1" customWidth="1"/>
    <col min="4" max="4" width="14.140625" style="4" customWidth="1"/>
    <col min="5" max="5" width="32" style="5" customWidth="1"/>
    <col min="6" max="7" width="11" style="4" customWidth="1"/>
    <col min="8" max="8" width="33.5703125" style="5" bestFit="1" customWidth="1"/>
    <col min="9" max="9" width="11" style="4" customWidth="1"/>
    <col min="10" max="16384" width="9.140625" style="4"/>
  </cols>
  <sheetData>
    <row r="1" spans="1:11">
      <c r="B1" s="8" t="str">
        <f>'MSC Price List'!B2</f>
        <v>Effective from 1 July 2021</v>
      </c>
    </row>
    <row r="2" spans="1:11">
      <c r="C2" s="4" t="s">
        <v>26</v>
      </c>
      <c r="D2" s="8">
        <f>VLOOKUP('Pricing Summary'!$C$1,'Pricing Summary'!$N$5:$S$9,4,FALSE)</f>
        <v>365</v>
      </c>
    </row>
    <row r="3" spans="1:11">
      <c r="B3" s="2" t="s">
        <v>25</v>
      </c>
      <c r="C3" s="6"/>
      <c r="D3" s="6"/>
      <c r="E3" s="7"/>
      <c r="F3" s="6"/>
      <c r="G3" s="6"/>
      <c r="H3" s="7"/>
      <c r="I3" s="6"/>
      <c r="J3" s="6"/>
      <c r="K3" s="6"/>
    </row>
    <row r="4" spans="1:11">
      <c r="B4" s="2" t="str">
        <f>'MSC Price List'!B5</f>
        <v>MSC Rate Table - $2021-22</v>
      </c>
      <c r="C4" s="6"/>
      <c r="D4" s="6"/>
      <c r="E4" s="7"/>
      <c r="F4" s="6"/>
      <c r="G4" s="6"/>
      <c r="H4" s="7"/>
      <c r="I4" s="6"/>
      <c r="J4" s="6"/>
      <c r="K4" s="6"/>
    </row>
    <row r="5" spans="1:11" ht="13.5" thickBot="1">
      <c r="A5" s="8"/>
      <c r="B5" s="6"/>
      <c r="C5" s="6"/>
      <c r="D5" s="6"/>
      <c r="E5" s="7"/>
      <c r="F5" s="6"/>
      <c r="G5" s="6"/>
      <c r="H5" s="7"/>
      <c r="I5" s="6"/>
      <c r="J5" s="6"/>
      <c r="K5" s="6"/>
    </row>
    <row r="6" spans="1:11" ht="25.5" customHeight="1">
      <c r="B6" s="10"/>
      <c r="C6" s="9"/>
      <c r="D6" s="130" t="s">
        <v>27</v>
      </c>
      <c r="E6" s="130"/>
      <c r="F6" s="131"/>
      <c r="G6" s="132" t="s">
        <v>35</v>
      </c>
      <c r="H6" s="130"/>
      <c r="I6" s="133"/>
    </row>
    <row r="7" spans="1:11" ht="38.25">
      <c r="B7" s="75" t="s">
        <v>4</v>
      </c>
      <c r="C7" s="75" t="s">
        <v>5</v>
      </c>
      <c r="D7" s="75" t="s">
        <v>6</v>
      </c>
      <c r="E7" s="75" t="s">
        <v>7</v>
      </c>
      <c r="F7" s="78" t="s">
        <v>43</v>
      </c>
      <c r="G7" s="83" t="s">
        <v>6</v>
      </c>
      <c r="H7" s="76" t="s">
        <v>7</v>
      </c>
      <c r="I7" s="77" t="s">
        <v>43</v>
      </c>
    </row>
    <row r="8" spans="1:11" ht="25.5">
      <c r="B8" s="50" t="s">
        <v>0</v>
      </c>
      <c r="C8" s="51" t="s">
        <v>9</v>
      </c>
      <c r="D8" s="52" t="s">
        <v>40</v>
      </c>
      <c r="E8" s="53" t="s">
        <v>10</v>
      </c>
      <c r="F8" s="79">
        <f>ROUND('MSC Price List'!F9/'MSC Price List_$Day'!$D$2,5)</f>
        <v>6.5729999999999997E-2</v>
      </c>
      <c r="G8" s="84" t="s">
        <v>11</v>
      </c>
      <c r="H8" s="53" t="s">
        <v>12</v>
      </c>
      <c r="I8" s="54">
        <f>ROUND('MSC Price List'!I9/'MSC Price List_$Day'!$D$2,5)</f>
        <v>2.7529999999999999E-2</v>
      </c>
    </row>
    <row r="9" spans="1:11" ht="42" customHeight="1">
      <c r="B9" s="17" t="s">
        <v>1</v>
      </c>
      <c r="C9" s="18" t="s">
        <v>13</v>
      </c>
      <c r="D9" s="47" t="s">
        <v>41</v>
      </c>
      <c r="E9" s="20" t="s">
        <v>14</v>
      </c>
      <c r="F9" s="80">
        <f>ROUND('MSC Price List'!F10/'MSC Price List_$Day'!$D$2,5)</f>
        <v>9.8599999999999993E-2</v>
      </c>
      <c r="G9" s="85" t="s">
        <v>15</v>
      </c>
      <c r="H9" s="20" t="s">
        <v>16</v>
      </c>
      <c r="I9" s="26">
        <f>ROUND('MSC Price List'!I10/'MSC Price List_$Day'!$D$2,5)</f>
        <v>4.0050000000000002E-2</v>
      </c>
    </row>
    <row r="10" spans="1:11" ht="33" customHeight="1">
      <c r="B10" s="21" t="s">
        <v>17</v>
      </c>
      <c r="C10" s="22" t="s">
        <v>18</v>
      </c>
      <c r="D10" s="48" t="s">
        <v>44</v>
      </c>
      <c r="E10" s="24" t="s">
        <v>10</v>
      </c>
      <c r="F10" s="81">
        <f>ROUND('MSC Price List'!F11/'MSC Price List_$Day'!$D$2,5)</f>
        <v>6.5729999999999997E-2</v>
      </c>
      <c r="G10" s="86" t="s">
        <v>38</v>
      </c>
      <c r="H10" s="24" t="s">
        <v>12</v>
      </c>
      <c r="I10" s="27">
        <f>ROUND('MSC Price List'!I11/'MSC Price List_$Day'!$D$2,5)</f>
        <v>2.7529999999999999E-2</v>
      </c>
    </row>
    <row r="11" spans="1:11" ht="33" customHeight="1">
      <c r="B11" s="17" t="s">
        <v>19</v>
      </c>
      <c r="C11" s="12" t="s">
        <v>20</v>
      </c>
      <c r="D11" s="47" t="s">
        <v>45</v>
      </c>
      <c r="E11" s="20" t="s">
        <v>14</v>
      </c>
      <c r="F11" s="80">
        <f>ROUND('MSC Price List'!F12/'MSC Price List_$Day'!$D$2,5)</f>
        <v>9.8599999999999993E-2</v>
      </c>
      <c r="G11" s="85" t="s">
        <v>39</v>
      </c>
      <c r="H11" s="20" t="s">
        <v>16</v>
      </c>
      <c r="I11" s="26">
        <f>ROUND('MSC Price List'!I12/'MSC Price List_$Day'!$D$2,5)</f>
        <v>4.0050000000000002E-2</v>
      </c>
    </row>
    <row r="12" spans="1:11" ht="25.5">
      <c r="B12" s="21" t="s">
        <v>67</v>
      </c>
      <c r="C12" s="22" t="s">
        <v>69</v>
      </c>
      <c r="D12" s="48" t="s">
        <v>42</v>
      </c>
      <c r="E12" s="24" t="s">
        <v>22</v>
      </c>
      <c r="F12" s="81">
        <f>ROUND('MSC Price List'!F13/'MSC Price List_$Day'!$D$2,5)</f>
        <v>1.644E-2</v>
      </c>
      <c r="G12" s="87" t="s">
        <v>72</v>
      </c>
      <c r="H12" s="24" t="s">
        <v>24</v>
      </c>
      <c r="I12" s="27">
        <f>ROUND('MSC Price List'!I13/'MSC Price List_$Day'!$D$2,5)</f>
        <v>1.255E-2</v>
      </c>
    </row>
    <row r="13" spans="1:11" ht="26.25" thickBot="1">
      <c r="B13" s="36" t="s">
        <v>68</v>
      </c>
      <c r="C13" s="74" t="s">
        <v>70</v>
      </c>
      <c r="D13" s="49" t="s">
        <v>71</v>
      </c>
      <c r="E13" s="39" t="s">
        <v>22</v>
      </c>
      <c r="F13" s="82">
        <f>F12</f>
        <v>1.644E-2</v>
      </c>
      <c r="G13" s="88" t="s">
        <v>73</v>
      </c>
      <c r="H13" s="39" t="s">
        <v>24</v>
      </c>
      <c r="I13" s="42">
        <f>I12</f>
        <v>1.255E-2</v>
      </c>
    </row>
    <row r="19" spans="6:6">
      <c r="F19" s="4">
        <f>6/365</f>
        <v>1.643835616438356E-2</v>
      </c>
    </row>
  </sheetData>
  <mergeCells count="2">
    <mergeCell ref="D6:F6"/>
    <mergeCell ref="G6:I6"/>
  </mergeCells>
  <pageMargins left="0.7" right="0.7" top="0.75" bottom="0.75" header="0.3" footer="0.3"/>
  <pageSetup paperSize="8"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1068-2302-4B67-AFEE-194D60A2B957}">
  <sheetPr>
    <tabColor theme="8" tint="-0.249977111117893"/>
    <pageSetUpPr fitToPage="1"/>
  </sheetPr>
  <dimension ref="A1:K22"/>
  <sheetViews>
    <sheetView showGridLines="0" zoomScaleNormal="100" workbookViewId="0">
      <selection activeCell="I3" sqref="I3"/>
    </sheetView>
  </sheetViews>
  <sheetFormatPr defaultColWidth="9.140625" defaultRowHeight="12.75"/>
  <cols>
    <col min="1" max="1" width="2.85546875" style="4" customWidth="1"/>
    <col min="2" max="2" width="25.140625" style="4" customWidth="1"/>
    <col min="3" max="3" width="22.28515625" style="4" customWidth="1"/>
    <col min="4" max="4" width="12.28515625" style="5" customWidth="1"/>
    <col min="5" max="5" width="33.5703125" style="4" bestFit="1" customWidth="1"/>
    <col min="6" max="9" width="8.7109375" style="4" customWidth="1"/>
    <col min="10" max="16384" width="9.140625" style="4"/>
  </cols>
  <sheetData>
    <row r="1" spans="1:11">
      <c r="B1" s="4" t="str">
        <f>'Pricing Summary'!C1</f>
        <v>2021/22</v>
      </c>
    </row>
    <row r="2" spans="1:11">
      <c r="B2" s="8" t="str">
        <f>VLOOKUP($B$1,'Pricing Summary'!$N$5:$S$9,2,FALSE)</f>
        <v>Effective from 1 July 2021</v>
      </c>
    </row>
    <row r="3" spans="1:11" ht="15" customHeight="1">
      <c r="C3" s="126"/>
      <c r="D3" s="126"/>
      <c r="E3" s="126"/>
      <c r="F3" s="126"/>
    </row>
    <row r="4" spans="1:11">
      <c r="B4" s="2" t="s">
        <v>25</v>
      </c>
      <c r="C4" s="126"/>
      <c r="D4" s="126"/>
      <c r="E4" s="126"/>
      <c r="F4" s="126"/>
      <c r="G4" s="6"/>
    </row>
    <row r="5" spans="1:11">
      <c r="B5" s="2" t="str">
        <f>"MSC Rate Table - "&amp;VLOOKUP($B$1,'Pricing Summary'!$N$5:$S$9,3,FALSE)</f>
        <v>MSC Rate Table - $2021-22</v>
      </c>
      <c r="D5" s="7"/>
      <c r="E5" s="6"/>
      <c r="G5" s="6"/>
    </row>
    <row r="6" spans="1:11" ht="13.5" thickBot="1">
      <c r="A6" s="8"/>
      <c r="B6" s="6"/>
      <c r="D6" s="7"/>
      <c r="E6" s="6"/>
      <c r="G6" s="6"/>
    </row>
    <row r="7" spans="1:11" ht="14.25" customHeight="1">
      <c r="C7" s="134" t="s">
        <v>4</v>
      </c>
      <c r="D7" s="134" t="s">
        <v>6</v>
      </c>
      <c r="E7" s="134" t="s">
        <v>7</v>
      </c>
      <c r="F7" s="137" t="s">
        <v>75</v>
      </c>
      <c r="G7" s="138"/>
      <c r="H7" s="138"/>
      <c r="I7" s="139"/>
    </row>
    <row r="8" spans="1:11" ht="13.5" thickBot="1">
      <c r="C8" s="136"/>
      <c r="D8" s="136"/>
      <c r="E8" s="136"/>
      <c r="F8" s="122" t="s">
        <v>29</v>
      </c>
      <c r="G8" s="123" t="s">
        <v>30</v>
      </c>
      <c r="H8" s="123" t="s">
        <v>31</v>
      </c>
      <c r="I8" s="124" t="s">
        <v>32</v>
      </c>
    </row>
    <row r="9" spans="1:11" ht="25.5" customHeight="1">
      <c r="B9" s="134" t="s">
        <v>77</v>
      </c>
      <c r="C9" s="98" t="s">
        <v>0</v>
      </c>
      <c r="D9" s="99" t="s">
        <v>40</v>
      </c>
      <c r="E9" s="100" t="s">
        <v>10</v>
      </c>
      <c r="F9" s="101">
        <f>HLOOKUP(F$8,'Pricing Summary'!$B$12:$G$18,3,FALSE)</f>
        <v>22.94470892731184</v>
      </c>
      <c r="G9" s="101">
        <f>HLOOKUP(G$8,'Pricing Summary'!$B$12:$G$18,3,FALSE)</f>
        <v>23.991591182786152</v>
      </c>
      <c r="H9" s="102">
        <f>HLOOKUP(H$8,'Pricing Summary'!$B$12:$G$18,3,FALSE)</f>
        <v>26.075230313552549</v>
      </c>
      <c r="I9" s="102">
        <f>HLOOKUP(I$8,'Pricing Summary'!$B$12:$G$18,3,FALSE)</f>
        <v>28.125131277206211</v>
      </c>
      <c r="K9" s="97"/>
    </row>
    <row r="10" spans="1:11" ht="24">
      <c r="B10" s="135"/>
      <c r="C10" s="103" t="s">
        <v>1</v>
      </c>
      <c r="D10" s="104" t="s">
        <v>41</v>
      </c>
      <c r="E10" s="105" t="s">
        <v>14</v>
      </c>
      <c r="F10" s="106">
        <f>HLOOKUP(F$8,'Pricing Summary'!$B$12:$G$18,4,FALSE)</f>
        <v>34.417063390967755</v>
      </c>
      <c r="G10" s="106">
        <f>HLOOKUP(G$8,'Pricing Summary'!$B$12:$G$18,4,FALSE)</f>
        <v>35.987386774179228</v>
      </c>
      <c r="H10" s="107">
        <f>HLOOKUP(H$8,'Pricing Summary'!$B$12:$G$18,4,FALSE)</f>
        <v>39.112845470328828</v>
      </c>
      <c r="I10" s="107">
        <f>HLOOKUP(I$8,'Pricing Summary'!$B$12:$G$18,4,FALSE)</f>
        <v>42.187696915809326</v>
      </c>
    </row>
    <row r="11" spans="1:11" ht="24">
      <c r="B11" s="135"/>
      <c r="C11" s="108" t="s">
        <v>17</v>
      </c>
      <c r="D11" s="109" t="s">
        <v>40</v>
      </c>
      <c r="E11" s="110" t="s">
        <v>10</v>
      </c>
      <c r="F11" s="111">
        <f>HLOOKUP(F$8,'Pricing Summary'!$B$12:$G$18,5,FALSE)</f>
        <v>22.94470892731184</v>
      </c>
      <c r="G11" s="111">
        <f>HLOOKUP(G$8,'Pricing Summary'!$B$12:$G$18,5,FALSE)</f>
        <v>23.991591182786152</v>
      </c>
      <c r="H11" s="112">
        <f>HLOOKUP(H$8,'Pricing Summary'!$B$12:$G$18,5,FALSE)</f>
        <v>26.075230313552549</v>
      </c>
      <c r="I11" s="112">
        <f>HLOOKUP(I$8,'Pricing Summary'!$B$12:$G$18,5,FALSE)</f>
        <v>28.125131277206211</v>
      </c>
    </row>
    <row r="12" spans="1:11" ht="24">
      <c r="B12" s="135"/>
      <c r="C12" s="103" t="s">
        <v>19</v>
      </c>
      <c r="D12" s="104" t="s">
        <v>41</v>
      </c>
      <c r="E12" s="105" t="s">
        <v>14</v>
      </c>
      <c r="F12" s="106">
        <f>HLOOKUP(F$8,'Pricing Summary'!$B$12:$G$18,6,FALSE)</f>
        <v>34.417063390967755</v>
      </c>
      <c r="G12" s="106">
        <f>HLOOKUP(G$8,'Pricing Summary'!$B$12:$G$18,6,FALSE)</f>
        <v>35.987386774179228</v>
      </c>
      <c r="H12" s="107">
        <f>HLOOKUP(H$8,'Pricing Summary'!$B$12:$G$18,6,FALSE)</f>
        <v>39.112845470328828</v>
      </c>
      <c r="I12" s="107">
        <f>HLOOKUP(I$8,'Pricing Summary'!$B$12:$G$18,6,FALSE)</f>
        <v>42.187696915809326</v>
      </c>
    </row>
    <row r="13" spans="1:11" ht="24.75" thickBot="1">
      <c r="B13" s="136"/>
      <c r="C13" s="113" t="s">
        <v>2</v>
      </c>
      <c r="D13" s="114" t="s">
        <v>42</v>
      </c>
      <c r="E13" s="115" t="s">
        <v>22</v>
      </c>
      <c r="F13" s="116">
        <f>HLOOKUP(F$8,'Pricing Summary'!$B$12:$G$18,7,FALSE)</f>
        <v>5.73617723182796</v>
      </c>
      <c r="G13" s="116">
        <f>HLOOKUP(G$8,'Pricing Summary'!$B$12:$G$18,7,FALSE)</f>
        <v>5.997897795696538</v>
      </c>
      <c r="H13" s="117">
        <f>HLOOKUP(H$8,'Pricing Summary'!$B$12:$G$18,7,FALSE)</f>
        <v>6.5188075783881372</v>
      </c>
      <c r="I13" s="117">
        <f>HLOOKUP(I$8,'Pricing Summary'!$B$12:$G$18,7,FALSE)</f>
        <v>7.0312828193015529</v>
      </c>
    </row>
    <row r="14" spans="1:11" ht="21" customHeight="1">
      <c r="B14" s="134" t="s">
        <v>76</v>
      </c>
      <c r="C14" s="98" t="s">
        <v>0</v>
      </c>
      <c r="D14" s="118" t="s">
        <v>11</v>
      </c>
      <c r="E14" s="100" t="s">
        <v>12</v>
      </c>
      <c r="F14" s="101">
        <f>HLOOKUP(F$8,'Pricing Summary'!$B$20:$G$26,3,FALSE)</f>
        <v>10.070000105843018</v>
      </c>
      <c r="G14" s="101">
        <f>HLOOKUP(G$8,'Pricing Summary'!$B$20:$G$26,3,FALSE)</f>
        <v>10.049037011829672</v>
      </c>
      <c r="H14" s="102">
        <f>HLOOKUP(H$8,'Pricing Summary'!$B$20:$G$26,3,FALSE)</f>
        <v>9.9741802598202831</v>
      </c>
      <c r="I14" s="102">
        <f>HLOOKUP(I$8,'Pricing Summary'!$B$20:$G$26,3,FALSE)</f>
        <v>9.9056819586384499</v>
      </c>
    </row>
    <row r="15" spans="1:11" ht="21" customHeight="1">
      <c r="A15" s="5"/>
      <c r="B15" s="135"/>
      <c r="C15" s="103" t="s">
        <v>1</v>
      </c>
      <c r="D15" s="119" t="s">
        <v>15</v>
      </c>
      <c r="E15" s="105" t="s">
        <v>16</v>
      </c>
      <c r="F15" s="106">
        <f>HLOOKUP(F$8,'Pricing Summary'!$B$20:$G$26,4,FALSE)</f>
        <v>14.654715601186183</v>
      </c>
      <c r="G15" s="106">
        <f>HLOOKUP(G$8,'Pricing Summary'!$B$20:$G$26,4,FALSE)</f>
        <v>14.624208334288713</v>
      </c>
      <c r="H15" s="107">
        <f>HLOOKUP(H$8,'Pricing Summary'!$B$20:$G$26,4,FALSE)</f>
        <v>14.515270459413262</v>
      </c>
      <c r="I15" s="107">
        <f>HLOOKUP(I$8,'Pricing Summary'!$B$20:$G$26,4,FALSE)</f>
        <v>14.41558593980718</v>
      </c>
    </row>
    <row r="16" spans="1:11" ht="21" customHeight="1">
      <c r="A16" s="5"/>
      <c r="B16" s="135"/>
      <c r="C16" s="108" t="s">
        <v>17</v>
      </c>
      <c r="D16" s="120" t="s">
        <v>11</v>
      </c>
      <c r="E16" s="110" t="s">
        <v>12</v>
      </c>
      <c r="F16" s="111">
        <f>HLOOKUP(F$8,'Pricing Summary'!$B$20:$G$26,5,FALSE)</f>
        <v>10.070000105843018</v>
      </c>
      <c r="G16" s="111">
        <f>HLOOKUP(G$8,'Pricing Summary'!$B$20:$G$26,5,FALSE)</f>
        <v>10.049037011829672</v>
      </c>
      <c r="H16" s="112">
        <f>HLOOKUP(H$8,'Pricing Summary'!$B$20:$G$26,5,FALSE)</f>
        <v>9.9741802598202831</v>
      </c>
      <c r="I16" s="112">
        <f>HLOOKUP(I$8,'Pricing Summary'!$B$20:$G$26,5,FALSE)</f>
        <v>9.9056819586384499</v>
      </c>
    </row>
    <row r="17" spans="1:9" ht="21" customHeight="1">
      <c r="A17" s="1"/>
      <c r="B17" s="135"/>
      <c r="C17" s="103" t="s">
        <v>19</v>
      </c>
      <c r="D17" s="119" t="s">
        <v>15</v>
      </c>
      <c r="E17" s="105" t="s">
        <v>16</v>
      </c>
      <c r="F17" s="106">
        <f>HLOOKUP(F$8,'Pricing Summary'!$B$20:$G$26,6,FALSE)</f>
        <v>14.654715601186183</v>
      </c>
      <c r="G17" s="106">
        <f>HLOOKUP(G$8,'Pricing Summary'!$B$20:$G$26,6,FALSE)</f>
        <v>14.624208334288713</v>
      </c>
      <c r="H17" s="107">
        <f>HLOOKUP(H$8,'Pricing Summary'!$B$20:$G$26,6,FALSE)</f>
        <v>14.515270459413262</v>
      </c>
      <c r="I17" s="107">
        <f>HLOOKUP(I$8,'Pricing Summary'!$B$20:$G$26,6,FALSE)</f>
        <v>14.41558593980718</v>
      </c>
    </row>
    <row r="18" spans="1:9" ht="21" customHeight="1" thickBot="1">
      <c r="A18" s="6"/>
      <c r="B18" s="136"/>
      <c r="C18" s="113" t="s">
        <v>2</v>
      </c>
      <c r="D18" s="121" t="s">
        <v>23</v>
      </c>
      <c r="E18" s="115" t="s">
        <v>24</v>
      </c>
      <c r="F18" s="116">
        <f>HLOOKUP(F$8,'Pricing Summary'!$B$20:$G$26,7,FALSE)</f>
        <v>4.584715495343163</v>
      </c>
      <c r="G18" s="116">
        <f>HLOOKUP(G$8,'Pricing Summary'!$B$20:$G$26,7,FALSE)</f>
        <v>4.5751713224590391</v>
      </c>
      <c r="H18" s="117">
        <f>HLOOKUP(H$8,'Pricing Summary'!$B$20:$G$26,7,FALSE)</f>
        <v>4.5410901995929764</v>
      </c>
      <c r="I18" s="117">
        <f>HLOOKUP(I$8,'Pricing Summary'!$B$20:$G$26,7,FALSE)</f>
        <v>4.5099039811687271</v>
      </c>
    </row>
    <row r="19" spans="1:9">
      <c r="A19" s="5"/>
      <c r="C19" s="94" t="s">
        <v>74</v>
      </c>
    </row>
    <row r="20" spans="1:9">
      <c r="A20" s="5"/>
      <c r="B20" s="5"/>
      <c r="C20" s="5"/>
    </row>
    <row r="21" spans="1:9">
      <c r="A21" s="5"/>
      <c r="B21" s="5"/>
      <c r="C21" s="5"/>
    </row>
    <row r="22" spans="1:9">
      <c r="A22" s="5"/>
      <c r="B22" s="5"/>
      <c r="C22" s="5"/>
    </row>
  </sheetData>
  <mergeCells count="8">
    <mergeCell ref="C3:E4"/>
    <mergeCell ref="F3:F4"/>
    <mergeCell ref="B9:B13"/>
    <mergeCell ref="B14:B18"/>
    <mergeCell ref="C7:C8"/>
    <mergeCell ref="D7:D8"/>
    <mergeCell ref="E7:E8"/>
    <mergeCell ref="F7:I7"/>
  </mergeCells>
  <phoneticPr fontId="73" type="noConversion"/>
  <pageMargins left="0.7" right="0.7" top="0.75" bottom="0.75" header="0.3" footer="0.3"/>
  <pageSetup paperSize="8"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6C70-C541-4A9F-993F-4F6ECC1B61C5}">
  <sheetPr>
    <tabColor theme="9" tint="-0.249977111117893"/>
    <pageSetUpPr fitToPage="1"/>
  </sheetPr>
  <dimension ref="A1:Z53"/>
  <sheetViews>
    <sheetView workbookViewId="0">
      <selection activeCell="E18" sqref="E18"/>
    </sheetView>
  </sheetViews>
  <sheetFormatPr defaultColWidth="9.140625" defaultRowHeight="12.75"/>
  <cols>
    <col min="1" max="1" width="4.85546875" style="28" customWidth="1"/>
    <col min="2" max="2" width="34.42578125" style="28" customWidth="1"/>
    <col min="3" max="3" width="10.5703125" style="28" customWidth="1"/>
    <col min="4" max="4" width="8.85546875" style="28" bestFit="1" customWidth="1"/>
    <col min="5" max="5" width="17.42578125" style="28" customWidth="1"/>
    <col min="6" max="6" width="9.140625" style="28"/>
    <col min="7" max="7" width="8.85546875" style="28" bestFit="1" customWidth="1"/>
    <col min="8" max="8" width="10.42578125" style="28" bestFit="1" customWidth="1"/>
    <col min="9" max="10" width="9.7109375" style="28" bestFit="1" customWidth="1"/>
    <col min="11" max="14" width="9.140625" style="28"/>
    <col min="15" max="15" width="22.42578125" style="28" bestFit="1" customWidth="1"/>
    <col min="16" max="18" width="9.140625" style="28"/>
    <col min="19" max="19" width="10.140625" style="28" bestFit="1" customWidth="1"/>
    <col min="20" max="16384" width="9.140625" style="28"/>
  </cols>
  <sheetData>
    <row r="1" spans="1:26">
      <c r="A1" s="89"/>
      <c r="B1" s="90" t="s">
        <v>66</v>
      </c>
      <c r="C1" s="25" t="s">
        <v>30</v>
      </c>
      <c r="D1" s="89"/>
      <c r="E1" s="89"/>
      <c r="F1" s="89"/>
      <c r="G1" s="89"/>
      <c r="H1" s="89"/>
      <c r="I1" s="89"/>
      <c r="J1" s="89"/>
      <c r="K1" s="89"/>
      <c r="L1" s="89"/>
      <c r="M1" s="89"/>
      <c r="N1" s="89"/>
      <c r="O1" s="89"/>
      <c r="P1" s="89"/>
      <c r="Q1" s="89"/>
      <c r="R1" s="89"/>
      <c r="S1" s="89"/>
      <c r="T1" s="89"/>
      <c r="U1" s="89"/>
      <c r="V1" s="89"/>
      <c r="W1" s="89"/>
      <c r="X1" s="89"/>
      <c r="Y1" s="89"/>
      <c r="Z1" s="89"/>
    </row>
    <row r="2" spans="1:26">
      <c r="A2" s="89"/>
      <c r="B2" s="89"/>
      <c r="C2" s="89"/>
      <c r="D2" s="89"/>
      <c r="E2" s="89"/>
      <c r="F2" s="89"/>
      <c r="G2" s="89"/>
      <c r="H2" s="89"/>
      <c r="I2" s="89"/>
      <c r="J2" s="89"/>
      <c r="K2" s="89"/>
      <c r="L2" s="89"/>
      <c r="M2" s="89"/>
      <c r="N2" s="89"/>
      <c r="O2" s="89"/>
      <c r="P2" s="89"/>
      <c r="Q2" s="89"/>
      <c r="R2" s="89"/>
      <c r="S2" s="89"/>
      <c r="T2" s="89"/>
      <c r="U2" s="89"/>
      <c r="V2" s="89"/>
      <c r="W2" s="89"/>
      <c r="X2" s="89"/>
      <c r="Y2" s="89"/>
      <c r="Z2" s="89"/>
    </row>
    <row r="3" spans="1:26">
      <c r="A3" s="89"/>
      <c r="B3" s="91" t="s">
        <v>46</v>
      </c>
      <c r="C3" s="89"/>
      <c r="D3" s="89"/>
      <c r="E3" s="89"/>
      <c r="F3" s="89"/>
      <c r="G3" s="89"/>
      <c r="H3" s="89"/>
      <c r="I3" s="89"/>
      <c r="J3" s="89"/>
      <c r="K3" s="89"/>
      <c r="L3" s="89"/>
      <c r="M3" s="89"/>
      <c r="N3" s="89"/>
      <c r="O3" s="89"/>
      <c r="P3" s="89"/>
      <c r="Q3" s="89"/>
      <c r="R3" s="89"/>
      <c r="S3" s="89"/>
      <c r="T3" s="89"/>
      <c r="U3" s="89"/>
      <c r="V3" s="89"/>
      <c r="W3" s="89"/>
      <c r="X3" s="89"/>
      <c r="Y3" s="89"/>
      <c r="Z3" s="89"/>
    </row>
    <row r="4" spans="1:26" ht="13.5" thickBot="1">
      <c r="A4" s="89"/>
      <c r="B4" s="89"/>
      <c r="C4" s="89"/>
      <c r="D4" s="55" t="s">
        <v>49</v>
      </c>
      <c r="E4" s="55" t="s">
        <v>50</v>
      </c>
      <c r="F4" s="55" t="s">
        <v>51</v>
      </c>
      <c r="G4" s="55" t="s">
        <v>52</v>
      </c>
      <c r="H4" s="89"/>
      <c r="I4" s="89"/>
      <c r="J4" s="89"/>
      <c r="K4" s="89"/>
      <c r="L4" s="89"/>
      <c r="M4" s="89"/>
      <c r="N4" s="89"/>
      <c r="O4" s="89"/>
      <c r="P4" s="89"/>
      <c r="Q4" s="89"/>
      <c r="R4" s="89"/>
      <c r="S4" s="89"/>
      <c r="T4" s="89"/>
      <c r="U4" s="89"/>
      <c r="V4" s="89"/>
      <c r="W4" s="89"/>
      <c r="X4" s="89"/>
      <c r="Y4" s="89"/>
      <c r="Z4" s="89"/>
    </row>
    <row r="5" spans="1:26">
      <c r="A5" s="89"/>
      <c r="B5" s="142" t="s">
        <v>47</v>
      </c>
      <c r="C5" s="57" t="s">
        <v>3</v>
      </c>
      <c r="D5" s="56">
        <v>-4.8792837523337074E-3</v>
      </c>
      <c r="E5" s="56">
        <v>1.0596398164001708E-2</v>
      </c>
      <c r="F5" s="56">
        <v>7.4491468109100234E-3</v>
      </c>
      <c r="G5" s="56">
        <v>6.8675619847948788E-3</v>
      </c>
      <c r="H5" s="89"/>
      <c r="I5" s="96"/>
      <c r="J5" s="89"/>
      <c r="K5" s="89"/>
      <c r="L5" s="89"/>
      <c r="M5" s="89"/>
      <c r="N5" s="59" t="s">
        <v>28</v>
      </c>
      <c r="O5" s="60" t="s">
        <v>37</v>
      </c>
      <c r="P5" s="61" t="s">
        <v>64</v>
      </c>
      <c r="Q5" s="61">
        <f>S5-R5+1</f>
        <v>366</v>
      </c>
      <c r="R5" s="62">
        <v>43647</v>
      </c>
      <c r="S5" s="63">
        <v>44012</v>
      </c>
      <c r="T5" s="89"/>
      <c r="U5" s="89"/>
      <c r="V5" s="89"/>
      <c r="W5" s="89"/>
      <c r="X5" s="89"/>
      <c r="Y5" s="89"/>
      <c r="Z5" s="89"/>
    </row>
    <row r="6" spans="1:26">
      <c r="A6" s="89"/>
      <c r="B6" s="142"/>
      <c r="C6" s="57" t="s">
        <v>48</v>
      </c>
      <c r="D6" s="56">
        <v>-1.4866914998325598E-2</v>
      </c>
      <c r="E6" s="56">
        <v>-3.6704577457611798E-2</v>
      </c>
      <c r="F6" s="56">
        <v>-8.6848726076217853E-2</v>
      </c>
      <c r="G6" s="56">
        <v>-7.861487469156625E-2</v>
      </c>
      <c r="H6" s="89"/>
      <c r="I6" s="96"/>
      <c r="J6" s="89"/>
      <c r="K6" s="89"/>
      <c r="L6" s="89"/>
      <c r="M6" s="89"/>
      <c r="N6" s="64" t="s">
        <v>29</v>
      </c>
      <c r="O6" s="65" t="s">
        <v>56</v>
      </c>
      <c r="P6" s="66" t="s">
        <v>60</v>
      </c>
      <c r="Q6" s="66">
        <f t="shared" ref="Q6:Q9" si="0">S6-R6+1</f>
        <v>365</v>
      </c>
      <c r="R6" s="67">
        <v>44013</v>
      </c>
      <c r="S6" s="68">
        <v>44377</v>
      </c>
      <c r="T6" s="89"/>
      <c r="U6" s="89"/>
      <c r="V6" s="89"/>
      <c r="W6" s="89"/>
      <c r="X6" s="89"/>
      <c r="Y6" s="89"/>
      <c r="Z6" s="89"/>
    </row>
    <row r="7" spans="1:26">
      <c r="A7" s="89"/>
      <c r="B7" s="145" t="s">
        <v>53</v>
      </c>
      <c r="C7" s="146"/>
      <c r="D7" s="58">
        <v>1.8404907975460238E-2</v>
      </c>
      <c r="E7" s="58">
        <f>'[3]Inflators Electricity'!$T$5</f>
        <v>8.6058519793459354E-3</v>
      </c>
      <c r="F7" s="58"/>
      <c r="G7" s="58"/>
      <c r="H7" s="89" t="s">
        <v>65</v>
      </c>
      <c r="I7" s="89"/>
      <c r="J7" s="89"/>
      <c r="K7" s="89"/>
      <c r="L7" s="89"/>
      <c r="M7" s="89"/>
      <c r="N7" s="64" t="s">
        <v>30</v>
      </c>
      <c r="O7" s="65" t="s">
        <v>57</v>
      </c>
      <c r="P7" s="66" t="s">
        <v>61</v>
      </c>
      <c r="Q7" s="66">
        <f t="shared" si="0"/>
        <v>365</v>
      </c>
      <c r="R7" s="67">
        <v>44378</v>
      </c>
      <c r="S7" s="68">
        <v>44742</v>
      </c>
      <c r="T7" s="89"/>
      <c r="U7" s="89"/>
      <c r="V7" s="89"/>
      <c r="W7" s="89"/>
      <c r="X7" s="89"/>
      <c r="Y7" s="89"/>
      <c r="Z7" s="89"/>
    </row>
    <row r="8" spans="1:26">
      <c r="A8" s="89"/>
      <c r="B8" s="89"/>
      <c r="C8" s="89"/>
      <c r="D8" s="89"/>
      <c r="E8" s="89"/>
      <c r="F8" s="89"/>
      <c r="G8" s="89"/>
      <c r="H8" s="89"/>
      <c r="I8" s="89"/>
      <c r="J8" s="89"/>
      <c r="K8" s="89"/>
      <c r="L8" s="89"/>
      <c r="M8" s="89"/>
      <c r="N8" s="64" t="s">
        <v>31</v>
      </c>
      <c r="O8" s="65" t="s">
        <v>58</v>
      </c>
      <c r="P8" s="66" t="s">
        <v>62</v>
      </c>
      <c r="Q8" s="66">
        <f t="shared" si="0"/>
        <v>365</v>
      </c>
      <c r="R8" s="67">
        <v>44743</v>
      </c>
      <c r="S8" s="68">
        <v>45107</v>
      </c>
      <c r="T8" s="89"/>
      <c r="U8" s="89"/>
      <c r="V8" s="89"/>
      <c r="W8" s="89"/>
      <c r="X8" s="89"/>
      <c r="Y8" s="89"/>
      <c r="Z8" s="89"/>
    </row>
    <row r="9" spans="1:26" ht="13.5" thickBot="1">
      <c r="A9" s="89"/>
      <c r="B9" s="89"/>
      <c r="C9" s="89"/>
      <c r="D9" s="89"/>
      <c r="E9" s="89"/>
      <c r="F9" s="89"/>
      <c r="G9" s="89"/>
      <c r="H9" s="89"/>
      <c r="I9" s="89"/>
      <c r="J9" s="89"/>
      <c r="K9" s="89"/>
      <c r="L9" s="89"/>
      <c r="M9" s="89"/>
      <c r="N9" s="69" t="s">
        <v>32</v>
      </c>
      <c r="O9" s="70" t="s">
        <v>59</v>
      </c>
      <c r="P9" s="71" t="s">
        <v>63</v>
      </c>
      <c r="Q9" s="71">
        <f t="shared" si="0"/>
        <v>366</v>
      </c>
      <c r="R9" s="72">
        <v>45108</v>
      </c>
      <c r="S9" s="73">
        <v>45473</v>
      </c>
      <c r="T9" s="89"/>
      <c r="U9" s="89"/>
      <c r="V9" s="89"/>
      <c r="W9" s="89"/>
      <c r="X9" s="89"/>
      <c r="Y9" s="89"/>
      <c r="Z9" s="89"/>
    </row>
    <row r="10" spans="1:26">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c r="A11" s="89"/>
      <c r="B11" s="29" t="s">
        <v>55</v>
      </c>
      <c r="C11" s="89"/>
      <c r="D11" s="91" t="str">
        <f>"$"&amp;C1</f>
        <v>$2021/22</v>
      </c>
      <c r="F11" s="89"/>
      <c r="G11" s="89"/>
      <c r="H11" s="89"/>
      <c r="I11" s="89"/>
      <c r="J11" s="89"/>
      <c r="K11" s="89"/>
      <c r="L11" s="89"/>
      <c r="M11" s="89"/>
      <c r="N11" s="89"/>
      <c r="O11" s="89"/>
      <c r="P11" s="89"/>
      <c r="Q11" s="89"/>
      <c r="R11" s="89"/>
      <c r="S11" s="89"/>
      <c r="T11" s="89"/>
      <c r="U11" s="89"/>
      <c r="V11" s="89"/>
      <c r="W11" s="89"/>
      <c r="X11" s="89"/>
      <c r="Y11" s="89"/>
      <c r="Z11" s="89"/>
    </row>
    <row r="12" spans="1:26">
      <c r="A12" s="89"/>
      <c r="B12" s="143" t="s">
        <v>27</v>
      </c>
      <c r="C12" s="140" t="s">
        <v>28</v>
      </c>
      <c r="D12" s="140" t="s">
        <v>29</v>
      </c>
      <c r="E12" s="140" t="s">
        <v>30</v>
      </c>
      <c r="F12" s="140" t="s">
        <v>31</v>
      </c>
      <c r="G12" s="140" t="s">
        <v>32</v>
      </c>
      <c r="H12" s="89"/>
      <c r="I12" s="89"/>
      <c r="J12" s="89"/>
      <c r="K12" s="89"/>
      <c r="L12" s="89"/>
      <c r="M12" s="89"/>
      <c r="N12" s="89"/>
      <c r="O12" s="89"/>
      <c r="P12" s="89"/>
      <c r="Q12" s="89"/>
      <c r="R12" s="89"/>
      <c r="S12" s="89"/>
      <c r="T12" s="89"/>
      <c r="U12" s="89"/>
      <c r="V12" s="89"/>
      <c r="W12" s="89"/>
      <c r="X12" s="89"/>
      <c r="Y12" s="89"/>
      <c r="Z12" s="89"/>
    </row>
    <row r="13" spans="1:26">
      <c r="A13" s="89"/>
      <c r="B13" s="144"/>
      <c r="C13" s="141"/>
      <c r="D13" s="141"/>
      <c r="E13" s="141"/>
      <c r="F13" s="141"/>
      <c r="G13" s="141"/>
      <c r="H13" s="89"/>
      <c r="I13" s="89"/>
      <c r="J13" s="89"/>
      <c r="K13" s="89"/>
      <c r="L13" s="89"/>
      <c r="M13" s="89"/>
      <c r="N13" s="89"/>
      <c r="O13" s="89"/>
      <c r="P13" s="89"/>
      <c r="Q13" s="89"/>
      <c r="R13" s="89"/>
      <c r="S13" s="89"/>
      <c r="T13" s="89"/>
      <c r="U13" s="89"/>
      <c r="V13" s="89"/>
      <c r="W13" s="89"/>
      <c r="X13" s="89"/>
      <c r="Y13" s="89"/>
      <c r="Z13" s="89"/>
    </row>
    <row r="14" spans="1:26" ht="15">
      <c r="A14" s="89"/>
      <c r="B14" s="30" t="s">
        <v>0</v>
      </c>
      <c r="C14" s="31">
        <v>22.2</v>
      </c>
      <c r="D14" s="31">
        <f>IF(ISBLANK(D$7)," ",C14*(1-D$6)*(1+D$7))</f>
        <v>22.94470892731184</v>
      </c>
      <c r="E14" s="125">
        <f>IF(ISBLANK(E$7),D14*(1-E$6),D14*(1-E$6)*(1+E$7))</f>
        <v>23.991591182786152</v>
      </c>
      <c r="F14" s="93">
        <f>IF(ISBLANK(F$7),E14*(1-F$6),E14*(1-F$6)*(1+F$7))</f>
        <v>26.075230313552549</v>
      </c>
      <c r="G14" s="93">
        <f t="shared" ref="G14" si="1">IF(ISBLANK(G$7),F14*(1-G$6),F14*(1-G$6)*(1+G$7))</f>
        <v>28.125131277206211</v>
      </c>
      <c r="H14" s="89"/>
      <c r="I14" s="89"/>
      <c r="J14" s="89"/>
      <c r="K14" s="89"/>
      <c r="L14" s="89"/>
      <c r="M14" s="89"/>
      <c r="N14" s="89"/>
      <c r="O14" s="89"/>
      <c r="P14" s="89"/>
      <c r="Q14" s="89"/>
      <c r="R14" s="89"/>
      <c r="S14" s="89"/>
      <c r="T14" s="89"/>
      <c r="U14" s="89"/>
      <c r="V14" s="89"/>
      <c r="W14" s="89"/>
      <c r="X14" s="89"/>
      <c r="Y14" s="89"/>
      <c r="Z14" s="89"/>
    </row>
    <row r="15" spans="1:26" ht="15">
      <c r="A15" s="89"/>
      <c r="B15" s="30" t="s">
        <v>1</v>
      </c>
      <c r="C15" s="31">
        <v>33.299999999999997</v>
      </c>
      <c r="D15" s="31">
        <f t="shared" ref="D15:D17" si="2">IF(ISBLANK(D$7)," ",C15*(1-D$6)*(1+D$7))</f>
        <v>34.417063390967755</v>
      </c>
      <c r="E15" s="125">
        <f t="shared" ref="E15" si="3">IF(ISBLANK(E$7),D15*(1-E$6),D15*(1-E$6)*(1+E$7))</f>
        <v>35.987386774179228</v>
      </c>
      <c r="F15" s="93">
        <f>IF(ISBLANK(F$7),E15*(1-F$6),E15*(1-F$6)*(1+F$7))</f>
        <v>39.112845470328828</v>
      </c>
      <c r="G15" s="93">
        <f>IF(ISBLANK(G$7),F15*(1-G$6),F15*(1-G$6)*(1+G$7))</f>
        <v>42.187696915809326</v>
      </c>
      <c r="H15" s="89"/>
      <c r="I15" s="89"/>
      <c r="J15" s="89"/>
      <c r="K15" s="89"/>
      <c r="L15" s="89"/>
      <c r="M15" s="89"/>
      <c r="N15" s="89"/>
      <c r="O15" s="89"/>
      <c r="P15" s="89"/>
      <c r="Q15" s="89"/>
      <c r="R15" s="89"/>
      <c r="S15" s="89"/>
      <c r="T15" s="89"/>
      <c r="U15" s="89"/>
      <c r="V15" s="89"/>
      <c r="W15" s="89"/>
      <c r="X15" s="89"/>
      <c r="Y15" s="89"/>
      <c r="Z15" s="89"/>
    </row>
    <row r="16" spans="1:26" ht="15">
      <c r="A16" s="89"/>
      <c r="B16" s="30" t="s">
        <v>33</v>
      </c>
      <c r="C16" s="31">
        <v>22.2</v>
      </c>
      <c r="D16" s="31">
        <f t="shared" si="2"/>
        <v>22.94470892731184</v>
      </c>
      <c r="E16" s="125">
        <f t="shared" ref="E16:G16" si="4">IF(ISBLANK(E$7),D16*(1-E$6),D16*(1-E$6)*(1+E$7))</f>
        <v>23.991591182786152</v>
      </c>
      <c r="F16" s="93">
        <f t="shared" si="4"/>
        <v>26.075230313552549</v>
      </c>
      <c r="G16" s="93">
        <f t="shared" si="4"/>
        <v>28.125131277206211</v>
      </c>
      <c r="H16" s="89"/>
      <c r="I16" s="89"/>
      <c r="J16" s="89"/>
      <c r="K16" s="89"/>
      <c r="L16" s="89"/>
      <c r="M16" s="89"/>
      <c r="N16" s="89"/>
      <c r="O16" s="89"/>
      <c r="P16" s="89"/>
      <c r="Q16" s="89"/>
      <c r="R16" s="89"/>
      <c r="S16" s="89"/>
      <c r="T16" s="89"/>
      <c r="U16" s="89"/>
      <c r="V16" s="89"/>
      <c r="W16" s="89"/>
      <c r="X16" s="89"/>
      <c r="Y16" s="89"/>
      <c r="Z16" s="89"/>
    </row>
    <row r="17" spans="1:26" ht="15">
      <c r="A17" s="89"/>
      <c r="B17" s="30" t="s">
        <v>34</v>
      </c>
      <c r="C17" s="31">
        <v>33.299999999999997</v>
      </c>
      <c r="D17" s="31">
        <f t="shared" si="2"/>
        <v>34.417063390967755</v>
      </c>
      <c r="E17" s="125">
        <f t="shared" ref="E17:G17" si="5">IF(ISBLANK(E$7),D17*(1-E$6),D17*(1-E$6)*(1+E$7))</f>
        <v>35.987386774179228</v>
      </c>
      <c r="F17" s="93">
        <f t="shared" si="5"/>
        <v>39.112845470328828</v>
      </c>
      <c r="G17" s="93">
        <f t="shared" si="5"/>
        <v>42.187696915809326</v>
      </c>
      <c r="H17" s="89"/>
      <c r="I17" s="89"/>
      <c r="J17" s="89"/>
      <c r="K17" s="89"/>
      <c r="L17" s="89"/>
      <c r="M17" s="89"/>
      <c r="N17" s="89"/>
      <c r="O17" s="89"/>
      <c r="P17" s="89"/>
      <c r="Q17" s="89"/>
      <c r="R17" s="89"/>
      <c r="S17" s="89"/>
      <c r="T17" s="89"/>
      <c r="U17" s="89"/>
      <c r="V17" s="89"/>
      <c r="W17" s="89"/>
      <c r="X17" s="89"/>
      <c r="Y17" s="89"/>
      <c r="Z17" s="89"/>
    </row>
    <row r="18" spans="1:26" ht="15">
      <c r="A18" s="89"/>
      <c r="B18" s="30" t="s">
        <v>2</v>
      </c>
      <c r="C18" s="31">
        <v>5.55</v>
      </c>
      <c r="D18" s="31">
        <f>IF(ISBLANK(D$7)," ",C18*(1-D$6)*(1+D$7))</f>
        <v>5.73617723182796</v>
      </c>
      <c r="E18" s="147">
        <f t="shared" ref="E18:G18" si="6">IF(ISBLANK(E$7),D18*(1-E$6),D18*(1-E$6)*(1+E$7))</f>
        <v>5.997897795696538</v>
      </c>
      <c r="F18" s="93">
        <f t="shared" si="6"/>
        <v>6.5188075783881372</v>
      </c>
      <c r="G18" s="93">
        <f t="shared" si="6"/>
        <v>7.0312828193015529</v>
      </c>
      <c r="H18" s="89"/>
      <c r="I18" s="95"/>
      <c r="J18" s="95"/>
      <c r="K18" s="89"/>
      <c r="L18" s="89"/>
      <c r="M18" s="89"/>
      <c r="N18" s="89"/>
      <c r="O18" s="89"/>
      <c r="P18" s="89"/>
      <c r="Q18" s="89"/>
      <c r="R18" s="89"/>
      <c r="S18" s="89"/>
      <c r="T18" s="89"/>
      <c r="U18" s="89"/>
      <c r="V18" s="89"/>
      <c r="W18" s="89"/>
      <c r="X18" s="89"/>
      <c r="Y18" s="89"/>
      <c r="Z18" s="89"/>
    </row>
    <row r="19" spans="1:26">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spans="1:26">
      <c r="A20" s="89"/>
      <c r="B20" s="143" t="s">
        <v>35</v>
      </c>
      <c r="C20" s="140" t="s">
        <v>28</v>
      </c>
      <c r="D20" s="140" t="s">
        <v>29</v>
      </c>
      <c r="E20" s="140" t="s">
        <v>30</v>
      </c>
      <c r="F20" s="140" t="s">
        <v>31</v>
      </c>
      <c r="G20" s="140" t="s">
        <v>32</v>
      </c>
      <c r="H20" s="89"/>
      <c r="I20" s="89"/>
      <c r="J20" s="89"/>
      <c r="K20" s="89"/>
      <c r="L20" s="89"/>
      <c r="M20" s="89"/>
      <c r="N20" s="89"/>
      <c r="O20" s="89"/>
      <c r="P20" s="89"/>
      <c r="Q20" s="89"/>
      <c r="R20" s="89"/>
      <c r="S20" s="89"/>
      <c r="T20" s="89"/>
      <c r="U20" s="89"/>
      <c r="V20" s="89"/>
      <c r="W20" s="89"/>
      <c r="X20" s="89"/>
      <c r="Y20" s="89"/>
      <c r="Z20" s="89"/>
    </row>
    <row r="21" spans="1:26">
      <c r="A21" s="89"/>
      <c r="B21" s="144"/>
      <c r="C21" s="141"/>
      <c r="D21" s="141"/>
      <c r="E21" s="141"/>
      <c r="F21" s="141"/>
      <c r="G21" s="141"/>
      <c r="H21" s="92"/>
      <c r="I21" s="92"/>
      <c r="J21" s="92"/>
      <c r="K21" s="89"/>
      <c r="L21" s="89"/>
      <c r="M21" s="89"/>
      <c r="N21" s="89"/>
      <c r="O21" s="89"/>
      <c r="P21" s="89"/>
      <c r="Q21" s="89"/>
      <c r="R21" s="89"/>
      <c r="S21" s="89"/>
      <c r="T21" s="89"/>
      <c r="U21" s="89"/>
      <c r="V21" s="89"/>
      <c r="W21" s="89"/>
      <c r="X21" s="89"/>
      <c r="Y21" s="89"/>
      <c r="Z21" s="89"/>
    </row>
    <row r="22" spans="1:26" ht="15">
      <c r="A22" s="89"/>
      <c r="B22" s="30" t="s">
        <v>0</v>
      </c>
      <c r="C22" s="31">
        <v>9.84</v>
      </c>
      <c r="D22" s="31">
        <f>IF(ISBLANK(D$7)," ",C22*(1-D$5)*(1+D$7))</f>
        <v>10.070000105843018</v>
      </c>
      <c r="E22" s="125">
        <f>IF(ISBLANK(E$7),D22*(1-E$5),D22*(1-E$5)*(1+E$7))</f>
        <v>10.049037011829672</v>
      </c>
      <c r="F22" s="93">
        <f t="shared" ref="F22:G22" si="7">IF(ISBLANK(F$7),E22*(1-F$5),E22*(1-F$5)*(1+F$7))</f>
        <v>9.9741802598202831</v>
      </c>
      <c r="G22" s="93">
        <f t="shared" si="7"/>
        <v>9.9056819586384499</v>
      </c>
      <c r="H22" s="92"/>
      <c r="I22" s="92"/>
      <c r="J22" s="92"/>
      <c r="K22" s="89"/>
      <c r="L22" s="89"/>
      <c r="M22" s="89"/>
      <c r="N22" s="89"/>
      <c r="O22" s="89"/>
      <c r="P22" s="89"/>
      <c r="Q22" s="89"/>
      <c r="R22" s="89"/>
      <c r="S22" s="89"/>
      <c r="T22" s="89"/>
      <c r="U22" s="89"/>
      <c r="V22" s="89"/>
      <c r="W22" s="89"/>
      <c r="X22" s="89"/>
      <c r="Y22" s="89"/>
      <c r="Z22" s="89"/>
    </row>
    <row r="23" spans="1:26" ht="15">
      <c r="A23" s="89"/>
      <c r="B23" s="30" t="s">
        <v>1</v>
      </c>
      <c r="C23" s="31">
        <v>14.32</v>
      </c>
      <c r="D23" s="31">
        <f>IF(ISBLANK(D$7)," ",C23*(1-D$5)*(1+D$7))</f>
        <v>14.654715601186183</v>
      </c>
      <c r="E23" s="125">
        <f t="shared" ref="E23:F23" si="8">IF(ISBLANK(E$7),D23*(1-E$5),D23*(1-E$5)*(1+E$7))</f>
        <v>14.624208334288713</v>
      </c>
      <c r="F23" s="93">
        <f t="shared" si="8"/>
        <v>14.515270459413262</v>
      </c>
      <c r="G23" s="93">
        <f>IF(ISBLANK(G$7),F23*(1-G$5),F23*(1-G$5)*(1+G$7))</f>
        <v>14.41558593980718</v>
      </c>
      <c r="H23" s="92"/>
      <c r="I23" s="92"/>
      <c r="J23" s="92"/>
      <c r="K23" s="89"/>
      <c r="L23" s="89"/>
      <c r="M23" s="89"/>
      <c r="N23" s="89"/>
      <c r="O23" s="89"/>
      <c r="P23" s="89"/>
      <c r="Q23" s="89"/>
      <c r="R23" s="89"/>
      <c r="S23" s="89"/>
      <c r="T23" s="89"/>
      <c r="U23" s="89"/>
      <c r="V23" s="89"/>
      <c r="W23" s="89"/>
      <c r="X23" s="89"/>
      <c r="Y23" s="89"/>
      <c r="Z23" s="89"/>
    </row>
    <row r="24" spans="1:26" ht="15">
      <c r="A24" s="89"/>
      <c r="B24" s="30" t="s">
        <v>33</v>
      </c>
      <c r="C24" s="31">
        <v>9.84</v>
      </c>
      <c r="D24" s="31">
        <f t="shared" ref="D24:D25" si="9">IF(ISBLANK(D$7)," ",C24*(1-D$5)*(1+D$7))</f>
        <v>10.070000105843018</v>
      </c>
      <c r="E24" s="125">
        <f>IF(ISBLANK(E$7),D24*(1-E$5),D24*(1-E$5)*(1+E$7))</f>
        <v>10.049037011829672</v>
      </c>
      <c r="F24" s="93">
        <f t="shared" ref="F24:G24" si="10">IF(ISBLANK(F$7),E24*(1-F$5),E24*(1-F$5)*(1+F$7))</f>
        <v>9.9741802598202831</v>
      </c>
      <c r="G24" s="93">
        <f t="shared" si="10"/>
        <v>9.9056819586384499</v>
      </c>
      <c r="H24" s="89"/>
      <c r="I24" s="89"/>
      <c r="J24" s="89"/>
      <c r="K24" s="89"/>
      <c r="L24" s="89"/>
      <c r="M24" s="89"/>
      <c r="N24" s="89"/>
      <c r="O24" s="89"/>
      <c r="P24" s="89"/>
      <c r="Q24" s="89"/>
      <c r="R24" s="89"/>
      <c r="S24" s="89"/>
      <c r="T24" s="89"/>
      <c r="U24" s="89"/>
      <c r="V24" s="89"/>
      <c r="W24" s="89"/>
      <c r="X24" s="89"/>
      <c r="Y24" s="89"/>
      <c r="Z24" s="89"/>
    </row>
    <row r="25" spans="1:26" ht="15">
      <c r="A25" s="89"/>
      <c r="B25" s="30" t="s">
        <v>34</v>
      </c>
      <c r="C25" s="31">
        <v>14.32</v>
      </c>
      <c r="D25" s="31">
        <f t="shared" si="9"/>
        <v>14.654715601186183</v>
      </c>
      <c r="E25" s="125">
        <f t="shared" ref="E25:G25" si="11">IF(ISBLANK(E$7),D25*(1-E$5),D25*(1-E$5)*(1+E$7))</f>
        <v>14.624208334288713</v>
      </c>
      <c r="F25" s="93">
        <f t="shared" si="11"/>
        <v>14.515270459413262</v>
      </c>
      <c r="G25" s="93">
        <f t="shared" si="11"/>
        <v>14.41558593980718</v>
      </c>
      <c r="H25" s="89"/>
      <c r="I25" s="89"/>
      <c r="J25" s="89"/>
      <c r="K25" s="89"/>
      <c r="L25" s="89"/>
      <c r="M25" s="89"/>
      <c r="N25" s="89"/>
      <c r="O25" s="89"/>
      <c r="P25" s="89"/>
      <c r="Q25" s="89"/>
      <c r="R25" s="89"/>
      <c r="S25" s="89"/>
      <c r="T25" s="89"/>
      <c r="U25" s="89"/>
      <c r="V25" s="89"/>
      <c r="W25" s="89"/>
      <c r="X25" s="89"/>
      <c r="Y25" s="89"/>
      <c r="Z25" s="89"/>
    </row>
    <row r="26" spans="1:26" ht="15">
      <c r="A26" s="89"/>
      <c r="B26" s="30" t="s">
        <v>2</v>
      </c>
      <c r="C26" s="31">
        <v>4.4800000000000004</v>
      </c>
      <c r="D26" s="31">
        <f>IF(ISBLANK(D$7)," ",C26*(1-D$5)*(1+D$7))</f>
        <v>4.584715495343163</v>
      </c>
      <c r="E26" s="125">
        <f t="shared" ref="E26:G26" si="12">IF(ISBLANK(E$7),D26*(1-E$5),D26*(1-E$5)*(1+E$7))</f>
        <v>4.5751713224590391</v>
      </c>
      <c r="F26" s="93">
        <f t="shared" si="12"/>
        <v>4.5410901995929764</v>
      </c>
      <c r="G26" s="93">
        <f t="shared" si="12"/>
        <v>4.5099039811687271</v>
      </c>
      <c r="H26" s="89"/>
      <c r="I26" s="89"/>
      <c r="J26" s="89"/>
      <c r="K26" s="89"/>
      <c r="L26" s="89"/>
      <c r="M26" s="89"/>
      <c r="N26" s="89"/>
      <c r="O26" s="89"/>
      <c r="P26" s="89"/>
      <c r="Q26" s="89"/>
      <c r="R26" s="89"/>
      <c r="S26" s="89"/>
      <c r="T26" s="89"/>
      <c r="U26" s="89"/>
      <c r="V26" s="89"/>
      <c r="W26" s="89"/>
      <c r="X26" s="89"/>
      <c r="Y26" s="89"/>
      <c r="Z26" s="89"/>
    </row>
    <row r="27" spans="1:26">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idden="1">
      <c r="A29" s="89"/>
      <c r="B29" s="143" t="s">
        <v>36</v>
      </c>
      <c r="C29" s="140" t="s">
        <v>28</v>
      </c>
      <c r="D29" s="140" t="s">
        <v>29</v>
      </c>
      <c r="E29" s="140" t="s">
        <v>30</v>
      </c>
      <c r="F29" s="140" t="s">
        <v>31</v>
      </c>
      <c r="G29" s="140" t="s">
        <v>32</v>
      </c>
      <c r="H29" s="89"/>
      <c r="I29" s="89"/>
      <c r="J29" s="89"/>
      <c r="K29" s="89"/>
      <c r="L29" s="89"/>
      <c r="M29" s="89"/>
      <c r="N29" s="89"/>
      <c r="O29" s="89"/>
      <c r="P29" s="89"/>
      <c r="Q29" s="89"/>
      <c r="R29" s="89"/>
      <c r="S29" s="89"/>
      <c r="T29" s="89"/>
      <c r="U29" s="89"/>
      <c r="V29" s="89"/>
      <c r="W29" s="89"/>
      <c r="X29" s="89"/>
      <c r="Y29" s="89"/>
      <c r="Z29" s="89"/>
    </row>
    <row r="30" spans="1:26" hidden="1">
      <c r="A30" s="89"/>
      <c r="B30" s="144"/>
      <c r="C30" s="141"/>
      <c r="D30" s="141"/>
      <c r="E30" s="141"/>
      <c r="F30" s="141"/>
      <c r="G30" s="141"/>
      <c r="H30" s="89"/>
      <c r="I30" s="89"/>
      <c r="J30" s="89"/>
      <c r="K30" s="89"/>
      <c r="L30" s="89"/>
      <c r="M30" s="89"/>
      <c r="N30" s="89"/>
      <c r="O30" s="89"/>
      <c r="P30" s="89"/>
      <c r="Q30" s="89"/>
      <c r="R30" s="89"/>
      <c r="S30" s="89"/>
      <c r="T30" s="89"/>
      <c r="U30" s="89"/>
      <c r="V30" s="89"/>
      <c r="W30" s="89"/>
      <c r="X30" s="89"/>
      <c r="Y30" s="89"/>
      <c r="Z30" s="89"/>
    </row>
    <row r="31" spans="1:26" ht="15" hidden="1">
      <c r="A31" s="89"/>
      <c r="B31" s="30" t="s">
        <v>0</v>
      </c>
      <c r="C31" s="31">
        <f>C14+C22</f>
        <v>32.04</v>
      </c>
      <c r="D31" s="31">
        <f>IF(D14=" "," ",D14+D22)</f>
        <v>33.014709033154858</v>
      </c>
      <c r="E31" s="93">
        <f t="shared" ref="E31:G31" si="13">IF(E14=" "," ",E14+E22)</f>
        <v>34.04062819461582</v>
      </c>
      <c r="F31" s="93">
        <f t="shared" si="13"/>
        <v>36.049410573372832</v>
      </c>
      <c r="G31" s="93">
        <f t="shared" si="13"/>
        <v>38.030813235844661</v>
      </c>
      <c r="H31" s="89"/>
      <c r="I31" s="89"/>
      <c r="J31" s="89"/>
      <c r="K31" s="89"/>
      <c r="L31" s="89"/>
      <c r="M31" s="89"/>
      <c r="N31" s="89"/>
      <c r="O31" s="89"/>
      <c r="P31" s="89"/>
      <c r="Q31" s="89"/>
      <c r="R31" s="89"/>
      <c r="S31" s="89"/>
      <c r="T31" s="89"/>
      <c r="U31" s="89"/>
      <c r="V31" s="89"/>
      <c r="W31" s="89"/>
      <c r="X31" s="89"/>
      <c r="Y31" s="89"/>
      <c r="Z31" s="89"/>
    </row>
    <row r="32" spans="1:26" ht="15" hidden="1">
      <c r="A32" s="89"/>
      <c r="B32" s="30" t="s">
        <v>1</v>
      </c>
      <c r="C32" s="31">
        <f t="shared" ref="C32:C35" si="14">C15+C23</f>
        <v>47.62</v>
      </c>
      <c r="D32" s="31">
        <f t="shared" ref="D32:G35" si="15">IF(D15=" "," ",D15+D23)</f>
        <v>49.071778992153938</v>
      </c>
      <c r="E32" s="93">
        <f t="shared" si="15"/>
        <v>50.611595108467938</v>
      </c>
      <c r="F32" s="93">
        <f t="shared" si="15"/>
        <v>53.628115929742094</v>
      </c>
      <c r="G32" s="93">
        <f t="shared" si="15"/>
        <v>56.603282855616506</v>
      </c>
      <c r="H32" s="89"/>
      <c r="I32" s="89"/>
      <c r="J32" s="89"/>
      <c r="K32" s="89"/>
      <c r="L32" s="89"/>
      <c r="M32" s="89"/>
      <c r="N32" s="89"/>
      <c r="O32" s="89"/>
      <c r="P32" s="89"/>
      <c r="Q32" s="89"/>
      <c r="R32" s="89"/>
      <c r="S32" s="89"/>
      <c r="T32" s="89"/>
      <c r="U32" s="89"/>
      <c r="V32" s="89"/>
      <c r="W32" s="89"/>
      <c r="X32" s="89"/>
      <c r="Y32" s="89"/>
      <c r="Z32" s="89"/>
    </row>
    <row r="33" spans="1:26" ht="15" hidden="1">
      <c r="A33" s="89"/>
      <c r="B33" s="30" t="s">
        <v>33</v>
      </c>
      <c r="C33" s="31">
        <f t="shared" si="14"/>
        <v>32.04</v>
      </c>
      <c r="D33" s="31">
        <f t="shared" si="15"/>
        <v>33.014709033154858</v>
      </c>
      <c r="E33" s="93">
        <f t="shared" si="15"/>
        <v>34.04062819461582</v>
      </c>
      <c r="F33" s="93">
        <f t="shared" si="15"/>
        <v>36.049410573372832</v>
      </c>
      <c r="G33" s="93">
        <f t="shared" si="15"/>
        <v>38.030813235844661</v>
      </c>
      <c r="H33" s="89"/>
      <c r="I33" s="89"/>
      <c r="J33" s="89"/>
      <c r="K33" s="89"/>
      <c r="L33" s="89"/>
      <c r="M33" s="89"/>
      <c r="N33" s="89"/>
      <c r="O33" s="89"/>
      <c r="P33" s="89"/>
      <c r="Q33" s="89"/>
      <c r="R33" s="89"/>
      <c r="S33" s="89"/>
      <c r="T33" s="89"/>
      <c r="U33" s="89"/>
      <c r="V33" s="89"/>
      <c r="W33" s="89"/>
      <c r="X33" s="89"/>
      <c r="Y33" s="89"/>
      <c r="Z33" s="89"/>
    </row>
    <row r="34" spans="1:26" ht="15" hidden="1">
      <c r="A34" s="89"/>
      <c r="B34" s="30" t="s">
        <v>34</v>
      </c>
      <c r="C34" s="31">
        <f t="shared" si="14"/>
        <v>47.62</v>
      </c>
      <c r="D34" s="31">
        <f t="shared" si="15"/>
        <v>49.071778992153938</v>
      </c>
      <c r="E34" s="93">
        <f t="shared" si="15"/>
        <v>50.611595108467938</v>
      </c>
      <c r="F34" s="93">
        <f t="shared" si="15"/>
        <v>53.628115929742094</v>
      </c>
      <c r="G34" s="93">
        <f t="shared" si="15"/>
        <v>56.603282855616506</v>
      </c>
      <c r="H34" s="89"/>
      <c r="I34" s="89"/>
      <c r="J34" s="89"/>
      <c r="K34" s="89"/>
      <c r="L34" s="89"/>
      <c r="M34" s="89"/>
      <c r="N34" s="89"/>
      <c r="O34" s="89"/>
      <c r="P34" s="89"/>
      <c r="Q34" s="89"/>
      <c r="R34" s="89"/>
      <c r="S34" s="89"/>
      <c r="T34" s="89"/>
      <c r="U34" s="89"/>
      <c r="V34" s="89"/>
      <c r="W34" s="89"/>
      <c r="X34" s="89"/>
      <c r="Y34" s="89"/>
      <c r="Z34" s="89"/>
    </row>
    <row r="35" spans="1:26" ht="15" hidden="1">
      <c r="A35" s="89"/>
      <c r="B35" s="30" t="s">
        <v>2</v>
      </c>
      <c r="C35" s="31">
        <f t="shared" si="14"/>
        <v>10.030000000000001</v>
      </c>
      <c r="D35" s="31">
        <f t="shared" si="15"/>
        <v>10.320892727171124</v>
      </c>
      <c r="E35" s="93">
        <f t="shared" si="15"/>
        <v>10.573069118155576</v>
      </c>
      <c r="F35" s="93">
        <f t="shared" si="15"/>
        <v>11.059897777981114</v>
      </c>
      <c r="G35" s="93">
        <f t="shared" si="15"/>
        <v>11.54118680047028</v>
      </c>
      <c r="H35" s="89"/>
      <c r="I35" s="89"/>
      <c r="J35" s="89"/>
      <c r="K35" s="89"/>
      <c r="L35" s="89"/>
      <c r="M35" s="89"/>
      <c r="N35" s="89"/>
      <c r="O35" s="89"/>
      <c r="P35" s="89"/>
      <c r="Q35" s="89"/>
      <c r="R35" s="89"/>
      <c r="S35" s="89"/>
      <c r="T35" s="89"/>
      <c r="U35" s="89"/>
      <c r="V35" s="89"/>
      <c r="W35" s="89"/>
      <c r="X35" s="89"/>
      <c r="Y35" s="89"/>
      <c r="Z35" s="89"/>
    </row>
    <row r="36" spans="1:26">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c r="A37" s="89"/>
      <c r="B37" s="94" t="s">
        <v>74</v>
      </c>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c r="A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c r="A40" s="89"/>
      <c r="B40" s="89" t="s">
        <v>54</v>
      </c>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c r="A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sheetData>
  <mergeCells count="20">
    <mergeCell ref="B20:B21"/>
    <mergeCell ref="B29:B30"/>
    <mergeCell ref="B7:C7"/>
    <mergeCell ref="C12:C13"/>
    <mergeCell ref="C29:C30"/>
    <mergeCell ref="D12:D13"/>
    <mergeCell ref="E12:E13"/>
    <mergeCell ref="F12:F13"/>
    <mergeCell ref="G12:G13"/>
    <mergeCell ref="B5:B6"/>
    <mergeCell ref="B12:B13"/>
    <mergeCell ref="D29:D30"/>
    <mergeCell ref="E29:E30"/>
    <mergeCell ref="F29:F30"/>
    <mergeCell ref="G29:G30"/>
    <mergeCell ref="C20:C21"/>
    <mergeCell ref="D20:D21"/>
    <mergeCell ref="E20:E21"/>
    <mergeCell ref="F20:F21"/>
    <mergeCell ref="G20:G21"/>
  </mergeCells>
  <phoneticPr fontId="73" type="noConversion"/>
  <dataValidations count="1">
    <dataValidation type="list" allowBlank="1" showInputMessage="1" showErrorMessage="1" sqref="C1" xr:uid="{5E40751A-0173-402B-927D-EAAEDDA72611}">
      <formula1>$N$5:$N$9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MSC Price List</vt:lpstr>
      <vt:lpstr>MSC Price List_$Day</vt:lpstr>
      <vt:lpstr>MSC Price List_year</vt:lpstr>
      <vt:lpstr>Pricing Summary</vt:lpstr>
      <vt:lpstr>'MSC Price List'!Print_Area</vt:lpstr>
      <vt:lpstr>'MSC Price List_$Day'!Print_Area</vt:lpstr>
      <vt:lpstr>'MSC Price List_year'!Print_Area</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Voltz</dc:creator>
  <cp:lastModifiedBy>Michelle Hagney</cp:lastModifiedBy>
  <cp:lastPrinted>2019-05-15T07:05:17Z</cp:lastPrinted>
  <dcterms:created xsi:type="dcterms:W3CDTF">2015-05-15T00:21:33Z</dcterms:created>
  <dcterms:modified xsi:type="dcterms:W3CDTF">2021-03-26T03:29:29Z</dcterms:modified>
</cp:coreProperties>
</file>